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35.xml" ContentType="application/vnd.openxmlformats-officedocument.spreadsheetml.worksheet+xml"/>
  <Override PartName="/xl/worksheets/sheet44.xml" ContentType="application/vnd.openxmlformats-officedocument.spreadsheetml.worksheet+xml"/>
  <Override PartName="/xl/worksheets/sheet53.xml" ContentType="application/vnd.openxmlformats-officedocument.spreadsheetml.worksheet+xml"/>
  <Override PartName="/xl/worksheets/sheet62.xml" ContentType="application/vnd.openxmlformats-officedocument.spreadsheetml.worksheet+xml"/>
  <Override PartName="/xl/charts/chart6.xml" ContentType="application/vnd.openxmlformats-officedocument.drawingml.char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worksheets/sheet42.xml" ContentType="application/vnd.openxmlformats-officedocument.spreadsheetml.worksheet+xml"/>
  <Override PartName="/xl/worksheets/sheet51.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drawings/drawing6.xml" ContentType="application/vnd.openxmlformats-officedocument.drawingml.chartshapes+xml"/>
  <Override PartName="/xl/drawings/drawing8.xml" ContentType="application/vnd.openxmlformats-officedocument.drawingml.chartshapes+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worksheets/sheet40.xml" ContentType="application/vnd.openxmlformats-officedocument.spreadsheetml.worksheet+xml"/>
  <Override PartName="/xl/charts/chart2.xml" ContentType="application/vnd.openxmlformats-officedocument.drawingml.chart+xml"/>
  <Override PartName="/xl/drawings/drawing4.xml" ContentType="application/vnd.openxmlformats-officedocument.drawingml.chartshapes+xml"/>
  <Default Extension="rels" ContentType="application/vnd.openxmlformats-package.relationships+xml"/>
  <Default Extension="xml" ContentType="application/xml"/>
  <Override PartName="/xl/worksheets/sheet5.xml" ContentType="application/vnd.openxmlformats-officedocument.spreadsheetml.worksheet+xml"/>
  <Override PartName="/xl/drawings/drawing2.xml" ContentType="application/vnd.openxmlformats-officedocument.drawingml.chartshapes+xml"/>
  <Override PartName="/xl/worksheets/sheet3.xml" ContentType="application/vnd.openxmlformats-officedocument.spreadsheetml.worksheet+xml"/>
  <Override PartName="/xl/worksheets/sheet1.xml" ContentType="application/vnd.openxmlformats-officedocument.spreadsheetml.worksheet+xml"/>
  <Override PartName="/xl/worksheets/sheet49.xml" ContentType="application/vnd.openxmlformats-officedocument.spreadsheetml.worksheet+xml"/>
  <Override PartName="/xl/externalLinks/externalLink1.xml" ContentType="application/vnd.openxmlformats-officedocument.spreadsheetml.externalLink+xml"/>
  <Override PartName="/xl/worksheets/sheet29.xml" ContentType="application/vnd.openxmlformats-officedocument.spreadsheetml.worksheet+xml"/>
  <Override PartName="/xl/worksheets/sheet38.xml" ContentType="application/vnd.openxmlformats-officedocument.spreadsheetml.worksheet+xml"/>
  <Override PartName="/xl/worksheets/sheet47.xml" ContentType="application/vnd.openxmlformats-officedocument.spreadsheetml.worksheet+xml"/>
  <Override PartName="/xl/worksheets/sheet58.xml" ContentType="application/vnd.openxmlformats-officedocument.spreadsheetml.worksheet+xml"/>
  <Override PartName="/xl/sharedStrings.xml" ContentType="application/vnd.openxmlformats-officedocument.spreadsheetml.sharedStrings+xml"/>
  <Override PartName="/xl/worksheets/sheet18.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worksheets/sheet45.xml" ContentType="application/vnd.openxmlformats-officedocument.spreadsheetml.worksheet+xml"/>
  <Override PartName="/xl/worksheets/sheet54.xml" ContentType="application/vnd.openxmlformats-officedocument.spreadsheetml.worksheet+xml"/>
  <Override PartName="/xl/worksheets/sheet56.xml" ContentType="application/vnd.openxmlformats-officedocument.spreadsheetml.worksheet+xml"/>
  <Override PartName="/xl/worksheets/sheet65.xml" ContentType="application/vnd.openxmlformats-officedocument.spreadsheetml.worksheet+xml"/>
  <Override PartName="/xl/charts/chart9.xml" ContentType="application/vnd.openxmlformats-officedocument.drawingml.chart+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Override PartName="/xl/worksheets/sheet43.xml" ContentType="application/vnd.openxmlformats-officedocument.spreadsheetml.worksheet+xml"/>
  <Override PartName="/xl/worksheets/sheet52.xml" ContentType="application/vnd.openxmlformats-officedocument.spreadsheetml.worksheet+xml"/>
  <Override PartName="/xl/worksheets/sheet63.xml" ContentType="application/vnd.openxmlformats-officedocument.spreadsheetml.worksheet+xml"/>
  <Default Extension="bin" ContentType="application/vnd.openxmlformats-officedocument.spreadsheetml.printerSettings"/>
  <Override PartName="/xl/charts/chart7.xml" ContentType="application/vnd.openxmlformats-officedocument.drawingml.chart+xml"/>
  <Override PartName="/xl/drawings/drawing9.xml" ContentType="application/vnd.openxmlformats-officedocument.drawing+xml"/>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41.xml" ContentType="application/vnd.openxmlformats-officedocument.spreadsheetml.worksheet+xml"/>
  <Override PartName="/xl/worksheets/sheet50.xml" ContentType="application/vnd.openxmlformats-officedocument.spreadsheetml.worksheet+xml"/>
  <Override PartName="/xl/worksheets/sheet61.xml" ContentType="application/vnd.openxmlformats-officedocument.spreadsheetml.worksheet+xml"/>
  <Override PartName="/xl/charts/chart5.xml" ContentType="application/vnd.openxmlformats-officedocument.drawingml.chart+xml"/>
  <Override PartName="/xl/drawings/drawing7.xml" ContentType="application/vnd.openxmlformats-officedocument.drawingml.chartshapes+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charts/chart3.xml" ContentType="application/vnd.openxmlformats-officedocument.drawingml.chart+xml"/>
  <Override PartName="/xl/drawings/drawing5.xml" ContentType="application/vnd.openxmlformats-officedocument.drawingml.chartshapes+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3.xml" ContentType="application/vnd.openxmlformats-officedocument.drawingml.chartshapes+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59.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39.xml" ContentType="application/vnd.openxmlformats-officedocument.spreadsheetml.worksheet+xml"/>
  <Override PartName="/xl/worksheets/sheet48.xml" ContentType="application/vnd.openxmlformats-officedocument.spreadsheetml.worksheet+xml"/>
  <Override PartName="/xl/worksheets/sheet57.xml" ContentType="application/vnd.openxmlformats-officedocument.spreadsheetml.worksheet+xml"/>
  <Override PartName="/xl/worksheets/sheet17.xml" ContentType="application/vnd.openxmlformats-officedocument.spreadsheetml.worksheet+xml"/>
  <Override PartName="/xl/worksheets/sheet26.xml" ContentType="application/vnd.openxmlformats-officedocument.spreadsheetml.worksheet+xml"/>
  <Override PartName="/xl/worksheets/sheet37.xml" ContentType="application/vnd.openxmlformats-officedocument.spreadsheetml.worksheet+xml"/>
  <Override PartName="/xl/worksheets/sheet46.xml" ContentType="application/vnd.openxmlformats-officedocument.spreadsheetml.worksheet+xml"/>
  <Override PartName="/xl/worksheets/sheet55.xml" ContentType="application/vnd.openxmlformats-officedocument.spreadsheetml.worksheet+xml"/>
  <Override PartName="/xl/worksheets/sheet64.xml" ContentType="application/vnd.openxmlformats-officedocument.spreadsheetml.worksheet+xml"/>
  <Override PartName="/xl/charts/chart8.xml" ContentType="application/vnd.openxmlformats-officedocument.drawingml.char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10" yWindow="-60" windowWidth="19365" windowHeight="11400" tabRatio="787"/>
  </bookViews>
  <sheets>
    <sheet name="Profile" sheetId="1" r:id="rId1"/>
    <sheet name="Data for Graphs" sheetId="108" r:id="rId2"/>
    <sheet name="Agency Level" sheetId="69" r:id="rId3"/>
    <sheet name="HR Policy" sheetId="67" r:id="rId4"/>
    <sheet name="IT Support" sheetId="68" r:id="rId5"/>
    <sheet name="Board Type" sheetId="74" r:id="rId6"/>
    <sheet name="2013 Population" sheetId="84" r:id="rId7"/>
    <sheet name="Poverty_2013" sheetId="100" r:id="rId8"/>
    <sheet name="Poverty_All ages" sheetId="86" r:id="rId9"/>
    <sheet name="Poverty_Child" sheetId="87" r:id="rId10"/>
    <sheet name="Income to Poverty Ratio" sheetId="97" r:id="rId11"/>
    <sheet name="Unemployment" sheetId="24" r:id="rId12"/>
    <sheet name="Non-marital births" sheetId="73" r:id="rId13"/>
    <sheet name="Teen births" sheetId="114" r:id="rId14"/>
    <sheet name="NM Births_1998-2012" sheetId="109" r:id="rId15"/>
    <sheet name="Teen Births_1998-2012" sheetId="113" r:id="rId16"/>
    <sheet name="Children in Single Parent Homes" sheetId="115" r:id="rId17"/>
    <sheet name="SNAP Clients by SFY" sheetId="31" r:id="rId18"/>
    <sheet name="TANF Clients by SFY" sheetId="32" r:id="rId19"/>
    <sheet name="Medicaid Clients by SFY" sheetId="89" r:id="rId20"/>
    <sheet name="EA Clients by FFY" sheetId="116" r:id="rId21"/>
    <sheet name="Benefit Clients by SFY" sheetId="94" r:id="rId22"/>
    <sheet name="ChildCareClients" sheetId="121" r:id="rId23"/>
    <sheet name="TANF Cases by SFY" sheetId="110" r:id="rId24"/>
    <sheet name="SNAP Cases by SFY" sheetId="111" r:id="rId25"/>
    <sheet name="Medicaid Cases by SFY" sheetId="112" r:id="rId26"/>
    <sheet name="EA Cases by FFY" sheetId="106" r:id="rId27"/>
    <sheet name="Child Care Cases" sheetId="120" r:id="rId28"/>
    <sheet name="SNAP Client Demographics" sheetId="49" r:id="rId29"/>
    <sheet name="TANF Client Demographics" sheetId="102" r:id="rId30"/>
    <sheet name="MA Client Demographics" sheetId="103" r:id="rId31"/>
    <sheet name="Hispanic Adjustment" sheetId="95" state="hidden" r:id="rId32"/>
    <sheet name="Benefit Client Demographics" sheetId="104" r:id="rId33"/>
    <sheet name="Children in Foster Care" sheetId="6" r:id="rId34"/>
    <sheet name="Adoption Child by Race" sheetId="63" state="hidden" r:id="rId35"/>
    <sheet name="Adopted Children" sheetId="122" r:id="rId36"/>
    <sheet name="Adoption Services" sheetId="96" r:id="rId37"/>
    <sheet name="APS Reports" sheetId="91" r:id="rId38"/>
    <sheet name="CPS Referrals" sheetId="92" r:id="rId39"/>
    <sheet name="Compare Recipients Census Med" sheetId="39" state="hidden" r:id="rId40"/>
    <sheet name="Compare Recipients Census SNAP" sheetId="40" state="hidden" r:id="rId41"/>
    <sheet name="Compare Recipients Census TANF" sheetId="41" state="hidden" r:id="rId42"/>
    <sheet name="Adoption Counts Summed SFY 2010" sheetId="38" state="hidden" r:id="rId43"/>
    <sheet name="CPS Ref Child Demo 2010 (2)" sheetId="36" state="hidden" r:id="rId44"/>
    <sheet name="Administration LASER" sheetId="53" r:id="rId45"/>
    <sheet name="Other Oper Exp. LASER" sheetId="55" r:id="rId46"/>
    <sheet name="Client Services LASER" sheetId="56" r:id="rId47"/>
    <sheet name="Medicaid &amp; FAMIS - LASER" sheetId="57" r:id="rId48"/>
    <sheet name="SNAP LASER" sheetId="58" r:id="rId49"/>
    <sheet name="TANF LASER" sheetId="61" r:id="rId50"/>
    <sheet name="Energy Assistance LASER" sheetId="59" r:id="rId51"/>
    <sheet name="FC &amp; Adoptions LASER" sheetId="60" r:id="rId52"/>
    <sheet name="CSA LASER" sheetId="117" r:id="rId53"/>
    <sheet name="ChildCare LASER" sheetId="101" r:id="rId54"/>
    <sheet name="Other Benefits LASER" sheetId="62" r:id="rId55"/>
    <sheet name="Benefits Spending LASER" sheetId="118" r:id="rId56"/>
    <sheet name="Social Svcs Spending Summary" sheetId="79" r:id="rId57"/>
    <sheet name="Medicaid Clients" sheetId="46" state="hidden" r:id="rId58"/>
    <sheet name="Staffing" sheetId="85" r:id="rId59"/>
    <sheet name="Children in Single-Parent Homes" sheetId="72" state="hidden" r:id="rId60"/>
    <sheet name="Married Parent Households" sheetId="75" state="hidden" r:id="rId61"/>
    <sheet name="SNAP Participation Rate" sheetId="10" state="hidden" r:id="rId62"/>
    <sheet name="AuxGrant" sheetId="90" state="hidden" r:id="rId63"/>
    <sheet name="Locality Name" sheetId="4" r:id="rId64"/>
    <sheet name="Password" sheetId="42" state="hidden" r:id="rId65"/>
  </sheets>
  <externalReferences>
    <externalReference r:id="rId66"/>
  </externalReferences>
  <definedNames>
    <definedName name="_xlnm._FilterDatabase" localSheetId="6" hidden="1">'2013 Population'!$A$4:$D$125</definedName>
    <definedName name="_xlnm._FilterDatabase" localSheetId="44" hidden="1">'Administration LASER'!$A$3:$C$3</definedName>
    <definedName name="_xlnm._FilterDatabase" localSheetId="34" hidden="1">'Adoption Child by Race'!$A$3:$C$3</definedName>
    <definedName name="_xlnm._FilterDatabase" localSheetId="42" hidden="1">'Adoption Counts Summed SFY 2010'!$A$1:$F$125</definedName>
    <definedName name="_xlnm._FilterDatabase" localSheetId="36" hidden="1">'Adoption Services'!$A$3:$C$3</definedName>
    <definedName name="_xlnm._FilterDatabase" localSheetId="2" hidden="1">'Agency Level'!$A$3:$E$3</definedName>
    <definedName name="_xlnm._FilterDatabase" localSheetId="37" hidden="1">'APS Reports'!$A$4:$C$125</definedName>
    <definedName name="_xlnm._FilterDatabase" localSheetId="62" hidden="1">AuxGrant!$A$4:$C$4</definedName>
    <definedName name="_xlnm._FilterDatabase" localSheetId="21" hidden="1">'Benefit Clients by SFY'!$A$3:$C$3</definedName>
    <definedName name="_xlnm._FilterDatabase" localSheetId="5" hidden="1">'Board Type'!$A$3:$D$3</definedName>
    <definedName name="_xlnm._FilterDatabase" localSheetId="33" hidden="1">'Children in Foster Care'!$A$4:$C$4</definedName>
    <definedName name="_xlnm._FilterDatabase" localSheetId="16" hidden="1">'Children in Single Parent Homes'!$A$3:$C$124</definedName>
    <definedName name="_xlnm._FilterDatabase" localSheetId="46" hidden="1">'Client Services LASER'!$A$4:$B$4</definedName>
    <definedName name="_xlnm._FilterDatabase" localSheetId="39" hidden="1">'Compare Recipients Census Med'!$A$3:$Y$127</definedName>
    <definedName name="_xlnm._FilterDatabase" localSheetId="40" hidden="1">'Compare Recipients Census SNAP'!$A$3:$Y$127</definedName>
    <definedName name="_xlnm._FilterDatabase" localSheetId="41" hidden="1">'Compare Recipients Census TANF'!$A$3:$Y$127</definedName>
    <definedName name="_xlnm._FilterDatabase" localSheetId="43" hidden="1">'CPS Ref Child Demo 2010 (2)'!$B$4:$X$125</definedName>
    <definedName name="_xlnm._FilterDatabase" localSheetId="38" hidden="1">'CPS Referrals'!$A$3:$C$3</definedName>
    <definedName name="_xlnm._FilterDatabase" localSheetId="26" hidden="1">'EA Cases by FFY'!$A$4:$C$4</definedName>
    <definedName name="_xlnm._FilterDatabase" localSheetId="50" hidden="1">'Energy Assistance LASER'!$A$3:$C$3</definedName>
    <definedName name="_xlnm._FilterDatabase" localSheetId="51" hidden="1">'FC &amp; Adoptions LASER'!$A$3:$C$3</definedName>
    <definedName name="_xlnm._FilterDatabase" localSheetId="3" hidden="1">'HR Policy'!$A$3:$E$123</definedName>
    <definedName name="_xlnm._FilterDatabase" localSheetId="4" hidden="1">'IT Support'!$A$3:$D$123</definedName>
    <definedName name="_xlnm._FilterDatabase" localSheetId="30" hidden="1">'MA Client Demographics'!$A$4:$C$4</definedName>
    <definedName name="_xlnm._FilterDatabase" localSheetId="47" hidden="1">'Medicaid &amp; FAMIS - LASER'!$A$3:$C$3</definedName>
    <definedName name="_xlnm._FilterDatabase" localSheetId="25" hidden="1">'Medicaid Cases by SFY'!$A$3:$C$3</definedName>
    <definedName name="_xlnm._FilterDatabase" localSheetId="19" hidden="1">'Medicaid Clients by SFY'!$A$3:$C$3</definedName>
    <definedName name="_xlnm._FilterDatabase" localSheetId="14" hidden="1">'NM Births_1998-2012'!$A$4:$C$125</definedName>
    <definedName name="_xlnm._FilterDatabase" localSheetId="12" hidden="1">'Non-marital births'!$A$4:$C$126</definedName>
    <definedName name="_xlnm._FilterDatabase" localSheetId="54" hidden="1">'Other Benefits LASER'!$A$3:$C$3</definedName>
    <definedName name="_xlnm._FilterDatabase" localSheetId="45" hidden="1">'Other Oper Exp. LASER'!$A$3:$C$3</definedName>
    <definedName name="_xlnm._FilterDatabase" localSheetId="7" hidden="1">Poverty_2013!$A$4:$C$125</definedName>
    <definedName name="_xlnm._FilterDatabase" localSheetId="8" hidden="1">'Poverty_All ages'!$A$3:$B$3</definedName>
    <definedName name="_xlnm._FilterDatabase" localSheetId="9" hidden="1">Poverty_Child!$A$4:$B$4</definedName>
    <definedName name="_xlnm._FilterDatabase" localSheetId="24" hidden="1">'SNAP Cases by SFY'!$A$3:$C$3</definedName>
    <definedName name="_xlnm._FilterDatabase" localSheetId="28" hidden="1">'SNAP Client Demographics'!$A$4:$C$4</definedName>
    <definedName name="_xlnm._FilterDatabase" localSheetId="17" hidden="1">'SNAP Clients by SFY'!$A$3:$C$3</definedName>
    <definedName name="_xlnm._FilterDatabase" localSheetId="48" hidden="1">'SNAP LASER'!$A$3:$C$3</definedName>
    <definedName name="_xlnm._FilterDatabase" localSheetId="61" hidden="1">'SNAP Participation Rate'!$A$3:$C$3</definedName>
    <definedName name="_xlnm._FilterDatabase" localSheetId="56" hidden="1">'Social Svcs Spending Summary'!$A$4:$C$4</definedName>
    <definedName name="_xlnm._FilterDatabase" localSheetId="58" hidden="1">Staffing!$A$5:$C$5</definedName>
    <definedName name="_xlnm._FilterDatabase" localSheetId="23" hidden="1">'TANF Cases by SFY'!$A$3:$C$3</definedName>
    <definedName name="_xlnm._FilterDatabase" localSheetId="29" hidden="1">'TANF Client Demographics'!$A$4:$C$4</definedName>
    <definedName name="_xlnm._FilterDatabase" localSheetId="18" hidden="1">'TANF Clients by SFY'!$A$3:$C$3</definedName>
    <definedName name="_xlnm._FilterDatabase" localSheetId="49" hidden="1">'TANF LASER'!$A$3:$C$3</definedName>
    <definedName name="_xlnm._FilterDatabase" localSheetId="13" hidden="1">'Teen births'!$A$4:$C$125</definedName>
    <definedName name="_xlnm._FilterDatabase" localSheetId="15" hidden="1">'Teen Births_1998-2012'!$A$4:$C$125</definedName>
    <definedName name="_xlnm._FilterDatabase" localSheetId="11" hidden="1">Unemployment!$A$3:$C$124</definedName>
    <definedName name="adj_span_amer_med">#REF!</definedName>
    <definedName name="ADOP_AVG" localSheetId="39">'Compare Recipients Census Med'!$A$4:$M$124</definedName>
    <definedName name="ADOP_AVG" localSheetId="40">'Compare Recipients Census SNAP'!$A$4:$M$124</definedName>
    <definedName name="ADOP_AVG" localSheetId="41">'Compare Recipients Census TANF'!$A$4:$M$124</definedName>
    <definedName name="ADOP_AVG">'Adoption Counts Summed SFY 2010'!$A$2:$F$122</definedName>
    <definedName name="Adoption_Child_Demo">'Adopted Children'!$A$4:$S$124</definedName>
    <definedName name="adoption_race" comment="Number of Foster Children Adopted, by Race of Child, FFY 2012">'Adoption Child by Race'!$A$3:$G$124</definedName>
    <definedName name="AdoptionServices" comment="As of February 1, 2015.">'Adoption Services'!$A$4:$R$124</definedName>
    <definedName name="AG_CASES">#REF!</definedName>
    <definedName name="Agency_Level" comment="Agency Level or Size">'Agency Level'!$A$3:$E$123</definedName>
    <definedName name="APS_Reports" comment="Number of unduplicated APS reports, SFY 2012">'APS Reports'!$A$3:$I$125</definedName>
    <definedName name="AuxGrant" comment="Auxiliary Grant Recipients, SFY 2012">AuxGrant!$A$3:$J$125</definedName>
    <definedName name="BenefitClient_Demo" comment="Unique count of clients who received SNAP, TANF, and/or Medicaid, by gender, age group, and race/ethnicity, SFY 2014.">'Benefit Client Demographics'!$A$5:$M$125</definedName>
    <definedName name="BenefitClients" comment="Counts of clients who receive TANF, SNAP and/or Medicaid benefits, by SFY. Client counts are unique.">'Benefit Clients by SFY'!$A$3:$I$124</definedName>
    <definedName name="BoardType" comment="Local Agency board type: administrative vs. advisory">'Board Type'!$A$4:$E$123</definedName>
    <definedName name="Child_SingleParentHH" comment="Source: U.S. Census Bureau, ACS 2009-2013 (5-Year Estimate)">'Children in Single Parent Homes'!$A$4:$X$124</definedName>
    <definedName name="ChildCareClients">ChildCareClients!$A$4:$D$124</definedName>
    <definedName name="ChildCareFamilies">'Child Care Cases'!$A$4:$D$124</definedName>
    <definedName name="ChildCareLASER">'ChildCare LASER'!$A$4:$K$124</definedName>
    <definedName name="Children_CPS_Referrals">'CPS Referrals'!$A$4:$O$124</definedName>
    <definedName name="Client_Svcs_LASER">'Client Services LASER'!$A$5:$K$125</definedName>
    <definedName name="CPS_REF_RACE_2011">#REF!</definedName>
    <definedName name="CPSReferrals" comment="Number of children in CPS referrals by race and locality, SFY 2013.">'CPS Referrals'!$A$5:$O$124</definedName>
    <definedName name="CSA_LASER">'CSA LASER'!$A$4:$I$124</definedName>
    <definedName name="EA_LASER">'Energy Assistance LASER'!$A$4:$J$124</definedName>
    <definedName name="EACases_FFY" comment="Energy Assistance Program Reports (from Data Warehouse, &quot;Case Counts Agency Summary Report&quot;). Reported by federal fiscal year for each program component.">'EA Cases by FFY'!$A$5:$I$125</definedName>
    <definedName name="EAClients_FFY" comment="Unduplicated number of Energy Assistance clients served in each federal fiscal year.">'EA Clients by FFY'!$A$4:$E$124</definedName>
    <definedName name="Eligibility_2013">'Administration LASER'!$A$4:$F$124</definedName>
    <definedName name="Employment" comment="Annual employment data for CY 2000 - 2012. Source: Virginia Employment Commission. Rates are not seasonally adjusted.">Unemployment!$A$4:$AT$130</definedName>
    <definedName name="FC_Adop_LASER">'FC &amp; Adoptions LASER'!$A$3:$I$124</definedName>
    <definedName name="FC_DEMO">'Children in Foster Care'!$A$5:$V$125</definedName>
    <definedName name="FCMAP">'Children in Foster Care'!$A$6:$P$125</definedName>
    <definedName name="FIPS">'Locality Name'!$D$7:$E$128</definedName>
    <definedName name="FIPS_NUM">'Locality Name'!$C$8:$E$128</definedName>
    <definedName name="FIPSN">'Locality Name'!$C$9:$E$128</definedName>
    <definedName name="HR_Deviate" comment="HR Policy Deviation Classification">'HR Policy'!$A$3:$E$123</definedName>
    <definedName name="IT_Support" comment="Level of IT Support">'IT Support'!$A$3:$D$123</definedName>
    <definedName name="Loc_Name">'Locality Name'!$D$9:$E$128</definedName>
    <definedName name="Locality">'Locality Name'!$D$9:$D$128</definedName>
    <definedName name="marriedcouples" comment="Percentage of households with couples with or without children who are married vs. cohabiting. Source: U.S. Census Bureau, 2010 Census, Summary File 1. Excludes same-sex couples.">'Married Parent Households'!$A$6:$Q$133</definedName>
    <definedName name="MarriedParentHouseholds" comment="Percentage of Couples who are Married vs. Cohabitating. Source: US Census Bureau, 2010 Census, Summary File 1. Excludes same-sex couple households.">'Married Parent Households'!$A$6:$Q$133</definedName>
    <definedName name="Medicaid_FAMIS_LASER">'Medicaid &amp; FAMIS - LASER'!$A$4:$N$124</definedName>
    <definedName name="MedicaidCases_SFY" comment="Unduplicated case count for each state fiscal year. Statewide totals include enrollees from state mental hospitals. Source: VDSS MMIS Data Mart.">'Medicaid Cases by SFY'!$A$4:$H$124</definedName>
    <definedName name="MedicaidClient_Demographics" comment="Number of Medicaid enrollees by gender, age group, and race/ethnicity, SFY 2014.  Excludes clients enrolled through state mental health facilities.">'MA Client Demographics'!$A$5:$M$125</definedName>
    <definedName name="MedicaidClients" comment="Number of Medicaid Clients by State Fiscal Year. Unique counts are reported. Source: Data Warehouse Client Cross-Program Locality Yearly Analysis.">'Medicaid Clients by SFY'!$A$5:$I$124</definedName>
    <definedName name="MedicaidR">#REF!</definedName>
    <definedName name="NMBirths_Trend" comment="Percentage of live births that are non-marital, 1998-2012. Source: VDH, Center for Health Statistics.">'NM Births_1998-2012'!$A$5:$AV$131</definedName>
    <definedName name="NonMaritalBirths" comment="Non-marital births and percentage rate, 2012. Source: Virginia Department of Health, Vital Records data.">'Non-marital births'!$A$6:$O$132</definedName>
    <definedName name="OT_BENE_LASER">'Other Benefits LASER'!$A$5:$I$124</definedName>
    <definedName name="OT_EXP_LASER">#REF!</definedName>
    <definedName name="OT_EXP_LASER_2013">'Other Oper Exp. LASER'!$A$4:$F$124</definedName>
    <definedName name="Other_Oper_Exp_LASER">'Other Oper Exp. LASER'!$A$4:$K$124</definedName>
    <definedName name="Pop">#REF!</definedName>
    <definedName name="Pop_2010">#REF!</definedName>
    <definedName name="Pop_2013" comment="Source: VDH, Center for Health Statistics. Hispanic ethnicity is not mutually exclusive of race.">'2013 Population'!$A$3:$AO$131</definedName>
    <definedName name="PopByRace_2010">#REF!</definedName>
    <definedName name="Poverty" comment="Source: U.S. Census Bureau, Small Area Income and Poverty Estimates. Estimates come from model-based calculations using the 2009-2013 American Community Survey (5-Year Estimates). Universe excludes people living in group quarters.">Poverty_2013!$A$5:$L$131</definedName>
    <definedName name="Poverty_AllAges" comment="Poverty rate (%) among people of all ages. Source: U.S. Census Bureau.">'Poverty_All ages'!$A$4:$AE$130</definedName>
    <definedName name="Poverty_Child" comment="Poverty rate (%) among children (0-17 years). Source: U.S. Census Bureau.">Poverty_Child!$A$5:$AE$132</definedName>
    <definedName name="_xlnm.Print_Area" localSheetId="33">'Children in Foster Care'!$A$6:$P$130</definedName>
    <definedName name="_xlnm.Print_Area" localSheetId="63">'Locality Name'!$B$9:$E$132</definedName>
    <definedName name="_xlnm.Print_Area" localSheetId="0">Profile!$B$1:$N$183</definedName>
    <definedName name="_xlnm.Print_Area" localSheetId="61">'SNAP Participation Rate'!$A$5:$J$131</definedName>
    <definedName name="_xlnm.Print_Area" localSheetId="11">Unemployment!$A$5:$N$132</definedName>
    <definedName name="_xlnm.Print_Titles" localSheetId="33">'Children in Foster Care'!$1:$5</definedName>
    <definedName name="_xlnm.Print_Titles" localSheetId="0">Profile!$1:$4</definedName>
    <definedName name="_xlnm.Print_Titles" localSheetId="61">'SNAP Participation Rate'!$1:$4</definedName>
    <definedName name="_xlnm.Print_Titles" localSheetId="11">Unemployment!$3:$4</definedName>
    <definedName name="SingleParentHomes">'Children in Single-Parent Homes'!$A$6:$S$133</definedName>
    <definedName name="SNAP_DEMO_2011">'[1]SNAP Demographics 2011'!$A$6:$K$126</definedName>
    <definedName name="SNAP_LASER">'SNAP LASER'!$A$4:$E$124</definedName>
    <definedName name="SNAP_RACE">'Locality Name'!$B$9:$E$129</definedName>
    <definedName name="SNAPCases_SFY" comment="Unduplicated case count for each state fiscal year. Source: VDSS ADAPT Data Mart.">'SNAP Cases by SFY'!$A$4:$H$124</definedName>
    <definedName name="SNAPClient_Demo" comment="SNAP client counts by gender, age group and by race/ethnicity, SFY 2014. &quot;Other race&quot; includes missing and non-valid counts.">'SNAP Client Demographics'!$A$6:$M$125</definedName>
    <definedName name="SNAPClients">'SNAP Clients by SFY'!$A$5:$M$124</definedName>
    <definedName name="Staffing" comment="Number of filled and unfilled positions. Source: Human Resources, Local Employment Tracking System (LETS). Data as of 10/1/2013.">Staffing!$A$6:$Z$126</definedName>
    <definedName name="Staffing_LASER">'Administration LASER'!$A$3:$K$124</definedName>
    <definedName name="TANF_LASER">'TANF LASER'!$A$4:$J$124</definedName>
    <definedName name="TANFCases_SFY" comment="Unduplicated case count for each state fiscal year. Source: VDSS ADAPT Data Mart.">'TANF Cases by SFY'!$A$4:$H$124</definedName>
    <definedName name="TANFClient_Demo" comment="TANF recipient counts by gender, age group, and race/ethnicity, SFY 2014.">'TANF Client Demographics'!$A$5:$M$125</definedName>
    <definedName name="TANFClients" comment="TANF Client Caseload by SFY, 2005-2014. Source: ADAPT SFY Client Summary Analysis; Cross Client Count Analysis for 2009-2014.">'TANF Clients by SFY'!$A$5:$M$124</definedName>
    <definedName name="TeenBirths" comment="Teen births and birth rates (per 1,000 pop.). Source: VDH, Center for Health Statiistics. Rates are age-specific (not age-adjusted).">'Teen births'!$5:$131</definedName>
    <definedName name="TeenBirths_Trend" comment="Teen birth rate (per 1,000) among female teens 10-19 years. Source: VDH, Center for Health Statistics. Rates are age-specific, not age-adjusted.">'Teen Births_1998-2012'!$A$5:$AV$131</definedName>
    <definedName name="YTD_EMP">Unemployment!#REF!</definedName>
  </definedNames>
  <calcPr calcId="125725"/>
</workbook>
</file>

<file path=xl/calcChain.xml><?xml version="1.0" encoding="utf-8"?>
<calcChain xmlns="http://schemas.openxmlformats.org/spreadsheetml/2006/main">
  <c r="H4" i="111"/>
  <c r="G4"/>
  <c r="F4"/>
  <c r="E4"/>
  <c r="D4"/>
  <c r="P99" i="31"/>
  <c r="P98"/>
  <c r="P97"/>
  <c r="P124"/>
  <c r="P123"/>
  <c r="P96"/>
  <c r="P95"/>
  <c r="P94"/>
  <c r="P122"/>
  <c r="P93"/>
  <c r="P92"/>
  <c r="P91"/>
  <c r="P121"/>
  <c r="P90"/>
  <c r="P89"/>
  <c r="P88"/>
  <c r="P87"/>
  <c r="P86"/>
  <c r="P85"/>
  <c r="P84"/>
  <c r="P83"/>
  <c r="P82"/>
  <c r="P81"/>
  <c r="P120"/>
  <c r="P80"/>
  <c r="P119"/>
  <c r="P79"/>
  <c r="P118"/>
  <c r="P78"/>
  <c r="P77"/>
  <c r="P76"/>
  <c r="P75"/>
  <c r="P74"/>
  <c r="P117"/>
  <c r="P73"/>
  <c r="P116"/>
  <c r="P72"/>
  <c r="P71"/>
  <c r="P70"/>
  <c r="P69"/>
  <c r="P115"/>
  <c r="P68"/>
  <c r="P67"/>
  <c r="P114"/>
  <c r="P113"/>
  <c r="P66"/>
  <c r="P65"/>
  <c r="P64"/>
  <c r="P63"/>
  <c r="P62"/>
  <c r="P61"/>
  <c r="P112"/>
  <c r="P111"/>
  <c r="P60"/>
  <c r="P110"/>
  <c r="P59"/>
  <c r="P58"/>
  <c r="P57"/>
  <c r="P56"/>
  <c r="P55"/>
  <c r="P54"/>
  <c r="P53"/>
  <c r="P52"/>
  <c r="P51"/>
  <c r="P50"/>
  <c r="P109"/>
  <c r="P49"/>
  <c r="P48"/>
  <c r="P47"/>
  <c r="P46"/>
  <c r="P108"/>
  <c r="P45"/>
  <c r="P44"/>
  <c r="P43"/>
  <c r="P42"/>
  <c r="P41"/>
  <c r="P40"/>
  <c r="P39"/>
  <c r="P107"/>
  <c r="P106"/>
  <c r="P38"/>
  <c r="P37"/>
  <c r="P105"/>
  <c r="P36"/>
  <c r="P35"/>
  <c r="P34"/>
  <c r="P33"/>
  <c r="P32"/>
  <c r="P31"/>
  <c r="P30"/>
  <c r="P104"/>
  <c r="P29"/>
  <c r="P28"/>
  <c r="P27"/>
  <c r="P26"/>
  <c r="P25"/>
  <c r="P103"/>
  <c r="P102"/>
  <c r="P24"/>
  <c r="P23"/>
  <c r="P22"/>
  <c r="P21"/>
  <c r="P20"/>
  <c r="P19"/>
  <c r="P18"/>
  <c r="P17"/>
  <c r="P101"/>
  <c r="P16"/>
  <c r="P15"/>
  <c r="P14"/>
  <c r="P13"/>
  <c r="P12"/>
  <c r="P11"/>
  <c r="P10"/>
  <c r="P9"/>
  <c r="P8"/>
  <c r="P7"/>
  <c r="P100"/>
  <c r="P6"/>
  <c r="P5"/>
  <c r="O99"/>
  <c r="O98"/>
  <c r="O97"/>
  <c r="O124"/>
  <c r="O123"/>
  <c r="O96"/>
  <c r="O95"/>
  <c r="O94"/>
  <c r="O122"/>
  <c r="O93"/>
  <c r="O92"/>
  <c r="O91"/>
  <c r="O121"/>
  <c r="O90"/>
  <c r="O89"/>
  <c r="O88"/>
  <c r="O87"/>
  <c r="O86"/>
  <c r="O85"/>
  <c r="O84"/>
  <c r="O83"/>
  <c r="O82"/>
  <c r="O81"/>
  <c r="O120"/>
  <c r="O80"/>
  <c r="O119"/>
  <c r="O79"/>
  <c r="O118"/>
  <c r="O78"/>
  <c r="O77"/>
  <c r="O76"/>
  <c r="O75"/>
  <c r="O74"/>
  <c r="O117"/>
  <c r="O73"/>
  <c r="O116"/>
  <c r="O72"/>
  <c r="O71"/>
  <c r="O70"/>
  <c r="O69"/>
  <c r="O115"/>
  <c r="O68"/>
  <c r="O67"/>
  <c r="O114"/>
  <c r="O113"/>
  <c r="O66"/>
  <c r="O65"/>
  <c r="O64"/>
  <c r="O63"/>
  <c r="O62"/>
  <c r="O61"/>
  <c r="O112"/>
  <c r="O111"/>
  <c r="O60"/>
  <c r="O110"/>
  <c r="O59"/>
  <c r="O58"/>
  <c r="O57"/>
  <c r="O56"/>
  <c r="O55"/>
  <c r="O54"/>
  <c r="O53"/>
  <c r="O52"/>
  <c r="O51"/>
  <c r="O50"/>
  <c r="O109"/>
  <c r="O49"/>
  <c r="O48"/>
  <c r="O47"/>
  <c r="O46"/>
  <c r="O108"/>
  <c r="O45"/>
  <c r="O44"/>
  <c r="O43"/>
  <c r="O42"/>
  <c r="O41"/>
  <c r="O40"/>
  <c r="O39"/>
  <c r="O107"/>
  <c r="O106"/>
  <c r="O38"/>
  <c r="O37"/>
  <c r="O105"/>
  <c r="O36"/>
  <c r="O35"/>
  <c r="O34"/>
  <c r="O33"/>
  <c r="O32"/>
  <c r="O31"/>
  <c r="O30"/>
  <c r="O104"/>
  <c r="O29"/>
  <c r="O28"/>
  <c r="O27"/>
  <c r="O26"/>
  <c r="O25"/>
  <c r="O103"/>
  <c r="O102"/>
  <c r="O24"/>
  <c r="O23"/>
  <c r="O22"/>
  <c r="O21"/>
  <c r="O20"/>
  <c r="O19"/>
  <c r="O18"/>
  <c r="O17"/>
  <c r="O101"/>
  <c r="O16"/>
  <c r="O15"/>
  <c r="O14"/>
  <c r="O13"/>
  <c r="O12"/>
  <c r="O11"/>
  <c r="O10"/>
  <c r="O9"/>
  <c r="O8"/>
  <c r="O7"/>
  <c r="O100"/>
  <c r="O6"/>
  <c r="O5"/>
  <c r="M4" i="122"/>
  <c r="K4"/>
  <c r="S4"/>
  <c r="R4"/>
  <c r="Q4"/>
  <c r="P4"/>
  <c r="O4"/>
  <c r="L4"/>
  <c r="J4"/>
  <c r="I4"/>
  <c r="H4"/>
  <c r="G4"/>
  <c r="F4"/>
  <c r="E4"/>
  <c r="D4"/>
  <c r="R4" i="96"/>
  <c r="Q4"/>
  <c r="P4"/>
  <c r="O4"/>
  <c r="N4"/>
  <c r="V5" i="6"/>
  <c r="U5"/>
  <c r="T5"/>
  <c r="S5"/>
  <c r="R5"/>
  <c r="M100"/>
  <c r="M99"/>
  <c r="M98"/>
  <c r="M125"/>
  <c r="M124"/>
  <c r="M97"/>
  <c r="M96"/>
  <c r="M95"/>
  <c r="M123"/>
  <c r="M94"/>
  <c r="M93"/>
  <c r="M92"/>
  <c r="M122"/>
  <c r="M91"/>
  <c r="M90"/>
  <c r="M89"/>
  <c r="M88"/>
  <c r="M87"/>
  <c r="M86"/>
  <c r="M85"/>
  <c r="M84"/>
  <c r="M83"/>
  <c r="M82"/>
  <c r="M121"/>
  <c r="M81"/>
  <c r="M120"/>
  <c r="M80"/>
  <c r="M119"/>
  <c r="M79"/>
  <c r="M78"/>
  <c r="M77"/>
  <c r="M76"/>
  <c r="M75"/>
  <c r="M118"/>
  <c r="M74"/>
  <c r="M117"/>
  <c r="M73"/>
  <c r="M72"/>
  <c r="M71"/>
  <c r="M70"/>
  <c r="M116"/>
  <c r="M69"/>
  <c r="M68"/>
  <c r="M115"/>
  <c r="M114"/>
  <c r="M67"/>
  <c r="M66"/>
  <c r="M65"/>
  <c r="M64"/>
  <c r="M63"/>
  <c r="M62"/>
  <c r="M113"/>
  <c r="M112"/>
  <c r="M61"/>
  <c r="M111"/>
  <c r="M60"/>
  <c r="M59"/>
  <c r="M58"/>
  <c r="M57"/>
  <c r="M56"/>
  <c r="M55"/>
  <c r="M54"/>
  <c r="M53"/>
  <c r="M52"/>
  <c r="M51"/>
  <c r="M110"/>
  <c r="M50"/>
  <c r="M49"/>
  <c r="M48"/>
  <c r="M47"/>
  <c r="M109"/>
  <c r="M46"/>
  <c r="M45"/>
  <c r="M44"/>
  <c r="M43"/>
  <c r="M42"/>
  <c r="M41"/>
  <c r="M40"/>
  <c r="M108"/>
  <c r="M107"/>
  <c r="M39"/>
  <c r="M38"/>
  <c r="M106"/>
  <c r="M37"/>
  <c r="M36"/>
  <c r="M35"/>
  <c r="M34"/>
  <c r="M33"/>
  <c r="M32"/>
  <c r="M31"/>
  <c r="M105"/>
  <c r="M30"/>
  <c r="M29"/>
  <c r="M28"/>
  <c r="M27"/>
  <c r="M26"/>
  <c r="M104"/>
  <c r="M103"/>
  <c r="M25"/>
  <c r="M24"/>
  <c r="M23"/>
  <c r="M22"/>
  <c r="M21"/>
  <c r="M20"/>
  <c r="M19"/>
  <c r="M18"/>
  <c r="M102"/>
  <c r="M17"/>
  <c r="M16"/>
  <c r="M15"/>
  <c r="M14"/>
  <c r="M13"/>
  <c r="M12"/>
  <c r="M11"/>
  <c r="M10"/>
  <c r="M9"/>
  <c r="M8"/>
  <c r="M101"/>
  <c r="M7"/>
  <c r="M6"/>
  <c r="D4" i="121"/>
  <c r="D4" i="120" l="1"/>
  <c r="T4" i="92" l="1"/>
  <c r="S4"/>
  <c r="R4"/>
  <c r="Q4"/>
  <c r="G124" i="57"/>
  <c r="G123"/>
  <c r="G122"/>
  <c r="G121"/>
  <c r="G120"/>
  <c r="G119"/>
  <c r="G118"/>
  <c r="G117"/>
  <c r="G116"/>
  <c r="G115"/>
  <c r="G114"/>
  <c r="G113"/>
  <c r="G112"/>
  <c r="G111"/>
  <c r="G110"/>
  <c r="G109"/>
  <c r="G108"/>
  <c r="G107"/>
  <c r="G106"/>
  <c r="G105"/>
  <c r="G104"/>
  <c r="G103"/>
  <c r="G102"/>
  <c r="G101"/>
  <c r="G100"/>
  <c r="G99"/>
  <c r="G98"/>
  <c r="G97"/>
  <c r="G96"/>
  <c r="G95"/>
  <c r="G94"/>
  <c r="G93"/>
  <c r="G92"/>
  <c r="G91"/>
  <c r="G90"/>
  <c r="G89"/>
  <c r="G88"/>
  <c r="G87"/>
  <c r="G86"/>
  <c r="G85"/>
  <c r="G84"/>
  <c r="G83"/>
  <c r="G82"/>
  <c r="G81"/>
  <c r="G80"/>
  <c r="G79"/>
  <c r="G78"/>
  <c r="G77"/>
  <c r="G76"/>
  <c r="G75"/>
  <c r="G74"/>
  <c r="G73"/>
  <c r="G72"/>
  <c r="G71"/>
  <c r="G70"/>
  <c r="G69"/>
  <c r="G68"/>
  <c r="G67"/>
  <c r="G66"/>
  <c r="G65"/>
  <c r="G64"/>
  <c r="G63"/>
  <c r="G62"/>
  <c r="G61"/>
  <c r="G60"/>
  <c r="G59"/>
  <c r="G58"/>
  <c r="G57"/>
  <c r="G56"/>
  <c r="G55"/>
  <c r="G54"/>
  <c r="G53"/>
  <c r="G52"/>
  <c r="G51"/>
  <c r="G50"/>
  <c r="G49"/>
  <c r="G48"/>
  <c r="G47"/>
  <c r="G46"/>
  <c r="G45"/>
  <c r="G44"/>
  <c r="G43"/>
  <c r="G42"/>
  <c r="G41"/>
  <c r="G40"/>
  <c r="G39"/>
  <c r="G38"/>
  <c r="G37"/>
  <c r="G36"/>
  <c r="G35"/>
  <c r="G34"/>
  <c r="G33"/>
  <c r="G32"/>
  <c r="G31"/>
  <c r="G30"/>
  <c r="G29"/>
  <c r="G28"/>
  <c r="G27"/>
  <c r="G26"/>
  <c r="G25"/>
  <c r="G24"/>
  <c r="G23"/>
  <c r="G22"/>
  <c r="G21"/>
  <c r="G20"/>
  <c r="G19"/>
  <c r="G18"/>
  <c r="G17"/>
  <c r="G16"/>
  <c r="G15"/>
  <c r="G14"/>
  <c r="G13"/>
  <c r="G12"/>
  <c r="G11"/>
  <c r="G10"/>
  <c r="G9"/>
  <c r="G8"/>
  <c r="G7"/>
  <c r="G6"/>
  <c r="G5"/>
  <c r="G124" i="62"/>
  <c r="G123"/>
  <c r="G122"/>
  <c r="G121"/>
  <c r="G120"/>
  <c r="G119"/>
  <c r="G118"/>
  <c r="G117"/>
  <c r="G116"/>
  <c r="G115"/>
  <c r="G114"/>
  <c r="G113"/>
  <c r="G112"/>
  <c r="G111"/>
  <c r="G110"/>
  <c r="G109"/>
  <c r="G108"/>
  <c r="G107"/>
  <c r="G106"/>
  <c r="G105"/>
  <c r="G104"/>
  <c r="G103"/>
  <c r="G102"/>
  <c r="G101"/>
  <c r="G100"/>
  <c r="G99"/>
  <c r="G98"/>
  <c r="G97"/>
  <c r="G96"/>
  <c r="G95"/>
  <c r="G94"/>
  <c r="G93"/>
  <c r="G92"/>
  <c r="G91"/>
  <c r="G90"/>
  <c r="G89"/>
  <c r="G88"/>
  <c r="G87"/>
  <c r="G86"/>
  <c r="G85"/>
  <c r="G84"/>
  <c r="G83"/>
  <c r="G82"/>
  <c r="G81"/>
  <c r="G80"/>
  <c r="G79"/>
  <c r="G78"/>
  <c r="G77"/>
  <c r="G76"/>
  <c r="G75"/>
  <c r="G74"/>
  <c r="G73"/>
  <c r="G72"/>
  <c r="G71"/>
  <c r="G70"/>
  <c r="G69"/>
  <c r="G68"/>
  <c r="G67"/>
  <c r="G66"/>
  <c r="G65"/>
  <c r="G64"/>
  <c r="G63"/>
  <c r="G62"/>
  <c r="G61"/>
  <c r="G60"/>
  <c r="G59"/>
  <c r="G58"/>
  <c r="G57"/>
  <c r="G56"/>
  <c r="G55"/>
  <c r="G54"/>
  <c r="G53"/>
  <c r="G52"/>
  <c r="G51"/>
  <c r="G50"/>
  <c r="G49"/>
  <c r="G48"/>
  <c r="G47"/>
  <c r="G46"/>
  <c r="G45"/>
  <c r="G44"/>
  <c r="G43"/>
  <c r="G42"/>
  <c r="G41"/>
  <c r="G40"/>
  <c r="G39"/>
  <c r="G38"/>
  <c r="G37"/>
  <c r="G36"/>
  <c r="G35"/>
  <c r="G34"/>
  <c r="G33"/>
  <c r="G32"/>
  <c r="G31"/>
  <c r="G30"/>
  <c r="G29"/>
  <c r="G28"/>
  <c r="G27"/>
  <c r="G26"/>
  <c r="G25"/>
  <c r="G24"/>
  <c r="G23"/>
  <c r="G22"/>
  <c r="G21"/>
  <c r="G20"/>
  <c r="G19"/>
  <c r="G18"/>
  <c r="G17"/>
  <c r="G16"/>
  <c r="G15"/>
  <c r="G14"/>
  <c r="G13"/>
  <c r="G12"/>
  <c r="G11"/>
  <c r="G10"/>
  <c r="G9"/>
  <c r="G8"/>
  <c r="G7"/>
  <c r="G6"/>
  <c r="G5"/>
  <c r="F124"/>
  <c r="F123"/>
  <c r="F122"/>
  <c r="F121"/>
  <c r="F120"/>
  <c r="F119"/>
  <c r="F118"/>
  <c r="F117"/>
  <c r="F116"/>
  <c r="F115"/>
  <c r="F114"/>
  <c r="F113"/>
  <c r="F112"/>
  <c r="F111"/>
  <c r="F110"/>
  <c r="F109"/>
  <c r="F108"/>
  <c r="F107"/>
  <c r="F106"/>
  <c r="F105"/>
  <c r="F104"/>
  <c r="F103"/>
  <c r="F102"/>
  <c r="F101"/>
  <c r="F100"/>
  <c r="F99"/>
  <c r="F98"/>
  <c r="F97"/>
  <c r="F96"/>
  <c r="F95"/>
  <c r="F94"/>
  <c r="F93"/>
  <c r="F92"/>
  <c r="F91"/>
  <c r="F90"/>
  <c r="F89"/>
  <c r="F88"/>
  <c r="F87"/>
  <c r="F86"/>
  <c r="F85"/>
  <c r="F84"/>
  <c r="F83"/>
  <c r="F82"/>
  <c r="F81"/>
  <c r="F80"/>
  <c r="F79"/>
  <c r="F78"/>
  <c r="F77"/>
  <c r="F76"/>
  <c r="F75"/>
  <c r="F74"/>
  <c r="F73"/>
  <c r="F72"/>
  <c r="F71"/>
  <c r="F70"/>
  <c r="F69"/>
  <c r="F68"/>
  <c r="F67"/>
  <c r="F66"/>
  <c r="F65"/>
  <c r="F64"/>
  <c r="F63"/>
  <c r="F62"/>
  <c r="F61"/>
  <c r="F60"/>
  <c r="F59"/>
  <c r="F58"/>
  <c r="F57"/>
  <c r="F56"/>
  <c r="F55"/>
  <c r="F54"/>
  <c r="F53"/>
  <c r="F52"/>
  <c r="F51"/>
  <c r="F50"/>
  <c r="F49"/>
  <c r="F48"/>
  <c r="F47"/>
  <c r="F46"/>
  <c r="F45"/>
  <c r="F44"/>
  <c r="F43"/>
  <c r="F42"/>
  <c r="F41"/>
  <c r="F40"/>
  <c r="F39"/>
  <c r="F38"/>
  <c r="F37"/>
  <c r="F36"/>
  <c r="F35"/>
  <c r="F34"/>
  <c r="F33"/>
  <c r="F32"/>
  <c r="F31"/>
  <c r="F30"/>
  <c r="F29"/>
  <c r="F28"/>
  <c r="F27"/>
  <c r="F26"/>
  <c r="F25"/>
  <c r="F24"/>
  <c r="F23"/>
  <c r="F22"/>
  <c r="F21"/>
  <c r="F20"/>
  <c r="F19"/>
  <c r="F18"/>
  <c r="F17"/>
  <c r="F16"/>
  <c r="F15"/>
  <c r="F14"/>
  <c r="F13"/>
  <c r="F12"/>
  <c r="F11"/>
  <c r="F10"/>
  <c r="F9"/>
  <c r="F8"/>
  <c r="F7"/>
  <c r="F6"/>
  <c r="F5"/>
  <c r="E124"/>
  <c r="E123"/>
  <c r="E122"/>
  <c r="E121"/>
  <c r="E120"/>
  <c r="E119"/>
  <c r="E118"/>
  <c r="E117"/>
  <c r="E116"/>
  <c r="E115"/>
  <c r="E114"/>
  <c r="E113"/>
  <c r="E112"/>
  <c r="E111"/>
  <c r="E110"/>
  <c r="E109"/>
  <c r="E108"/>
  <c r="E107"/>
  <c r="E106"/>
  <c r="E105"/>
  <c r="E104"/>
  <c r="E103"/>
  <c r="E102"/>
  <c r="E101"/>
  <c r="E100"/>
  <c r="E99"/>
  <c r="E98"/>
  <c r="E97"/>
  <c r="E96"/>
  <c r="E95"/>
  <c r="E94"/>
  <c r="E93"/>
  <c r="E92"/>
  <c r="E91"/>
  <c r="E90"/>
  <c r="E89"/>
  <c r="E88"/>
  <c r="E87"/>
  <c r="E86"/>
  <c r="E85"/>
  <c r="E84"/>
  <c r="E83"/>
  <c r="E82"/>
  <c r="E81"/>
  <c r="E80"/>
  <c r="E79"/>
  <c r="E78"/>
  <c r="E77"/>
  <c r="E76"/>
  <c r="E75"/>
  <c r="E74"/>
  <c r="E73"/>
  <c r="E72"/>
  <c r="E71"/>
  <c r="E70"/>
  <c r="E69"/>
  <c r="E68"/>
  <c r="E67"/>
  <c r="E66"/>
  <c r="E65"/>
  <c r="E64"/>
  <c r="E63"/>
  <c r="E62"/>
  <c r="E61"/>
  <c r="E60"/>
  <c r="E59"/>
  <c r="E58"/>
  <c r="E57"/>
  <c r="E56"/>
  <c r="E55"/>
  <c r="E54"/>
  <c r="E53"/>
  <c r="E52"/>
  <c r="E51"/>
  <c r="E50"/>
  <c r="E49"/>
  <c r="E48"/>
  <c r="E47"/>
  <c r="E46"/>
  <c r="E45"/>
  <c r="E44"/>
  <c r="E43"/>
  <c r="E42"/>
  <c r="E41"/>
  <c r="E40"/>
  <c r="E39"/>
  <c r="E38"/>
  <c r="E37"/>
  <c r="E36"/>
  <c r="E35"/>
  <c r="E34"/>
  <c r="E33"/>
  <c r="E32"/>
  <c r="E31"/>
  <c r="E30"/>
  <c r="E29"/>
  <c r="E28"/>
  <c r="E27"/>
  <c r="E26"/>
  <c r="E25"/>
  <c r="E24"/>
  <c r="E23"/>
  <c r="E22"/>
  <c r="E21"/>
  <c r="E20"/>
  <c r="E19"/>
  <c r="E18"/>
  <c r="E17"/>
  <c r="E16"/>
  <c r="E15"/>
  <c r="E14"/>
  <c r="E13"/>
  <c r="E12"/>
  <c r="E11"/>
  <c r="E10"/>
  <c r="E9"/>
  <c r="E8"/>
  <c r="E7"/>
  <c r="E6"/>
  <c r="E5"/>
  <c r="D124"/>
  <c r="D123"/>
  <c r="D122"/>
  <c r="D121"/>
  <c r="D120"/>
  <c r="D119"/>
  <c r="D118"/>
  <c r="D117"/>
  <c r="D116"/>
  <c r="D115"/>
  <c r="D114"/>
  <c r="D113"/>
  <c r="D112"/>
  <c r="D111"/>
  <c r="D110"/>
  <c r="D109"/>
  <c r="D108"/>
  <c r="D107"/>
  <c r="D106"/>
  <c r="D105"/>
  <c r="D104"/>
  <c r="D103"/>
  <c r="D102"/>
  <c r="D101"/>
  <c r="D100"/>
  <c r="D99"/>
  <c r="D98"/>
  <c r="D97"/>
  <c r="D96"/>
  <c r="D95"/>
  <c r="D94"/>
  <c r="D93"/>
  <c r="D92"/>
  <c r="D91"/>
  <c r="D90"/>
  <c r="D89"/>
  <c r="D88"/>
  <c r="D87"/>
  <c r="D86"/>
  <c r="D85"/>
  <c r="D84"/>
  <c r="D83"/>
  <c r="D82"/>
  <c r="D81"/>
  <c r="D80"/>
  <c r="D79"/>
  <c r="D78"/>
  <c r="D77"/>
  <c r="D76"/>
  <c r="D75"/>
  <c r="D74"/>
  <c r="D73"/>
  <c r="D72"/>
  <c r="D71"/>
  <c r="D70"/>
  <c r="D69"/>
  <c r="D68"/>
  <c r="D67"/>
  <c r="D66"/>
  <c r="D65"/>
  <c r="D64"/>
  <c r="D63"/>
  <c r="D62"/>
  <c r="D61"/>
  <c r="D60"/>
  <c r="D59"/>
  <c r="D58"/>
  <c r="D57"/>
  <c r="D56"/>
  <c r="D55"/>
  <c r="D54"/>
  <c r="D53"/>
  <c r="D52"/>
  <c r="D51"/>
  <c r="D50"/>
  <c r="D49"/>
  <c r="D48"/>
  <c r="D47"/>
  <c r="D46"/>
  <c r="D45"/>
  <c r="D44"/>
  <c r="D43"/>
  <c r="D42"/>
  <c r="D41"/>
  <c r="D40"/>
  <c r="D39"/>
  <c r="D38"/>
  <c r="D37"/>
  <c r="D36"/>
  <c r="D35"/>
  <c r="D34"/>
  <c r="D33"/>
  <c r="D32"/>
  <c r="D31"/>
  <c r="D30"/>
  <c r="D29"/>
  <c r="D28"/>
  <c r="D27"/>
  <c r="D26"/>
  <c r="D25"/>
  <c r="D24"/>
  <c r="D23"/>
  <c r="D22"/>
  <c r="D21"/>
  <c r="D20"/>
  <c r="D19"/>
  <c r="D18"/>
  <c r="D17"/>
  <c r="D16"/>
  <c r="D15"/>
  <c r="D14"/>
  <c r="D13"/>
  <c r="D12"/>
  <c r="D11"/>
  <c r="D10"/>
  <c r="D9"/>
  <c r="D8"/>
  <c r="D7"/>
  <c r="D6"/>
  <c r="D5"/>
  <c r="J124" i="61"/>
  <c r="J123"/>
  <c r="J122"/>
  <c r="J121"/>
  <c r="J120"/>
  <c r="J119"/>
  <c r="J118"/>
  <c r="J117"/>
  <c r="J116"/>
  <c r="J115"/>
  <c r="J114"/>
  <c r="J113"/>
  <c r="J112"/>
  <c r="J111"/>
  <c r="J110"/>
  <c r="J109"/>
  <c r="J108"/>
  <c r="J107"/>
  <c r="J106"/>
  <c r="J105"/>
  <c r="J104"/>
  <c r="J103"/>
  <c r="J102"/>
  <c r="J101"/>
  <c r="J100"/>
  <c r="J99"/>
  <c r="J98"/>
  <c r="J97"/>
  <c r="J96"/>
  <c r="J95"/>
  <c r="J94"/>
  <c r="J93"/>
  <c r="J92"/>
  <c r="J91"/>
  <c r="J90"/>
  <c r="J89"/>
  <c r="J88"/>
  <c r="J87"/>
  <c r="J86"/>
  <c r="J85"/>
  <c r="J84"/>
  <c r="J83"/>
  <c r="J82"/>
  <c r="J81"/>
  <c r="J80"/>
  <c r="J79"/>
  <c r="J78"/>
  <c r="J77"/>
  <c r="J76"/>
  <c r="J75"/>
  <c r="J74"/>
  <c r="J73"/>
  <c r="J72"/>
  <c r="J71"/>
  <c r="J70"/>
  <c r="J69"/>
  <c r="J68"/>
  <c r="J67"/>
  <c r="J66"/>
  <c r="J65"/>
  <c r="J64"/>
  <c r="J63"/>
  <c r="J62"/>
  <c r="J61"/>
  <c r="J60"/>
  <c r="J59"/>
  <c r="J58"/>
  <c r="J57"/>
  <c r="J56"/>
  <c r="J55"/>
  <c r="J54"/>
  <c r="J53"/>
  <c r="J52"/>
  <c r="J51"/>
  <c r="J50"/>
  <c r="J49"/>
  <c r="J48"/>
  <c r="J47"/>
  <c r="J46"/>
  <c r="J45"/>
  <c r="J44"/>
  <c r="J43"/>
  <c r="J42"/>
  <c r="J41"/>
  <c r="J40"/>
  <c r="J39"/>
  <c r="J38"/>
  <c r="J37"/>
  <c r="J36"/>
  <c r="J35"/>
  <c r="J34"/>
  <c r="J33"/>
  <c r="J32"/>
  <c r="J31"/>
  <c r="J30"/>
  <c r="J29"/>
  <c r="J28"/>
  <c r="J27"/>
  <c r="J26"/>
  <c r="J25"/>
  <c r="J24"/>
  <c r="J23"/>
  <c r="J22"/>
  <c r="J21"/>
  <c r="J20"/>
  <c r="J19"/>
  <c r="J18"/>
  <c r="J17"/>
  <c r="J16"/>
  <c r="J15"/>
  <c r="J14"/>
  <c r="J13"/>
  <c r="J12"/>
  <c r="J11"/>
  <c r="J10"/>
  <c r="J9"/>
  <c r="J8"/>
  <c r="J7"/>
  <c r="J6"/>
  <c r="J5"/>
  <c r="AY124" i="62"/>
  <c r="AY123"/>
  <c r="AY122"/>
  <c r="AY121"/>
  <c r="AY120"/>
  <c r="AY119"/>
  <c r="AY118"/>
  <c r="AY117"/>
  <c r="AY116"/>
  <c r="AY115"/>
  <c r="AY114"/>
  <c r="AY113"/>
  <c r="AY112"/>
  <c r="AY111"/>
  <c r="AY110"/>
  <c r="AY109"/>
  <c r="AY108"/>
  <c r="AY107"/>
  <c r="AY106"/>
  <c r="AY105"/>
  <c r="AY104"/>
  <c r="AY103"/>
  <c r="AY102"/>
  <c r="AY101"/>
  <c r="AY100"/>
  <c r="AY99"/>
  <c r="AY98"/>
  <c r="AY97"/>
  <c r="AY96"/>
  <c r="AY95"/>
  <c r="AY94"/>
  <c r="AY93"/>
  <c r="AY92"/>
  <c r="AY91"/>
  <c r="AY90"/>
  <c r="AY89"/>
  <c r="AY88"/>
  <c r="AY87"/>
  <c r="AY86"/>
  <c r="AY85"/>
  <c r="AY84"/>
  <c r="AY83"/>
  <c r="AY82"/>
  <c r="AY81"/>
  <c r="AY80"/>
  <c r="AY79"/>
  <c r="AY78"/>
  <c r="AY77"/>
  <c r="AY76"/>
  <c r="AY75"/>
  <c r="AY74"/>
  <c r="AY73"/>
  <c r="AY72"/>
  <c r="AY71"/>
  <c r="AY70"/>
  <c r="AY69"/>
  <c r="AY68"/>
  <c r="AY67"/>
  <c r="AY66"/>
  <c r="AY65"/>
  <c r="AY64"/>
  <c r="AY63"/>
  <c r="AY62"/>
  <c r="AY61"/>
  <c r="AY60"/>
  <c r="AY59"/>
  <c r="AY58"/>
  <c r="AY57"/>
  <c r="AY56"/>
  <c r="AY55"/>
  <c r="AY54"/>
  <c r="AY53"/>
  <c r="AY52"/>
  <c r="AY51"/>
  <c r="AY50"/>
  <c r="AY49"/>
  <c r="AY48"/>
  <c r="AY47"/>
  <c r="AY46"/>
  <c r="AY45"/>
  <c r="AY44"/>
  <c r="AY43"/>
  <c r="AY42"/>
  <c r="AY41"/>
  <c r="AY40"/>
  <c r="AY39"/>
  <c r="AY38"/>
  <c r="AY37"/>
  <c r="AY36"/>
  <c r="AY35"/>
  <c r="AY34"/>
  <c r="AY33"/>
  <c r="AY32"/>
  <c r="AY31"/>
  <c r="AY30"/>
  <c r="AY29"/>
  <c r="AY28"/>
  <c r="AY27"/>
  <c r="AY26"/>
  <c r="AY25"/>
  <c r="AY24"/>
  <c r="AY23"/>
  <c r="AY22"/>
  <c r="AY21"/>
  <c r="AY20"/>
  <c r="AY19"/>
  <c r="AY18"/>
  <c r="AY17"/>
  <c r="AY16"/>
  <c r="AY15"/>
  <c r="AY14"/>
  <c r="AY13"/>
  <c r="AY12"/>
  <c r="AY11"/>
  <c r="AY10"/>
  <c r="AY9"/>
  <c r="AY8"/>
  <c r="AY7"/>
  <c r="AY6"/>
  <c r="AY5"/>
  <c r="AX4"/>
  <c r="AW4"/>
  <c r="AV4"/>
  <c r="AU4"/>
  <c r="AT4"/>
  <c r="AS124"/>
  <c r="AS123"/>
  <c r="AS122"/>
  <c r="AS121"/>
  <c r="AS120"/>
  <c r="AS119"/>
  <c r="AS118"/>
  <c r="AS117"/>
  <c r="AS116"/>
  <c r="AS115"/>
  <c r="AS114"/>
  <c r="AS113"/>
  <c r="AS112"/>
  <c r="AS111"/>
  <c r="AS110"/>
  <c r="AS109"/>
  <c r="AS108"/>
  <c r="AS107"/>
  <c r="AS106"/>
  <c r="AS105"/>
  <c r="AS104"/>
  <c r="AS103"/>
  <c r="AS102"/>
  <c r="AS101"/>
  <c r="AS100"/>
  <c r="AS99"/>
  <c r="AS98"/>
  <c r="AS97"/>
  <c r="AS96"/>
  <c r="AS95"/>
  <c r="AS94"/>
  <c r="AS93"/>
  <c r="AS92"/>
  <c r="AS91"/>
  <c r="AS90"/>
  <c r="AS89"/>
  <c r="AS88"/>
  <c r="AS87"/>
  <c r="AS86"/>
  <c r="AS85"/>
  <c r="AS84"/>
  <c r="AS83"/>
  <c r="AS82"/>
  <c r="AS81"/>
  <c r="AS80"/>
  <c r="AS79"/>
  <c r="AS78"/>
  <c r="AS77"/>
  <c r="AS76"/>
  <c r="AS75"/>
  <c r="AS74"/>
  <c r="AS73"/>
  <c r="AS72"/>
  <c r="AS71"/>
  <c r="AS70"/>
  <c r="AS69"/>
  <c r="AS68"/>
  <c r="AS67"/>
  <c r="AS66"/>
  <c r="AS65"/>
  <c r="AS64"/>
  <c r="AS63"/>
  <c r="AS62"/>
  <c r="AS61"/>
  <c r="AS60"/>
  <c r="AS59"/>
  <c r="AS58"/>
  <c r="AS57"/>
  <c r="AS56"/>
  <c r="AS55"/>
  <c r="AS54"/>
  <c r="AS53"/>
  <c r="AS52"/>
  <c r="AS51"/>
  <c r="AS50"/>
  <c r="AS49"/>
  <c r="AS48"/>
  <c r="AS47"/>
  <c r="AS46"/>
  <c r="AS45"/>
  <c r="AS44"/>
  <c r="AS43"/>
  <c r="AS42"/>
  <c r="AS41"/>
  <c r="AS40"/>
  <c r="AS39"/>
  <c r="AS38"/>
  <c r="AS37"/>
  <c r="AS36"/>
  <c r="AS35"/>
  <c r="AS34"/>
  <c r="AS33"/>
  <c r="AS32"/>
  <c r="AS31"/>
  <c r="AS30"/>
  <c r="AS29"/>
  <c r="AS28"/>
  <c r="AS27"/>
  <c r="AS26"/>
  <c r="AS25"/>
  <c r="AS24"/>
  <c r="AS23"/>
  <c r="AS22"/>
  <c r="AS21"/>
  <c r="AS20"/>
  <c r="AS19"/>
  <c r="AS18"/>
  <c r="AS17"/>
  <c r="AS16"/>
  <c r="AS15"/>
  <c r="AS14"/>
  <c r="AS13"/>
  <c r="AS12"/>
  <c r="AS11"/>
  <c r="AS10"/>
  <c r="AS9"/>
  <c r="AS8"/>
  <c r="AS7"/>
  <c r="AS6"/>
  <c r="AS5"/>
  <c r="AR4"/>
  <c r="AQ4"/>
  <c r="AP4"/>
  <c r="AO4"/>
  <c r="AN4"/>
  <c r="AA124"/>
  <c r="AA123"/>
  <c r="AA122"/>
  <c r="AA121"/>
  <c r="AA120"/>
  <c r="AA119"/>
  <c r="AA118"/>
  <c r="AA117"/>
  <c r="AA116"/>
  <c r="AA115"/>
  <c r="AA114"/>
  <c r="AA113"/>
  <c r="AA112"/>
  <c r="AA111"/>
  <c r="AA110"/>
  <c r="AA109"/>
  <c r="AA108"/>
  <c r="AA107"/>
  <c r="AA106"/>
  <c r="AA105"/>
  <c r="AA104"/>
  <c r="AA103"/>
  <c r="AA102"/>
  <c r="AA101"/>
  <c r="AA100"/>
  <c r="AA99"/>
  <c r="AA98"/>
  <c r="AA97"/>
  <c r="AA96"/>
  <c r="AA95"/>
  <c r="AA94"/>
  <c r="AA93"/>
  <c r="AA92"/>
  <c r="AA91"/>
  <c r="AA90"/>
  <c r="AA89"/>
  <c r="AA88"/>
  <c r="AA87"/>
  <c r="AA86"/>
  <c r="AA85"/>
  <c r="AA84"/>
  <c r="AA83"/>
  <c r="AA82"/>
  <c r="AA81"/>
  <c r="AA80"/>
  <c r="AA79"/>
  <c r="AA78"/>
  <c r="AA77"/>
  <c r="AA76"/>
  <c r="AA75"/>
  <c r="AA74"/>
  <c r="AA73"/>
  <c r="AA72"/>
  <c r="AA71"/>
  <c r="AA70"/>
  <c r="AA69"/>
  <c r="AA68"/>
  <c r="AA67"/>
  <c r="AA66"/>
  <c r="AA65"/>
  <c r="AA64"/>
  <c r="AA63"/>
  <c r="AA62"/>
  <c r="AA61"/>
  <c r="AA60"/>
  <c r="AA59"/>
  <c r="AA58"/>
  <c r="AA57"/>
  <c r="AA56"/>
  <c r="AA55"/>
  <c r="AA54"/>
  <c r="AA53"/>
  <c r="AA52"/>
  <c r="AA51"/>
  <c r="AA50"/>
  <c r="AA49"/>
  <c r="AA48"/>
  <c r="AA47"/>
  <c r="AA46"/>
  <c r="AA45"/>
  <c r="AA44"/>
  <c r="AA43"/>
  <c r="AA42"/>
  <c r="AA41"/>
  <c r="AA40"/>
  <c r="AA39"/>
  <c r="AA38"/>
  <c r="AA37"/>
  <c r="AA36"/>
  <c r="AA35"/>
  <c r="AA34"/>
  <c r="AA33"/>
  <c r="AA32"/>
  <c r="AA31"/>
  <c r="AA30"/>
  <c r="AA29"/>
  <c r="AA28"/>
  <c r="AA27"/>
  <c r="AA26"/>
  <c r="AA25"/>
  <c r="AA24"/>
  <c r="AA23"/>
  <c r="AA22"/>
  <c r="AA21"/>
  <c r="AA20"/>
  <c r="AA19"/>
  <c r="AA18"/>
  <c r="AA17"/>
  <c r="AA16"/>
  <c r="AA15"/>
  <c r="AA14"/>
  <c r="AA13"/>
  <c r="AA12"/>
  <c r="AA11"/>
  <c r="AA10"/>
  <c r="AA9"/>
  <c r="AA8"/>
  <c r="AA7"/>
  <c r="AA6"/>
  <c r="AA5"/>
  <c r="Z4"/>
  <c r="Y4"/>
  <c r="X4"/>
  <c r="W4"/>
  <c r="V4"/>
  <c r="U124"/>
  <c r="U123"/>
  <c r="U122"/>
  <c r="U121"/>
  <c r="U120"/>
  <c r="U119"/>
  <c r="U118"/>
  <c r="U117"/>
  <c r="U116"/>
  <c r="U115"/>
  <c r="U114"/>
  <c r="U113"/>
  <c r="U112"/>
  <c r="U111"/>
  <c r="U110"/>
  <c r="U109"/>
  <c r="U108"/>
  <c r="U107"/>
  <c r="U106"/>
  <c r="U105"/>
  <c r="U104"/>
  <c r="U103"/>
  <c r="U102"/>
  <c r="U101"/>
  <c r="U100"/>
  <c r="U99"/>
  <c r="U98"/>
  <c r="U97"/>
  <c r="U96"/>
  <c r="U95"/>
  <c r="U94"/>
  <c r="U93"/>
  <c r="U92"/>
  <c r="U91"/>
  <c r="U90"/>
  <c r="U89"/>
  <c r="U88"/>
  <c r="U87"/>
  <c r="U86"/>
  <c r="U85"/>
  <c r="U84"/>
  <c r="U83"/>
  <c r="U82"/>
  <c r="U81"/>
  <c r="U80"/>
  <c r="U79"/>
  <c r="U78"/>
  <c r="U77"/>
  <c r="U76"/>
  <c r="U75"/>
  <c r="U74"/>
  <c r="U73"/>
  <c r="U72"/>
  <c r="U71"/>
  <c r="U70"/>
  <c r="U69"/>
  <c r="U68"/>
  <c r="U67"/>
  <c r="U66"/>
  <c r="U65"/>
  <c r="U64"/>
  <c r="U63"/>
  <c r="U62"/>
  <c r="U61"/>
  <c r="U60"/>
  <c r="U59"/>
  <c r="U58"/>
  <c r="U57"/>
  <c r="U56"/>
  <c r="U55"/>
  <c r="U54"/>
  <c r="U53"/>
  <c r="U52"/>
  <c r="U51"/>
  <c r="U50"/>
  <c r="U49"/>
  <c r="U48"/>
  <c r="U47"/>
  <c r="U46"/>
  <c r="U45"/>
  <c r="U44"/>
  <c r="U43"/>
  <c r="U42"/>
  <c r="U41"/>
  <c r="U40"/>
  <c r="U39"/>
  <c r="U38"/>
  <c r="U37"/>
  <c r="U36"/>
  <c r="U35"/>
  <c r="U34"/>
  <c r="U33"/>
  <c r="U32"/>
  <c r="U31"/>
  <c r="U30"/>
  <c r="U29"/>
  <c r="U28"/>
  <c r="U27"/>
  <c r="U26"/>
  <c r="U25"/>
  <c r="U24"/>
  <c r="U23"/>
  <c r="U22"/>
  <c r="U21"/>
  <c r="U20"/>
  <c r="U19"/>
  <c r="U18"/>
  <c r="U17"/>
  <c r="U16"/>
  <c r="U15"/>
  <c r="U14"/>
  <c r="U13"/>
  <c r="U12"/>
  <c r="U11"/>
  <c r="U10"/>
  <c r="U9"/>
  <c r="U8"/>
  <c r="U7"/>
  <c r="U6"/>
  <c r="U5"/>
  <c r="T4"/>
  <c r="S4"/>
  <c r="R4"/>
  <c r="Q4"/>
  <c r="P4"/>
  <c r="AS4" l="1"/>
  <c r="G4" i="57"/>
  <c r="AY4" i="62"/>
  <c r="AA4"/>
  <c r="U4"/>
  <c r="I112" i="79" l="1"/>
  <c r="J112" i="56"/>
  <c r="J48"/>
  <c r="H125"/>
  <c r="H124"/>
  <c r="H123"/>
  <c r="H122"/>
  <c r="H121"/>
  <c r="H120"/>
  <c r="H119"/>
  <c r="H118"/>
  <c r="H117"/>
  <c r="H116"/>
  <c r="H115"/>
  <c r="H114"/>
  <c r="H113"/>
  <c r="H112"/>
  <c r="H111"/>
  <c r="H110"/>
  <c r="H109"/>
  <c r="H108"/>
  <c r="H107"/>
  <c r="H106"/>
  <c r="H105"/>
  <c r="H104"/>
  <c r="H103"/>
  <c r="H102"/>
  <c r="H101"/>
  <c r="H100"/>
  <c r="H99"/>
  <c r="H98"/>
  <c r="H97"/>
  <c r="H96"/>
  <c r="H95"/>
  <c r="H94"/>
  <c r="H93"/>
  <c r="H92"/>
  <c r="H91"/>
  <c r="H90"/>
  <c r="H89"/>
  <c r="H88"/>
  <c r="H87"/>
  <c r="H86"/>
  <c r="H85"/>
  <c r="H84"/>
  <c r="H83"/>
  <c r="H82"/>
  <c r="H81"/>
  <c r="H80"/>
  <c r="H79"/>
  <c r="H78"/>
  <c r="H77"/>
  <c r="H76"/>
  <c r="H75"/>
  <c r="H74"/>
  <c r="H73"/>
  <c r="H72"/>
  <c r="H71"/>
  <c r="H70"/>
  <c r="H69"/>
  <c r="H68"/>
  <c r="H67"/>
  <c r="H66"/>
  <c r="H65"/>
  <c r="H64"/>
  <c r="H63"/>
  <c r="H62"/>
  <c r="H61"/>
  <c r="H60"/>
  <c r="H59"/>
  <c r="H58"/>
  <c r="H57"/>
  <c r="H56"/>
  <c r="H55"/>
  <c r="H54"/>
  <c r="H53"/>
  <c r="H52"/>
  <c r="H51"/>
  <c r="H50"/>
  <c r="H49"/>
  <c r="H48"/>
  <c r="H47"/>
  <c r="H46"/>
  <c r="H45"/>
  <c r="H44"/>
  <c r="H43"/>
  <c r="H42"/>
  <c r="H41"/>
  <c r="H40"/>
  <c r="H39"/>
  <c r="H38"/>
  <c r="H37"/>
  <c r="H36"/>
  <c r="H35"/>
  <c r="H34"/>
  <c r="H33"/>
  <c r="H32"/>
  <c r="H31"/>
  <c r="H30"/>
  <c r="H29"/>
  <c r="H28"/>
  <c r="H27"/>
  <c r="H26"/>
  <c r="H25"/>
  <c r="H24"/>
  <c r="H23"/>
  <c r="H22"/>
  <c r="H21"/>
  <c r="H20"/>
  <c r="H19"/>
  <c r="H18"/>
  <c r="H17"/>
  <c r="H16"/>
  <c r="H15"/>
  <c r="H14"/>
  <c r="H13"/>
  <c r="H12"/>
  <c r="H11"/>
  <c r="H10"/>
  <c r="H9"/>
  <c r="H8"/>
  <c r="H7"/>
  <c r="H6"/>
  <c r="G125"/>
  <c r="J125" s="1"/>
  <c r="G124"/>
  <c r="J124" s="1"/>
  <c r="G123"/>
  <c r="J123" s="1"/>
  <c r="G122"/>
  <c r="J122" s="1"/>
  <c r="G121"/>
  <c r="J121" s="1"/>
  <c r="G120"/>
  <c r="J120" s="1"/>
  <c r="G119"/>
  <c r="J119" s="1"/>
  <c r="G118"/>
  <c r="J118" s="1"/>
  <c r="G117"/>
  <c r="J117" s="1"/>
  <c r="G116"/>
  <c r="J116" s="1"/>
  <c r="G115"/>
  <c r="J115" s="1"/>
  <c r="G114"/>
  <c r="J114" s="1"/>
  <c r="G113"/>
  <c r="J113" s="1"/>
  <c r="G112"/>
  <c r="G111"/>
  <c r="J111" s="1"/>
  <c r="G110"/>
  <c r="J110" s="1"/>
  <c r="G109"/>
  <c r="J109" s="1"/>
  <c r="G108"/>
  <c r="J108" s="1"/>
  <c r="G107"/>
  <c r="J107" s="1"/>
  <c r="G106"/>
  <c r="J106" s="1"/>
  <c r="G105"/>
  <c r="J105" s="1"/>
  <c r="G104"/>
  <c r="J104" s="1"/>
  <c r="G103"/>
  <c r="J103" s="1"/>
  <c r="G102"/>
  <c r="J102" s="1"/>
  <c r="G101"/>
  <c r="J101" s="1"/>
  <c r="G100"/>
  <c r="J100" s="1"/>
  <c r="G99"/>
  <c r="J99" s="1"/>
  <c r="G98"/>
  <c r="J98" s="1"/>
  <c r="G97"/>
  <c r="J97" s="1"/>
  <c r="G96"/>
  <c r="J96" s="1"/>
  <c r="G95"/>
  <c r="J95" s="1"/>
  <c r="G94"/>
  <c r="J94" s="1"/>
  <c r="G93"/>
  <c r="J93" s="1"/>
  <c r="G92"/>
  <c r="J92" s="1"/>
  <c r="G91"/>
  <c r="J91" s="1"/>
  <c r="G90"/>
  <c r="J90" s="1"/>
  <c r="G89"/>
  <c r="J89" s="1"/>
  <c r="G88"/>
  <c r="J88" s="1"/>
  <c r="G87"/>
  <c r="J87" s="1"/>
  <c r="G86"/>
  <c r="J86" s="1"/>
  <c r="G85"/>
  <c r="J85" s="1"/>
  <c r="G84"/>
  <c r="J84" s="1"/>
  <c r="G83"/>
  <c r="J83" s="1"/>
  <c r="G82"/>
  <c r="J82" s="1"/>
  <c r="G81"/>
  <c r="J81" s="1"/>
  <c r="G80"/>
  <c r="J80" s="1"/>
  <c r="G79"/>
  <c r="J79" s="1"/>
  <c r="G78"/>
  <c r="J78" s="1"/>
  <c r="G77"/>
  <c r="J77" s="1"/>
  <c r="G76"/>
  <c r="J76" s="1"/>
  <c r="G75"/>
  <c r="J75" s="1"/>
  <c r="G74"/>
  <c r="J74" s="1"/>
  <c r="G73"/>
  <c r="J73" s="1"/>
  <c r="G72"/>
  <c r="J72" s="1"/>
  <c r="G71"/>
  <c r="J71" s="1"/>
  <c r="G70"/>
  <c r="J70" s="1"/>
  <c r="G69"/>
  <c r="J69" s="1"/>
  <c r="G68"/>
  <c r="J68" s="1"/>
  <c r="G67"/>
  <c r="J67" s="1"/>
  <c r="G66"/>
  <c r="J66" s="1"/>
  <c r="G65"/>
  <c r="J65" s="1"/>
  <c r="G64"/>
  <c r="J64" s="1"/>
  <c r="G63"/>
  <c r="J63" s="1"/>
  <c r="G62"/>
  <c r="J62" s="1"/>
  <c r="G61"/>
  <c r="J61" s="1"/>
  <c r="G60"/>
  <c r="J60" s="1"/>
  <c r="G59"/>
  <c r="J59" s="1"/>
  <c r="G58"/>
  <c r="J58" s="1"/>
  <c r="G57"/>
  <c r="J57" s="1"/>
  <c r="G56"/>
  <c r="J56" s="1"/>
  <c r="G55"/>
  <c r="J55" s="1"/>
  <c r="G54"/>
  <c r="J54" s="1"/>
  <c r="G53"/>
  <c r="J53" s="1"/>
  <c r="G52"/>
  <c r="J52" s="1"/>
  <c r="G51"/>
  <c r="J51" s="1"/>
  <c r="G50"/>
  <c r="J50" s="1"/>
  <c r="G49"/>
  <c r="J49" s="1"/>
  <c r="G48"/>
  <c r="G47"/>
  <c r="J47" s="1"/>
  <c r="G46"/>
  <c r="J46" s="1"/>
  <c r="G45"/>
  <c r="J45" s="1"/>
  <c r="G44"/>
  <c r="J44" s="1"/>
  <c r="G43"/>
  <c r="J43" s="1"/>
  <c r="G42"/>
  <c r="J42" s="1"/>
  <c r="G41"/>
  <c r="J41" s="1"/>
  <c r="G40"/>
  <c r="J40" s="1"/>
  <c r="G39"/>
  <c r="J39" s="1"/>
  <c r="G38"/>
  <c r="J38" s="1"/>
  <c r="G37"/>
  <c r="J37" s="1"/>
  <c r="G36"/>
  <c r="J36" s="1"/>
  <c r="G35"/>
  <c r="J35" s="1"/>
  <c r="G34"/>
  <c r="J34" s="1"/>
  <c r="G33"/>
  <c r="J33" s="1"/>
  <c r="G32"/>
  <c r="J32" s="1"/>
  <c r="G31"/>
  <c r="J31" s="1"/>
  <c r="G30"/>
  <c r="J30" s="1"/>
  <c r="G29"/>
  <c r="J29" s="1"/>
  <c r="G28"/>
  <c r="J28" s="1"/>
  <c r="G27"/>
  <c r="J27" s="1"/>
  <c r="G26"/>
  <c r="J26" s="1"/>
  <c r="G25"/>
  <c r="J25" s="1"/>
  <c r="G24"/>
  <c r="J24" s="1"/>
  <c r="G23"/>
  <c r="J23" s="1"/>
  <c r="G22"/>
  <c r="J22" s="1"/>
  <c r="G21"/>
  <c r="J21" s="1"/>
  <c r="G20"/>
  <c r="J20" s="1"/>
  <c r="G19"/>
  <c r="J19" s="1"/>
  <c r="G18"/>
  <c r="J18" s="1"/>
  <c r="G17"/>
  <c r="J17" s="1"/>
  <c r="G16"/>
  <c r="J16" s="1"/>
  <c r="G15"/>
  <c r="J15" s="1"/>
  <c r="G14"/>
  <c r="J14" s="1"/>
  <c r="G13"/>
  <c r="J13" s="1"/>
  <c r="G12"/>
  <c r="J12" s="1"/>
  <c r="G11"/>
  <c r="J11" s="1"/>
  <c r="G10"/>
  <c r="J10" s="1"/>
  <c r="G9"/>
  <c r="J9" s="1"/>
  <c r="G8"/>
  <c r="J8" s="1"/>
  <c r="G7"/>
  <c r="J7" s="1"/>
  <c r="G6"/>
  <c r="J6" s="1"/>
  <c r="F125"/>
  <c r="K125" s="1"/>
  <c r="J125" i="79" s="1"/>
  <c r="F124" i="56"/>
  <c r="K124" s="1"/>
  <c r="J124" i="79" s="1"/>
  <c r="F123" i="56"/>
  <c r="K123" s="1"/>
  <c r="J123" i="79" s="1"/>
  <c r="F122" i="56"/>
  <c r="K122" s="1"/>
  <c r="J122" i="79" s="1"/>
  <c r="F121" i="56"/>
  <c r="K121" s="1"/>
  <c r="J121" i="79" s="1"/>
  <c r="F120" i="56"/>
  <c r="F119"/>
  <c r="K119" s="1"/>
  <c r="J119" i="79" s="1"/>
  <c r="F118" i="56"/>
  <c r="K118" s="1"/>
  <c r="J118" i="79" s="1"/>
  <c r="F117" i="56"/>
  <c r="K117" s="1"/>
  <c r="J117" i="79" s="1"/>
  <c r="F116" i="56"/>
  <c r="K116" s="1"/>
  <c r="J116" i="79" s="1"/>
  <c r="F115" i="56"/>
  <c r="K115" s="1"/>
  <c r="J115" i="79" s="1"/>
  <c r="F114" i="56"/>
  <c r="K114" s="1"/>
  <c r="J114" i="79" s="1"/>
  <c r="F113" i="56"/>
  <c r="K113" s="1"/>
  <c r="J113" i="79" s="1"/>
  <c r="F112" i="56"/>
  <c r="F111"/>
  <c r="K111" s="1"/>
  <c r="J111" i="79" s="1"/>
  <c r="F110" i="56"/>
  <c r="K110" s="1"/>
  <c r="J110" i="79" s="1"/>
  <c r="F109" i="56"/>
  <c r="K109" s="1"/>
  <c r="J109" i="79" s="1"/>
  <c r="F108" i="56"/>
  <c r="K108" s="1"/>
  <c r="J108" i="79" s="1"/>
  <c r="F107" i="56"/>
  <c r="K107" s="1"/>
  <c r="J107" i="79" s="1"/>
  <c r="F106" i="56"/>
  <c r="K106" s="1"/>
  <c r="J106" i="79" s="1"/>
  <c r="F105" i="56"/>
  <c r="K105" s="1"/>
  <c r="J105" i="79" s="1"/>
  <c r="F104" i="56"/>
  <c r="F103"/>
  <c r="K103" s="1"/>
  <c r="J103" i="79" s="1"/>
  <c r="F102" i="56"/>
  <c r="K102" s="1"/>
  <c r="J102" i="79" s="1"/>
  <c r="F101" i="56"/>
  <c r="K101" s="1"/>
  <c r="J101" i="79" s="1"/>
  <c r="F100" i="56"/>
  <c r="K100" s="1"/>
  <c r="J100" i="79" s="1"/>
  <c r="F99" i="56"/>
  <c r="K99" s="1"/>
  <c r="J99" i="79" s="1"/>
  <c r="F98" i="56"/>
  <c r="K98" s="1"/>
  <c r="J98" i="79" s="1"/>
  <c r="F97" i="56"/>
  <c r="K97" s="1"/>
  <c r="J97" i="79" s="1"/>
  <c r="F96" i="56"/>
  <c r="F95"/>
  <c r="K95" s="1"/>
  <c r="J95" i="79" s="1"/>
  <c r="F94" i="56"/>
  <c r="K94" s="1"/>
  <c r="J94" i="79" s="1"/>
  <c r="F93" i="56"/>
  <c r="K93" s="1"/>
  <c r="J93" i="79" s="1"/>
  <c r="F92" i="56"/>
  <c r="K92" s="1"/>
  <c r="J92" i="79" s="1"/>
  <c r="F91" i="56"/>
  <c r="K91" s="1"/>
  <c r="J91" i="79" s="1"/>
  <c r="F90" i="56"/>
  <c r="K90" s="1"/>
  <c r="J90" i="79" s="1"/>
  <c r="F89" i="56"/>
  <c r="K89" s="1"/>
  <c r="J89" i="79" s="1"/>
  <c r="F88" i="56"/>
  <c r="F87"/>
  <c r="K87" s="1"/>
  <c r="J87" i="79" s="1"/>
  <c r="F86" i="56"/>
  <c r="K86" s="1"/>
  <c r="J86" i="79" s="1"/>
  <c r="F85" i="56"/>
  <c r="K85" s="1"/>
  <c r="J85" i="79" s="1"/>
  <c r="F84" i="56"/>
  <c r="K84" s="1"/>
  <c r="J84" i="79" s="1"/>
  <c r="F83" i="56"/>
  <c r="K83" s="1"/>
  <c r="J83" i="79" s="1"/>
  <c r="F82" i="56"/>
  <c r="K82" s="1"/>
  <c r="J82" i="79" s="1"/>
  <c r="F81" i="56"/>
  <c r="K81" s="1"/>
  <c r="J81" i="79" s="1"/>
  <c r="F80" i="56"/>
  <c r="F79"/>
  <c r="K79" s="1"/>
  <c r="J79" i="79" s="1"/>
  <c r="F78" i="56"/>
  <c r="K78" s="1"/>
  <c r="J78" i="79" s="1"/>
  <c r="F77" i="56"/>
  <c r="K77" s="1"/>
  <c r="J77" i="79" s="1"/>
  <c r="F76" i="56"/>
  <c r="K76" s="1"/>
  <c r="J76" i="79" s="1"/>
  <c r="F75" i="56"/>
  <c r="K75" s="1"/>
  <c r="J75" i="79" s="1"/>
  <c r="F74" i="56"/>
  <c r="K74" s="1"/>
  <c r="J74" i="79" s="1"/>
  <c r="F73" i="56"/>
  <c r="K73" s="1"/>
  <c r="J73" i="79" s="1"/>
  <c r="F72" i="56"/>
  <c r="F71"/>
  <c r="K71" s="1"/>
  <c r="J71" i="79" s="1"/>
  <c r="F70" i="56"/>
  <c r="K70" s="1"/>
  <c r="J70" i="79" s="1"/>
  <c r="F69" i="56"/>
  <c r="K69" s="1"/>
  <c r="J69" i="79" s="1"/>
  <c r="F68" i="56"/>
  <c r="K68" s="1"/>
  <c r="J68" i="79" s="1"/>
  <c r="F67" i="56"/>
  <c r="K67" s="1"/>
  <c r="J67" i="79" s="1"/>
  <c r="F66" i="56"/>
  <c r="K66" s="1"/>
  <c r="J66" i="79" s="1"/>
  <c r="F65" i="56"/>
  <c r="K65" s="1"/>
  <c r="J65" i="79" s="1"/>
  <c r="F64" i="56"/>
  <c r="F63"/>
  <c r="K63" s="1"/>
  <c r="J63" i="79" s="1"/>
  <c r="F62" i="56"/>
  <c r="K62" s="1"/>
  <c r="J62" i="79" s="1"/>
  <c r="F61" i="56"/>
  <c r="K61" s="1"/>
  <c r="J61" i="79" s="1"/>
  <c r="F60" i="56"/>
  <c r="K60" s="1"/>
  <c r="J60" i="79" s="1"/>
  <c r="F59" i="56"/>
  <c r="K59" s="1"/>
  <c r="J59" i="79" s="1"/>
  <c r="F58" i="56"/>
  <c r="K58" s="1"/>
  <c r="J58" i="79" s="1"/>
  <c r="F57" i="56"/>
  <c r="K57" s="1"/>
  <c r="J57" i="79" s="1"/>
  <c r="F56" i="56"/>
  <c r="F55"/>
  <c r="K55" s="1"/>
  <c r="J55" i="79" s="1"/>
  <c r="F54" i="56"/>
  <c r="K54" s="1"/>
  <c r="J54" i="79" s="1"/>
  <c r="F53" i="56"/>
  <c r="K53" s="1"/>
  <c r="J53" i="79" s="1"/>
  <c r="F52" i="56"/>
  <c r="K52" s="1"/>
  <c r="J52" i="79" s="1"/>
  <c r="F51" i="56"/>
  <c r="K51" s="1"/>
  <c r="J51" i="79" s="1"/>
  <c r="F50" i="56"/>
  <c r="K50" s="1"/>
  <c r="J50" i="79" s="1"/>
  <c r="F49" i="56"/>
  <c r="K49" s="1"/>
  <c r="J49" i="79" s="1"/>
  <c r="F48" i="56"/>
  <c r="F47"/>
  <c r="K47" s="1"/>
  <c r="J47" i="79" s="1"/>
  <c r="F46" i="56"/>
  <c r="K46" s="1"/>
  <c r="J46" i="79" s="1"/>
  <c r="F45" i="56"/>
  <c r="K45" s="1"/>
  <c r="J45" i="79" s="1"/>
  <c r="F44" i="56"/>
  <c r="K44" s="1"/>
  <c r="J44" i="79" s="1"/>
  <c r="F43" i="56"/>
  <c r="K43" s="1"/>
  <c r="J43" i="79" s="1"/>
  <c r="F42" i="56"/>
  <c r="K42" s="1"/>
  <c r="J42" i="79" s="1"/>
  <c r="F41" i="56"/>
  <c r="K41" s="1"/>
  <c r="J41" i="79" s="1"/>
  <c r="F40" i="56"/>
  <c r="F39"/>
  <c r="K39" s="1"/>
  <c r="J39" i="79" s="1"/>
  <c r="F38" i="56"/>
  <c r="K38" s="1"/>
  <c r="J38" i="79" s="1"/>
  <c r="F37" i="56"/>
  <c r="K37" s="1"/>
  <c r="J37" i="79" s="1"/>
  <c r="F36" i="56"/>
  <c r="K36" s="1"/>
  <c r="J36" i="79" s="1"/>
  <c r="F35" i="56"/>
  <c r="K35" s="1"/>
  <c r="J35" i="79" s="1"/>
  <c r="F34" i="56"/>
  <c r="K34" s="1"/>
  <c r="J34" i="79" s="1"/>
  <c r="F33" i="56"/>
  <c r="K33" s="1"/>
  <c r="J33" i="79" s="1"/>
  <c r="F32" i="56"/>
  <c r="F31"/>
  <c r="K31" s="1"/>
  <c r="J31" i="79" s="1"/>
  <c r="F30" i="56"/>
  <c r="K30" s="1"/>
  <c r="J30" i="79" s="1"/>
  <c r="F29" i="56"/>
  <c r="K29" s="1"/>
  <c r="J29" i="79" s="1"/>
  <c r="F28" i="56"/>
  <c r="K28" s="1"/>
  <c r="J28" i="79" s="1"/>
  <c r="F27" i="56"/>
  <c r="K27" s="1"/>
  <c r="J27" i="79" s="1"/>
  <c r="F26" i="56"/>
  <c r="F25"/>
  <c r="K25" s="1"/>
  <c r="J25" i="79" s="1"/>
  <c r="F24" i="56"/>
  <c r="F23"/>
  <c r="K23" s="1"/>
  <c r="J23" i="79" s="1"/>
  <c r="F22" i="56"/>
  <c r="F21"/>
  <c r="F20"/>
  <c r="K20" s="1"/>
  <c r="J20" i="79" s="1"/>
  <c r="F19" i="56"/>
  <c r="F18"/>
  <c r="F17"/>
  <c r="F16"/>
  <c r="K16" s="1"/>
  <c r="J16" i="79" s="1"/>
  <c r="F15" i="56"/>
  <c r="F14"/>
  <c r="F13"/>
  <c r="F12"/>
  <c r="K12" s="1"/>
  <c r="J12" i="79" s="1"/>
  <c r="F11" i="56"/>
  <c r="F10"/>
  <c r="F9"/>
  <c r="F8"/>
  <c r="F7"/>
  <c r="F6"/>
  <c r="E125"/>
  <c r="I125" i="79" s="1"/>
  <c r="E124" i="56"/>
  <c r="I124" i="79" s="1"/>
  <c r="E123" i="56"/>
  <c r="I123" i="79" s="1"/>
  <c r="E122" i="56"/>
  <c r="I122" i="79" s="1"/>
  <c r="E121" i="56"/>
  <c r="I121" i="79" s="1"/>
  <c r="E120" i="56"/>
  <c r="I120" i="79" s="1"/>
  <c r="E119" i="56"/>
  <c r="I119" i="79" s="1"/>
  <c r="E118" i="56"/>
  <c r="I118" i="79" s="1"/>
  <c r="E117" i="56"/>
  <c r="I117" i="79" s="1"/>
  <c r="E116" i="56"/>
  <c r="I116" i="79" s="1"/>
  <c r="E115" i="56"/>
  <c r="I115" i="79" s="1"/>
  <c r="E114" i="56"/>
  <c r="I114" i="79" s="1"/>
  <c r="E113" i="56"/>
  <c r="I113" i="79" s="1"/>
  <c r="E112" i="56"/>
  <c r="E111"/>
  <c r="I111" i="79" s="1"/>
  <c r="E110" i="56"/>
  <c r="I110" i="79" s="1"/>
  <c r="E109" i="56"/>
  <c r="I109" i="79" s="1"/>
  <c r="E108" i="56"/>
  <c r="I108" i="79" s="1"/>
  <c r="E107" i="56"/>
  <c r="I107" i="79" s="1"/>
  <c r="E106" i="56"/>
  <c r="I106" i="79" s="1"/>
  <c r="E105" i="56"/>
  <c r="I105" i="79" s="1"/>
  <c r="E104" i="56"/>
  <c r="I104" i="79" s="1"/>
  <c r="E103" i="56"/>
  <c r="I103" i="79" s="1"/>
  <c r="E102" i="56"/>
  <c r="I102" i="79" s="1"/>
  <c r="E101" i="56"/>
  <c r="I101" i="79" s="1"/>
  <c r="E100" i="56"/>
  <c r="I100" i="79" s="1"/>
  <c r="E99" i="56"/>
  <c r="I99" i="79" s="1"/>
  <c r="E98" i="56"/>
  <c r="I98" i="79" s="1"/>
  <c r="E97" i="56"/>
  <c r="I97" i="79" s="1"/>
  <c r="E96" i="56"/>
  <c r="I96" i="79" s="1"/>
  <c r="E95" i="56"/>
  <c r="I95" i="79" s="1"/>
  <c r="E94" i="56"/>
  <c r="I94" i="79" s="1"/>
  <c r="E93" i="56"/>
  <c r="I93" i="79" s="1"/>
  <c r="E92" i="56"/>
  <c r="I92" i="79" s="1"/>
  <c r="E91" i="56"/>
  <c r="I91" i="79" s="1"/>
  <c r="E90" i="56"/>
  <c r="I90" i="79" s="1"/>
  <c r="E89" i="56"/>
  <c r="I89" i="79" s="1"/>
  <c r="E88" i="56"/>
  <c r="I88" i="79" s="1"/>
  <c r="E87" i="56"/>
  <c r="I87" i="79" s="1"/>
  <c r="E86" i="56"/>
  <c r="I86" i="79" s="1"/>
  <c r="E85" i="56"/>
  <c r="I85" i="79" s="1"/>
  <c r="E84" i="56"/>
  <c r="I84" i="79" s="1"/>
  <c r="E83" i="56"/>
  <c r="I83" i="79" s="1"/>
  <c r="E82" i="56"/>
  <c r="I82" i="79" s="1"/>
  <c r="E81" i="56"/>
  <c r="I81" i="79" s="1"/>
  <c r="E80" i="56"/>
  <c r="I80" i="79" s="1"/>
  <c r="E79" i="56"/>
  <c r="I79" i="79" s="1"/>
  <c r="E78" i="56"/>
  <c r="I78" i="79" s="1"/>
  <c r="E77" i="56"/>
  <c r="I77" i="79" s="1"/>
  <c r="E76" i="56"/>
  <c r="I76" i="79" s="1"/>
  <c r="E75" i="56"/>
  <c r="I75" i="79" s="1"/>
  <c r="E74" i="56"/>
  <c r="I74" i="79" s="1"/>
  <c r="E73" i="56"/>
  <c r="I73" i="79" s="1"/>
  <c r="E72" i="56"/>
  <c r="I72" i="79" s="1"/>
  <c r="E71" i="56"/>
  <c r="I71" i="79" s="1"/>
  <c r="E70" i="56"/>
  <c r="I70" i="79" s="1"/>
  <c r="E69" i="56"/>
  <c r="I69" i="79" s="1"/>
  <c r="E68" i="56"/>
  <c r="I68" i="79" s="1"/>
  <c r="E67" i="56"/>
  <c r="I67" i="79" s="1"/>
  <c r="E66" i="56"/>
  <c r="I66" i="79" s="1"/>
  <c r="E65" i="56"/>
  <c r="I65" i="79" s="1"/>
  <c r="E64" i="56"/>
  <c r="I64" i="79" s="1"/>
  <c r="E63" i="56"/>
  <c r="I63" i="79" s="1"/>
  <c r="E62" i="56"/>
  <c r="I62" i="79" s="1"/>
  <c r="E61" i="56"/>
  <c r="I61" i="79" s="1"/>
  <c r="E60" i="56"/>
  <c r="I60" i="79" s="1"/>
  <c r="E59" i="56"/>
  <c r="I59" i="79" s="1"/>
  <c r="E58" i="56"/>
  <c r="I58" i="79" s="1"/>
  <c r="E57" i="56"/>
  <c r="I57" i="79" s="1"/>
  <c r="E56" i="56"/>
  <c r="I56" i="79" s="1"/>
  <c r="E55" i="56"/>
  <c r="I55" i="79" s="1"/>
  <c r="E54" i="56"/>
  <c r="I54" i="79" s="1"/>
  <c r="E53" i="56"/>
  <c r="I53" i="79" s="1"/>
  <c r="E52" i="56"/>
  <c r="I52" i="79" s="1"/>
  <c r="E51" i="56"/>
  <c r="I51" i="79" s="1"/>
  <c r="E50" i="56"/>
  <c r="I50" i="79" s="1"/>
  <c r="E49" i="56"/>
  <c r="I49" i="79" s="1"/>
  <c r="E48" i="56"/>
  <c r="I48" i="79" s="1"/>
  <c r="E47" i="56"/>
  <c r="I47" i="79" s="1"/>
  <c r="E46" i="56"/>
  <c r="I46" i="79" s="1"/>
  <c r="E45" i="56"/>
  <c r="I45" i="79" s="1"/>
  <c r="E44" i="56"/>
  <c r="I44" i="79" s="1"/>
  <c r="E43" i="56"/>
  <c r="I43" i="79" s="1"/>
  <c r="E42" i="56"/>
  <c r="I42" i="79" s="1"/>
  <c r="E41" i="56"/>
  <c r="I41" i="79" s="1"/>
  <c r="E40" i="56"/>
  <c r="I40" i="79" s="1"/>
  <c r="E39" i="56"/>
  <c r="I39" i="79" s="1"/>
  <c r="E38" i="56"/>
  <c r="I38" i="79" s="1"/>
  <c r="E37" i="56"/>
  <c r="I37" i="79" s="1"/>
  <c r="E36" i="56"/>
  <c r="I36" i="79" s="1"/>
  <c r="E35" i="56"/>
  <c r="I35" i="79" s="1"/>
  <c r="E34" i="56"/>
  <c r="I34" i="79" s="1"/>
  <c r="E33" i="56"/>
  <c r="I33" i="79" s="1"/>
  <c r="E32" i="56"/>
  <c r="I32" i="79" s="1"/>
  <c r="E31" i="56"/>
  <c r="I31" i="79" s="1"/>
  <c r="E30" i="56"/>
  <c r="I30" i="79" s="1"/>
  <c r="E29" i="56"/>
  <c r="I29" i="79" s="1"/>
  <c r="E28" i="56"/>
  <c r="I28" i="79" s="1"/>
  <c r="E27" i="56"/>
  <c r="I27" i="79" s="1"/>
  <c r="E26" i="56"/>
  <c r="I26" i="79" s="1"/>
  <c r="E25" i="56"/>
  <c r="I25" i="79" s="1"/>
  <c r="E24" i="56"/>
  <c r="I24" i="79" s="1"/>
  <c r="E23" i="56"/>
  <c r="I23" i="79" s="1"/>
  <c r="E22" i="56"/>
  <c r="I22" i="79" s="1"/>
  <c r="E21" i="56"/>
  <c r="I21" i="79" s="1"/>
  <c r="E20" i="56"/>
  <c r="I20" i="79" s="1"/>
  <c r="E19" i="56"/>
  <c r="I19" i="79" s="1"/>
  <c r="E18" i="56"/>
  <c r="I18" i="79" s="1"/>
  <c r="E17" i="56"/>
  <c r="I17" i="79" s="1"/>
  <c r="E16" i="56"/>
  <c r="I16" i="79" s="1"/>
  <c r="E15" i="56"/>
  <c r="I15" i="79" s="1"/>
  <c r="E14" i="56"/>
  <c r="I14" i="79" s="1"/>
  <c r="E13" i="56"/>
  <c r="I13" i="79" s="1"/>
  <c r="E12" i="56"/>
  <c r="I12" i="79" s="1"/>
  <c r="E11" i="56"/>
  <c r="I11" i="79" s="1"/>
  <c r="E10" i="56"/>
  <c r="I10" i="79" s="1"/>
  <c r="E9" i="56"/>
  <c r="I9" i="79" s="1"/>
  <c r="E8" i="56"/>
  <c r="I8" i="79" s="1"/>
  <c r="E7" i="56"/>
  <c r="I7" i="79" s="1"/>
  <c r="E6" i="56"/>
  <c r="I6" i="79" s="1"/>
  <c r="D125" i="56"/>
  <c r="H125" i="79" s="1"/>
  <c r="D124" i="56"/>
  <c r="H124" i="79" s="1"/>
  <c r="D123" i="56"/>
  <c r="H123" i="79" s="1"/>
  <c r="D122" i="56"/>
  <c r="H122" i="79" s="1"/>
  <c r="D121" i="56"/>
  <c r="I121" s="1"/>
  <c r="K121" i="79" s="1"/>
  <c r="D120" i="56"/>
  <c r="H120" i="79" s="1"/>
  <c r="D119" i="56"/>
  <c r="H119" i="79" s="1"/>
  <c r="D118" i="56"/>
  <c r="H118" i="79" s="1"/>
  <c r="D117" i="56"/>
  <c r="H117" i="79" s="1"/>
  <c r="D116" i="56"/>
  <c r="H116" i="79" s="1"/>
  <c r="D115" i="56"/>
  <c r="H115" i="79" s="1"/>
  <c r="D114" i="56"/>
  <c r="H114" i="79" s="1"/>
  <c r="D113" i="56"/>
  <c r="H113" i="79" s="1"/>
  <c r="D112" i="56"/>
  <c r="H112" i="79" s="1"/>
  <c r="D111" i="56"/>
  <c r="H111" i="79" s="1"/>
  <c r="D110" i="56"/>
  <c r="H110" i="79" s="1"/>
  <c r="D109" i="56"/>
  <c r="H109" i="79" s="1"/>
  <c r="D108" i="56"/>
  <c r="H108" i="79" s="1"/>
  <c r="D107" i="56"/>
  <c r="H107" i="79" s="1"/>
  <c r="D106" i="56"/>
  <c r="H106" i="79" s="1"/>
  <c r="D105" i="56"/>
  <c r="I105" s="1"/>
  <c r="K105" i="79" s="1"/>
  <c r="D104" i="56"/>
  <c r="H104" i="79" s="1"/>
  <c r="D103" i="56"/>
  <c r="H103" i="79" s="1"/>
  <c r="D102" i="56"/>
  <c r="H102" i="79" s="1"/>
  <c r="D101" i="56"/>
  <c r="H101" i="79" s="1"/>
  <c r="D100" i="56"/>
  <c r="H100" i="79" s="1"/>
  <c r="D99" i="56"/>
  <c r="H99" i="79" s="1"/>
  <c r="D98" i="56"/>
  <c r="H98" i="79" s="1"/>
  <c r="D97" i="56"/>
  <c r="H97" i="79" s="1"/>
  <c r="D96" i="56"/>
  <c r="H96" i="79" s="1"/>
  <c r="D95" i="56"/>
  <c r="H95" i="79" s="1"/>
  <c r="D94" i="56"/>
  <c r="H94" i="79" s="1"/>
  <c r="D93" i="56"/>
  <c r="H93" i="79" s="1"/>
  <c r="D92" i="56"/>
  <c r="H92" i="79" s="1"/>
  <c r="D91" i="56"/>
  <c r="H91" i="79" s="1"/>
  <c r="D90" i="56"/>
  <c r="H90" i="79" s="1"/>
  <c r="D89" i="56"/>
  <c r="H89" i="79" s="1"/>
  <c r="D88" i="56"/>
  <c r="H88" i="79" s="1"/>
  <c r="D87" i="56"/>
  <c r="H87" i="79" s="1"/>
  <c r="D86" i="56"/>
  <c r="H86" i="79" s="1"/>
  <c r="D85" i="56"/>
  <c r="H85" i="79" s="1"/>
  <c r="D84" i="56"/>
  <c r="H84" i="79" s="1"/>
  <c r="D83" i="56"/>
  <c r="H83" i="79" s="1"/>
  <c r="D82" i="56"/>
  <c r="H82" i="79" s="1"/>
  <c r="D81" i="56"/>
  <c r="H81" i="79" s="1"/>
  <c r="D80" i="56"/>
  <c r="H80" i="79" s="1"/>
  <c r="D79" i="56"/>
  <c r="H79" i="79" s="1"/>
  <c r="D78" i="56"/>
  <c r="H78" i="79" s="1"/>
  <c r="D77" i="56"/>
  <c r="H77" i="79" s="1"/>
  <c r="D76" i="56"/>
  <c r="H76" i="79" s="1"/>
  <c r="D75" i="56"/>
  <c r="H75" i="79" s="1"/>
  <c r="D74" i="56"/>
  <c r="H74" i="79" s="1"/>
  <c r="D73" i="56"/>
  <c r="I73" s="1"/>
  <c r="K73" i="79" s="1"/>
  <c r="D72" i="56"/>
  <c r="H72" i="79" s="1"/>
  <c r="D71" i="56"/>
  <c r="H71" i="79" s="1"/>
  <c r="D70" i="56"/>
  <c r="H70" i="79" s="1"/>
  <c r="D69" i="56"/>
  <c r="H69" i="79" s="1"/>
  <c r="D68" i="56"/>
  <c r="H68" i="79" s="1"/>
  <c r="D67" i="56"/>
  <c r="H67" i="79" s="1"/>
  <c r="D66" i="56"/>
  <c r="H66" i="79" s="1"/>
  <c r="D65" i="56"/>
  <c r="H65" i="79" s="1"/>
  <c r="D64" i="56"/>
  <c r="H64" i="79" s="1"/>
  <c r="D63" i="56"/>
  <c r="H63" i="79" s="1"/>
  <c r="D62" i="56"/>
  <c r="H62" i="79" s="1"/>
  <c r="D61" i="56"/>
  <c r="H61" i="79" s="1"/>
  <c r="D60" i="56"/>
  <c r="H60" i="79" s="1"/>
  <c r="D59" i="56"/>
  <c r="H59" i="79" s="1"/>
  <c r="D58" i="56"/>
  <c r="H58" i="79" s="1"/>
  <c r="D57" i="56"/>
  <c r="I57" s="1"/>
  <c r="K57" i="79" s="1"/>
  <c r="D56" i="56"/>
  <c r="H56" i="79" s="1"/>
  <c r="D55" i="56"/>
  <c r="H55" i="79" s="1"/>
  <c r="D54" i="56"/>
  <c r="H54" i="79" s="1"/>
  <c r="D53" i="56"/>
  <c r="H53" i="79" s="1"/>
  <c r="D52" i="56"/>
  <c r="H52" i="79" s="1"/>
  <c r="D51" i="56"/>
  <c r="H51" i="79" s="1"/>
  <c r="D50" i="56"/>
  <c r="H50" i="79" s="1"/>
  <c r="D49" i="56"/>
  <c r="H49" i="79" s="1"/>
  <c r="D48" i="56"/>
  <c r="H48" i="79" s="1"/>
  <c r="D47" i="56"/>
  <c r="H47" i="79" s="1"/>
  <c r="D46" i="56"/>
  <c r="H46" i="79" s="1"/>
  <c r="D45" i="56"/>
  <c r="H45" i="79" s="1"/>
  <c r="D44" i="56"/>
  <c r="H44" i="79" s="1"/>
  <c r="D43" i="56"/>
  <c r="H43" i="79" s="1"/>
  <c r="D42" i="56"/>
  <c r="H42" i="79" s="1"/>
  <c r="D41" i="56"/>
  <c r="I41" s="1"/>
  <c r="K41" i="79" s="1"/>
  <c r="D40" i="56"/>
  <c r="H40" i="79" s="1"/>
  <c r="D39" i="56"/>
  <c r="H39" i="79" s="1"/>
  <c r="D38" i="56"/>
  <c r="H38" i="79" s="1"/>
  <c r="D37" i="56"/>
  <c r="H37" i="79" s="1"/>
  <c r="D36" i="56"/>
  <c r="H36" i="79" s="1"/>
  <c r="D35" i="56"/>
  <c r="H35" i="79" s="1"/>
  <c r="D34" i="56"/>
  <c r="H34" i="79" s="1"/>
  <c r="D33" i="56"/>
  <c r="H33" i="79" s="1"/>
  <c r="D32" i="56"/>
  <c r="H32" i="79" s="1"/>
  <c r="D31" i="56"/>
  <c r="H31" i="79" s="1"/>
  <c r="D30" i="56"/>
  <c r="H30" i="79" s="1"/>
  <c r="D29" i="56"/>
  <c r="H29" i="79" s="1"/>
  <c r="D28" i="56"/>
  <c r="H28" i="79" s="1"/>
  <c r="D27" i="56"/>
  <c r="H27" i="79" s="1"/>
  <c r="D26" i="56"/>
  <c r="H26" i="79" s="1"/>
  <c r="D25" i="56"/>
  <c r="H25" i="79" s="1"/>
  <c r="D24" i="56"/>
  <c r="H24" i="79" s="1"/>
  <c r="D23" i="56"/>
  <c r="H23" i="79" s="1"/>
  <c r="D22" i="56"/>
  <c r="H22" i="79" s="1"/>
  <c r="D21" i="56"/>
  <c r="H21" i="79" s="1"/>
  <c r="D20" i="56"/>
  <c r="H20" i="79" s="1"/>
  <c r="D19" i="56"/>
  <c r="H19" i="79" s="1"/>
  <c r="D18" i="56"/>
  <c r="H18" i="79" s="1"/>
  <c r="D17" i="56"/>
  <c r="H17" i="79" s="1"/>
  <c r="D16" i="56"/>
  <c r="H16" i="79" s="1"/>
  <c r="D15" i="56"/>
  <c r="H15" i="79" s="1"/>
  <c r="D14" i="56"/>
  <c r="H14" i="79" s="1"/>
  <c r="D13" i="56"/>
  <c r="H13" i="79" s="1"/>
  <c r="D12" i="56"/>
  <c r="H12" i="79" s="1"/>
  <c r="D11" i="56"/>
  <c r="H11" i="79" s="1"/>
  <c r="D10" i="56"/>
  <c r="H10" i="79" s="1"/>
  <c r="D9" i="56"/>
  <c r="I9" s="1"/>
  <c r="K9" i="79" s="1"/>
  <c r="D8" i="56"/>
  <c r="H8" i="79" s="1"/>
  <c r="D7" i="56"/>
  <c r="H7" i="79" s="1"/>
  <c r="D6" i="56"/>
  <c r="H6" i="79" s="1"/>
  <c r="I124" i="62"/>
  <c r="I105"/>
  <c r="I104"/>
  <c r="I98"/>
  <c r="I97"/>
  <c r="I96"/>
  <c r="I94"/>
  <c r="I92"/>
  <c r="I88"/>
  <c r="I84"/>
  <c r="I80"/>
  <c r="I78"/>
  <c r="I76"/>
  <c r="I72"/>
  <c r="I69"/>
  <c r="I68"/>
  <c r="I65"/>
  <c r="I64"/>
  <c r="I61"/>
  <c r="I56"/>
  <c r="I32"/>
  <c r="I28"/>
  <c r="I10"/>
  <c r="I9"/>
  <c r="I8"/>
  <c r="I5"/>
  <c r="H116"/>
  <c r="H105"/>
  <c r="H104"/>
  <c r="H98"/>
  <c r="H97"/>
  <c r="H96"/>
  <c r="H94"/>
  <c r="H93"/>
  <c r="H92"/>
  <c r="H88"/>
  <c r="H85"/>
  <c r="H84"/>
  <c r="H76"/>
  <c r="H74"/>
  <c r="H72"/>
  <c r="H70"/>
  <c r="H69"/>
  <c r="H68"/>
  <c r="H66"/>
  <c r="H65"/>
  <c r="H64"/>
  <c r="H62"/>
  <c r="H61"/>
  <c r="H58"/>
  <c r="H57"/>
  <c r="H56"/>
  <c r="H54"/>
  <c r="H49"/>
  <c r="H48"/>
  <c r="H45"/>
  <c r="H44"/>
  <c r="H40"/>
  <c r="H36"/>
  <c r="H24"/>
  <c r="H22"/>
  <c r="H21"/>
  <c r="H18"/>
  <c r="H17"/>
  <c r="H16"/>
  <c r="H14"/>
  <c r="H13"/>
  <c r="H8"/>
  <c r="H124"/>
  <c r="H123"/>
  <c r="H122"/>
  <c r="H121"/>
  <c r="H120"/>
  <c r="H119"/>
  <c r="H118"/>
  <c r="H117"/>
  <c r="H115"/>
  <c r="H114"/>
  <c r="H113"/>
  <c r="H112"/>
  <c r="H111"/>
  <c r="H110"/>
  <c r="H109"/>
  <c r="H108"/>
  <c r="H107"/>
  <c r="H106"/>
  <c r="H103"/>
  <c r="H102"/>
  <c r="H101"/>
  <c r="H100"/>
  <c r="H99"/>
  <c r="H95"/>
  <c r="H91"/>
  <c r="H90"/>
  <c r="H89"/>
  <c r="H87"/>
  <c r="H86"/>
  <c r="H83"/>
  <c r="H82"/>
  <c r="H81"/>
  <c r="H80"/>
  <c r="H79"/>
  <c r="H78"/>
  <c r="H77"/>
  <c r="H75"/>
  <c r="H73"/>
  <c r="H71"/>
  <c r="H67"/>
  <c r="H63"/>
  <c r="H60"/>
  <c r="H59"/>
  <c r="H55"/>
  <c r="H53"/>
  <c r="H52"/>
  <c r="H51"/>
  <c r="H50"/>
  <c r="H47"/>
  <c r="H46"/>
  <c r="H43"/>
  <c r="H42"/>
  <c r="H41"/>
  <c r="H39"/>
  <c r="H38"/>
  <c r="H37"/>
  <c r="H35"/>
  <c r="H34"/>
  <c r="H33"/>
  <c r="H32"/>
  <c r="H31"/>
  <c r="H30"/>
  <c r="H29"/>
  <c r="H28"/>
  <c r="H27"/>
  <c r="H26"/>
  <c r="H25"/>
  <c r="H23"/>
  <c r="H20"/>
  <c r="H19"/>
  <c r="H15"/>
  <c r="H12"/>
  <c r="H11"/>
  <c r="H10"/>
  <c r="H9"/>
  <c r="H7"/>
  <c r="H6"/>
  <c r="H5"/>
  <c r="I123"/>
  <c r="I122"/>
  <c r="I121"/>
  <c r="I120"/>
  <c r="I119"/>
  <c r="I118"/>
  <c r="I117"/>
  <c r="I116"/>
  <c r="I115"/>
  <c r="I114"/>
  <c r="I113"/>
  <c r="I112"/>
  <c r="I111"/>
  <c r="I110"/>
  <c r="I109"/>
  <c r="I108"/>
  <c r="I107"/>
  <c r="I106"/>
  <c r="I103"/>
  <c r="I102"/>
  <c r="I101"/>
  <c r="I100"/>
  <c r="I99"/>
  <c r="I95"/>
  <c r="I93"/>
  <c r="I91"/>
  <c r="I90"/>
  <c r="I89"/>
  <c r="I87"/>
  <c r="I86"/>
  <c r="I85"/>
  <c r="I83"/>
  <c r="I82"/>
  <c r="I81"/>
  <c r="I79"/>
  <c r="I77"/>
  <c r="I75"/>
  <c r="I74"/>
  <c r="I73"/>
  <c r="I71"/>
  <c r="I70"/>
  <c r="I67"/>
  <c r="I66"/>
  <c r="I63"/>
  <c r="I62"/>
  <c r="I60"/>
  <c r="I59"/>
  <c r="I58"/>
  <c r="I57"/>
  <c r="I55"/>
  <c r="I54"/>
  <c r="I53"/>
  <c r="I52"/>
  <c r="I51"/>
  <c r="I50"/>
  <c r="I49"/>
  <c r="I48"/>
  <c r="I47"/>
  <c r="I46"/>
  <c r="I45"/>
  <c r="I44"/>
  <c r="I43"/>
  <c r="I42"/>
  <c r="I41"/>
  <c r="I40"/>
  <c r="I39"/>
  <c r="I38"/>
  <c r="I37"/>
  <c r="I36"/>
  <c r="I35"/>
  <c r="I34"/>
  <c r="I33"/>
  <c r="I31"/>
  <c r="I30"/>
  <c r="I29"/>
  <c r="I27"/>
  <c r="I26"/>
  <c r="I25"/>
  <c r="I24"/>
  <c r="I23"/>
  <c r="I22"/>
  <c r="I21"/>
  <c r="I20"/>
  <c r="I19"/>
  <c r="I18"/>
  <c r="I17"/>
  <c r="I16"/>
  <c r="I15"/>
  <c r="I14"/>
  <c r="I13"/>
  <c r="I12"/>
  <c r="I11"/>
  <c r="I7"/>
  <c r="I6"/>
  <c r="I124" i="117"/>
  <c r="I123"/>
  <c r="I122"/>
  <c r="I121"/>
  <c r="I120"/>
  <c r="I119"/>
  <c r="I118"/>
  <c r="I117"/>
  <c r="I116"/>
  <c r="I115"/>
  <c r="I114"/>
  <c r="I113"/>
  <c r="I112"/>
  <c r="I111"/>
  <c r="I110"/>
  <c r="I109"/>
  <c r="I108"/>
  <c r="I107"/>
  <c r="I106"/>
  <c r="I105"/>
  <c r="I104"/>
  <c r="I103"/>
  <c r="I102"/>
  <c r="I101"/>
  <c r="I100"/>
  <c r="I99"/>
  <c r="I98"/>
  <c r="I97"/>
  <c r="I96"/>
  <c r="I95"/>
  <c r="I94"/>
  <c r="I93"/>
  <c r="I92"/>
  <c r="I91"/>
  <c r="I90"/>
  <c r="I89"/>
  <c r="I88"/>
  <c r="I87"/>
  <c r="I86"/>
  <c r="I85"/>
  <c r="I84"/>
  <c r="I83"/>
  <c r="I82"/>
  <c r="I81"/>
  <c r="I80"/>
  <c r="I79"/>
  <c r="I78"/>
  <c r="I77"/>
  <c r="I76"/>
  <c r="I75"/>
  <c r="I74"/>
  <c r="I73"/>
  <c r="I72"/>
  <c r="I71"/>
  <c r="I70"/>
  <c r="I69"/>
  <c r="I68"/>
  <c r="I67"/>
  <c r="I66"/>
  <c r="I65"/>
  <c r="I64"/>
  <c r="I63"/>
  <c r="I62"/>
  <c r="I61"/>
  <c r="I60"/>
  <c r="I59"/>
  <c r="I58"/>
  <c r="I57"/>
  <c r="I56"/>
  <c r="I55"/>
  <c r="I54"/>
  <c r="I53"/>
  <c r="I52"/>
  <c r="I51"/>
  <c r="I50"/>
  <c r="I49"/>
  <c r="I48"/>
  <c r="I47"/>
  <c r="I46"/>
  <c r="I45"/>
  <c r="I44"/>
  <c r="I43"/>
  <c r="I42"/>
  <c r="I41"/>
  <c r="I40"/>
  <c r="I39"/>
  <c r="I38"/>
  <c r="I37"/>
  <c r="I36"/>
  <c r="I35"/>
  <c r="I34"/>
  <c r="I33"/>
  <c r="I32"/>
  <c r="I31"/>
  <c r="I30"/>
  <c r="I29"/>
  <c r="I28"/>
  <c r="I27"/>
  <c r="I26"/>
  <c r="I25"/>
  <c r="I24"/>
  <c r="I23"/>
  <c r="I22"/>
  <c r="I21"/>
  <c r="I20"/>
  <c r="I19"/>
  <c r="I18"/>
  <c r="I17"/>
  <c r="I16"/>
  <c r="I15"/>
  <c r="I14"/>
  <c r="I13"/>
  <c r="I12"/>
  <c r="I11"/>
  <c r="I10"/>
  <c r="I9"/>
  <c r="I8"/>
  <c r="I7"/>
  <c r="I6"/>
  <c r="I5"/>
  <c r="H124"/>
  <c r="H123"/>
  <c r="H122"/>
  <c r="H121"/>
  <c r="H120"/>
  <c r="H119"/>
  <c r="H118"/>
  <c r="H117"/>
  <c r="H116"/>
  <c r="H115"/>
  <c r="H114"/>
  <c r="H113"/>
  <c r="H112"/>
  <c r="H111"/>
  <c r="H110"/>
  <c r="H109"/>
  <c r="H108"/>
  <c r="H107"/>
  <c r="H106"/>
  <c r="H105"/>
  <c r="H104"/>
  <c r="H103"/>
  <c r="H102"/>
  <c r="H101"/>
  <c r="H100"/>
  <c r="H99"/>
  <c r="H98"/>
  <c r="H97"/>
  <c r="H96"/>
  <c r="H95"/>
  <c r="H94"/>
  <c r="H93"/>
  <c r="H92"/>
  <c r="H91"/>
  <c r="H90"/>
  <c r="H89"/>
  <c r="H88"/>
  <c r="H87"/>
  <c r="H86"/>
  <c r="H85"/>
  <c r="H84"/>
  <c r="H83"/>
  <c r="H82"/>
  <c r="H81"/>
  <c r="H80"/>
  <c r="H79"/>
  <c r="H78"/>
  <c r="H77"/>
  <c r="H76"/>
  <c r="H75"/>
  <c r="H74"/>
  <c r="H73"/>
  <c r="H72"/>
  <c r="H71"/>
  <c r="H70"/>
  <c r="H69"/>
  <c r="H68"/>
  <c r="H67"/>
  <c r="H66"/>
  <c r="H65"/>
  <c r="H64"/>
  <c r="H63"/>
  <c r="H62"/>
  <c r="H61"/>
  <c r="H60"/>
  <c r="H59"/>
  <c r="H58"/>
  <c r="H57"/>
  <c r="H56"/>
  <c r="H55"/>
  <c r="H54"/>
  <c r="H53"/>
  <c r="H52"/>
  <c r="H51"/>
  <c r="H50"/>
  <c r="H49"/>
  <c r="H48"/>
  <c r="H47"/>
  <c r="H46"/>
  <c r="H45"/>
  <c r="H44"/>
  <c r="H43"/>
  <c r="H42"/>
  <c r="H41"/>
  <c r="H40"/>
  <c r="H39"/>
  <c r="H38"/>
  <c r="H37"/>
  <c r="H36"/>
  <c r="H35"/>
  <c r="H34"/>
  <c r="H33"/>
  <c r="H32"/>
  <c r="H31"/>
  <c r="H30"/>
  <c r="H29"/>
  <c r="H28"/>
  <c r="H27"/>
  <c r="H26"/>
  <c r="H25"/>
  <c r="H24"/>
  <c r="H23"/>
  <c r="H22"/>
  <c r="H21"/>
  <c r="H20"/>
  <c r="H19"/>
  <c r="H18"/>
  <c r="H17"/>
  <c r="H16"/>
  <c r="H15"/>
  <c r="H14"/>
  <c r="H13"/>
  <c r="H12"/>
  <c r="H11"/>
  <c r="H10"/>
  <c r="H9"/>
  <c r="H8"/>
  <c r="H7"/>
  <c r="H6"/>
  <c r="H5"/>
  <c r="F124" i="60"/>
  <c r="F125" i="118" s="1"/>
  <c r="F123" i="60"/>
  <c r="F124" i="118" s="1"/>
  <c r="F122" i="60"/>
  <c r="F123" i="118" s="1"/>
  <c r="F121" i="60"/>
  <c r="F122" i="118" s="1"/>
  <c r="F120" i="60"/>
  <c r="F121" i="118" s="1"/>
  <c r="F119" i="60"/>
  <c r="F120" i="118" s="1"/>
  <c r="F118" i="60"/>
  <c r="F119" i="118" s="1"/>
  <c r="F117" i="60"/>
  <c r="F118" i="118" s="1"/>
  <c r="F116" i="60"/>
  <c r="F117" i="118" s="1"/>
  <c r="F115" i="60"/>
  <c r="F116" i="118" s="1"/>
  <c r="F114" i="60"/>
  <c r="F115" i="118" s="1"/>
  <c r="F113" i="60"/>
  <c r="F114" i="118" s="1"/>
  <c r="F112" i="60"/>
  <c r="F113" i="118" s="1"/>
  <c r="F111" i="60"/>
  <c r="F112" i="118" s="1"/>
  <c r="F110" i="60"/>
  <c r="F111" i="118" s="1"/>
  <c r="F109" i="60"/>
  <c r="F110" i="118" s="1"/>
  <c r="F108" i="60"/>
  <c r="F109" i="118" s="1"/>
  <c r="F107" i="60"/>
  <c r="F108" i="118" s="1"/>
  <c r="F106" i="60"/>
  <c r="F107" i="118" s="1"/>
  <c r="F105" i="60"/>
  <c r="F106" i="118" s="1"/>
  <c r="F104" i="60"/>
  <c r="F105" i="118" s="1"/>
  <c r="F103" i="60"/>
  <c r="F104" i="118" s="1"/>
  <c r="F102" i="60"/>
  <c r="F103" i="118" s="1"/>
  <c r="F101" i="60"/>
  <c r="F102" i="118" s="1"/>
  <c r="F100" i="60"/>
  <c r="F101" i="118" s="1"/>
  <c r="F99" i="60"/>
  <c r="F100" i="118" s="1"/>
  <c r="F98" i="60"/>
  <c r="F99" i="118" s="1"/>
  <c r="F97" i="60"/>
  <c r="F98" i="118" s="1"/>
  <c r="F96" i="60"/>
  <c r="F97" i="118" s="1"/>
  <c r="F95" i="60"/>
  <c r="F96" i="118" s="1"/>
  <c r="F94" i="60"/>
  <c r="F95" i="118" s="1"/>
  <c r="F93" i="60"/>
  <c r="F94" i="118" s="1"/>
  <c r="F92" i="60"/>
  <c r="F93" i="118" s="1"/>
  <c r="F91" i="60"/>
  <c r="F92" i="118" s="1"/>
  <c r="F90" i="60"/>
  <c r="F91" i="118" s="1"/>
  <c r="F89" i="60"/>
  <c r="F90" i="118" s="1"/>
  <c r="F88" i="60"/>
  <c r="F89" i="118" s="1"/>
  <c r="F87" i="60"/>
  <c r="F88" i="118" s="1"/>
  <c r="F86" i="60"/>
  <c r="F87" i="118" s="1"/>
  <c r="F85" i="60"/>
  <c r="F86" i="118" s="1"/>
  <c r="F84" i="60"/>
  <c r="F85" i="118" s="1"/>
  <c r="F83" i="60"/>
  <c r="F84" i="118" s="1"/>
  <c r="F82" i="60"/>
  <c r="F83" i="118" s="1"/>
  <c r="F81" i="60"/>
  <c r="F82" i="118" s="1"/>
  <c r="F80" i="60"/>
  <c r="F81" i="118" s="1"/>
  <c r="F79" i="60"/>
  <c r="F80" i="118" s="1"/>
  <c r="F78" i="60"/>
  <c r="F79" i="118" s="1"/>
  <c r="F77" i="60"/>
  <c r="F78" i="118" s="1"/>
  <c r="F76" i="60"/>
  <c r="F77" i="118" s="1"/>
  <c r="F75" i="60"/>
  <c r="F76" i="118" s="1"/>
  <c r="F74" i="60"/>
  <c r="F75" i="118" s="1"/>
  <c r="F73" i="60"/>
  <c r="F74" i="118" s="1"/>
  <c r="F72" i="60"/>
  <c r="F73" i="118" s="1"/>
  <c r="F71" i="60"/>
  <c r="F72" i="118" s="1"/>
  <c r="F70" i="60"/>
  <c r="F71" i="118" s="1"/>
  <c r="F69" i="60"/>
  <c r="F70" i="118" s="1"/>
  <c r="F68" i="60"/>
  <c r="F69" i="118" s="1"/>
  <c r="F67" i="60"/>
  <c r="F68" i="118" s="1"/>
  <c r="F66" i="60"/>
  <c r="F67" i="118" s="1"/>
  <c r="F65" i="60"/>
  <c r="F66" i="118" s="1"/>
  <c r="F64" i="60"/>
  <c r="F65" i="118" s="1"/>
  <c r="F63" i="60"/>
  <c r="F64" i="118" s="1"/>
  <c r="F62" i="60"/>
  <c r="F63" i="118" s="1"/>
  <c r="F61" i="60"/>
  <c r="F62" i="118" s="1"/>
  <c r="F60" i="60"/>
  <c r="F61" i="118" s="1"/>
  <c r="F59" i="60"/>
  <c r="F60" i="118" s="1"/>
  <c r="F58" i="60"/>
  <c r="F59" i="118" s="1"/>
  <c r="F57" i="60"/>
  <c r="F58" i="118" s="1"/>
  <c r="F56" i="60"/>
  <c r="F57" i="118" s="1"/>
  <c r="F55" i="60"/>
  <c r="F56" i="118" s="1"/>
  <c r="F54" i="60"/>
  <c r="F55" i="118" s="1"/>
  <c r="F53" i="60"/>
  <c r="F54" i="118" s="1"/>
  <c r="F52" i="60"/>
  <c r="F53" i="118" s="1"/>
  <c r="F51" i="60"/>
  <c r="F52" i="118" s="1"/>
  <c r="F50" i="60"/>
  <c r="F51" i="118" s="1"/>
  <c r="F49" i="60"/>
  <c r="F50" i="118" s="1"/>
  <c r="F48" i="60"/>
  <c r="F49" i="118" s="1"/>
  <c r="F47" i="60"/>
  <c r="F48" i="118" s="1"/>
  <c r="F46" i="60"/>
  <c r="F47" i="118" s="1"/>
  <c r="F45" i="60"/>
  <c r="F46" i="118" s="1"/>
  <c r="F44" i="60"/>
  <c r="F45" i="118" s="1"/>
  <c r="F43" i="60"/>
  <c r="F44" i="118" s="1"/>
  <c r="F42" i="60"/>
  <c r="F43" i="118" s="1"/>
  <c r="F41" i="60"/>
  <c r="F42" i="118" s="1"/>
  <c r="F40" i="60"/>
  <c r="F41" i="118" s="1"/>
  <c r="F39" i="60"/>
  <c r="F40" i="118" s="1"/>
  <c r="F38" i="60"/>
  <c r="F39" i="118" s="1"/>
  <c r="F37" i="60"/>
  <c r="F38" i="118" s="1"/>
  <c r="F36" i="60"/>
  <c r="F37" i="118" s="1"/>
  <c r="F35" i="60"/>
  <c r="F36" i="118" s="1"/>
  <c r="F34" i="60"/>
  <c r="F35" i="118" s="1"/>
  <c r="F33" i="60"/>
  <c r="F34" i="118" s="1"/>
  <c r="F32" i="60"/>
  <c r="F33" i="118" s="1"/>
  <c r="F31" i="60"/>
  <c r="F32" i="118" s="1"/>
  <c r="F30" i="60"/>
  <c r="F31" i="118" s="1"/>
  <c r="F29" i="60"/>
  <c r="F30" i="118" s="1"/>
  <c r="F28" i="60"/>
  <c r="F29" i="118" s="1"/>
  <c r="F27" i="60"/>
  <c r="F28" i="118" s="1"/>
  <c r="F26" i="60"/>
  <c r="F27" i="118" s="1"/>
  <c r="F25" i="60"/>
  <c r="F26" i="118" s="1"/>
  <c r="F24" i="60"/>
  <c r="F25" i="118" s="1"/>
  <c r="F23" i="60"/>
  <c r="F24" i="118" s="1"/>
  <c r="F22" i="60"/>
  <c r="F23" i="118" s="1"/>
  <c r="F21" i="60"/>
  <c r="F22" i="118" s="1"/>
  <c r="F20" i="60"/>
  <c r="F21" i="118" s="1"/>
  <c r="F19" i="60"/>
  <c r="F20" i="118" s="1"/>
  <c r="F18" i="60"/>
  <c r="F19" i="118" s="1"/>
  <c r="F17" i="60"/>
  <c r="F18" i="118" s="1"/>
  <c r="F16" i="60"/>
  <c r="F17" i="118" s="1"/>
  <c r="F15" i="60"/>
  <c r="F16" i="118" s="1"/>
  <c r="F14" i="60"/>
  <c r="F15" i="118" s="1"/>
  <c r="F13" i="60"/>
  <c r="F14" i="118" s="1"/>
  <c r="F12" i="60"/>
  <c r="F13" i="118" s="1"/>
  <c r="F11" i="60"/>
  <c r="F12" i="118" s="1"/>
  <c r="F10" i="60"/>
  <c r="F11" i="118" s="1"/>
  <c r="F9" i="60"/>
  <c r="F10" i="118" s="1"/>
  <c r="F8" i="60"/>
  <c r="F9" i="118" s="1"/>
  <c r="F7" i="60"/>
  <c r="F8" i="118" s="1"/>
  <c r="F6" i="60"/>
  <c r="F7" i="118" s="1"/>
  <c r="F5" i="60"/>
  <c r="F6" i="118" s="1"/>
  <c r="E124" i="60"/>
  <c r="E123"/>
  <c r="E122"/>
  <c r="E121"/>
  <c r="E120"/>
  <c r="E119"/>
  <c r="E118"/>
  <c r="E117"/>
  <c r="E116"/>
  <c r="E115"/>
  <c r="E114"/>
  <c r="E113"/>
  <c r="E112"/>
  <c r="E111"/>
  <c r="E110"/>
  <c r="E109"/>
  <c r="E108"/>
  <c r="E107"/>
  <c r="E106"/>
  <c r="E105"/>
  <c r="E104"/>
  <c r="E103"/>
  <c r="E102"/>
  <c r="E101"/>
  <c r="E100"/>
  <c r="E99"/>
  <c r="E98"/>
  <c r="E97"/>
  <c r="E96"/>
  <c r="E95"/>
  <c r="E94"/>
  <c r="E93"/>
  <c r="E92"/>
  <c r="E91"/>
  <c r="E90"/>
  <c r="E89"/>
  <c r="E88"/>
  <c r="E87"/>
  <c r="E86"/>
  <c r="E85"/>
  <c r="E84"/>
  <c r="E83"/>
  <c r="E82"/>
  <c r="E81"/>
  <c r="E80"/>
  <c r="E79"/>
  <c r="E78"/>
  <c r="E77"/>
  <c r="E76"/>
  <c r="E75"/>
  <c r="E74"/>
  <c r="E73"/>
  <c r="E72"/>
  <c r="E71"/>
  <c r="E70"/>
  <c r="E69"/>
  <c r="E68"/>
  <c r="E67"/>
  <c r="E66"/>
  <c r="E65"/>
  <c r="E64"/>
  <c r="E63"/>
  <c r="E62"/>
  <c r="E61"/>
  <c r="E60"/>
  <c r="E59"/>
  <c r="E58"/>
  <c r="E57"/>
  <c r="E56"/>
  <c r="E55"/>
  <c r="E54"/>
  <c r="E53"/>
  <c r="E52"/>
  <c r="E51"/>
  <c r="E50"/>
  <c r="E49"/>
  <c r="E48"/>
  <c r="E47"/>
  <c r="E46"/>
  <c r="E45"/>
  <c r="E44"/>
  <c r="E43"/>
  <c r="E42"/>
  <c r="E41"/>
  <c r="E40"/>
  <c r="E39"/>
  <c r="E38"/>
  <c r="E37"/>
  <c r="E36"/>
  <c r="E35"/>
  <c r="E34"/>
  <c r="E33"/>
  <c r="E32"/>
  <c r="E31"/>
  <c r="E30"/>
  <c r="E29"/>
  <c r="E28"/>
  <c r="E27"/>
  <c r="E26"/>
  <c r="E25"/>
  <c r="E24"/>
  <c r="E23"/>
  <c r="E22"/>
  <c r="E21"/>
  <c r="E20"/>
  <c r="E19"/>
  <c r="E18"/>
  <c r="E17"/>
  <c r="E16"/>
  <c r="E15"/>
  <c r="E14"/>
  <c r="E13"/>
  <c r="E12"/>
  <c r="E11"/>
  <c r="E10"/>
  <c r="E9"/>
  <c r="E8"/>
  <c r="E7"/>
  <c r="E6"/>
  <c r="E5"/>
  <c r="D124"/>
  <c r="D123"/>
  <c r="D122"/>
  <c r="D121"/>
  <c r="D120"/>
  <c r="D119"/>
  <c r="D118"/>
  <c r="D117"/>
  <c r="D116"/>
  <c r="D115"/>
  <c r="D114"/>
  <c r="D113"/>
  <c r="D112"/>
  <c r="D111"/>
  <c r="D110"/>
  <c r="D109"/>
  <c r="D108"/>
  <c r="D107"/>
  <c r="D106"/>
  <c r="D105"/>
  <c r="D104"/>
  <c r="D103"/>
  <c r="D102"/>
  <c r="D101"/>
  <c r="D100"/>
  <c r="D99"/>
  <c r="D98"/>
  <c r="D97"/>
  <c r="D96"/>
  <c r="D95"/>
  <c r="D94"/>
  <c r="D93"/>
  <c r="D92"/>
  <c r="D91"/>
  <c r="D90"/>
  <c r="D89"/>
  <c r="D88"/>
  <c r="D87"/>
  <c r="D86"/>
  <c r="D85"/>
  <c r="D84"/>
  <c r="D83"/>
  <c r="D82"/>
  <c r="D81"/>
  <c r="D80"/>
  <c r="D79"/>
  <c r="D78"/>
  <c r="D77"/>
  <c r="D76"/>
  <c r="D75"/>
  <c r="D74"/>
  <c r="D73"/>
  <c r="D72"/>
  <c r="D71"/>
  <c r="D70"/>
  <c r="D69"/>
  <c r="D68"/>
  <c r="D67"/>
  <c r="D66"/>
  <c r="D65"/>
  <c r="D64"/>
  <c r="D63"/>
  <c r="D62"/>
  <c r="D61"/>
  <c r="D60"/>
  <c r="D59"/>
  <c r="D58"/>
  <c r="D57"/>
  <c r="D56"/>
  <c r="D55"/>
  <c r="D54"/>
  <c r="D53"/>
  <c r="D52"/>
  <c r="D51"/>
  <c r="D50"/>
  <c r="D49"/>
  <c r="D48"/>
  <c r="D47"/>
  <c r="D46"/>
  <c r="D45"/>
  <c r="D44"/>
  <c r="D43"/>
  <c r="D42"/>
  <c r="D41"/>
  <c r="D40"/>
  <c r="D39"/>
  <c r="D38"/>
  <c r="D37"/>
  <c r="D36"/>
  <c r="D35"/>
  <c r="D34"/>
  <c r="D33"/>
  <c r="D32"/>
  <c r="D31"/>
  <c r="D30"/>
  <c r="D29"/>
  <c r="D28"/>
  <c r="D27"/>
  <c r="D26"/>
  <c r="D25"/>
  <c r="D24"/>
  <c r="D23"/>
  <c r="D22"/>
  <c r="D21"/>
  <c r="D20"/>
  <c r="D19"/>
  <c r="D18"/>
  <c r="D17"/>
  <c r="D16"/>
  <c r="D15"/>
  <c r="D14"/>
  <c r="D13"/>
  <c r="D12"/>
  <c r="D11"/>
  <c r="D10"/>
  <c r="D9"/>
  <c r="D8"/>
  <c r="D7"/>
  <c r="D6"/>
  <c r="D5"/>
  <c r="AN125"/>
  <c r="AO125" s="1"/>
  <c r="AN124"/>
  <c r="AO124" s="1"/>
  <c r="AN123"/>
  <c r="AO123" s="1"/>
  <c r="AN122"/>
  <c r="AO122" s="1"/>
  <c r="AN121"/>
  <c r="AO121" s="1"/>
  <c r="AN120"/>
  <c r="AO120" s="1"/>
  <c r="AN119"/>
  <c r="AO119" s="1"/>
  <c r="AN118"/>
  <c r="AO118" s="1"/>
  <c r="AN117"/>
  <c r="AO117" s="1"/>
  <c r="AN116"/>
  <c r="AO116" s="1"/>
  <c r="AN115"/>
  <c r="AO115" s="1"/>
  <c r="AO114"/>
  <c r="AN114"/>
  <c r="AN113"/>
  <c r="AO113" s="1"/>
  <c r="AN112"/>
  <c r="AO112" s="1"/>
  <c r="AN111"/>
  <c r="AO111" s="1"/>
  <c r="AN110"/>
  <c r="AN109"/>
  <c r="AO109" s="1"/>
  <c r="AN108"/>
  <c r="AO108" s="1"/>
  <c r="AN107"/>
  <c r="AO107" s="1"/>
  <c r="AN106"/>
  <c r="AO106" s="1"/>
  <c r="AN105"/>
  <c r="AO105" s="1"/>
  <c r="AO104"/>
  <c r="AN104"/>
  <c r="AN103"/>
  <c r="AO103" s="1"/>
  <c r="AN102"/>
  <c r="AN101"/>
  <c r="AO101" s="1"/>
  <c r="AN100"/>
  <c r="AO100" s="1"/>
  <c r="AN99"/>
  <c r="AO99" s="1"/>
  <c r="AN98"/>
  <c r="AO98" s="1"/>
  <c r="AN97"/>
  <c r="AO97" s="1"/>
  <c r="AO96"/>
  <c r="AN96"/>
  <c r="AN95"/>
  <c r="AO95" s="1"/>
  <c r="AN94"/>
  <c r="AN93"/>
  <c r="AO93" s="1"/>
  <c r="AN92"/>
  <c r="AO92" s="1"/>
  <c r="AN91"/>
  <c r="AO91" s="1"/>
  <c r="AN90"/>
  <c r="AO90" s="1"/>
  <c r="AN89"/>
  <c r="AO89" s="1"/>
  <c r="AN88"/>
  <c r="AO88" s="1"/>
  <c r="AN87"/>
  <c r="AO87" s="1"/>
  <c r="AN86"/>
  <c r="AO86" s="1"/>
  <c r="AN85"/>
  <c r="AO85" s="1"/>
  <c r="AN84"/>
  <c r="AO84" s="1"/>
  <c r="AN83"/>
  <c r="AO83" s="1"/>
  <c r="AO82"/>
  <c r="AN82"/>
  <c r="AN81"/>
  <c r="AO81" s="1"/>
  <c r="AN80"/>
  <c r="AO80" s="1"/>
  <c r="AN79"/>
  <c r="AO79" s="1"/>
  <c r="AN78"/>
  <c r="AN77"/>
  <c r="AO77" s="1"/>
  <c r="AN76"/>
  <c r="AO76" s="1"/>
  <c r="AN75"/>
  <c r="AO75" s="1"/>
  <c r="AN74"/>
  <c r="AO74" s="1"/>
  <c r="AN73"/>
  <c r="AO73" s="1"/>
  <c r="AO72"/>
  <c r="AN72"/>
  <c r="AN71"/>
  <c r="AO71" s="1"/>
  <c r="AN70"/>
  <c r="AO70" s="1"/>
  <c r="AN69"/>
  <c r="AO69" s="1"/>
  <c r="AN68"/>
  <c r="AO68" s="1"/>
  <c r="AN67"/>
  <c r="AO67" s="1"/>
  <c r="AN66"/>
  <c r="AO66" s="1"/>
  <c r="AN65"/>
  <c r="AO65" s="1"/>
  <c r="AO64"/>
  <c r="AN64"/>
  <c r="AN63"/>
  <c r="AO63" s="1"/>
  <c r="AN62"/>
  <c r="AN61"/>
  <c r="AO61" s="1"/>
  <c r="AN60"/>
  <c r="AO60" s="1"/>
  <c r="AN59"/>
  <c r="AO59" s="1"/>
  <c r="AN58"/>
  <c r="AO58" s="1"/>
  <c r="AN57"/>
  <c r="AO57" s="1"/>
  <c r="AN56"/>
  <c r="AO56" s="1"/>
  <c r="AN55"/>
  <c r="AO55" s="1"/>
  <c r="AN54"/>
  <c r="AN53"/>
  <c r="AO53" s="1"/>
  <c r="AN52"/>
  <c r="AO52" s="1"/>
  <c r="AN51"/>
  <c r="AO51" s="1"/>
  <c r="AO50"/>
  <c r="AN50"/>
  <c r="AN49"/>
  <c r="AO49" s="1"/>
  <c r="AN48"/>
  <c r="AO48" s="1"/>
  <c r="AN47"/>
  <c r="AO47" s="1"/>
  <c r="AN46"/>
  <c r="AN45"/>
  <c r="AO45" s="1"/>
  <c r="AN44"/>
  <c r="AO44" s="1"/>
  <c r="AN43"/>
  <c r="AO43" s="1"/>
  <c r="AN42"/>
  <c r="AO42" s="1"/>
  <c r="AN41"/>
  <c r="AO41" s="1"/>
  <c r="AO40"/>
  <c r="AN40"/>
  <c r="AN39"/>
  <c r="AO39" s="1"/>
  <c r="AN38"/>
  <c r="AO38" s="1"/>
  <c r="AN37"/>
  <c r="AO37" s="1"/>
  <c r="AN36"/>
  <c r="AO36" s="1"/>
  <c r="AN35"/>
  <c r="AO35" s="1"/>
  <c r="AN34"/>
  <c r="AO34" s="1"/>
  <c r="AN33"/>
  <c r="AO33" s="1"/>
  <c r="AO32"/>
  <c r="AN32"/>
  <c r="AN31"/>
  <c r="AO31" s="1"/>
  <c r="AN30"/>
  <c r="AN29"/>
  <c r="AO29" s="1"/>
  <c r="AN28"/>
  <c r="AO28" s="1"/>
  <c r="AN27"/>
  <c r="AO27" s="1"/>
  <c r="AN26"/>
  <c r="AO26" s="1"/>
  <c r="AN25"/>
  <c r="AO25" s="1"/>
  <c r="AN24"/>
  <c r="AO24" s="1"/>
  <c r="AN23"/>
  <c r="AO23" s="1"/>
  <c r="AN22"/>
  <c r="AN21"/>
  <c r="AO21" s="1"/>
  <c r="AN20"/>
  <c r="AO20" s="1"/>
  <c r="AN19"/>
  <c r="AO19" s="1"/>
  <c r="AO18"/>
  <c r="AN18"/>
  <c r="AN17"/>
  <c r="AO17" s="1"/>
  <c r="AN16"/>
  <c r="AO16" s="1"/>
  <c r="AN15"/>
  <c r="AO15" s="1"/>
  <c r="AN14"/>
  <c r="AN13"/>
  <c r="AO13" s="1"/>
  <c r="AN12"/>
  <c r="AO12" s="1"/>
  <c r="AN11"/>
  <c r="AO11" s="1"/>
  <c r="AN10"/>
  <c r="AO10" s="1"/>
  <c r="AN9"/>
  <c r="AO9" s="1"/>
  <c r="AO8"/>
  <c r="AN8"/>
  <c r="AN7"/>
  <c r="AO7" s="1"/>
  <c r="AN6"/>
  <c r="AO6" s="1"/>
  <c r="AO5"/>
  <c r="AN5"/>
  <c r="AF124"/>
  <c r="AG124" s="1"/>
  <c r="AF123"/>
  <c r="AG123" s="1"/>
  <c r="AF122"/>
  <c r="AG122" s="1"/>
  <c r="AG121"/>
  <c r="AF121"/>
  <c r="AF120"/>
  <c r="AG120" s="1"/>
  <c r="AF119"/>
  <c r="AG119" s="1"/>
  <c r="AF118"/>
  <c r="AG118" s="1"/>
  <c r="AF117"/>
  <c r="AG117" s="1"/>
  <c r="AF116"/>
  <c r="AG116" s="1"/>
  <c r="AG115"/>
  <c r="AF115"/>
  <c r="AF114"/>
  <c r="AG114" s="1"/>
  <c r="AF113"/>
  <c r="AG113" s="1"/>
  <c r="AF112"/>
  <c r="AG112" s="1"/>
  <c r="AF111"/>
  <c r="AG111" s="1"/>
  <c r="AF110"/>
  <c r="AG110" s="1"/>
  <c r="AG109"/>
  <c r="AF109"/>
  <c r="AF108"/>
  <c r="AG108" s="1"/>
  <c r="AF107"/>
  <c r="AG107" s="1"/>
  <c r="AF106"/>
  <c r="AG106" s="1"/>
  <c r="AG105"/>
  <c r="AF105"/>
  <c r="AF104"/>
  <c r="AG104" s="1"/>
  <c r="AF103"/>
  <c r="AG103" s="1"/>
  <c r="AF102"/>
  <c r="AG102" s="1"/>
  <c r="AF101"/>
  <c r="AG101" s="1"/>
  <c r="AF100"/>
  <c r="AG100" s="1"/>
  <c r="AG99"/>
  <c r="AF99"/>
  <c r="AF98"/>
  <c r="AG98" s="1"/>
  <c r="AF97"/>
  <c r="AG97" s="1"/>
  <c r="AF96"/>
  <c r="AG96" s="1"/>
  <c r="AF95"/>
  <c r="AG95" s="1"/>
  <c r="AF94"/>
  <c r="AG94" s="1"/>
  <c r="AG93"/>
  <c r="AF93"/>
  <c r="AF92"/>
  <c r="AG92" s="1"/>
  <c r="AF91"/>
  <c r="AG91" s="1"/>
  <c r="AF90"/>
  <c r="AG90" s="1"/>
  <c r="AF89"/>
  <c r="AG89" s="1"/>
  <c r="AF88"/>
  <c r="AG88" s="1"/>
  <c r="AF87"/>
  <c r="AG87" s="1"/>
  <c r="AF86"/>
  <c r="AG86" s="1"/>
  <c r="AF85"/>
  <c r="AG85" s="1"/>
  <c r="AF84"/>
  <c r="AG84" s="1"/>
  <c r="AF83"/>
  <c r="AG83" s="1"/>
  <c r="AF82"/>
  <c r="AG82" s="1"/>
  <c r="AF81"/>
  <c r="AG81" s="1"/>
  <c r="AF80"/>
  <c r="AG80" s="1"/>
  <c r="AF79"/>
  <c r="AG79" s="1"/>
  <c r="AF78"/>
  <c r="AG78" s="1"/>
  <c r="AF77"/>
  <c r="AG77" s="1"/>
  <c r="AF76"/>
  <c r="AG76" s="1"/>
  <c r="AF75"/>
  <c r="AG75" s="1"/>
  <c r="AF74"/>
  <c r="AG74" s="1"/>
  <c r="AG73"/>
  <c r="AF73"/>
  <c r="AF72"/>
  <c r="AG72" s="1"/>
  <c r="AF71"/>
  <c r="AG71" s="1"/>
  <c r="AF70"/>
  <c r="AG70" s="1"/>
  <c r="AF69"/>
  <c r="AG69" s="1"/>
  <c r="AF68"/>
  <c r="AG68" s="1"/>
  <c r="AG67"/>
  <c r="AF67"/>
  <c r="AF66"/>
  <c r="AG66" s="1"/>
  <c r="AF65"/>
  <c r="AG65" s="1"/>
  <c r="AF64"/>
  <c r="AG64" s="1"/>
  <c r="AF63"/>
  <c r="AF62"/>
  <c r="AG62" s="1"/>
  <c r="AG61"/>
  <c r="AF61"/>
  <c r="AF60"/>
  <c r="AG60" s="1"/>
  <c r="AF59"/>
  <c r="AG59" s="1"/>
  <c r="AF58"/>
  <c r="AG58" s="1"/>
  <c r="AF57"/>
  <c r="AG57" s="1"/>
  <c r="AF56"/>
  <c r="AG56" s="1"/>
  <c r="AF55"/>
  <c r="AG55" s="1"/>
  <c r="AF54"/>
  <c r="AG54" s="1"/>
  <c r="AF53"/>
  <c r="AG53" s="1"/>
  <c r="AF52"/>
  <c r="AG52" s="1"/>
  <c r="AF51"/>
  <c r="AG51" s="1"/>
  <c r="AF50"/>
  <c r="AG50" s="1"/>
  <c r="AF49"/>
  <c r="AG49" s="1"/>
  <c r="AF48"/>
  <c r="AG48" s="1"/>
  <c r="AF47"/>
  <c r="AG47" s="1"/>
  <c r="AF46"/>
  <c r="AG46" s="1"/>
  <c r="AF45"/>
  <c r="AG45" s="1"/>
  <c r="AF44"/>
  <c r="AG44" s="1"/>
  <c r="AF43"/>
  <c r="AG43" s="1"/>
  <c r="AF42"/>
  <c r="AG42" s="1"/>
  <c r="AG41"/>
  <c r="AF41"/>
  <c r="AF40"/>
  <c r="AG40" s="1"/>
  <c r="AF39"/>
  <c r="AG39" s="1"/>
  <c r="AF38"/>
  <c r="AG38" s="1"/>
  <c r="AF37"/>
  <c r="AG37" s="1"/>
  <c r="AF36"/>
  <c r="AG36" s="1"/>
  <c r="AG35"/>
  <c r="AF35"/>
  <c r="AF34"/>
  <c r="AG34" s="1"/>
  <c r="AF33"/>
  <c r="AG33" s="1"/>
  <c r="AF32"/>
  <c r="AG32" s="1"/>
  <c r="AF31"/>
  <c r="AG31" s="1"/>
  <c r="AF30"/>
  <c r="AG30" s="1"/>
  <c r="AG29"/>
  <c r="AF29"/>
  <c r="AF28"/>
  <c r="AG28" s="1"/>
  <c r="AF27"/>
  <c r="AG27" s="1"/>
  <c r="AF26"/>
  <c r="AG26" s="1"/>
  <c r="AF25"/>
  <c r="AG25" s="1"/>
  <c r="AF24"/>
  <c r="AG24" s="1"/>
  <c r="AF23"/>
  <c r="AG23" s="1"/>
  <c r="AF22"/>
  <c r="AG22" s="1"/>
  <c r="AF21"/>
  <c r="AG21" s="1"/>
  <c r="AF20"/>
  <c r="AG20" s="1"/>
  <c r="AF19"/>
  <c r="AG19" s="1"/>
  <c r="AF18"/>
  <c r="AG18" s="1"/>
  <c r="AF17"/>
  <c r="AG17" s="1"/>
  <c r="AF16"/>
  <c r="AG16" s="1"/>
  <c r="AF15"/>
  <c r="AG15" s="1"/>
  <c r="AF14"/>
  <c r="AG14" s="1"/>
  <c r="AF13"/>
  <c r="AG13" s="1"/>
  <c r="AF12"/>
  <c r="AG12" s="1"/>
  <c r="AF11"/>
  <c r="AG11" s="1"/>
  <c r="AF10"/>
  <c r="AG10" s="1"/>
  <c r="AG9"/>
  <c r="AF9"/>
  <c r="AF8"/>
  <c r="AG8" s="1"/>
  <c r="AF7"/>
  <c r="AG7" s="1"/>
  <c r="AF6"/>
  <c r="AG6" s="1"/>
  <c r="AF5"/>
  <c r="AG5" s="1"/>
  <c r="X124"/>
  <c r="Y124" s="1"/>
  <c r="X123"/>
  <c r="G123" s="1"/>
  <c r="X122"/>
  <c r="X121"/>
  <c r="Y121" s="1"/>
  <c r="X120"/>
  <c r="Y120" s="1"/>
  <c r="X119"/>
  <c r="Y119" s="1"/>
  <c r="X118"/>
  <c r="Y118" s="1"/>
  <c r="X117"/>
  <c r="Y117" s="1"/>
  <c r="X116"/>
  <c r="Y116" s="1"/>
  <c r="X115"/>
  <c r="Y115" s="1"/>
  <c r="X114"/>
  <c r="X113"/>
  <c r="Y113" s="1"/>
  <c r="X112"/>
  <c r="Y112" s="1"/>
  <c r="X111"/>
  <c r="Y111" s="1"/>
  <c r="X110"/>
  <c r="Y110" s="1"/>
  <c r="X109"/>
  <c r="Y109" s="1"/>
  <c r="X108"/>
  <c r="Y108" s="1"/>
  <c r="X107"/>
  <c r="Y107" s="1"/>
  <c r="X106"/>
  <c r="X105"/>
  <c r="Y105" s="1"/>
  <c r="X104"/>
  <c r="Y104" s="1"/>
  <c r="X103"/>
  <c r="Y103" s="1"/>
  <c r="X102"/>
  <c r="Y102" s="1"/>
  <c r="X101"/>
  <c r="Y101" s="1"/>
  <c r="X100"/>
  <c r="Y100" s="1"/>
  <c r="X99"/>
  <c r="Y99" s="1"/>
  <c r="X98"/>
  <c r="X97"/>
  <c r="Y97" s="1"/>
  <c r="X96"/>
  <c r="Y96" s="1"/>
  <c r="X95"/>
  <c r="Y95" s="1"/>
  <c r="X94"/>
  <c r="Y94" s="1"/>
  <c r="X93"/>
  <c r="Y93" s="1"/>
  <c r="X92"/>
  <c r="Y92" s="1"/>
  <c r="X91"/>
  <c r="Y91" s="1"/>
  <c r="X90"/>
  <c r="X89"/>
  <c r="Y89" s="1"/>
  <c r="X88"/>
  <c r="Y88" s="1"/>
  <c r="X87"/>
  <c r="Y87" s="1"/>
  <c r="X86"/>
  <c r="Y86" s="1"/>
  <c r="X85"/>
  <c r="Y85" s="1"/>
  <c r="X84"/>
  <c r="Y84" s="1"/>
  <c r="X83"/>
  <c r="Y83" s="1"/>
  <c r="X82"/>
  <c r="X81"/>
  <c r="Y81" s="1"/>
  <c r="X80"/>
  <c r="Y80" s="1"/>
  <c r="X79"/>
  <c r="Y79" s="1"/>
  <c r="X78"/>
  <c r="Y78" s="1"/>
  <c r="X77"/>
  <c r="Y77" s="1"/>
  <c r="X76"/>
  <c r="Y76" s="1"/>
  <c r="X75"/>
  <c r="Y75" s="1"/>
  <c r="X74"/>
  <c r="X73"/>
  <c r="Y73" s="1"/>
  <c r="X72"/>
  <c r="Y72" s="1"/>
  <c r="X71"/>
  <c r="Y71" s="1"/>
  <c r="X70"/>
  <c r="Y70" s="1"/>
  <c r="X69"/>
  <c r="Y69" s="1"/>
  <c r="X68"/>
  <c r="Y68" s="1"/>
  <c r="X67"/>
  <c r="Y67" s="1"/>
  <c r="X66"/>
  <c r="X65"/>
  <c r="Y65" s="1"/>
  <c r="X64"/>
  <c r="Y64" s="1"/>
  <c r="X63"/>
  <c r="Y63" s="1"/>
  <c r="X62"/>
  <c r="Y62" s="1"/>
  <c r="X61"/>
  <c r="Y61" s="1"/>
  <c r="X60"/>
  <c r="Y60" s="1"/>
  <c r="X59"/>
  <c r="Y59" s="1"/>
  <c r="X58"/>
  <c r="X57"/>
  <c r="Y57" s="1"/>
  <c r="X56"/>
  <c r="Y56" s="1"/>
  <c r="X55"/>
  <c r="Y55" s="1"/>
  <c r="X54"/>
  <c r="Y54" s="1"/>
  <c r="X53"/>
  <c r="Y53" s="1"/>
  <c r="X52"/>
  <c r="Y52" s="1"/>
  <c r="X51"/>
  <c r="Y51" s="1"/>
  <c r="X50"/>
  <c r="X49"/>
  <c r="Y49" s="1"/>
  <c r="X48"/>
  <c r="Y48" s="1"/>
  <c r="X47"/>
  <c r="Y47" s="1"/>
  <c r="X46"/>
  <c r="Y46" s="1"/>
  <c r="X45"/>
  <c r="Y45" s="1"/>
  <c r="X44"/>
  <c r="Y44" s="1"/>
  <c r="X43"/>
  <c r="Y43" s="1"/>
  <c r="X42"/>
  <c r="X41"/>
  <c r="Y41" s="1"/>
  <c r="X40"/>
  <c r="Y40" s="1"/>
  <c r="X39"/>
  <c r="Y39" s="1"/>
  <c r="X38"/>
  <c r="Y38" s="1"/>
  <c r="X37"/>
  <c r="Y37" s="1"/>
  <c r="X36"/>
  <c r="Y36" s="1"/>
  <c r="X35"/>
  <c r="Y35" s="1"/>
  <c r="X34"/>
  <c r="X33"/>
  <c r="Y33" s="1"/>
  <c r="X32"/>
  <c r="Y32" s="1"/>
  <c r="X31"/>
  <c r="Y31" s="1"/>
  <c r="X30"/>
  <c r="Y30" s="1"/>
  <c r="X29"/>
  <c r="Y29" s="1"/>
  <c r="X28"/>
  <c r="Y28" s="1"/>
  <c r="X27"/>
  <c r="Y27" s="1"/>
  <c r="X26"/>
  <c r="X25"/>
  <c r="Y25" s="1"/>
  <c r="X24"/>
  <c r="Y24" s="1"/>
  <c r="X23"/>
  <c r="Y23" s="1"/>
  <c r="X22"/>
  <c r="Y22" s="1"/>
  <c r="X21"/>
  <c r="Y21" s="1"/>
  <c r="X20"/>
  <c r="Y20" s="1"/>
  <c r="X19"/>
  <c r="Y19" s="1"/>
  <c r="X18"/>
  <c r="X17"/>
  <c r="Y17" s="1"/>
  <c r="X16"/>
  <c r="Y16" s="1"/>
  <c r="X15"/>
  <c r="Y15" s="1"/>
  <c r="X14"/>
  <c r="Y14" s="1"/>
  <c r="X13"/>
  <c r="Y13" s="1"/>
  <c r="X12"/>
  <c r="Y12" s="1"/>
  <c r="X11"/>
  <c r="Y11" s="1"/>
  <c r="X10"/>
  <c r="X9"/>
  <c r="Y9" s="1"/>
  <c r="X8"/>
  <c r="Y8" s="1"/>
  <c r="X7"/>
  <c r="Y7" s="1"/>
  <c r="X6"/>
  <c r="Y6" s="1"/>
  <c r="X5"/>
  <c r="Y5" s="1"/>
  <c r="Q117"/>
  <c r="Q85"/>
  <c r="Q53"/>
  <c r="Q21"/>
  <c r="P125"/>
  <c r="Q125" s="1"/>
  <c r="P124"/>
  <c r="P123"/>
  <c r="Q123" s="1"/>
  <c r="P122"/>
  <c r="Q122" s="1"/>
  <c r="P121"/>
  <c r="G121" s="1"/>
  <c r="P120"/>
  <c r="P119"/>
  <c r="Q119" s="1"/>
  <c r="P118"/>
  <c r="Q118" s="1"/>
  <c r="P117"/>
  <c r="P116"/>
  <c r="P115"/>
  <c r="Q115" s="1"/>
  <c r="P114"/>
  <c r="Q114" s="1"/>
  <c r="P113"/>
  <c r="P112"/>
  <c r="P111"/>
  <c r="Q111" s="1"/>
  <c r="P110"/>
  <c r="Q110" s="1"/>
  <c r="P109"/>
  <c r="Q109" s="1"/>
  <c r="P108"/>
  <c r="P107"/>
  <c r="Q107" s="1"/>
  <c r="P106"/>
  <c r="Q106" s="1"/>
  <c r="P105"/>
  <c r="G105" s="1"/>
  <c r="P104"/>
  <c r="P103"/>
  <c r="Q103" s="1"/>
  <c r="P102"/>
  <c r="Q102" s="1"/>
  <c r="P101"/>
  <c r="G101" s="1"/>
  <c r="P100"/>
  <c r="P99"/>
  <c r="Q99" s="1"/>
  <c r="P98"/>
  <c r="Q98" s="1"/>
  <c r="P97"/>
  <c r="P96"/>
  <c r="P95"/>
  <c r="Q95" s="1"/>
  <c r="P94"/>
  <c r="Q94" s="1"/>
  <c r="P93"/>
  <c r="Q93" s="1"/>
  <c r="P92"/>
  <c r="P91"/>
  <c r="Q91" s="1"/>
  <c r="P90"/>
  <c r="Q90" s="1"/>
  <c r="P89"/>
  <c r="P88"/>
  <c r="P87"/>
  <c r="Q87" s="1"/>
  <c r="P86"/>
  <c r="Q86" s="1"/>
  <c r="P85"/>
  <c r="P84"/>
  <c r="P83"/>
  <c r="Q83" s="1"/>
  <c r="P82"/>
  <c r="Q82" s="1"/>
  <c r="P81"/>
  <c r="G81" s="1"/>
  <c r="P80"/>
  <c r="P79"/>
  <c r="Q79" s="1"/>
  <c r="P78"/>
  <c r="Q78" s="1"/>
  <c r="P77"/>
  <c r="Q77" s="1"/>
  <c r="P76"/>
  <c r="P75"/>
  <c r="Q75" s="1"/>
  <c r="P74"/>
  <c r="Q74" s="1"/>
  <c r="P73"/>
  <c r="G73" s="1"/>
  <c r="P72"/>
  <c r="P71"/>
  <c r="Q71" s="1"/>
  <c r="P70"/>
  <c r="Q70" s="1"/>
  <c r="P69"/>
  <c r="P68"/>
  <c r="P67"/>
  <c r="Q67" s="1"/>
  <c r="P66"/>
  <c r="Q66" s="1"/>
  <c r="P65"/>
  <c r="P64"/>
  <c r="P63"/>
  <c r="Q63" s="1"/>
  <c r="P62"/>
  <c r="Q62" s="1"/>
  <c r="P61"/>
  <c r="Q61" s="1"/>
  <c r="P60"/>
  <c r="P59"/>
  <c r="Q59" s="1"/>
  <c r="P58"/>
  <c r="Q58" s="1"/>
  <c r="P57"/>
  <c r="G57" s="1"/>
  <c r="P56"/>
  <c r="P55"/>
  <c r="Q55" s="1"/>
  <c r="P54"/>
  <c r="Q54" s="1"/>
  <c r="P53"/>
  <c r="P52"/>
  <c r="P51"/>
  <c r="Q51" s="1"/>
  <c r="P50"/>
  <c r="Q50" s="1"/>
  <c r="P49"/>
  <c r="P48"/>
  <c r="P47"/>
  <c r="Q47" s="1"/>
  <c r="P46"/>
  <c r="Q46" s="1"/>
  <c r="P45"/>
  <c r="Q45" s="1"/>
  <c r="P44"/>
  <c r="P43"/>
  <c r="Q43" s="1"/>
  <c r="P42"/>
  <c r="Q42" s="1"/>
  <c r="P41"/>
  <c r="G41" s="1"/>
  <c r="P40"/>
  <c r="P39"/>
  <c r="Q39" s="1"/>
  <c r="P38"/>
  <c r="Q38" s="1"/>
  <c r="P37"/>
  <c r="G37" s="1"/>
  <c r="P36"/>
  <c r="P35"/>
  <c r="Q35" s="1"/>
  <c r="P34"/>
  <c r="Q34" s="1"/>
  <c r="P33"/>
  <c r="P32"/>
  <c r="P31"/>
  <c r="Q31" s="1"/>
  <c r="P30"/>
  <c r="Q30" s="1"/>
  <c r="P29"/>
  <c r="Q29" s="1"/>
  <c r="P28"/>
  <c r="P27"/>
  <c r="Q27" s="1"/>
  <c r="P26"/>
  <c r="Q26" s="1"/>
  <c r="P25"/>
  <c r="P24"/>
  <c r="P23"/>
  <c r="Q23" s="1"/>
  <c r="P22"/>
  <c r="Q22" s="1"/>
  <c r="P21"/>
  <c r="P20"/>
  <c r="P19"/>
  <c r="Q19" s="1"/>
  <c r="P18"/>
  <c r="Q18" s="1"/>
  <c r="P17"/>
  <c r="G17" s="1"/>
  <c r="P16"/>
  <c r="P15"/>
  <c r="Q15" s="1"/>
  <c r="P14"/>
  <c r="Q14" s="1"/>
  <c r="P13"/>
  <c r="Q13" s="1"/>
  <c r="P12"/>
  <c r="P11"/>
  <c r="Q11" s="1"/>
  <c r="P10"/>
  <c r="Q10" s="1"/>
  <c r="P9"/>
  <c r="G9" s="1"/>
  <c r="P8"/>
  <c r="P7"/>
  <c r="Q7" s="1"/>
  <c r="P6"/>
  <c r="Q6" s="1"/>
  <c r="P5"/>
  <c r="G5" s="1"/>
  <c r="O125"/>
  <c r="O124"/>
  <c r="O123"/>
  <c r="O122"/>
  <c r="O121"/>
  <c r="O120"/>
  <c r="O119"/>
  <c r="O118"/>
  <c r="O117"/>
  <c r="O116"/>
  <c r="O115"/>
  <c r="O114"/>
  <c r="O113"/>
  <c r="O112"/>
  <c r="O111"/>
  <c r="O110"/>
  <c r="O109"/>
  <c r="O108"/>
  <c r="O107"/>
  <c r="O106"/>
  <c r="O105"/>
  <c r="O104"/>
  <c r="O103"/>
  <c r="O102"/>
  <c r="O101"/>
  <c r="O100"/>
  <c r="O99"/>
  <c r="O98"/>
  <c r="O97"/>
  <c r="O96"/>
  <c r="O95"/>
  <c r="O94"/>
  <c r="O93"/>
  <c r="O92"/>
  <c r="O91"/>
  <c r="O90"/>
  <c r="O89"/>
  <c r="O88"/>
  <c r="O87"/>
  <c r="O86"/>
  <c r="O85"/>
  <c r="O84"/>
  <c r="O83"/>
  <c r="O82"/>
  <c r="O81"/>
  <c r="O80"/>
  <c r="O79"/>
  <c r="O78"/>
  <c r="O77"/>
  <c r="O76"/>
  <c r="O75"/>
  <c r="O74"/>
  <c r="O73"/>
  <c r="O72"/>
  <c r="O71"/>
  <c r="O70"/>
  <c r="O69"/>
  <c r="O68"/>
  <c r="O67"/>
  <c r="O66"/>
  <c r="O65"/>
  <c r="O64"/>
  <c r="O63"/>
  <c r="O62"/>
  <c r="O61"/>
  <c r="O60"/>
  <c r="O59"/>
  <c r="O58"/>
  <c r="O57"/>
  <c r="O56"/>
  <c r="O55"/>
  <c r="O54"/>
  <c r="O53"/>
  <c r="O52"/>
  <c r="O51"/>
  <c r="O50"/>
  <c r="O49"/>
  <c r="O48"/>
  <c r="O47"/>
  <c r="O46"/>
  <c r="O45"/>
  <c r="O44"/>
  <c r="O43"/>
  <c r="O42"/>
  <c r="O41"/>
  <c r="O40"/>
  <c r="O39"/>
  <c r="O38"/>
  <c r="O37"/>
  <c r="O36"/>
  <c r="O35"/>
  <c r="O34"/>
  <c r="O33"/>
  <c r="O32"/>
  <c r="O31"/>
  <c r="O30"/>
  <c r="O29"/>
  <c r="O28"/>
  <c r="O27"/>
  <c r="O26"/>
  <c r="O25"/>
  <c r="O24"/>
  <c r="O23"/>
  <c r="O22"/>
  <c r="O21"/>
  <c r="O20"/>
  <c r="O19"/>
  <c r="O18"/>
  <c r="O17"/>
  <c r="O16"/>
  <c r="O15"/>
  <c r="O14"/>
  <c r="O13"/>
  <c r="O12"/>
  <c r="O11"/>
  <c r="O10"/>
  <c r="O9"/>
  <c r="O8"/>
  <c r="O7"/>
  <c r="O6"/>
  <c r="O5"/>
  <c r="G4" i="117"/>
  <c r="F4"/>
  <c r="E4"/>
  <c r="D4"/>
  <c r="H124" i="55"/>
  <c r="G124"/>
  <c r="F124"/>
  <c r="E124"/>
  <c r="D124"/>
  <c r="H123"/>
  <c r="G123"/>
  <c r="F123"/>
  <c r="E123"/>
  <c r="D123"/>
  <c r="H122"/>
  <c r="G122"/>
  <c r="F122"/>
  <c r="E122"/>
  <c r="D122"/>
  <c r="H121"/>
  <c r="G121"/>
  <c r="F121"/>
  <c r="E121"/>
  <c r="D121"/>
  <c r="H120"/>
  <c r="G120"/>
  <c r="F120"/>
  <c r="E120"/>
  <c r="D120"/>
  <c r="H119"/>
  <c r="G119"/>
  <c r="F119"/>
  <c r="E119"/>
  <c r="D119"/>
  <c r="H118"/>
  <c r="G118"/>
  <c r="F118"/>
  <c r="E118"/>
  <c r="D118"/>
  <c r="H117"/>
  <c r="G117"/>
  <c r="F117"/>
  <c r="E117"/>
  <c r="D117"/>
  <c r="H116"/>
  <c r="G116"/>
  <c r="F116"/>
  <c r="E116"/>
  <c r="D116"/>
  <c r="H115"/>
  <c r="G115"/>
  <c r="F115"/>
  <c r="E115"/>
  <c r="D115"/>
  <c r="H114"/>
  <c r="G114"/>
  <c r="F114"/>
  <c r="E114"/>
  <c r="D114"/>
  <c r="H113"/>
  <c r="G113"/>
  <c r="F113"/>
  <c r="E113"/>
  <c r="D113"/>
  <c r="H112"/>
  <c r="G112"/>
  <c r="F112"/>
  <c r="E112"/>
  <c r="D112"/>
  <c r="H111"/>
  <c r="G111"/>
  <c r="F111"/>
  <c r="E111"/>
  <c r="D111"/>
  <c r="H110"/>
  <c r="G110"/>
  <c r="F110"/>
  <c r="E110"/>
  <c r="D110"/>
  <c r="H109"/>
  <c r="G109"/>
  <c r="F109"/>
  <c r="E109"/>
  <c r="D109"/>
  <c r="H108"/>
  <c r="G108"/>
  <c r="F108"/>
  <c r="E108"/>
  <c r="D108"/>
  <c r="H107"/>
  <c r="G107"/>
  <c r="F107"/>
  <c r="E107"/>
  <c r="D107"/>
  <c r="H106"/>
  <c r="G106"/>
  <c r="F106"/>
  <c r="E106"/>
  <c r="D106"/>
  <c r="H105"/>
  <c r="G105"/>
  <c r="F105"/>
  <c r="E105"/>
  <c r="D105"/>
  <c r="H104"/>
  <c r="G104"/>
  <c r="F104"/>
  <c r="E104"/>
  <c r="D104"/>
  <c r="H103"/>
  <c r="G103"/>
  <c r="F103"/>
  <c r="E103"/>
  <c r="D103"/>
  <c r="H102"/>
  <c r="G102"/>
  <c r="F102"/>
  <c r="E102"/>
  <c r="D102"/>
  <c r="H101"/>
  <c r="G101"/>
  <c r="F101"/>
  <c r="E101"/>
  <c r="D101"/>
  <c r="H100"/>
  <c r="G100"/>
  <c r="F100"/>
  <c r="E100"/>
  <c r="D100"/>
  <c r="H99"/>
  <c r="G99"/>
  <c r="F99"/>
  <c r="E99"/>
  <c r="D99"/>
  <c r="H98"/>
  <c r="G98"/>
  <c r="F98"/>
  <c r="E98"/>
  <c r="D98"/>
  <c r="H97"/>
  <c r="G97"/>
  <c r="F97"/>
  <c r="E97"/>
  <c r="D97"/>
  <c r="H96"/>
  <c r="G96"/>
  <c r="F96"/>
  <c r="E96"/>
  <c r="D96"/>
  <c r="H95"/>
  <c r="G95"/>
  <c r="F95"/>
  <c r="E95"/>
  <c r="D95"/>
  <c r="H94"/>
  <c r="G94"/>
  <c r="F94"/>
  <c r="E94"/>
  <c r="D94"/>
  <c r="H93"/>
  <c r="G93"/>
  <c r="F93"/>
  <c r="E93"/>
  <c r="D93"/>
  <c r="H92"/>
  <c r="G92"/>
  <c r="F92"/>
  <c r="E92"/>
  <c r="D92"/>
  <c r="H91"/>
  <c r="G91"/>
  <c r="F91"/>
  <c r="E91"/>
  <c r="D91"/>
  <c r="H90"/>
  <c r="G90"/>
  <c r="F90"/>
  <c r="E90"/>
  <c r="D90"/>
  <c r="H89"/>
  <c r="G89"/>
  <c r="F89"/>
  <c r="E89"/>
  <c r="D89"/>
  <c r="H88"/>
  <c r="G88"/>
  <c r="F88"/>
  <c r="E88"/>
  <c r="D88"/>
  <c r="H87"/>
  <c r="G87"/>
  <c r="F87"/>
  <c r="E87"/>
  <c r="D87"/>
  <c r="H86"/>
  <c r="G86"/>
  <c r="F86"/>
  <c r="E86"/>
  <c r="D86"/>
  <c r="H85"/>
  <c r="G85"/>
  <c r="F85"/>
  <c r="E85"/>
  <c r="D85"/>
  <c r="H84"/>
  <c r="G84"/>
  <c r="F84"/>
  <c r="E84"/>
  <c r="D84"/>
  <c r="H83"/>
  <c r="G83"/>
  <c r="F83"/>
  <c r="E83"/>
  <c r="D83"/>
  <c r="H82"/>
  <c r="G82"/>
  <c r="F82"/>
  <c r="E82"/>
  <c r="D82"/>
  <c r="H81"/>
  <c r="G81"/>
  <c r="F81"/>
  <c r="E81"/>
  <c r="D81"/>
  <c r="H80"/>
  <c r="G80"/>
  <c r="F80"/>
  <c r="E80"/>
  <c r="D80"/>
  <c r="H79"/>
  <c r="G79"/>
  <c r="F79"/>
  <c r="E79"/>
  <c r="D79"/>
  <c r="H78"/>
  <c r="G78"/>
  <c r="F78"/>
  <c r="E78"/>
  <c r="D78"/>
  <c r="H77"/>
  <c r="G77"/>
  <c r="F77"/>
  <c r="E77"/>
  <c r="D77"/>
  <c r="H76"/>
  <c r="G76"/>
  <c r="F76"/>
  <c r="E76"/>
  <c r="D76"/>
  <c r="H75"/>
  <c r="G75"/>
  <c r="F75"/>
  <c r="E75"/>
  <c r="D75"/>
  <c r="H74"/>
  <c r="G74"/>
  <c r="F74"/>
  <c r="E74"/>
  <c r="D74"/>
  <c r="H73"/>
  <c r="G73"/>
  <c r="F73"/>
  <c r="E73"/>
  <c r="D73"/>
  <c r="H72"/>
  <c r="G72"/>
  <c r="F72"/>
  <c r="E72"/>
  <c r="D72"/>
  <c r="H71"/>
  <c r="G71"/>
  <c r="F71"/>
  <c r="E71"/>
  <c r="D71"/>
  <c r="H70"/>
  <c r="G70"/>
  <c r="F70"/>
  <c r="E70"/>
  <c r="D70"/>
  <c r="H69"/>
  <c r="G69"/>
  <c r="F69"/>
  <c r="E69"/>
  <c r="D69"/>
  <c r="H68"/>
  <c r="G68"/>
  <c r="F68"/>
  <c r="E68"/>
  <c r="D68"/>
  <c r="H67"/>
  <c r="G67"/>
  <c r="F67"/>
  <c r="E67"/>
  <c r="D67"/>
  <c r="H66"/>
  <c r="G66"/>
  <c r="F66"/>
  <c r="E66"/>
  <c r="D66"/>
  <c r="H65"/>
  <c r="G65"/>
  <c r="F65"/>
  <c r="E65"/>
  <c r="D65"/>
  <c r="H64"/>
  <c r="G64"/>
  <c r="F64"/>
  <c r="E64"/>
  <c r="D64"/>
  <c r="H63"/>
  <c r="G63"/>
  <c r="F63"/>
  <c r="E63"/>
  <c r="D63"/>
  <c r="H62"/>
  <c r="G62"/>
  <c r="F62"/>
  <c r="E62"/>
  <c r="D62"/>
  <c r="H61"/>
  <c r="G61"/>
  <c r="F61"/>
  <c r="E61"/>
  <c r="D61"/>
  <c r="H60"/>
  <c r="G60"/>
  <c r="F60"/>
  <c r="E60"/>
  <c r="D60"/>
  <c r="H59"/>
  <c r="G59"/>
  <c r="F59"/>
  <c r="E59"/>
  <c r="D59"/>
  <c r="H58"/>
  <c r="G58"/>
  <c r="F58"/>
  <c r="E58"/>
  <c r="D58"/>
  <c r="H57"/>
  <c r="G57"/>
  <c r="F57"/>
  <c r="E57"/>
  <c r="D57"/>
  <c r="H56"/>
  <c r="G56"/>
  <c r="F56"/>
  <c r="E56"/>
  <c r="D56"/>
  <c r="H55"/>
  <c r="G55"/>
  <c r="F55"/>
  <c r="E55"/>
  <c r="D55"/>
  <c r="H54"/>
  <c r="G54"/>
  <c r="F54"/>
  <c r="E54"/>
  <c r="D54"/>
  <c r="H53"/>
  <c r="G53"/>
  <c r="F53"/>
  <c r="E53"/>
  <c r="D53"/>
  <c r="H52"/>
  <c r="G52"/>
  <c r="F52"/>
  <c r="E52"/>
  <c r="D52"/>
  <c r="H51"/>
  <c r="G51"/>
  <c r="F51"/>
  <c r="E51"/>
  <c r="D51"/>
  <c r="H50"/>
  <c r="G50"/>
  <c r="F50"/>
  <c r="E50"/>
  <c r="D50"/>
  <c r="H49"/>
  <c r="G49"/>
  <c r="F49"/>
  <c r="E49"/>
  <c r="D49"/>
  <c r="H48"/>
  <c r="G48"/>
  <c r="F48"/>
  <c r="E48"/>
  <c r="D48"/>
  <c r="H47"/>
  <c r="G47"/>
  <c r="F47"/>
  <c r="E47"/>
  <c r="D47"/>
  <c r="H46"/>
  <c r="G46"/>
  <c r="F46"/>
  <c r="E46"/>
  <c r="D46"/>
  <c r="H45"/>
  <c r="G45"/>
  <c r="F45"/>
  <c r="E45"/>
  <c r="D45"/>
  <c r="H44"/>
  <c r="G44"/>
  <c r="F44"/>
  <c r="E44"/>
  <c r="D44"/>
  <c r="H43"/>
  <c r="G43"/>
  <c r="F43"/>
  <c r="E43"/>
  <c r="D43"/>
  <c r="H42"/>
  <c r="G42"/>
  <c r="F42"/>
  <c r="E42"/>
  <c r="D42"/>
  <c r="H41"/>
  <c r="G41"/>
  <c r="F41"/>
  <c r="E41"/>
  <c r="D41"/>
  <c r="H40"/>
  <c r="G40"/>
  <c r="F40"/>
  <c r="E40"/>
  <c r="D40"/>
  <c r="H39"/>
  <c r="G39"/>
  <c r="F39"/>
  <c r="E39"/>
  <c r="D39"/>
  <c r="H38"/>
  <c r="G38"/>
  <c r="F38"/>
  <c r="E38"/>
  <c r="D38"/>
  <c r="H37"/>
  <c r="G37"/>
  <c r="F37"/>
  <c r="E37"/>
  <c r="D37"/>
  <c r="H36"/>
  <c r="G36"/>
  <c r="F36"/>
  <c r="E36"/>
  <c r="D36"/>
  <c r="H35"/>
  <c r="G35"/>
  <c r="F35"/>
  <c r="E35"/>
  <c r="D35"/>
  <c r="H34"/>
  <c r="G34"/>
  <c r="F34"/>
  <c r="E34"/>
  <c r="D34"/>
  <c r="H33"/>
  <c r="G33"/>
  <c r="F33"/>
  <c r="E33"/>
  <c r="D33"/>
  <c r="H32"/>
  <c r="G32"/>
  <c r="F32"/>
  <c r="E32"/>
  <c r="D32"/>
  <c r="H31"/>
  <c r="G31"/>
  <c r="F31"/>
  <c r="E31"/>
  <c r="D31"/>
  <c r="H30"/>
  <c r="G30"/>
  <c r="F30"/>
  <c r="E30"/>
  <c r="D30"/>
  <c r="H29"/>
  <c r="G29"/>
  <c r="F29"/>
  <c r="E29"/>
  <c r="D29"/>
  <c r="H28"/>
  <c r="G28"/>
  <c r="F28"/>
  <c r="E28"/>
  <c r="D28"/>
  <c r="H27"/>
  <c r="G27"/>
  <c r="F27"/>
  <c r="E27"/>
  <c r="D27"/>
  <c r="H26"/>
  <c r="G26"/>
  <c r="F26"/>
  <c r="E26"/>
  <c r="D26"/>
  <c r="H25"/>
  <c r="G25"/>
  <c r="F25"/>
  <c r="E25"/>
  <c r="D25"/>
  <c r="H24"/>
  <c r="G24"/>
  <c r="F24"/>
  <c r="E24"/>
  <c r="D24"/>
  <c r="H23"/>
  <c r="G23"/>
  <c r="F23"/>
  <c r="E23"/>
  <c r="D23"/>
  <c r="H22"/>
  <c r="G22"/>
  <c r="F22"/>
  <c r="E22"/>
  <c r="D22"/>
  <c r="H21"/>
  <c r="G21"/>
  <c r="F21"/>
  <c r="E21"/>
  <c r="D21"/>
  <c r="H20"/>
  <c r="G20"/>
  <c r="F20"/>
  <c r="E20"/>
  <c r="D20"/>
  <c r="H19"/>
  <c r="G19"/>
  <c r="F19"/>
  <c r="E19"/>
  <c r="D19"/>
  <c r="H18"/>
  <c r="G18"/>
  <c r="F18"/>
  <c r="E18"/>
  <c r="D18"/>
  <c r="H17"/>
  <c r="G17"/>
  <c r="F17"/>
  <c r="E17"/>
  <c r="D17"/>
  <c r="H16"/>
  <c r="G16"/>
  <c r="F16"/>
  <c r="E16"/>
  <c r="D16"/>
  <c r="H15"/>
  <c r="G15"/>
  <c r="F15"/>
  <c r="E15"/>
  <c r="D15"/>
  <c r="H14"/>
  <c r="G14"/>
  <c r="F14"/>
  <c r="E14"/>
  <c r="D14"/>
  <c r="H13"/>
  <c r="G13"/>
  <c r="F13"/>
  <c r="E13"/>
  <c r="D13"/>
  <c r="H12"/>
  <c r="G12"/>
  <c r="F12"/>
  <c r="E12"/>
  <c r="D12"/>
  <c r="H11"/>
  <c r="G11"/>
  <c r="F11"/>
  <c r="E11"/>
  <c r="D11"/>
  <c r="H10"/>
  <c r="G10"/>
  <c r="F10"/>
  <c r="E10"/>
  <c r="D10"/>
  <c r="H9"/>
  <c r="G9"/>
  <c r="F9"/>
  <c r="E9"/>
  <c r="D9"/>
  <c r="H8"/>
  <c r="G8"/>
  <c r="F8"/>
  <c r="E8"/>
  <c r="D8"/>
  <c r="H7"/>
  <c r="G7"/>
  <c r="F7"/>
  <c r="E7"/>
  <c r="D7"/>
  <c r="H6"/>
  <c r="G6"/>
  <c r="F6"/>
  <c r="E6"/>
  <c r="D6"/>
  <c r="H5"/>
  <c r="G5"/>
  <c r="F5"/>
  <c r="E5"/>
  <c r="D5"/>
  <c r="AC124"/>
  <c r="AC123"/>
  <c r="AC122"/>
  <c r="AC121"/>
  <c r="AC120"/>
  <c r="AC119"/>
  <c r="AC118"/>
  <c r="AC117"/>
  <c r="AC116"/>
  <c r="AC115"/>
  <c r="AC114"/>
  <c r="AC113"/>
  <c r="AC112"/>
  <c r="AC111"/>
  <c r="AC110"/>
  <c r="AC109"/>
  <c r="AC108"/>
  <c r="AC107"/>
  <c r="AC106"/>
  <c r="AC105"/>
  <c r="AC104"/>
  <c r="AC103"/>
  <c r="AC102"/>
  <c r="AC101"/>
  <c r="AC100"/>
  <c r="AC99"/>
  <c r="AC98"/>
  <c r="AC97"/>
  <c r="AC96"/>
  <c r="AC95"/>
  <c r="AC94"/>
  <c r="AC93"/>
  <c r="AC92"/>
  <c r="AC91"/>
  <c r="AC90"/>
  <c r="AC89"/>
  <c r="AC88"/>
  <c r="AC87"/>
  <c r="AC86"/>
  <c r="AC85"/>
  <c r="AC84"/>
  <c r="AC83"/>
  <c r="AC82"/>
  <c r="AC81"/>
  <c r="AC80"/>
  <c r="AC79"/>
  <c r="AC78"/>
  <c r="AC77"/>
  <c r="AC76"/>
  <c r="AC75"/>
  <c r="AC74"/>
  <c r="AC73"/>
  <c r="AC72"/>
  <c r="AC71"/>
  <c r="AC70"/>
  <c r="AC69"/>
  <c r="AC68"/>
  <c r="AC67"/>
  <c r="AC66"/>
  <c r="AC65"/>
  <c r="AC64"/>
  <c r="AC63"/>
  <c r="AC62"/>
  <c r="AC61"/>
  <c r="AC60"/>
  <c r="AC59"/>
  <c r="AC58"/>
  <c r="AC57"/>
  <c r="AC56"/>
  <c r="AC55"/>
  <c r="AC54"/>
  <c r="AC53"/>
  <c r="AC52"/>
  <c r="AC51"/>
  <c r="AC50"/>
  <c r="AC49"/>
  <c r="AC48"/>
  <c r="AC47"/>
  <c r="AC46"/>
  <c r="AC45"/>
  <c r="AC44"/>
  <c r="AC43"/>
  <c r="AC42"/>
  <c r="AC41"/>
  <c r="AC40"/>
  <c r="AC39"/>
  <c r="AC38"/>
  <c r="AC37"/>
  <c r="AC36"/>
  <c r="AC35"/>
  <c r="AC34"/>
  <c r="AC33"/>
  <c r="AC32"/>
  <c r="AC31"/>
  <c r="AC30"/>
  <c r="AC29"/>
  <c r="AC28"/>
  <c r="AC27"/>
  <c r="AC26"/>
  <c r="AC25"/>
  <c r="AC24"/>
  <c r="AC23"/>
  <c r="AC22"/>
  <c r="AC21"/>
  <c r="AC20"/>
  <c r="AC19"/>
  <c r="AC18"/>
  <c r="AC17"/>
  <c r="AC16"/>
  <c r="AC15"/>
  <c r="AC14"/>
  <c r="AC13"/>
  <c r="AC12"/>
  <c r="AC11"/>
  <c r="AC10"/>
  <c r="AC9"/>
  <c r="AC8"/>
  <c r="AC7"/>
  <c r="AC6"/>
  <c r="AC5"/>
  <c r="AB4"/>
  <c r="AA4"/>
  <c r="Z4"/>
  <c r="Y4"/>
  <c r="X4"/>
  <c r="Q5" i="60" l="1"/>
  <c r="Q37"/>
  <c r="G63"/>
  <c r="G21"/>
  <c r="I21" s="1"/>
  <c r="G25"/>
  <c r="G33"/>
  <c r="G49"/>
  <c r="G53"/>
  <c r="I53" s="1"/>
  <c r="G65"/>
  <c r="G69"/>
  <c r="G85"/>
  <c r="G89"/>
  <c r="I89" s="1"/>
  <c r="G97"/>
  <c r="G113"/>
  <c r="G117"/>
  <c r="K32" i="56"/>
  <c r="J32" i="79" s="1"/>
  <c r="K48" i="56"/>
  <c r="J48" i="79" s="1"/>
  <c r="K64" i="56"/>
  <c r="J64" i="79" s="1"/>
  <c r="K80" i="56"/>
  <c r="J80" i="79" s="1"/>
  <c r="K96" i="56"/>
  <c r="J96" i="79" s="1"/>
  <c r="K112" i="56"/>
  <c r="J112" i="79" s="1"/>
  <c r="K8" i="56"/>
  <c r="J8" i="79" s="1"/>
  <c r="K24" i="56"/>
  <c r="J24" i="79" s="1"/>
  <c r="K40" i="56"/>
  <c r="J40" i="79" s="1"/>
  <c r="K56" i="56"/>
  <c r="J56" i="79" s="1"/>
  <c r="K72" i="56"/>
  <c r="J72" i="79" s="1"/>
  <c r="K88" i="56"/>
  <c r="J88" i="79" s="1"/>
  <c r="K104" i="56"/>
  <c r="J104" i="79" s="1"/>
  <c r="K120" i="56"/>
  <c r="J120" i="79" s="1"/>
  <c r="H41"/>
  <c r="Q69" i="60"/>
  <c r="Q101"/>
  <c r="H101" s="1"/>
  <c r="H105" i="79"/>
  <c r="K10" i="56"/>
  <c r="J10" i="79" s="1"/>
  <c r="K14" i="56"/>
  <c r="J14" i="79" s="1"/>
  <c r="K22" i="56"/>
  <c r="J22" i="79" s="1"/>
  <c r="I6" i="56"/>
  <c r="K6" i="79" s="1"/>
  <c r="I10" i="56"/>
  <c r="K10" i="79" s="1"/>
  <c r="I14" i="56"/>
  <c r="K14" i="79" s="1"/>
  <c r="I18" i="56"/>
  <c r="K18" i="79" s="1"/>
  <c r="I22" i="56"/>
  <c r="K22" i="79" s="1"/>
  <c r="I26" i="56"/>
  <c r="K26" i="79" s="1"/>
  <c r="I30" i="56"/>
  <c r="K30" i="79" s="1"/>
  <c r="I34" i="56"/>
  <c r="K34" i="79" s="1"/>
  <c r="I38" i="56"/>
  <c r="K38" i="79" s="1"/>
  <c r="I42" i="56"/>
  <c r="K42" i="79" s="1"/>
  <c r="I46" i="56"/>
  <c r="K46" i="79" s="1"/>
  <c r="I50" i="56"/>
  <c r="K50" i="79" s="1"/>
  <c r="I54" i="56"/>
  <c r="K54" i="79" s="1"/>
  <c r="I58" i="56"/>
  <c r="K58" i="79" s="1"/>
  <c r="I62" i="56"/>
  <c r="K62" i="79" s="1"/>
  <c r="I66" i="56"/>
  <c r="K66" i="79" s="1"/>
  <c r="I70" i="56"/>
  <c r="K70" i="79" s="1"/>
  <c r="I74" i="56"/>
  <c r="K74" i="79" s="1"/>
  <c r="I78" i="56"/>
  <c r="K78" i="79" s="1"/>
  <c r="I82" i="56"/>
  <c r="K82" i="79" s="1"/>
  <c r="I86" i="56"/>
  <c r="K86" i="79" s="1"/>
  <c r="I90" i="56"/>
  <c r="K90" i="79" s="1"/>
  <c r="I94" i="56"/>
  <c r="K94" i="79" s="1"/>
  <c r="I98" i="56"/>
  <c r="K98" i="79" s="1"/>
  <c r="I102" i="56"/>
  <c r="K102" i="79" s="1"/>
  <c r="I106" i="56"/>
  <c r="K106" i="79" s="1"/>
  <c r="I110" i="56"/>
  <c r="K110" i="79" s="1"/>
  <c r="I114" i="56"/>
  <c r="K114" i="79" s="1"/>
  <c r="I118" i="56"/>
  <c r="K118" i="79" s="1"/>
  <c r="I122" i="56"/>
  <c r="K122" i="79" s="1"/>
  <c r="AG63" i="60"/>
  <c r="G14"/>
  <c r="G30"/>
  <c r="I30" s="1"/>
  <c r="G46"/>
  <c r="G62"/>
  <c r="G78"/>
  <c r="I78" s="1"/>
  <c r="G94"/>
  <c r="G110"/>
  <c r="F5" i="118"/>
  <c r="G15" i="60"/>
  <c r="I15" s="1"/>
  <c r="G79"/>
  <c r="I79" s="1"/>
  <c r="K7" i="56"/>
  <c r="J7" i="79" s="1"/>
  <c r="K11" i="56"/>
  <c r="J11" i="79" s="1"/>
  <c r="K15" i="56"/>
  <c r="J15" i="79" s="1"/>
  <c r="K19" i="56"/>
  <c r="J19" i="79" s="1"/>
  <c r="I7" i="56"/>
  <c r="K7" i="79" s="1"/>
  <c r="I11" i="56"/>
  <c r="K11" i="79" s="1"/>
  <c r="I15" i="56"/>
  <c r="K15" i="79" s="1"/>
  <c r="I19" i="56"/>
  <c r="K19" i="79" s="1"/>
  <c r="I23" i="56"/>
  <c r="K23" i="79" s="1"/>
  <c r="I27" i="56"/>
  <c r="K27" i="79" s="1"/>
  <c r="I31" i="56"/>
  <c r="K31" i="79" s="1"/>
  <c r="I35" i="56"/>
  <c r="K35" i="79" s="1"/>
  <c r="I39" i="56"/>
  <c r="K39" i="79" s="1"/>
  <c r="I43" i="56"/>
  <c r="K43" i="79" s="1"/>
  <c r="I47" i="56"/>
  <c r="K47" i="79" s="1"/>
  <c r="I51" i="56"/>
  <c r="K51" i="79" s="1"/>
  <c r="I55" i="56"/>
  <c r="K55" i="79" s="1"/>
  <c r="I59" i="56"/>
  <c r="K59" i="79" s="1"/>
  <c r="I63" i="56"/>
  <c r="K63" i="79" s="1"/>
  <c r="I67" i="56"/>
  <c r="K67" i="79" s="1"/>
  <c r="I71" i="56"/>
  <c r="K71" i="79" s="1"/>
  <c r="I75" i="56"/>
  <c r="K75" i="79" s="1"/>
  <c r="I79" i="56"/>
  <c r="K79" i="79" s="1"/>
  <c r="I83" i="56"/>
  <c r="K83" i="79" s="1"/>
  <c r="I87" i="56"/>
  <c r="K87" i="79" s="1"/>
  <c r="I91" i="56"/>
  <c r="K91" i="79" s="1"/>
  <c r="I95" i="56"/>
  <c r="K95" i="79" s="1"/>
  <c r="I99" i="56"/>
  <c r="K99" i="79" s="1"/>
  <c r="I103" i="56"/>
  <c r="K103" i="79" s="1"/>
  <c r="I107" i="56"/>
  <c r="K107" i="79" s="1"/>
  <c r="I111" i="56"/>
  <c r="K111" i="79" s="1"/>
  <c r="I115" i="56"/>
  <c r="K115" i="79" s="1"/>
  <c r="I119" i="56"/>
  <c r="K119" i="79" s="1"/>
  <c r="I123" i="56"/>
  <c r="K123" i="79" s="1"/>
  <c r="H57"/>
  <c r="H121"/>
  <c r="K6" i="56"/>
  <c r="J6" i="79" s="1"/>
  <c r="K18" i="56"/>
  <c r="J18" i="79" s="1"/>
  <c r="K26" i="56"/>
  <c r="J26" i="79" s="1"/>
  <c r="Q9" i="60"/>
  <c r="H9" s="1"/>
  <c r="Q17"/>
  <c r="Q25"/>
  <c r="Q33"/>
  <c r="H33" s="1"/>
  <c r="Q41"/>
  <c r="H41" s="1"/>
  <c r="Q49"/>
  <c r="Q57"/>
  <c r="Q65"/>
  <c r="H65" s="1"/>
  <c r="Q73"/>
  <c r="H73" s="1"/>
  <c r="Q81"/>
  <c r="Q89"/>
  <c r="Q97"/>
  <c r="H97" s="1"/>
  <c r="Q105"/>
  <c r="H105" s="1"/>
  <c r="Q113"/>
  <c r="Q121"/>
  <c r="G10"/>
  <c r="G18"/>
  <c r="I18" s="1"/>
  <c r="G26"/>
  <c r="G34"/>
  <c r="G42"/>
  <c r="I42" s="1"/>
  <c r="G50"/>
  <c r="I50" s="1"/>
  <c r="G58"/>
  <c r="G66"/>
  <c r="G74"/>
  <c r="I74" s="1"/>
  <c r="G82"/>
  <c r="I82" s="1"/>
  <c r="G90"/>
  <c r="G98"/>
  <c r="G106"/>
  <c r="I106" s="1"/>
  <c r="G114"/>
  <c r="I114" s="1"/>
  <c r="G122"/>
  <c r="G31"/>
  <c r="G95"/>
  <c r="I95" s="1"/>
  <c r="I8" i="56"/>
  <c r="K8" i="79" s="1"/>
  <c r="I12" i="56"/>
  <c r="K12" i="79" s="1"/>
  <c r="I16" i="56"/>
  <c r="K16" i="79" s="1"/>
  <c r="I20" i="56"/>
  <c r="K20" i="79" s="1"/>
  <c r="I24" i="56"/>
  <c r="K24" i="79" s="1"/>
  <c r="I28" i="56"/>
  <c r="K28" i="79" s="1"/>
  <c r="I32" i="56"/>
  <c r="K32" i="79" s="1"/>
  <c r="I36" i="56"/>
  <c r="K36" i="79" s="1"/>
  <c r="I40" i="56"/>
  <c r="K40" i="79" s="1"/>
  <c r="I44" i="56"/>
  <c r="K44" i="79" s="1"/>
  <c r="I48" i="56"/>
  <c r="K48" i="79" s="1"/>
  <c r="I52" i="56"/>
  <c r="K52" i="79" s="1"/>
  <c r="I56" i="56"/>
  <c r="K56" i="79" s="1"/>
  <c r="I60" i="56"/>
  <c r="K60" i="79" s="1"/>
  <c r="I64" i="56"/>
  <c r="K64" i="79" s="1"/>
  <c r="I68" i="56"/>
  <c r="K68" i="79" s="1"/>
  <c r="I72" i="56"/>
  <c r="K72" i="79" s="1"/>
  <c r="I76" i="56"/>
  <c r="K76" i="79" s="1"/>
  <c r="I80" i="56"/>
  <c r="K80" i="79" s="1"/>
  <c r="I84" i="56"/>
  <c r="K84" i="79" s="1"/>
  <c r="I88" i="56"/>
  <c r="K88" i="79" s="1"/>
  <c r="I92" i="56"/>
  <c r="K92" i="79" s="1"/>
  <c r="I96" i="56"/>
  <c r="K96" i="79" s="1"/>
  <c r="I100" i="56"/>
  <c r="K100" i="79" s="1"/>
  <c r="I104" i="56"/>
  <c r="K104" i="79" s="1"/>
  <c r="I108" i="56"/>
  <c r="K108" i="79" s="1"/>
  <c r="I112" i="56"/>
  <c r="K112" i="79" s="1"/>
  <c r="I116" i="56"/>
  <c r="K116" i="79" s="1"/>
  <c r="I120" i="56"/>
  <c r="K120" i="79" s="1"/>
  <c r="I124" i="56"/>
  <c r="K124" i="79" s="1"/>
  <c r="H9"/>
  <c r="H73"/>
  <c r="G13" i="60"/>
  <c r="I13" s="1"/>
  <c r="G29"/>
  <c r="G45"/>
  <c r="G61"/>
  <c r="I61" s="1"/>
  <c r="G77"/>
  <c r="I77" s="1"/>
  <c r="G93"/>
  <c r="G109"/>
  <c r="G22"/>
  <c r="I22" s="1"/>
  <c r="G54"/>
  <c r="G102"/>
  <c r="G47"/>
  <c r="G111"/>
  <c r="I111" s="1"/>
  <c r="K9" i="56"/>
  <c r="J9" i="79" s="1"/>
  <c r="K13" i="56"/>
  <c r="J13" i="79" s="1"/>
  <c r="K17" i="56"/>
  <c r="J17" i="79" s="1"/>
  <c r="K21" i="56"/>
  <c r="J21" i="79" s="1"/>
  <c r="I13" i="56"/>
  <c r="K13" i="79" s="1"/>
  <c r="I17" i="56"/>
  <c r="K17" i="79" s="1"/>
  <c r="I21" i="56"/>
  <c r="K21" i="79" s="1"/>
  <c r="I25" i="56"/>
  <c r="K25" i="79" s="1"/>
  <c r="I29" i="56"/>
  <c r="K29" i="79" s="1"/>
  <c r="I33" i="56"/>
  <c r="K33" i="79" s="1"/>
  <c r="I37" i="56"/>
  <c r="K37" i="79" s="1"/>
  <c r="I45" i="56"/>
  <c r="K45" i="79" s="1"/>
  <c r="I49" i="56"/>
  <c r="K49" i="79" s="1"/>
  <c r="I53" i="56"/>
  <c r="K53" i="79" s="1"/>
  <c r="I61" i="56"/>
  <c r="K61" i="79" s="1"/>
  <c r="I65" i="56"/>
  <c r="K65" i="79" s="1"/>
  <c r="I69" i="56"/>
  <c r="K69" i="79" s="1"/>
  <c r="I77" i="56"/>
  <c r="K77" i="79" s="1"/>
  <c r="I81" i="56"/>
  <c r="K81" i="79" s="1"/>
  <c r="I85" i="56"/>
  <c r="K85" i="79" s="1"/>
  <c r="I89" i="56"/>
  <c r="K89" i="79" s="1"/>
  <c r="I93" i="56"/>
  <c r="K93" i="79" s="1"/>
  <c r="I97" i="56"/>
  <c r="K97" i="79" s="1"/>
  <c r="I101" i="56"/>
  <c r="K101" i="79" s="1"/>
  <c r="I109" i="56"/>
  <c r="K109" i="79" s="1"/>
  <c r="I113" i="56"/>
  <c r="K113" i="79" s="1"/>
  <c r="I117" i="56"/>
  <c r="K117" i="79" s="1"/>
  <c r="I125" i="56"/>
  <c r="K125" i="79" s="1"/>
  <c r="G5" i="56"/>
  <c r="E4" i="62"/>
  <c r="H4"/>
  <c r="F4"/>
  <c r="I4"/>
  <c r="I4" i="117"/>
  <c r="H4"/>
  <c r="G6" i="60"/>
  <c r="I6" s="1"/>
  <c r="G38"/>
  <c r="I38" s="1"/>
  <c r="G70"/>
  <c r="I70" s="1"/>
  <c r="G86"/>
  <c r="I86" s="1"/>
  <c r="G118"/>
  <c r="I118" s="1"/>
  <c r="AO14"/>
  <c r="H14" s="1"/>
  <c r="AO22"/>
  <c r="AO30"/>
  <c r="H30" s="1"/>
  <c r="AO46"/>
  <c r="H46" s="1"/>
  <c r="AO54"/>
  <c r="H54" s="1"/>
  <c r="AO62"/>
  <c r="H62" s="1"/>
  <c r="AO78"/>
  <c r="H78" s="1"/>
  <c r="AO94"/>
  <c r="H94" s="1"/>
  <c r="AO102"/>
  <c r="H102" s="1"/>
  <c r="AO110"/>
  <c r="I14"/>
  <c r="I46"/>
  <c r="I54"/>
  <c r="I62"/>
  <c r="I94"/>
  <c r="I102"/>
  <c r="I110"/>
  <c r="G7"/>
  <c r="I7" s="1"/>
  <c r="G23"/>
  <c r="G39"/>
  <c r="I39" s="1"/>
  <c r="G55"/>
  <c r="I55" s="1"/>
  <c r="G71"/>
  <c r="I71" s="1"/>
  <c r="G87"/>
  <c r="G103"/>
  <c r="G119"/>
  <c r="I119" s="1"/>
  <c r="AN4"/>
  <c r="H5"/>
  <c r="H21"/>
  <c r="H29"/>
  <c r="H45"/>
  <c r="H61"/>
  <c r="H77"/>
  <c r="H117"/>
  <c r="I90"/>
  <c r="I122"/>
  <c r="Y123"/>
  <c r="H123" s="1"/>
  <c r="G8"/>
  <c r="I8" s="1"/>
  <c r="G12"/>
  <c r="I12" s="1"/>
  <c r="G16"/>
  <c r="G20"/>
  <c r="I20" s="1"/>
  <c r="G24"/>
  <c r="I24" s="1"/>
  <c r="G28"/>
  <c r="I28" s="1"/>
  <c r="G32"/>
  <c r="G36"/>
  <c r="I36" s="1"/>
  <c r="G40"/>
  <c r="I40" s="1"/>
  <c r="G44"/>
  <c r="I44" s="1"/>
  <c r="G48"/>
  <c r="I48" s="1"/>
  <c r="G52"/>
  <c r="I52" s="1"/>
  <c r="G56"/>
  <c r="I56" s="1"/>
  <c r="G60"/>
  <c r="I60" s="1"/>
  <c r="G64"/>
  <c r="G68"/>
  <c r="I68" s="1"/>
  <c r="G72"/>
  <c r="I72" s="1"/>
  <c r="G76"/>
  <c r="I76" s="1"/>
  <c r="G80"/>
  <c r="G84"/>
  <c r="I84" s="1"/>
  <c r="G88"/>
  <c r="I88" s="1"/>
  <c r="G92"/>
  <c r="I92" s="1"/>
  <c r="G96"/>
  <c r="G100"/>
  <c r="I100" s="1"/>
  <c r="G104"/>
  <c r="I104" s="1"/>
  <c r="G108"/>
  <c r="I108" s="1"/>
  <c r="G112"/>
  <c r="G116"/>
  <c r="I116" s="1"/>
  <c r="G120"/>
  <c r="I120" s="1"/>
  <c r="G124"/>
  <c r="I124" s="1"/>
  <c r="H17"/>
  <c r="H25"/>
  <c r="H49"/>
  <c r="H57"/>
  <c r="H81"/>
  <c r="H89"/>
  <c r="H113"/>
  <c r="H121"/>
  <c r="Y10"/>
  <c r="H10" s="1"/>
  <c r="Y18"/>
  <c r="Y26"/>
  <c r="H26" s="1"/>
  <c r="Y34"/>
  <c r="H34" s="1"/>
  <c r="Y42"/>
  <c r="H42" s="1"/>
  <c r="Y50"/>
  <c r="Y58"/>
  <c r="Y66"/>
  <c r="H66" s="1"/>
  <c r="Y74"/>
  <c r="H74" s="1"/>
  <c r="Y82"/>
  <c r="H82" s="1"/>
  <c r="Y90"/>
  <c r="H90" s="1"/>
  <c r="Y98"/>
  <c r="H98" s="1"/>
  <c r="Y106"/>
  <c r="H106" s="1"/>
  <c r="Y114"/>
  <c r="Y122"/>
  <c r="H122" s="1"/>
  <c r="G11"/>
  <c r="I11" s="1"/>
  <c r="G19"/>
  <c r="I19" s="1"/>
  <c r="G27"/>
  <c r="I27" s="1"/>
  <c r="G35"/>
  <c r="I35" s="1"/>
  <c r="G43"/>
  <c r="I43" s="1"/>
  <c r="G51"/>
  <c r="I51" s="1"/>
  <c r="G59"/>
  <c r="I59" s="1"/>
  <c r="G67"/>
  <c r="I67" s="1"/>
  <c r="G75"/>
  <c r="I75" s="1"/>
  <c r="G83"/>
  <c r="I83" s="1"/>
  <c r="G91"/>
  <c r="I91" s="1"/>
  <c r="G99"/>
  <c r="I99" s="1"/>
  <c r="G107"/>
  <c r="I107" s="1"/>
  <c r="G115"/>
  <c r="I115" s="1"/>
  <c r="H13"/>
  <c r="H37"/>
  <c r="H53"/>
  <c r="H69"/>
  <c r="H85"/>
  <c r="H93"/>
  <c r="H109"/>
  <c r="I10"/>
  <c r="I26"/>
  <c r="I34"/>
  <c r="I58"/>
  <c r="I66"/>
  <c r="I98"/>
  <c r="H18"/>
  <c r="H50"/>
  <c r="H58"/>
  <c r="H114"/>
  <c r="H7"/>
  <c r="H11"/>
  <c r="H15"/>
  <c r="H19"/>
  <c r="H23"/>
  <c r="H27"/>
  <c r="H31"/>
  <c r="H35"/>
  <c r="H39"/>
  <c r="H43"/>
  <c r="H47"/>
  <c r="H51"/>
  <c r="H55"/>
  <c r="H59"/>
  <c r="H63"/>
  <c r="H67"/>
  <c r="H71"/>
  <c r="H75"/>
  <c r="H79"/>
  <c r="H83"/>
  <c r="H87"/>
  <c r="H91"/>
  <c r="H95"/>
  <c r="H99"/>
  <c r="H103"/>
  <c r="H107"/>
  <c r="H111"/>
  <c r="H115"/>
  <c r="H119"/>
  <c r="H6"/>
  <c r="H22"/>
  <c r="H38"/>
  <c r="H70"/>
  <c r="H86"/>
  <c r="H110"/>
  <c r="H118"/>
  <c r="I23"/>
  <c r="I31"/>
  <c r="I47"/>
  <c r="I63"/>
  <c r="I87"/>
  <c r="I103"/>
  <c r="I123"/>
  <c r="I16"/>
  <c r="I32"/>
  <c r="I64"/>
  <c r="I80"/>
  <c r="I96"/>
  <c r="I112"/>
  <c r="I5"/>
  <c r="I9"/>
  <c r="I17"/>
  <c r="I25"/>
  <c r="I29"/>
  <c r="I33"/>
  <c r="I37"/>
  <c r="I41"/>
  <c r="I45"/>
  <c r="I49"/>
  <c r="I57"/>
  <c r="I65"/>
  <c r="I69"/>
  <c r="I73"/>
  <c r="I81"/>
  <c r="I85"/>
  <c r="I93"/>
  <c r="I97"/>
  <c r="I101"/>
  <c r="I105"/>
  <c r="I109"/>
  <c r="I113"/>
  <c r="I117"/>
  <c r="I121"/>
  <c r="P4"/>
  <c r="Q8"/>
  <c r="H8" s="1"/>
  <c r="Q12"/>
  <c r="H12" s="1"/>
  <c r="Q16"/>
  <c r="H16" s="1"/>
  <c r="Q20"/>
  <c r="H20" s="1"/>
  <c r="Q24"/>
  <c r="H24" s="1"/>
  <c r="Q28"/>
  <c r="H28" s="1"/>
  <c r="Q32"/>
  <c r="H32" s="1"/>
  <c r="Q36"/>
  <c r="H36" s="1"/>
  <c r="Q40"/>
  <c r="H40" s="1"/>
  <c r="Q44"/>
  <c r="H44" s="1"/>
  <c r="Q48"/>
  <c r="H48" s="1"/>
  <c r="Q52"/>
  <c r="H52" s="1"/>
  <c r="Q56"/>
  <c r="H56" s="1"/>
  <c r="Q60"/>
  <c r="H60" s="1"/>
  <c r="Q64"/>
  <c r="H64" s="1"/>
  <c r="Q68"/>
  <c r="H68" s="1"/>
  <c r="Q72"/>
  <c r="H72" s="1"/>
  <c r="Q76"/>
  <c r="H76" s="1"/>
  <c r="Q80"/>
  <c r="H80" s="1"/>
  <c r="Q84"/>
  <c r="H84" s="1"/>
  <c r="Q88"/>
  <c r="H88" s="1"/>
  <c r="Q92"/>
  <c r="H92" s="1"/>
  <c r="Q96"/>
  <c r="H96" s="1"/>
  <c r="Q100"/>
  <c r="H100" s="1"/>
  <c r="Q104"/>
  <c r="H104" s="1"/>
  <c r="Q108"/>
  <c r="H108" s="1"/>
  <c r="Q112"/>
  <c r="H112" s="1"/>
  <c r="Q116"/>
  <c r="H116" s="1"/>
  <c r="Q120"/>
  <c r="H120" s="1"/>
  <c r="Q124"/>
  <c r="H124" s="1"/>
  <c r="AG4"/>
  <c r="AF4"/>
  <c r="X4"/>
  <c r="AC4" i="55"/>
  <c r="I5" i="56" l="1"/>
  <c r="K5" i="79" s="1"/>
  <c r="K5" i="56"/>
  <c r="J5" i="79" s="1"/>
  <c r="AO4" i="60"/>
  <c r="Y4"/>
  <c r="I4"/>
  <c r="Q4"/>
  <c r="J124" i="59" l="1"/>
  <c r="G125" i="118" s="1"/>
  <c r="J123" i="59"/>
  <c r="G124" i="118" s="1"/>
  <c r="J122" i="59"/>
  <c r="G123" i="118" s="1"/>
  <c r="J121" i="59"/>
  <c r="G122" i="118" s="1"/>
  <c r="J120" i="59"/>
  <c r="G121" i="118" s="1"/>
  <c r="J119" i="59"/>
  <c r="G120" i="118" s="1"/>
  <c r="J118" i="59"/>
  <c r="G119" i="118" s="1"/>
  <c r="J117" i="59"/>
  <c r="G118" i="118" s="1"/>
  <c r="J116" i="59"/>
  <c r="G117" i="118" s="1"/>
  <c r="J115" i="59"/>
  <c r="G116" i="118" s="1"/>
  <c r="J114" i="59"/>
  <c r="G115" i="118" s="1"/>
  <c r="J113" i="59"/>
  <c r="G114" i="118" s="1"/>
  <c r="J112" i="59"/>
  <c r="G113" i="118" s="1"/>
  <c r="J111" i="59"/>
  <c r="G112" i="118" s="1"/>
  <c r="J110" i="59"/>
  <c r="G111" i="118" s="1"/>
  <c r="J109" i="59"/>
  <c r="G110" i="118" s="1"/>
  <c r="J108" i="59"/>
  <c r="G109" i="118" s="1"/>
  <c r="J107" i="59"/>
  <c r="G108" i="118" s="1"/>
  <c r="J106" i="59"/>
  <c r="G107" i="118" s="1"/>
  <c r="J105" i="59"/>
  <c r="G106" i="118" s="1"/>
  <c r="J104" i="59"/>
  <c r="G105" i="118" s="1"/>
  <c r="J103" i="59"/>
  <c r="G104" i="118" s="1"/>
  <c r="J102" i="59"/>
  <c r="G103" i="118" s="1"/>
  <c r="J101" i="59"/>
  <c r="G102" i="118" s="1"/>
  <c r="J100" i="59"/>
  <c r="G101" i="118" s="1"/>
  <c r="J99" i="59"/>
  <c r="G100" i="118" s="1"/>
  <c r="J98" i="59"/>
  <c r="G99" i="118" s="1"/>
  <c r="J97" i="59"/>
  <c r="G98" i="118" s="1"/>
  <c r="J96" i="59"/>
  <c r="G97" i="118" s="1"/>
  <c r="J95" i="59"/>
  <c r="G96" i="118" s="1"/>
  <c r="J94" i="59"/>
  <c r="G95" i="118" s="1"/>
  <c r="J93" i="59"/>
  <c r="G94" i="118" s="1"/>
  <c r="J92" i="59"/>
  <c r="G93" i="118" s="1"/>
  <c r="J91" i="59"/>
  <c r="G92" i="118" s="1"/>
  <c r="J90" i="59"/>
  <c r="G91" i="118" s="1"/>
  <c r="J89" i="59"/>
  <c r="G90" i="118" s="1"/>
  <c r="J88" i="59"/>
  <c r="G89" i="118" s="1"/>
  <c r="J87" i="59"/>
  <c r="G88" i="118" s="1"/>
  <c r="J86" i="59"/>
  <c r="G87" i="118" s="1"/>
  <c r="J85" i="59"/>
  <c r="G86" i="118" s="1"/>
  <c r="J84" i="59"/>
  <c r="G85" i="118" s="1"/>
  <c r="J83" i="59"/>
  <c r="G84" i="118" s="1"/>
  <c r="J82" i="59"/>
  <c r="G83" i="118" s="1"/>
  <c r="J81" i="59"/>
  <c r="G82" i="118" s="1"/>
  <c r="J80" i="59"/>
  <c r="G81" i="118" s="1"/>
  <c r="J79" i="59"/>
  <c r="G80" i="118" s="1"/>
  <c r="J78" i="59"/>
  <c r="G79" i="118" s="1"/>
  <c r="J77" i="59"/>
  <c r="G78" i="118" s="1"/>
  <c r="J76" i="59"/>
  <c r="G77" i="118" s="1"/>
  <c r="J75" i="59"/>
  <c r="G76" i="118" s="1"/>
  <c r="J74" i="59"/>
  <c r="G75" i="118" s="1"/>
  <c r="J73" i="59"/>
  <c r="G74" i="118" s="1"/>
  <c r="J72" i="59"/>
  <c r="G73" i="118" s="1"/>
  <c r="J71" i="59"/>
  <c r="G72" i="118" s="1"/>
  <c r="J70" i="59"/>
  <c r="G71" i="118" s="1"/>
  <c r="J69" i="59"/>
  <c r="G70" i="118" s="1"/>
  <c r="J68" i="59"/>
  <c r="G69" i="118" s="1"/>
  <c r="J67" i="59"/>
  <c r="G68" i="118" s="1"/>
  <c r="J66" i="59"/>
  <c r="G67" i="118" s="1"/>
  <c r="J65" i="59"/>
  <c r="G66" i="118" s="1"/>
  <c r="J64" i="59"/>
  <c r="G65" i="118" s="1"/>
  <c r="J63" i="59"/>
  <c r="G64" i="118" s="1"/>
  <c r="J62" i="59"/>
  <c r="G63" i="118" s="1"/>
  <c r="J61" i="59"/>
  <c r="G62" i="118" s="1"/>
  <c r="J60" i="59"/>
  <c r="G61" i="118" s="1"/>
  <c r="J59" i="59"/>
  <c r="G60" i="118" s="1"/>
  <c r="J58" i="59"/>
  <c r="G59" i="118" s="1"/>
  <c r="J57" i="59"/>
  <c r="G58" i="118" s="1"/>
  <c r="J56" i="59"/>
  <c r="G57" i="118" s="1"/>
  <c r="J55" i="59"/>
  <c r="G56" i="118" s="1"/>
  <c r="J54" i="59"/>
  <c r="G55" i="118" s="1"/>
  <c r="J53" i="59"/>
  <c r="G54" i="118" s="1"/>
  <c r="J52" i="59"/>
  <c r="G53" i="118" s="1"/>
  <c r="J51" i="59"/>
  <c r="G52" i="118" s="1"/>
  <c r="J50" i="59"/>
  <c r="G51" i="118" s="1"/>
  <c r="J49" i="59"/>
  <c r="G50" i="118" s="1"/>
  <c r="J48" i="59"/>
  <c r="G49" i="118" s="1"/>
  <c r="J47" i="59"/>
  <c r="G48" i="118" s="1"/>
  <c r="J46" i="59"/>
  <c r="G47" i="118" s="1"/>
  <c r="J45" i="59"/>
  <c r="G46" i="118" s="1"/>
  <c r="J44" i="59"/>
  <c r="G45" i="118" s="1"/>
  <c r="J43" i="59"/>
  <c r="G44" i="118" s="1"/>
  <c r="J42" i="59"/>
  <c r="G43" i="118" s="1"/>
  <c r="J41" i="59"/>
  <c r="G42" i="118" s="1"/>
  <c r="J40" i="59"/>
  <c r="G41" i="118" s="1"/>
  <c r="J39" i="59"/>
  <c r="G40" i="118" s="1"/>
  <c r="J38" i="59"/>
  <c r="G39" i="118" s="1"/>
  <c r="J37" i="59"/>
  <c r="G38" i="118" s="1"/>
  <c r="J36" i="59"/>
  <c r="G37" i="118" s="1"/>
  <c r="J35" i="59"/>
  <c r="G36" i="118" s="1"/>
  <c r="J34" i="59"/>
  <c r="G35" i="118" s="1"/>
  <c r="J33" i="59"/>
  <c r="G34" i="118" s="1"/>
  <c r="J32" i="59"/>
  <c r="G33" i="118" s="1"/>
  <c r="J31" i="59"/>
  <c r="G32" i="118" s="1"/>
  <c r="J30" i="59"/>
  <c r="G31" i="118" s="1"/>
  <c r="J29" i="59"/>
  <c r="G30" i="118" s="1"/>
  <c r="J28" i="59"/>
  <c r="G29" i="118" s="1"/>
  <c r="J27" i="59"/>
  <c r="G28" i="118" s="1"/>
  <c r="J26" i="59"/>
  <c r="G27" i="118" s="1"/>
  <c r="J25" i="59"/>
  <c r="G26" i="118" s="1"/>
  <c r="J24" i="59"/>
  <c r="G25" i="118" s="1"/>
  <c r="J23" i="59"/>
  <c r="G24" i="118" s="1"/>
  <c r="J22" i="59"/>
  <c r="G23" i="118" s="1"/>
  <c r="J21" i="59"/>
  <c r="G22" i="118" s="1"/>
  <c r="J20" i="59"/>
  <c r="G21" i="118" s="1"/>
  <c r="J19" i="59"/>
  <c r="G20" i="118" s="1"/>
  <c r="J18" i="59"/>
  <c r="G19" i="118" s="1"/>
  <c r="J17" i="59"/>
  <c r="G18" i="118" s="1"/>
  <c r="J16" i="59"/>
  <c r="G17" i="118" s="1"/>
  <c r="J15" i="59"/>
  <c r="G16" i="118" s="1"/>
  <c r="J14" i="59"/>
  <c r="G15" i="118" s="1"/>
  <c r="J13" i="59"/>
  <c r="G14" i="118" s="1"/>
  <c r="J12" i="59"/>
  <c r="G13" i="118" s="1"/>
  <c r="J11" i="59"/>
  <c r="G12" i="118" s="1"/>
  <c r="J10" i="59"/>
  <c r="G11" i="118" s="1"/>
  <c r="J9" i="59"/>
  <c r="G10" i="118" s="1"/>
  <c r="J8" i="59"/>
  <c r="G9" i="118" s="1"/>
  <c r="J7" i="59"/>
  <c r="G8" i="118" s="1"/>
  <c r="J6" i="59"/>
  <c r="J5"/>
  <c r="G6" i="118" s="1"/>
  <c r="D124" i="59"/>
  <c r="D123"/>
  <c r="D122"/>
  <c r="D121"/>
  <c r="D120"/>
  <c r="D119"/>
  <c r="D118"/>
  <c r="D117"/>
  <c r="D116"/>
  <c r="D115"/>
  <c r="D114"/>
  <c r="D113"/>
  <c r="D112"/>
  <c r="D111"/>
  <c r="D110"/>
  <c r="D109"/>
  <c r="D108"/>
  <c r="D107"/>
  <c r="D106"/>
  <c r="D105"/>
  <c r="D104"/>
  <c r="D103"/>
  <c r="D102"/>
  <c r="D101"/>
  <c r="D100"/>
  <c r="D99"/>
  <c r="D98"/>
  <c r="D97"/>
  <c r="D96"/>
  <c r="D95"/>
  <c r="D94"/>
  <c r="D93"/>
  <c r="D92"/>
  <c r="D91"/>
  <c r="D90"/>
  <c r="D89"/>
  <c r="D88"/>
  <c r="D87"/>
  <c r="D86"/>
  <c r="D85"/>
  <c r="D84"/>
  <c r="D83"/>
  <c r="D82"/>
  <c r="D81"/>
  <c r="D80"/>
  <c r="D79"/>
  <c r="D78"/>
  <c r="D77"/>
  <c r="D76"/>
  <c r="D75"/>
  <c r="D74"/>
  <c r="D73"/>
  <c r="D72"/>
  <c r="D71"/>
  <c r="D70"/>
  <c r="D69"/>
  <c r="D68"/>
  <c r="D67"/>
  <c r="D66"/>
  <c r="D65"/>
  <c r="D64"/>
  <c r="D63"/>
  <c r="D62"/>
  <c r="D61"/>
  <c r="D60"/>
  <c r="D59"/>
  <c r="D58"/>
  <c r="D57"/>
  <c r="D56"/>
  <c r="D55"/>
  <c r="D54"/>
  <c r="D53"/>
  <c r="D52"/>
  <c r="D51"/>
  <c r="D50"/>
  <c r="D49"/>
  <c r="D48"/>
  <c r="D47"/>
  <c r="D46"/>
  <c r="D45"/>
  <c r="D44"/>
  <c r="D43"/>
  <c r="D42"/>
  <c r="D41"/>
  <c r="D40"/>
  <c r="D39"/>
  <c r="D38"/>
  <c r="D37"/>
  <c r="D36"/>
  <c r="D35"/>
  <c r="D34"/>
  <c r="D33"/>
  <c r="D32"/>
  <c r="D31"/>
  <c r="D30"/>
  <c r="D29"/>
  <c r="D28"/>
  <c r="D27"/>
  <c r="D26"/>
  <c r="D25"/>
  <c r="D24"/>
  <c r="D23"/>
  <c r="D22"/>
  <c r="D21"/>
  <c r="D20"/>
  <c r="D19"/>
  <c r="D18"/>
  <c r="D17"/>
  <c r="D16"/>
  <c r="D15"/>
  <c r="D14"/>
  <c r="D13"/>
  <c r="D12"/>
  <c r="D11"/>
  <c r="D10"/>
  <c r="D9"/>
  <c r="D8"/>
  <c r="D7"/>
  <c r="D6"/>
  <c r="D5"/>
  <c r="I4"/>
  <c r="H4"/>
  <c r="G4"/>
  <c r="F4"/>
  <c r="J4" l="1"/>
  <c r="G7" i="118"/>
  <c r="G5" s="1"/>
  <c r="I124" i="61"/>
  <c r="I123"/>
  <c r="I122"/>
  <c r="I121"/>
  <c r="I120"/>
  <c r="I119"/>
  <c r="I118"/>
  <c r="I117"/>
  <c r="I116"/>
  <c r="I115"/>
  <c r="I114"/>
  <c r="I113"/>
  <c r="I112"/>
  <c r="I111"/>
  <c r="I110"/>
  <c r="I109"/>
  <c r="I108"/>
  <c r="I107"/>
  <c r="I106"/>
  <c r="I105"/>
  <c r="I104"/>
  <c r="I103"/>
  <c r="I102"/>
  <c r="I101"/>
  <c r="I100"/>
  <c r="I99"/>
  <c r="I98"/>
  <c r="I97"/>
  <c r="I96"/>
  <c r="I95"/>
  <c r="I94"/>
  <c r="I93"/>
  <c r="I92"/>
  <c r="I91"/>
  <c r="I90"/>
  <c r="I89"/>
  <c r="I88"/>
  <c r="I87"/>
  <c r="I86"/>
  <c r="I85"/>
  <c r="I84"/>
  <c r="I83"/>
  <c r="I82"/>
  <c r="I81"/>
  <c r="I80"/>
  <c r="I79"/>
  <c r="I78"/>
  <c r="I77"/>
  <c r="I76"/>
  <c r="I75"/>
  <c r="I74"/>
  <c r="I73"/>
  <c r="I72"/>
  <c r="I71"/>
  <c r="I70"/>
  <c r="I69"/>
  <c r="I68"/>
  <c r="I67"/>
  <c r="I66"/>
  <c r="I65"/>
  <c r="I64"/>
  <c r="I63"/>
  <c r="I62"/>
  <c r="I61"/>
  <c r="I60"/>
  <c r="I59"/>
  <c r="I58"/>
  <c r="I57"/>
  <c r="I56"/>
  <c r="I55"/>
  <c r="I54"/>
  <c r="I53"/>
  <c r="I52"/>
  <c r="I51"/>
  <c r="I50"/>
  <c r="I49"/>
  <c r="I48"/>
  <c r="I47"/>
  <c r="I46"/>
  <c r="I45"/>
  <c r="I44"/>
  <c r="I43"/>
  <c r="I42"/>
  <c r="I41"/>
  <c r="I40"/>
  <c r="I39"/>
  <c r="I38"/>
  <c r="I37"/>
  <c r="I36"/>
  <c r="I35"/>
  <c r="I34"/>
  <c r="I33"/>
  <c r="I32"/>
  <c r="I31"/>
  <c r="I30"/>
  <c r="I29"/>
  <c r="I28"/>
  <c r="I27"/>
  <c r="I26"/>
  <c r="I25"/>
  <c r="I24"/>
  <c r="I23"/>
  <c r="I22"/>
  <c r="I21"/>
  <c r="I20"/>
  <c r="I19"/>
  <c r="I18"/>
  <c r="I17"/>
  <c r="I16"/>
  <c r="I15"/>
  <c r="I14"/>
  <c r="I13"/>
  <c r="I12"/>
  <c r="I11"/>
  <c r="I10"/>
  <c r="I9"/>
  <c r="I8"/>
  <c r="I7"/>
  <c r="I6"/>
  <c r="I5"/>
  <c r="H4"/>
  <c r="G4"/>
  <c r="J4" s="1"/>
  <c r="F4"/>
  <c r="E4"/>
  <c r="D4"/>
  <c r="D124" i="58"/>
  <c r="D123"/>
  <c r="D122"/>
  <c r="D121"/>
  <c r="D120"/>
  <c r="D119"/>
  <c r="D118"/>
  <c r="D117"/>
  <c r="D116"/>
  <c r="D115"/>
  <c r="D114"/>
  <c r="D113"/>
  <c r="D112"/>
  <c r="D111"/>
  <c r="D110"/>
  <c r="D109"/>
  <c r="D108"/>
  <c r="D107"/>
  <c r="D106"/>
  <c r="D105"/>
  <c r="D104"/>
  <c r="D103"/>
  <c r="D102"/>
  <c r="D101"/>
  <c r="D100"/>
  <c r="D99"/>
  <c r="D98"/>
  <c r="D97"/>
  <c r="D96"/>
  <c r="D95"/>
  <c r="D94"/>
  <c r="D93"/>
  <c r="D92"/>
  <c r="D91"/>
  <c r="D90"/>
  <c r="D89"/>
  <c r="D88"/>
  <c r="D87"/>
  <c r="D86"/>
  <c r="D85"/>
  <c r="D84"/>
  <c r="D83"/>
  <c r="D82"/>
  <c r="D81"/>
  <c r="D80"/>
  <c r="D79"/>
  <c r="D78"/>
  <c r="D77"/>
  <c r="D76"/>
  <c r="D75"/>
  <c r="D74"/>
  <c r="D73"/>
  <c r="D72"/>
  <c r="D71"/>
  <c r="D70"/>
  <c r="D69"/>
  <c r="D68"/>
  <c r="D67"/>
  <c r="D66"/>
  <c r="D65"/>
  <c r="D64"/>
  <c r="D63"/>
  <c r="D62"/>
  <c r="D61"/>
  <c r="D60"/>
  <c r="D59"/>
  <c r="D58"/>
  <c r="D57"/>
  <c r="D56"/>
  <c r="D55"/>
  <c r="D54"/>
  <c r="D53"/>
  <c r="D52"/>
  <c r="D51"/>
  <c r="D50"/>
  <c r="D49"/>
  <c r="D48"/>
  <c r="D47"/>
  <c r="D46"/>
  <c r="D45"/>
  <c r="D44"/>
  <c r="D43"/>
  <c r="D42"/>
  <c r="D41"/>
  <c r="D40"/>
  <c r="D39"/>
  <c r="D38"/>
  <c r="D37"/>
  <c r="D36"/>
  <c r="D35"/>
  <c r="D34"/>
  <c r="D33"/>
  <c r="D32"/>
  <c r="D31"/>
  <c r="D30"/>
  <c r="D29"/>
  <c r="D28"/>
  <c r="D27"/>
  <c r="D26"/>
  <c r="D25"/>
  <c r="D24"/>
  <c r="D23"/>
  <c r="D22"/>
  <c r="D21"/>
  <c r="D20"/>
  <c r="D19"/>
  <c r="D18"/>
  <c r="D17"/>
  <c r="D16"/>
  <c r="D15"/>
  <c r="D14"/>
  <c r="D13"/>
  <c r="D12"/>
  <c r="D11"/>
  <c r="D10"/>
  <c r="D9"/>
  <c r="D8"/>
  <c r="D7"/>
  <c r="D6"/>
  <c r="D5"/>
  <c r="D92" i="57"/>
  <c r="D28"/>
  <c r="K124"/>
  <c r="K123"/>
  <c r="K122"/>
  <c r="K121"/>
  <c r="K120"/>
  <c r="K119"/>
  <c r="K118"/>
  <c r="K117"/>
  <c r="K116"/>
  <c r="K115"/>
  <c r="K114"/>
  <c r="K113"/>
  <c r="K112"/>
  <c r="K111"/>
  <c r="K110"/>
  <c r="K109"/>
  <c r="K108"/>
  <c r="K107"/>
  <c r="K106"/>
  <c r="K105"/>
  <c r="K104"/>
  <c r="K103"/>
  <c r="K102"/>
  <c r="K101"/>
  <c r="K100"/>
  <c r="K99"/>
  <c r="K98"/>
  <c r="K97"/>
  <c r="K96"/>
  <c r="K95"/>
  <c r="K94"/>
  <c r="K93"/>
  <c r="K92"/>
  <c r="K91"/>
  <c r="K90"/>
  <c r="K89"/>
  <c r="K88"/>
  <c r="K87"/>
  <c r="K86"/>
  <c r="K85"/>
  <c r="K84"/>
  <c r="K83"/>
  <c r="K82"/>
  <c r="K81"/>
  <c r="K80"/>
  <c r="K79"/>
  <c r="K78"/>
  <c r="K77"/>
  <c r="K76"/>
  <c r="K75"/>
  <c r="K74"/>
  <c r="K73"/>
  <c r="K72"/>
  <c r="K71"/>
  <c r="K70"/>
  <c r="K69"/>
  <c r="K68"/>
  <c r="K67"/>
  <c r="K66"/>
  <c r="K65"/>
  <c r="K64"/>
  <c r="K63"/>
  <c r="K62"/>
  <c r="K61"/>
  <c r="K60"/>
  <c r="K59"/>
  <c r="K58"/>
  <c r="K57"/>
  <c r="K56"/>
  <c r="K55"/>
  <c r="K54"/>
  <c r="K53"/>
  <c r="K52"/>
  <c r="K51"/>
  <c r="K50"/>
  <c r="K49"/>
  <c r="K48"/>
  <c r="K47"/>
  <c r="K46"/>
  <c r="K45"/>
  <c r="K44"/>
  <c r="K43"/>
  <c r="K42"/>
  <c r="K41"/>
  <c r="K40"/>
  <c r="K39"/>
  <c r="K38"/>
  <c r="K37"/>
  <c r="K36"/>
  <c r="K35"/>
  <c r="K34"/>
  <c r="K33"/>
  <c r="K32"/>
  <c r="K31"/>
  <c r="K30"/>
  <c r="K29"/>
  <c r="K28"/>
  <c r="K27"/>
  <c r="K26"/>
  <c r="K25"/>
  <c r="K24"/>
  <c r="K23"/>
  <c r="K22"/>
  <c r="K21"/>
  <c r="K20"/>
  <c r="K19"/>
  <c r="K18"/>
  <c r="K17"/>
  <c r="K16"/>
  <c r="K15"/>
  <c r="K14"/>
  <c r="K13"/>
  <c r="K12"/>
  <c r="K11"/>
  <c r="K10"/>
  <c r="K9"/>
  <c r="K8"/>
  <c r="K7"/>
  <c r="K6"/>
  <c r="K5"/>
  <c r="H124"/>
  <c r="D124" s="1"/>
  <c r="H123"/>
  <c r="D123" s="1"/>
  <c r="H122"/>
  <c r="D122" s="1"/>
  <c r="H121"/>
  <c r="D121" s="1"/>
  <c r="H120"/>
  <c r="D120" s="1"/>
  <c r="H119"/>
  <c r="D119" s="1"/>
  <c r="H118"/>
  <c r="D118" s="1"/>
  <c r="H117"/>
  <c r="D117" s="1"/>
  <c r="H116"/>
  <c r="D116" s="1"/>
  <c r="H115"/>
  <c r="D115" s="1"/>
  <c r="H114"/>
  <c r="D114" s="1"/>
  <c r="H113"/>
  <c r="D113" s="1"/>
  <c r="H112"/>
  <c r="D112" s="1"/>
  <c r="H111"/>
  <c r="D111" s="1"/>
  <c r="H110"/>
  <c r="D110" s="1"/>
  <c r="H109"/>
  <c r="D109" s="1"/>
  <c r="H108"/>
  <c r="D108" s="1"/>
  <c r="H107"/>
  <c r="D107" s="1"/>
  <c r="H106"/>
  <c r="D106" s="1"/>
  <c r="H105"/>
  <c r="D105" s="1"/>
  <c r="H104"/>
  <c r="D104" s="1"/>
  <c r="H103"/>
  <c r="D103" s="1"/>
  <c r="H102"/>
  <c r="D102" s="1"/>
  <c r="H101"/>
  <c r="D101" s="1"/>
  <c r="H100"/>
  <c r="D100" s="1"/>
  <c r="H99"/>
  <c r="D99" s="1"/>
  <c r="H98"/>
  <c r="D98" s="1"/>
  <c r="H97"/>
  <c r="D97" s="1"/>
  <c r="H96"/>
  <c r="D96" s="1"/>
  <c r="H95"/>
  <c r="D95" s="1"/>
  <c r="H94"/>
  <c r="D94" s="1"/>
  <c r="H93"/>
  <c r="D93" s="1"/>
  <c r="H92"/>
  <c r="H91"/>
  <c r="D91" s="1"/>
  <c r="H90"/>
  <c r="D90" s="1"/>
  <c r="H89"/>
  <c r="D89" s="1"/>
  <c r="H88"/>
  <c r="D88" s="1"/>
  <c r="H87"/>
  <c r="D87" s="1"/>
  <c r="H86"/>
  <c r="D86" s="1"/>
  <c r="H85"/>
  <c r="D85" s="1"/>
  <c r="H84"/>
  <c r="D84" s="1"/>
  <c r="H83"/>
  <c r="D83" s="1"/>
  <c r="H82"/>
  <c r="D82" s="1"/>
  <c r="H81"/>
  <c r="D81" s="1"/>
  <c r="H80"/>
  <c r="D80" s="1"/>
  <c r="H79"/>
  <c r="D79" s="1"/>
  <c r="H78"/>
  <c r="D78" s="1"/>
  <c r="H77"/>
  <c r="D77" s="1"/>
  <c r="H76"/>
  <c r="D76" s="1"/>
  <c r="H75"/>
  <c r="D75" s="1"/>
  <c r="H74"/>
  <c r="D74" s="1"/>
  <c r="H73"/>
  <c r="D73" s="1"/>
  <c r="H72"/>
  <c r="D72" s="1"/>
  <c r="H71"/>
  <c r="D71" s="1"/>
  <c r="H70"/>
  <c r="D70" s="1"/>
  <c r="H69"/>
  <c r="D69" s="1"/>
  <c r="H68"/>
  <c r="D68" s="1"/>
  <c r="H67"/>
  <c r="D67" s="1"/>
  <c r="H66"/>
  <c r="D66" s="1"/>
  <c r="H65"/>
  <c r="D65" s="1"/>
  <c r="H64"/>
  <c r="D64" s="1"/>
  <c r="H63"/>
  <c r="D63" s="1"/>
  <c r="H62"/>
  <c r="D62" s="1"/>
  <c r="H61"/>
  <c r="D61" s="1"/>
  <c r="H60"/>
  <c r="D60" s="1"/>
  <c r="H59"/>
  <c r="D59" s="1"/>
  <c r="H58"/>
  <c r="D58" s="1"/>
  <c r="H57"/>
  <c r="D57" s="1"/>
  <c r="H56"/>
  <c r="D56" s="1"/>
  <c r="H55"/>
  <c r="D55" s="1"/>
  <c r="H54"/>
  <c r="D54" s="1"/>
  <c r="H53"/>
  <c r="D53" s="1"/>
  <c r="H52"/>
  <c r="D52" s="1"/>
  <c r="H51"/>
  <c r="D51" s="1"/>
  <c r="H50"/>
  <c r="D50" s="1"/>
  <c r="H49"/>
  <c r="D49" s="1"/>
  <c r="H48"/>
  <c r="D48" s="1"/>
  <c r="H47"/>
  <c r="D47" s="1"/>
  <c r="H46"/>
  <c r="D46" s="1"/>
  <c r="H45"/>
  <c r="D45" s="1"/>
  <c r="H44"/>
  <c r="D44" s="1"/>
  <c r="H43"/>
  <c r="D43" s="1"/>
  <c r="H42"/>
  <c r="D42" s="1"/>
  <c r="H41"/>
  <c r="D41" s="1"/>
  <c r="H40"/>
  <c r="D40" s="1"/>
  <c r="H39"/>
  <c r="D39" s="1"/>
  <c r="H38"/>
  <c r="D38" s="1"/>
  <c r="H37"/>
  <c r="D37" s="1"/>
  <c r="H36"/>
  <c r="D36" s="1"/>
  <c r="H35"/>
  <c r="D35" s="1"/>
  <c r="H34"/>
  <c r="D34" s="1"/>
  <c r="H33"/>
  <c r="D33" s="1"/>
  <c r="H32"/>
  <c r="D32" s="1"/>
  <c r="H31"/>
  <c r="D31" s="1"/>
  <c r="H30"/>
  <c r="D30" s="1"/>
  <c r="H29"/>
  <c r="D29" s="1"/>
  <c r="H28"/>
  <c r="H27"/>
  <c r="D27" s="1"/>
  <c r="H26"/>
  <c r="D26" s="1"/>
  <c r="H25"/>
  <c r="D25" s="1"/>
  <c r="H24"/>
  <c r="D24" s="1"/>
  <c r="H23"/>
  <c r="D23" s="1"/>
  <c r="H22"/>
  <c r="D22" s="1"/>
  <c r="H21"/>
  <c r="D21" s="1"/>
  <c r="H20"/>
  <c r="D20" s="1"/>
  <c r="H19"/>
  <c r="D19" s="1"/>
  <c r="H18"/>
  <c r="D18" s="1"/>
  <c r="H17"/>
  <c r="D17" s="1"/>
  <c r="H16"/>
  <c r="D16" s="1"/>
  <c r="H15"/>
  <c r="D15" s="1"/>
  <c r="H14"/>
  <c r="D14" s="1"/>
  <c r="H13"/>
  <c r="D13" s="1"/>
  <c r="H12"/>
  <c r="D12" s="1"/>
  <c r="H11"/>
  <c r="D11" s="1"/>
  <c r="H10"/>
  <c r="D10" s="1"/>
  <c r="H9"/>
  <c r="D9" s="1"/>
  <c r="H8"/>
  <c r="D8" s="1"/>
  <c r="H7"/>
  <c r="D7" s="1"/>
  <c r="H6"/>
  <c r="D6" s="1"/>
  <c r="H5"/>
  <c r="D5" s="1"/>
  <c r="K36" i="55"/>
  <c r="J124"/>
  <c r="K124" s="1"/>
  <c r="J123"/>
  <c r="K123" s="1"/>
  <c r="J122"/>
  <c r="K122" s="1"/>
  <c r="J121"/>
  <c r="K121" s="1"/>
  <c r="J120"/>
  <c r="K120" s="1"/>
  <c r="J118"/>
  <c r="K118" s="1"/>
  <c r="J116"/>
  <c r="K116" s="1"/>
  <c r="J115"/>
  <c r="K115" s="1"/>
  <c r="J114"/>
  <c r="K114" s="1"/>
  <c r="J112"/>
  <c r="K112" s="1"/>
  <c r="J111"/>
  <c r="K111" s="1"/>
  <c r="J110"/>
  <c r="K110" s="1"/>
  <c r="J109"/>
  <c r="K109" s="1"/>
  <c r="J108"/>
  <c r="K108" s="1"/>
  <c r="J107"/>
  <c r="K107" s="1"/>
  <c r="J106"/>
  <c r="K106" s="1"/>
  <c r="J105"/>
  <c r="K105" s="1"/>
  <c r="J104"/>
  <c r="K104" s="1"/>
  <c r="J103"/>
  <c r="K103" s="1"/>
  <c r="J102"/>
  <c r="K102" s="1"/>
  <c r="J101"/>
  <c r="K101" s="1"/>
  <c r="J100"/>
  <c r="K100" s="1"/>
  <c r="J99"/>
  <c r="K99" s="1"/>
  <c r="J98"/>
  <c r="K98" s="1"/>
  <c r="J97"/>
  <c r="K97" s="1"/>
  <c r="J96"/>
  <c r="K96" s="1"/>
  <c r="J94"/>
  <c r="K94" s="1"/>
  <c r="J92"/>
  <c r="K92" s="1"/>
  <c r="J91"/>
  <c r="K91" s="1"/>
  <c r="J90"/>
  <c r="K90" s="1"/>
  <c r="J89"/>
  <c r="K89" s="1"/>
  <c r="J88"/>
  <c r="K88" s="1"/>
  <c r="J87"/>
  <c r="K87" s="1"/>
  <c r="J86"/>
  <c r="K86" s="1"/>
  <c r="J85"/>
  <c r="K85" s="1"/>
  <c r="J84"/>
  <c r="K84" s="1"/>
  <c r="J83"/>
  <c r="K83" s="1"/>
  <c r="J82"/>
  <c r="K82" s="1"/>
  <c r="J81"/>
  <c r="K81" s="1"/>
  <c r="J80"/>
  <c r="K80" s="1"/>
  <c r="J79"/>
  <c r="K79" s="1"/>
  <c r="J78"/>
  <c r="K78" s="1"/>
  <c r="J77"/>
  <c r="K77" s="1"/>
  <c r="J76"/>
  <c r="K76" s="1"/>
  <c r="J75"/>
  <c r="K75" s="1"/>
  <c r="J74"/>
  <c r="K74" s="1"/>
  <c r="J73"/>
  <c r="K73" s="1"/>
  <c r="J72"/>
  <c r="K72" s="1"/>
  <c r="J71"/>
  <c r="K71" s="1"/>
  <c r="J70"/>
  <c r="K70" s="1"/>
  <c r="J69"/>
  <c r="K69" s="1"/>
  <c r="J68"/>
  <c r="K68" s="1"/>
  <c r="J67"/>
  <c r="K67" s="1"/>
  <c r="J65"/>
  <c r="K65" s="1"/>
  <c r="J64"/>
  <c r="K64" s="1"/>
  <c r="J63"/>
  <c r="K63" s="1"/>
  <c r="J61"/>
  <c r="K61" s="1"/>
  <c r="J60"/>
  <c r="K60" s="1"/>
  <c r="J59"/>
  <c r="K59" s="1"/>
  <c r="J58"/>
  <c r="K58" s="1"/>
  <c r="J57"/>
  <c r="K57" s="1"/>
  <c r="J56"/>
  <c r="K56" s="1"/>
  <c r="J55"/>
  <c r="K55" s="1"/>
  <c r="J54"/>
  <c r="K54" s="1"/>
  <c r="J53"/>
  <c r="K53" s="1"/>
  <c r="J52"/>
  <c r="K52" s="1"/>
  <c r="J50"/>
  <c r="K50" s="1"/>
  <c r="J49"/>
  <c r="K49" s="1"/>
  <c r="J46"/>
  <c r="K46" s="1"/>
  <c r="J45"/>
  <c r="K45" s="1"/>
  <c r="J44"/>
  <c r="K44" s="1"/>
  <c r="J43"/>
  <c r="K43" s="1"/>
  <c r="J42"/>
  <c r="K42" s="1"/>
  <c r="J41"/>
  <c r="K41" s="1"/>
  <c r="J40"/>
  <c r="K40" s="1"/>
  <c r="J39"/>
  <c r="K39" s="1"/>
  <c r="J38"/>
  <c r="K38" s="1"/>
  <c r="J37"/>
  <c r="K37" s="1"/>
  <c r="J36"/>
  <c r="J35"/>
  <c r="K35" s="1"/>
  <c r="J33"/>
  <c r="K33" s="1"/>
  <c r="J32"/>
  <c r="K32" s="1"/>
  <c r="J30"/>
  <c r="K30" s="1"/>
  <c r="J29"/>
  <c r="K29" s="1"/>
  <c r="J28"/>
  <c r="K28" s="1"/>
  <c r="J27"/>
  <c r="K27" s="1"/>
  <c r="J26"/>
  <c r="K26" s="1"/>
  <c r="J24"/>
  <c r="K24" s="1"/>
  <c r="J23"/>
  <c r="K23" s="1"/>
  <c r="J22"/>
  <c r="K22" s="1"/>
  <c r="J19"/>
  <c r="K19" s="1"/>
  <c r="J18"/>
  <c r="K18" s="1"/>
  <c r="J17"/>
  <c r="K17" s="1"/>
  <c r="J16"/>
  <c r="K16" s="1"/>
  <c r="J15"/>
  <c r="K15" s="1"/>
  <c r="J14"/>
  <c r="K14" s="1"/>
  <c r="J13"/>
  <c r="K13" s="1"/>
  <c r="J11"/>
  <c r="K11" s="1"/>
  <c r="J10"/>
  <c r="K10" s="1"/>
  <c r="J9"/>
  <c r="K9" s="1"/>
  <c r="J8"/>
  <c r="K8" s="1"/>
  <c r="J7"/>
  <c r="K7" s="1"/>
  <c r="J5"/>
  <c r="K5" s="1"/>
  <c r="I124"/>
  <c r="I123"/>
  <c r="I122"/>
  <c r="I121"/>
  <c r="I120"/>
  <c r="I119"/>
  <c r="I118"/>
  <c r="I117"/>
  <c r="I116"/>
  <c r="I115"/>
  <c r="I114"/>
  <c r="I112"/>
  <c r="I111"/>
  <c r="I110"/>
  <c r="I109"/>
  <c r="I108"/>
  <c r="I107"/>
  <c r="I106"/>
  <c r="I105"/>
  <c r="I104"/>
  <c r="I103"/>
  <c r="I102"/>
  <c r="I101"/>
  <c r="I100"/>
  <c r="I99"/>
  <c r="I98"/>
  <c r="I97"/>
  <c r="I96"/>
  <c r="I94"/>
  <c r="I91"/>
  <c r="I90"/>
  <c r="I89"/>
  <c r="I88"/>
  <c r="I87"/>
  <c r="I86"/>
  <c r="I85"/>
  <c r="I84"/>
  <c r="I83"/>
  <c r="I82"/>
  <c r="I81"/>
  <c r="I80"/>
  <c r="I79"/>
  <c r="I78"/>
  <c r="I77"/>
  <c r="I76"/>
  <c r="I75"/>
  <c r="I74"/>
  <c r="I73"/>
  <c r="I72"/>
  <c r="I71"/>
  <c r="I70"/>
  <c r="I69"/>
  <c r="I68"/>
  <c r="I67"/>
  <c r="I66"/>
  <c r="I65"/>
  <c r="I64"/>
  <c r="I63"/>
  <c r="I61"/>
  <c r="I60"/>
  <c r="I59"/>
  <c r="I58"/>
  <c r="I57"/>
  <c r="I56"/>
  <c r="I55"/>
  <c r="I54"/>
  <c r="I53"/>
  <c r="I52"/>
  <c r="I50"/>
  <c r="I49"/>
  <c r="I46"/>
  <c r="I45"/>
  <c r="I44"/>
  <c r="I43"/>
  <c r="I42"/>
  <c r="I41"/>
  <c r="I39"/>
  <c r="I38"/>
  <c r="I37"/>
  <c r="I36"/>
  <c r="I35"/>
  <c r="I33"/>
  <c r="I32"/>
  <c r="I30"/>
  <c r="I29"/>
  <c r="I28"/>
  <c r="I27"/>
  <c r="I26"/>
  <c r="I24"/>
  <c r="I23"/>
  <c r="I22"/>
  <c r="I20"/>
  <c r="I19"/>
  <c r="I18"/>
  <c r="I17"/>
  <c r="I16"/>
  <c r="I15"/>
  <c r="I14"/>
  <c r="I13"/>
  <c r="I11"/>
  <c r="I10"/>
  <c r="I9"/>
  <c r="I8"/>
  <c r="I7"/>
  <c r="I5"/>
  <c r="J119"/>
  <c r="K119" s="1"/>
  <c r="J117"/>
  <c r="J113"/>
  <c r="J95"/>
  <c r="K95" s="1"/>
  <c r="J93"/>
  <c r="K93" s="1"/>
  <c r="J66"/>
  <c r="K66" s="1"/>
  <c r="J62"/>
  <c r="K62" s="1"/>
  <c r="J51"/>
  <c r="K51" s="1"/>
  <c r="J48"/>
  <c r="K48" s="1"/>
  <c r="J47"/>
  <c r="K47" s="1"/>
  <c r="J34"/>
  <c r="J31"/>
  <c r="K31" s="1"/>
  <c r="J25"/>
  <c r="K25" s="1"/>
  <c r="J21"/>
  <c r="K21" s="1"/>
  <c r="J20"/>
  <c r="K20" s="1"/>
  <c r="J12"/>
  <c r="K12" s="1"/>
  <c r="J6"/>
  <c r="K6" s="1"/>
  <c r="K117"/>
  <c r="K113"/>
  <c r="K34"/>
  <c r="I113"/>
  <c r="I95"/>
  <c r="I93"/>
  <c r="I92"/>
  <c r="I62"/>
  <c r="I51"/>
  <c r="I48"/>
  <c r="I47"/>
  <c r="I40"/>
  <c r="I34"/>
  <c r="I31"/>
  <c r="I21"/>
  <c r="I12"/>
  <c r="I6"/>
  <c r="W124"/>
  <c r="W123"/>
  <c r="W122"/>
  <c r="W121"/>
  <c r="W120"/>
  <c r="W119"/>
  <c r="W118"/>
  <c r="W117"/>
  <c r="W116"/>
  <c r="W115"/>
  <c r="W114"/>
  <c r="W113"/>
  <c r="W112"/>
  <c r="W111"/>
  <c r="W110"/>
  <c r="W109"/>
  <c r="W108"/>
  <c r="W107"/>
  <c r="W106"/>
  <c r="W105"/>
  <c r="W104"/>
  <c r="W103"/>
  <c r="W102"/>
  <c r="W101"/>
  <c r="W100"/>
  <c r="W99"/>
  <c r="W98"/>
  <c r="W97"/>
  <c r="W96"/>
  <c r="W95"/>
  <c r="W94"/>
  <c r="W93"/>
  <c r="W92"/>
  <c r="W91"/>
  <c r="W90"/>
  <c r="W89"/>
  <c r="W88"/>
  <c r="W87"/>
  <c r="W86"/>
  <c r="W85"/>
  <c r="W84"/>
  <c r="W83"/>
  <c r="W82"/>
  <c r="W81"/>
  <c r="W80"/>
  <c r="W79"/>
  <c r="W78"/>
  <c r="W77"/>
  <c r="W76"/>
  <c r="W75"/>
  <c r="W74"/>
  <c r="W73"/>
  <c r="W72"/>
  <c r="W71"/>
  <c r="W70"/>
  <c r="W69"/>
  <c r="W68"/>
  <c r="W67"/>
  <c r="W66"/>
  <c r="W65"/>
  <c r="W64"/>
  <c r="W63"/>
  <c r="W62"/>
  <c r="W61"/>
  <c r="W60"/>
  <c r="W59"/>
  <c r="W58"/>
  <c r="W57"/>
  <c r="W56"/>
  <c r="W55"/>
  <c r="W54"/>
  <c r="W53"/>
  <c r="W52"/>
  <c r="W51"/>
  <c r="W50"/>
  <c r="W49"/>
  <c r="W48"/>
  <c r="W47"/>
  <c r="W46"/>
  <c r="W45"/>
  <c r="W44"/>
  <c r="W43"/>
  <c r="W42"/>
  <c r="W41"/>
  <c r="W40"/>
  <c r="W39"/>
  <c r="W38"/>
  <c r="W37"/>
  <c r="W36"/>
  <c r="W35"/>
  <c r="W34"/>
  <c r="W33"/>
  <c r="W32"/>
  <c r="W31"/>
  <c r="W30"/>
  <c r="W29"/>
  <c r="W28"/>
  <c r="W27"/>
  <c r="W26"/>
  <c r="W25"/>
  <c r="W24"/>
  <c r="W23"/>
  <c r="W22"/>
  <c r="W21"/>
  <c r="W20"/>
  <c r="W19"/>
  <c r="W18"/>
  <c r="W17"/>
  <c r="W16"/>
  <c r="W15"/>
  <c r="W14"/>
  <c r="W13"/>
  <c r="W12"/>
  <c r="W11"/>
  <c r="W10"/>
  <c r="W9"/>
  <c r="W8"/>
  <c r="W7"/>
  <c r="W6"/>
  <c r="W5"/>
  <c r="V4"/>
  <c r="P4"/>
  <c r="O4"/>
  <c r="Q124"/>
  <c r="Q123"/>
  <c r="Q122"/>
  <c r="Q121"/>
  <c r="Q120"/>
  <c r="Q119"/>
  <c r="Q118"/>
  <c r="Q117"/>
  <c r="Q116"/>
  <c r="Q115"/>
  <c r="Q114"/>
  <c r="Q113"/>
  <c r="Q112"/>
  <c r="Q111"/>
  <c r="Q110"/>
  <c r="Q109"/>
  <c r="Q108"/>
  <c r="Q107"/>
  <c r="Q106"/>
  <c r="Q105"/>
  <c r="Q104"/>
  <c r="Q103"/>
  <c r="Q102"/>
  <c r="Q101"/>
  <c r="Q100"/>
  <c r="Q99"/>
  <c r="Q98"/>
  <c r="Q97"/>
  <c r="Q96"/>
  <c r="Q95"/>
  <c r="Q94"/>
  <c r="Q93"/>
  <c r="Q92"/>
  <c r="Q91"/>
  <c r="Q90"/>
  <c r="Q89"/>
  <c r="Q88"/>
  <c r="Q87"/>
  <c r="Q86"/>
  <c r="Q85"/>
  <c r="Q84"/>
  <c r="Q83"/>
  <c r="Q82"/>
  <c r="Q81"/>
  <c r="Q80"/>
  <c r="Q79"/>
  <c r="Q78"/>
  <c r="Q77"/>
  <c r="Q76"/>
  <c r="Q75"/>
  <c r="Q74"/>
  <c r="Q73"/>
  <c r="Q72"/>
  <c r="Q71"/>
  <c r="Q70"/>
  <c r="Q69"/>
  <c r="Q68"/>
  <c r="Q67"/>
  <c r="Q66"/>
  <c r="Q65"/>
  <c r="Q64"/>
  <c r="Q63"/>
  <c r="Q62"/>
  <c r="Q61"/>
  <c r="Q60"/>
  <c r="Q59"/>
  <c r="Q58"/>
  <c r="Q57"/>
  <c r="Q56"/>
  <c r="Q55"/>
  <c r="Q54"/>
  <c r="Q53"/>
  <c r="Q52"/>
  <c r="Q51"/>
  <c r="Q50"/>
  <c r="Q49"/>
  <c r="Q48"/>
  <c r="Q47"/>
  <c r="Q46"/>
  <c r="Q45"/>
  <c r="Q44"/>
  <c r="Q43"/>
  <c r="Q42"/>
  <c r="Q41"/>
  <c r="Q40"/>
  <c r="Q39"/>
  <c r="Q38"/>
  <c r="Q37"/>
  <c r="Q36"/>
  <c r="Q35"/>
  <c r="Q34"/>
  <c r="Q33"/>
  <c r="Q32"/>
  <c r="Q31"/>
  <c r="Q30"/>
  <c r="Q29"/>
  <c r="Q28"/>
  <c r="Q27"/>
  <c r="Q26"/>
  <c r="Q25"/>
  <c r="Q24"/>
  <c r="Q23"/>
  <c r="Q22"/>
  <c r="Q21"/>
  <c r="Q20"/>
  <c r="Q19"/>
  <c r="Q18"/>
  <c r="Q17"/>
  <c r="Q16"/>
  <c r="Q15"/>
  <c r="Q14"/>
  <c r="Q13"/>
  <c r="Q12"/>
  <c r="Q11"/>
  <c r="Q10"/>
  <c r="Q9"/>
  <c r="Q8"/>
  <c r="Q7"/>
  <c r="Q6"/>
  <c r="Q5"/>
  <c r="J119" i="53"/>
  <c r="J111"/>
  <c r="J103"/>
  <c r="J95"/>
  <c r="J87"/>
  <c r="J79"/>
  <c r="J71"/>
  <c r="J63"/>
  <c r="J55"/>
  <c r="J47"/>
  <c r="J39"/>
  <c r="J31"/>
  <c r="J23"/>
  <c r="J15"/>
  <c r="J7"/>
  <c r="H124"/>
  <c r="H123"/>
  <c r="H122"/>
  <c r="H121"/>
  <c r="H120"/>
  <c r="H119"/>
  <c r="H118"/>
  <c r="H117"/>
  <c r="H116"/>
  <c r="H115"/>
  <c r="H114"/>
  <c r="H113"/>
  <c r="H112"/>
  <c r="H111"/>
  <c r="H110"/>
  <c r="H109"/>
  <c r="H108"/>
  <c r="H107"/>
  <c r="H106"/>
  <c r="H105"/>
  <c r="H104"/>
  <c r="H103"/>
  <c r="H102"/>
  <c r="H101"/>
  <c r="H100"/>
  <c r="H99"/>
  <c r="H98"/>
  <c r="H97"/>
  <c r="H96"/>
  <c r="H95"/>
  <c r="H94"/>
  <c r="H93"/>
  <c r="H92"/>
  <c r="H91"/>
  <c r="H90"/>
  <c r="H89"/>
  <c r="H88"/>
  <c r="H87"/>
  <c r="H86"/>
  <c r="H85"/>
  <c r="H84"/>
  <c r="H83"/>
  <c r="H82"/>
  <c r="H81"/>
  <c r="H80"/>
  <c r="H79"/>
  <c r="H78"/>
  <c r="H77"/>
  <c r="H76"/>
  <c r="H75"/>
  <c r="H74"/>
  <c r="H73"/>
  <c r="H72"/>
  <c r="H71"/>
  <c r="H70"/>
  <c r="H69"/>
  <c r="H68"/>
  <c r="H67"/>
  <c r="H66"/>
  <c r="H65"/>
  <c r="H64"/>
  <c r="H63"/>
  <c r="H62"/>
  <c r="H61"/>
  <c r="H60"/>
  <c r="H59"/>
  <c r="H58"/>
  <c r="H57"/>
  <c r="H56"/>
  <c r="H55"/>
  <c r="H54"/>
  <c r="H53"/>
  <c r="H52"/>
  <c r="H51"/>
  <c r="H50"/>
  <c r="H49"/>
  <c r="H48"/>
  <c r="H47"/>
  <c r="H46"/>
  <c r="H45"/>
  <c r="H44"/>
  <c r="H43"/>
  <c r="H42"/>
  <c r="H41"/>
  <c r="H40"/>
  <c r="H39"/>
  <c r="H38"/>
  <c r="H37"/>
  <c r="H36"/>
  <c r="H35"/>
  <c r="H34"/>
  <c r="H33"/>
  <c r="H32"/>
  <c r="H31"/>
  <c r="H30"/>
  <c r="H29"/>
  <c r="H28"/>
  <c r="H27"/>
  <c r="H26"/>
  <c r="H25"/>
  <c r="H24"/>
  <c r="H23"/>
  <c r="H22"/>
  <c r="H21"/>
  <c r="H20"/>
  <c r="H19"/>
  <c r="H18"/>
  <c r="H17"/>
  <c r="H16"/>
  <c r="H15"/>
  <c r="H14"/>
  <c r="H13"/>
  <c r="H12"/>
  <c r="H11"/>
  <c r="H10"/>
  <c r="H9"/>
  <c r="H8"/>
  <c r="H7"/>
  <c r="H6"/>
  <c r="H5"/>
  <c r="G124"/>
  <c r="J124" s="1"/>
  <c r="G123"/>
  <c r="J123" s="1"/>
  <c r="G122"/>
  <c r="J122" s="1"/>
  <c r="G121"/>
  <c r="J121" s="1"/>
  <c r="G120"/>
  <c r="J120" s="1"/>
  <c r="G119"/>
  <c r="G118"/>
  <c r="J118" s="1"/>
  <c r="G117"/>
  <c r="J117" s="1"/>
  <c r="G116"/>
  <c r="J116" s="1"/>
  <c r="G115"/>
  <c r="J115" s="1"/>
  <c r="G114"/>
  <c r="J114" s="1"/>
  <c r="G113"/>
  <c r="J113" s="1"/>
  <c r="G112"/>
  <c r="J112" s="1"/>
  <c r="G111"/>
  <c r="G110"/>
  <c r="J110" s="1"/>
  <c r="G109"/>
  <c r="J109" s="1"/>
  <c r="G108"/>
  <c r="J108" s="1"/>
  <c r="G107"/>
  <c r="J107" s="1"/>
  <c r="G106"/>
  <c r="J106" s="1"/>
  <c r="G105"/>
  <c r="J105" s="1"/>
  <c r="G104"/>
  <c r="J104" s="1"/>
  <c r="G103"/>
  <c r="G102"/>
  <c r="J102" s="1"/>
  <c r="G101"/>
  <c r="J101" s="1"/>
  <c r="G100"/>
  <c r="J100" s="1"/>
  <c r="G99"/>
  <c r="J99" s="1"/>
  <c r="G98"/>
  <c r="J98" s="1"/>
  <c r="G97"/>
  <c r="J97" s="1"/>
  <c r="G96"/>
  <c r="J96" s="1"/>
  <c r="G95"/>
  <c r="G94"/>
  <c r="J94" s="1"/>
  <c r="G93"/>
  <c r="J93" s="1"/>
  <c r="G92"/>
  <c r="J92" s="1"/>
  <c r="G91"/>
  <c r="J91" s="1"/>
  <c r="G90"/>
  <c r="J90" s="1"/>
  <c r="G89"/>
  <c r="J89" s="1"/>
  <c r="G88"/>
  <c r="J88" s="1"/>
  <c r="G87"/>
  <c r="G86"/>
  <c r="J86" s="1"/>
  <c r="G85"/>
  <c r="J85" s="1"/>
  <c r="G84"/>
  <c r="J84" s="1"/>
  <c r="G83"/>
  <c r="J83" s="1"/>
  <c r="G82"/>
  <c r="J82" s="1"/>
  <c r="G81"/>
  <c r="J81" s="1"/>
  <c r="G80"/>
  <c r="J80" s="1"/>
  <c r="G79"/>
  <c r="G78"/>
  <c r="J78" s="1"/>
  <c r="G77"/>
  <c r="J77" s="1"/>
  <c r="G76"/>
  <c r="J76" s="1"/>
  <c r="G75"/>
  <c r="J75" s="1"/>
  <c r="G74"/>
  <c r="J74" s="1"/>
  <c r="G73"/>
  <c r="J73" s="1"/>
  <c r="G72"/>
  <c r="J72" s="1"/>
  <c r="G71"/>
  <c r="G70"/>
  <c r="J70" s="1"/>
  <c r="G69"/>
  <c r="J69" s="1"/>
  <c r="G68"/>
  <c r="J68" s="1"/>
  <c r="G67"/>
  <c r="J67" s="1"/>
  <c r="G66"/>
  <c r="J66" s="1"/>
  <c r="G65"/>
  <c r="J65" s="1"/>
  <c r="G64"/>
  <c r="J64" s="1"/>
  <c r="G63"/>
  <c r="G62"/>
  <c r="J62" s="1"/>
  <c r="G61"/>
  <c r="J61" s="1"/>
  <c r="G60"/>
  <c r="J60" s="1"/>
  <c r="G59"/>
  <c r="J59" s="1"/>
  <c r="G58"/>
  <c r="J58" s="1"/>
  <c r="G57"/>
  <c r="J57" s="1"/>
  <c r="G56"/>
  <c r="J56" s="1"/>
  <c r="G55"/>
  <c r="G54"/>
  <c r="J54" s="1"/>
  <c r="G53"/>
  <c r="J53" s="1"/>
  <c r="G52"/>
  <c r="J52" s="1"/>
  <c r="G51"/>
  <c r="J51" s="1"/>
  <c r="G50"/>
  <c r="J50" s="1"/>
  <c r="G49"/>
  <c r="J49" s="1"/>
  <c r="G48"/>
  <c r="J48" s="1"/>
  <c r="G47"/>
  <c r="G46"/>
  <c r="J46" s="1"/>
  <c r="G45"/>
  <c r="J45" s="1"/>
  <c r="G44"/>
  <c r="J44" s="1"/>
  <c r="G43"/>
  <c r="J43" s="1"/>
  <c r="G42"/>
  <c r="J42" s="1"/>
  <c r="G41"/>
  <c r="J41" s="1"/>
  <c r="G40"/>
  <c r="J40" s="1"/>
  <c r="G39"/>
  <c r="G38"/>
  <c r="J38" s="1"/>
  <c r="G37"/>
  <c r="J37" s="1"/>
  <c r="G36"/>
  <c r="J36" s="1"/>
  <c r="G35"/>
  <c r="J35" s="1"/>
  <c r="G34"/>
  <c r="J34" s="1"/>
  <c r="G33"/>
  <c r="J33" s="1"/>
  <c r="G32"/>
  <c r="J32" s="1"/>
  <c r="G31"/>
  <c r="G30"/>
  <c r="J30" s="1"/>
  <c r="G29"/>
  <c r="J29" s="1"/>
  <c r="G28"/>
  <c r="J28" s="1"/>
  <c r="G27"/>
  <c r="J27" s="1"/>
  <c r="G26"/>
  <c r="J26" s="1"/>
  <c r="G25"/>
  <c r="J25" s="1"/>
  <c r="G24"/>
  <c r="J24" s="1"/>
  <c r="G23"/>
  <c r="G22"/>
  <c r="J22" s="1"/>
  <c r="G21"/>
  <c r="J21" s="1"/>
  <c r="G20"/>
  <c r="J20" s="1"/>
  <c r="G19"/>
  <c r="J19" s="1"/>
  <c r="G18"/>
  <c r="J18" s="1"/>
  <c r="G17"/>
  <c r="J17" s="1"/>
  <c r="G16"/>
  <c r="J16" s="1"/>
  <c r="G15"/>
  <c r="G14"/>
  <c r="J14" s="1"/>
  <c r="G13"/>
  <c r="J13" s="1"/>
  <c r="G12"/>
  <c r="J12" s="1"/>
  <c r="G11"/>
  <c r="J11" s="1"/>
  <c r="G10"/>
  <c r="J10" s="1"/>
  <c r="G9"/>
  <c r="J9" s="1"/>
  <c r="G8"/>
  <c r="J8" s="1"/>
  <c r="G7"/>
  <c r="G6"/>
  <c r="J6" s="1"/>
  <c r="G5"/>
  <c r="J5" s="1"/>
  <c r="F124"/>
  <c r="K124" s="1"/>
  <c r="F125" i="79" s="1"/>
  <c r="F123" i="53"/>
  <c r="F122"/>
  <c r="K122" s="1"/>
  <c r="F123" i="79" s="1"/>
  <c r="F121" i="53"/>
  <c r="K121" s="1"/>
  <c r="F122" i="79" s="1"/>
  <c r="F120" i="53"/>
  <c r="K120" s="1"/>
  <c r="F121" i="79" s="1"/>
  <c r="F119" i="53"/>
  <c r="F118"/>
  <c r="K118" s="1"/>
  <c r="F119" i="79" s="1"/>
  <c r="F117" i="53"/>
  <c r="K117" s="1"/>
  <c r="F116"/>
  <c r="K116" s="1"/>
  <c r="F117" i="79" s="1"/>
  <c r="F115" i="53"/>
  <c r="F114"/>
  <c r="K114" s="1"/>
  <c r="F115" i="79" s="1"/>
  <c r="F113" i="53"/>
  <c r="K113" s="1"/>
  <c r="F114" i="79" s="1"/>
  <c r="F112" i="53"/>
  <c r="K112" s="1"/>
  <c r="F111"/>
  <c r="F110"/>
  <c r="K110" s="1"/>
  <c r="F111" i="79" s="1"/>
  <c r="F109" i="53"/>
  <c r="K109" s="1"/>
  <c r="F110" i="79" s="1"/>
  <c r="F108" i="53"/>
  <c r="K108" s="1"/>
  <c r="F107"/>
  <c r="F106"/>
  <c r="K106" s="1"/>
  <c r="F107" i="79" s="1"/>
  <c r="F105" i="53"/>
  <c r="K105" s="1"/>
  <c r="F106" i="79" s="1"/>
  <c r="F104" i="53"/>
  <c r="K104" s="1"/>
  <c r="F103"/>
  <c r="F102"/>
  <c r="K102" s="1"/>
  <c r="F103" i="79" s="1"/>
  <c r="F101" i="53"/>
  <c r="K101" s="1"/>
  <c r="F102" i="79" s="1"/>
  <c r="F100" i="53"/>
  <c r="K100" s="1"/>
  <c r="F99"/>
  <c r="F98"/>
  <c r="K98" s="1"/>
  <c r="F99" i="79" s="1"/>
  <c r="F97" i="53"/>
  <c r="K97" s="1"/>
  <c r="F98" i="79" s="1"/>
  <c r="F96" i="53"/>
  <c r="K96" s="1"/>
  <c r="F95"/>
  <c r="F94"/>
  <c r="K94" s="1"/>
  <c r="F95" i="79" s="1"/>
  <c r="F93" i="53"/>
  <c r="K93" s="1"/>
  <c r="F94" i="79" s="1"/>
  <c r="F92" i="53"/>
  <c r="K92" s="1"/>
  <c r="F93" i="79" s="1"/>
  <c r="F91" i="53"/>
  <c r="F90"/>
  <c r="K90" s="1"/>
  <c r="F91" i="79" s="1"/>
  <c r="F89" i="53"/>
  <c r="K89" s="1"/>
  <c r="F90" i="79" s="1"/>
  <c r="F88" i="53"/>
  <c r="K88" s="1"/>
  <c r="F89" i="79" s="1"/>
  <c r="F87" i="53"/>
  <c r="F86"/>
  <c r="K86" s="1"/>
  <c r="F87" i="79" s="1"/>
  <c r="F85" i="53"/>
  <c r="K85" s="1"/>
  <c r="F86" i="79" s="1"/>
  <c r="F84" i="53"/>
  <c r="K84" s="1"/>
  <c r="F85" i="79" s="1"/>
  <c r="F83" i="53"/>
  <c r="F82"/>
  <c r="K82" s="1"/>
  <c r="F83" i="79" s="1"/>
  <c r="F81" i="53"/>
  <c r="K81" s="1"/>
  <c r="F82" i="79" s="1"/>
  <c r="F80" i="53"/>
  <c r="K80" s="1"/>
  <c r="F81" i="79" s="1"/>
  <c r="F79" i="53"/>
  <c r="F78"/>
  <c r="K78" s="1"/>
  <c r="F79" i="79" s="1"/>
  <c r="F77" i="53"/>
  <c r="K77" s="1"/>
  <c r="F78" i="79" s="1"/>
  <c r="F76" i="53"/>
  <c r="K76" s="1"/>
  <c r="F77" i="79" s="1"/>
  <c r="F75" i="53"/>
  <c r="F74"/>
  <c r="K74" s="1"/>
  <c r="F75" i="79" s="1"/>
  <c r="F73" i="53"/>
  <c r="K73" s="1"/>
  <c r="F74" i="79" s="1"/>
  <c r="F72" i="53"/>
  <c r="K72" s="1"/>
  <c r="F73" i="79" s="1"/>
  <c r="F71" i="53"/>
  <c r="F70"/>
  <c r="K70" s="1"/>
  <c r="F71" i="79" s="1"/>
  <c r="F69" i="53"/>
  <c r="K69" s="1"/>
  <c r="F70" i="79" s="1"/>
  <c r="F68" i="53"/>
  <c r="K68" s="1"/>
  <c r="F69" i="79" s="1"/>
  <c r="F67" i="53"/>
  <c r="F66"/>
  <c r="K66" s="1"/>
  <c r="F67" i="79" s="1"/>
  <c r="F65" i="53"/>
  <c r="K65" s="1"/>
  <c r="F64"/>
  <c r="K64" s="1"/>
  <c r="F65" i="79" s="1"/>
  <c r="F63" i="53"/>
  <c r="F62"/>
  <c r="K62" s="1"/>
  <c r="F63" i="79" s="1"/>
  <c r="F61" i="53"/>
  <c r="K61" s="1"/>
  <c r="F62" i="79" s="1"/>
  <c r="F60" i="53"/>
  <c r="K60" s="1"/>
  <c r="F59"/>
  <c r="F58"/>
  <c r="K58" s="1"/>
  <c r="F59" i="79" s="1"/>
  <c r="F57" i="53"/>
  <c r="K57" s="1"/>
  <c r="F58" i="79" s="1"/>
  <c r="F56" i="53"/>
  <c r="K56" s="1"/>
  <c r="F55"/>
  <c r="F54"/>
  <c r="K54" s="1"/>
  <c r="F55" i="79" s="1"/>
  <c r="F53" i="53"/>
  <c r="K53" s="1"/>
  <c r="F54" i="79" s="1"/>
  <c r="F52" i="53"/>
  <c r="K52" s="1"/>
  <c r="F51"/>
  <c r="F50"/>
  <c r="K50" s="1"/>
  <c r="F51" i="79" s="1"/>
  <c r="F49" i="53"/>
  <c r="K49" s="1"/>
  <c r="F50" i="79" s="1"/>
  <c r="F48" i="53"/>
  <c r="K48" s="1"/>
  <c r="F49" i="79" s="1"/>
  <c r="F47" i="53"/>
  <c r="F46"/>
  <c r="K46" s="1"/>
  <c r="F47" i="79" s="1"/>
  <c r="F45" i="53"/>
  <c r="K45" s="1"/>
  <c r="F44"/>
  <c r="K44" s="1"/>
  <c r="F45" i="79" s="1"/>
  <c r="F43" i="53"/>
  <c r="F42"/>
  <c r="K42" s="1"/>
  <c r="F43" i="79" s="1"/>
  <c r="F41" i="53"/>
  <c r="K41" s="1"/>
  <c r="F40"/>
  <c r="K40" s="1"/>
  <c r="F41" i="79" s="1"/>
  <c r="F39" i="53"/>
  <c r="F38"/>
  <c r="K38" s="1"/>
  <c r="F39" i="79" s="1"/>
  <c r="F37" i="53"/>
  <c r="K37" s="1"/>
  <c r="F36"/>
  <c r="K36" s="1"/>
  <c r="F37" i="79" s="1"/>
  <c r="F35" i="53"/>
  <c r="F34"/>
  <c r="K34" s="1"/>
  <c r="F35" i="79" s="1"/>
  <c r="F33" i="53"/>
  <c r="K33" s="1"/>
  <c r="F34" i="79" s="1"/>
  <c r="F32" i="53"/>
  <c r="K32" s="1"/>
  <c r="F31"/>
  <c r="F30"/>
  <c r="K30" s="1"/>
  <c r="F31" i="79" s="1"/>
  <c r="F29" i="53"/>
  <c r="K29" s="1"/>
  <c r="F30" i="79" s="1"/>
  <c r="F28" i="53"/>
  <c r="K28" s="1"/>
  <c r="F29" i="79" s="1"/>
  <c r="F27" i="53"/>
  <c r="F26"/>
  <c r="K26" s="1"/>
  <c r="F27" i="79" s="1"/>
  <c r="F25" i="53"/>
  <c r="K25" s="1"/>
  <c r="F26" i="79" s="1"/>
  <c r="F24" i="53"/>
  <c r="K24" s="1"/>
  <c r="F25" i="79" s="1"/>
  <c r="F23" i="53"/>
  <c r="F22"/>
  <c r="K22" s="1"/>
  <c r="F23" i="79" s="1"/>
  <c r="F21" i="53"/>
  <c r="K21" s="1"/>
  <c r="F20"/>
  <c r="K20" s="1"/>
  <c r="F21" i="79" s="1"/>
  <c r="F19" i="53"/>
  <c r="F18"/>
  <c r="K18" s="1"/>
  <c r="F19" i="79" s="1"/>
  <c r="F17" i="53"/>
  <c r="K17" s="1"/>
  <c r="F18" i="79" s="1"/>
  <c r="F16" i="53"/>
  <c r="K16" s="1"/>
  <c r="F15"/>
  <c r="F14"/>
  <c r="K14" s="1"/>
  <c r="F15" i="79" s="1"/>
  <c r="F13" i="53"/>
  <c r="K13" s="1"/>
  <c r="F14" i="79" s="1"/>
  <c r="F12" i="53"/>
  <c r="K12" s="1"/>
  <c r="F13" i="79" s="1"/>
  <c r="F11" i="53"/>
  <c r="F10"/>
  <c r="K10" s="1"/>
  <c r="F11" i="79" s="1"/>
  <c r="F9" i="53"/>
  <c r="K9" s="1"/>
  <c r="F10" i="79" s="1"/>
  <c r="F8" i="53"/>
  <c r="K8" s="1"/>
  <c r="F9" i="79" s="1"/>
  <c r="F7" i="53"/>
  <c r="F6"/>
  <c r="K6" s="1"/>
  <c r="F7" i="79" s="1"/>
  <c r="F5" i="53"/>
  <c r="K5" s="1"/>
  <c r="F6" i="79" s="1"/>
  <c r="E124" i="53"/>
  <c r="E125" i="79" s="1"/>
  <c r="E123" i="53"/>
  <c r="E124" i="79" s="1"/>
  <c r="E122" i="53"/>
  <c r="E123" i="79" s="1"/>
  <c r="E121" i="53"/>
  <c r="E122" i="79" s="1"/>
  <c r="E120" i="53"/>
  <c r="E121" i="79" s="1"/>
  <c r="E119" i="53"/>
  <c r="E120" i="79" s="1"/>
  <c r="E118" i="53"/>
  <c r="E119" i="79" s="1"/>
  <c r="E117" i="53"/>
  <c r="E118" i="79" s="1"/>
  <c r="E116" i="53"/>
  <c r="E117" i="79" s="1"/>
  <c r="E115" i="53"/>
  <c r="E116" i="79" s="1"/>
  <c r="E114" i="53"/>
  <c r="E115" i="79" s="1"/>
  <c r="E113" i="53"/>
  <c r="E114" i="79" s="1"/>
  <c r="E112" i="53"/>
  <c r="E113" i="79" s="1"/>
  <c r="E111" i="53"/>
  <c r="E112" i="79" s="1"/>
  <c r="E110" i="53"/>
  <c r="E111" i="79" s="1"/>
  <c r="E109" i="53"/>
  <c r="E110" i="79" s="1"/>
  <c r="E108" i="53"/>
  <c r="E109" i="79" s="1"/>
  <c r="E107" i="53"/>
  <c r="E108" i="79" s="1"/>
  <c r="E106" i="53"/>
  <c r="E107" i="79" s="1"/>
  <c r="E105" i="53"/>
  <c r="E106" i="79" s="1"/>
  <c r="E104" i="53"/>
  <c r="E105" i="79" s="1"/>
  <c r="E103" i="53"/>
  <c r="E104" i="79" s="1"/>
  <c r="E102" i="53"/>
  <c r="E103" i="79" s="1"/>
  <c r="E101" i="53"/>
  <c r="E102" i="79" s="1"/>
  <c r="E100" i="53"/>
  <c r="E101" i="79" s="1"/>
  <c r="E99" i="53"/>
  <c r="E100" i="79" s="1"/>
  <c r="E98" i="53"/>
  <c r="E99" i="79" s="1"/>
  <c r="E97" i="53"/>
  <c r="E98" i="79" s="1"/>
  <c r="E96" i="53"/>
  <c r="E97" i="79" s="1"/>
  <c r="E95" i="53"/>
  <c r="E96" i="79" s="1"/>
  <c r="E94" i="53"/>
  <c r="E95" i="79" s="1"/>
  <c r="E93" i="53"/>
  <c r="E94" i="79" s="1"/>
  <c r="E92" i="53"/>
  <c r="E93" i="79" s="1"/>
  <c r="E91" i="53"/>
  <c r="E92" i="79" s="1"/>
  <c r="E90" i="53"/>
  <c r="E91" i="79" s="1"/>
  <c r="E89" i="53"/>
  <c r="E90" i="79" s="1"/>
  <c r="E88" i="53"/>
  <c r="E89" i="79" s="1"/>
  <c r="E87" i="53"/>
  <c r="E88" i="79" s="1"/>
  <c r="E86" i="53"/>
  <c r="E87" i="79" s="1"/>
  <c r="E85" i="53"/>
  <c r="E86" i="79" s="1"/>
  <c r="E84" i="53"/>
  <c r="E85" i="79" s="1"/>
  <c r="E83" i="53"/>
  <c r="E84" i="79" s="1"/>
  <c r="E82" i="53"/>
  <c r="E83" i="79" s="1"/>
  <c r="E81" i="53"/>
  <c r="E82" i="79" s="1"/>
  <c r="E80" i="53"/>
  <c r="E81" i="79" s="1"/>
  <c r="E79" i="53"/>
  <c r="E80" i="79" s="1"/>
  <c r="E78" i="53"/>
  <c r="E79" i="79" s="1"/>
  <c r="E77" i="53"/>
  <c r="E78" i="79" s="1"/>
  <c r="E76" i="53"/>
  <c r="E77" i="79" s="1"/>
  <c r="E75" i="53"/>
  <c r="E76" i="79" s="1"/>
  <c r="E74" i="53"/>
  <c r="E75" i="79" s="1"/>
  <c r="E73" i="53"/>
  <c r="E74" i="79" s="1"/>
  <c r="E72" i="53"/>
  <c r="E73" i="79" s="1"/>
  <c r="E71" i="53"/>
  <c r="E72" i="79" s="1"/>
  <c r="E70" i="53"/>
  <c r="E71" i="79" s="1"/>
  <c r="E69" i="53"/>
  <c r="E70" i="79" s="1"/>
  <c r="E68" i="53"/>
  <c r="E69" i="79" s="1"/>
  <c r="E67" i="53"/>
  <c r="E68" i="79" s="1"/>
  <c r="E66" i="53"/>
  <c r="E67" i="79" s="1"/>
  <c r="E65" i="53"/>
  <c r="E66" i="79" s="1"/>
  <c r="E64" i="53"/>
  <c r="E65" i="79" s="1"/>
  <c r="E63" i="53"/>
  <c r="E64" i="79" s="1"/>
  <c r="E62" i="53"/>
  <c r="E63" i="79" s="1"/>
  <c r="E61" i="53"/>
  <c r="E62" i="79" s="1"/>
  <c r="E60" i="53"/>
  <c r="E61" i="79" s="1"/>
  <c r="E59" i="53"/>
  <c r="E60" i="79" s="1"/>
  <c r="E58" i="53"/>
  <c r="E59" i="79" s="1"/>
  <c r="E57" i="53"/>
  <c r="E58" i="79" s="1"/>
  <c r="E56" i="53"/>
  <c r="E57" i="79" s="1"/>
  <c r="E55" i="53"/>
  <c r="E56" i="79" s="1"/>
  <c r="E54" i="53"/>
  <c r="E55" i="79" s="1"/>
  <c r="E53" i="53"/>
  <c r="E54" i="79" s="1"/>
  <c r="E52" i="53"/>
  <c r="E53" i="79" s="1"/>
  <c r="E51" i="53"/>
  <c r="E52" i="79" s="1"/>
  <c r="E50" i="53"/>
  <c r="E51" i="79" s="1"/>
  <c r="E49" i="53"/>
  <c r="E50" i="79" s="1"/>
  <c r="E48" i="53"/>
  <c r="E49" i="79" s="1"/>
  <c r="E47" i="53"/>
  <c r="E48" i="79" s="1"/>
  <c r="E46" i="53"/>
  <c r="E47" i="79" s="1"/>
  <c r="E45" i="53"/>
  <c r="E46" i="79" s="1"/>
  <c r="E44" i="53"/>
  <c r="E45" i="79" s="1"/>
  <c r="E43" i="53"/>
  <c r="E44" i="79" s="1"/>
  <c r="E42" i="53"/>
  <c r="E43" i="79" s="1"/>
  <c r="E41" i="53"/>
  <c r="E42" i="79" s="1"/>
  <c r="E40" i="53"/>
  <c r="E41" i="79" s="1"/>
  <c r="E39" i="53"/>
  <c r="E40" i="79" s="1"/>
  <c r="E38" i="53"/>
  <c r="E39" i="79" s="1"/>
  <c r="E37" i="53"/>
  <c r="E38" i="79" s="1"/>
  <c r="E36" i="53"/>
  <c r="E37" i="79" s="1"/>
  <c r="E35" i="53"/>
  <c r="E36" i="79" s="1"/>
  <c r="E34" i="53"/>
  <c r="E35" i="79" s="1"/>
  <c r="E33" i="53"/>
  <c r="E34" i="79" s="1"/>
  <c r="E32" i="53"/>
  <c r="E33" i="79" s="1"/>
  <c r="E31" i="53"/>
  <c r="E32" i="79" s="1"/>
  <c r="E30" i="53"/>
  <c r="E31" i="79" s="1"/>
  <c r="E29" i="53"/>
  <c r="E30" i="79" s="1"/>
  <c r="E28" i="53"/>
  <c r="E29" i="79" s="1"/>
  <c r="E27" i="53"/>
  <c r="E28" i="79" s="1"/>
  <c r="E26" i="53"/>
  <c r="E27" i="79" s="1"/>
  <c r="E25" i="53"/>
  <c r="E26" i="79" s="1"/>
  <c r="E24" i="53"/>
  <c r="E25" i="79" s="1"/>
  <c r="E23" i="53"/>
  <c r="E24" i="79" s="1"/>
  <c r="E22" i="53"/>
  <c r="E23" i="79" s="1"/>
  <c r="E21" i="53"/>
  <c r="E22" i="79" s="1"/>
  <c r="E20" i="53"/>
  <c r="E21" i="79" s="1"/>
  <c r="E19" i="53"/>
  <c r="E20" i="79" s="1"/>
  <c r="E18" i="53"/>
  <c r="E19" i="79" s="1"/>
  <c r="E17" i="53"/>
  <c r="E18" i="79" s="1"/>
  <c r="E16" i="53"/>
  <c r="E17" i="79" s="1"/>
  <c r="E15" i="53"/>
  <c r="E16" i="79" s="1"/>
  <c r="E14" i="53"/>
  <c r="E15" i="79" s="1"/>
  <c r="E13" i="53"/>
  <c r="E14" i="79" s="1"/>
  <c r="E12" i="53"/>
  <c r="E13" i="79" s="1"/>
  <c r="E11" i="53"/>
  <c r="E12" i="79" s="1"/>
  <c r="E10" i="53"/>
  <c r="E11" i="79" s="1"/>
  <c r="E9" i="53"/>
  <c r="E10" i="79" s="1"/>
  <c r="E8" i="53"/>
  <c r="E9" i="79" s="1"/>
  <c r="E7" i="53"/>
  <c r="E8" i="79" s="1"/>
  <c r="E6" i="53"/>
  <c r="E7" i="79" s="1"/>
  <c r="E5" i="53"/>
  <c r="E6" i="79" s="1"/>
  <c r="D124" i="53"/>
  <c r="D125" i="79" s="1"/>
  <c r="D123" i="53"/>
  <c r="D124" i="79" s="1"/>
  <c r="D122" i="53"/>
  <c r="D123" i="79" s="1"/>
  <c r="D121" i="53"/>
  <c r="D122" i="79" s="1"/>
  <c r="D120" i="53"/>
  <c r="D121" i="79" s="1"/>
  <c r="D119" i="53"/>
  <c r="D120" i="79" s="1"/>
  <c r="D118" i="53"/>
  <c r="D119" i="79" s="1"/>
  <c r="D117" i="53"/>
  <c r="D118" i="79" s="1"/>
  <c r="D116" i="53"/>
  <c r="D117" i="79" s="1"/>
  <c r="D115" i="53"/>
  <c r="D116" i="79" s="1"/>
  <c r="D114" i="53"/>
  <c r="D115" i="79" s="1"/>
  <c r="D113" i="53"/>
  <c r="D114" i="79" s="1"/>
  <c r="D112" i="53"/>
  <c r="D113" i="79" s="1"/>
  <c r="D111" i="53"/>
  <c r="D112" i="79" s="1"/>
  <c r="D110" i="53"/>
  <c r="D111" i="79" s="1"/>
  <c r="D109" i="53"/>
  <c r="D110" i="79" s="1"/>
  <c r="D108" i="53"/>
  <c r="D109" i="79" s="1"/>
  <c r="D107" i="53"/>
  <c r="D108" i="79" s="1"/>
  <c r="D106" i="53"/>
  <c r="D107" i="79" s="1"/>
  <c r="D105" i="53"/>
  <c r="D106" i="79" s="1"/>
  <c r="D104" i="53"/>
  <c r="D105" i="79" s="1"/>
  <c r="D103" i="53"/>
  <c r="D104" i="79" s="1"/>
  <c r="D102" i="53"/>
  <c r="D103" i="79" s="1"/>
  <c r="D101" i="53"/>
  <c r="D102" i="79" s="1"/>
  <c r="D100" i="53"/>
  <c r="D101" i="79" s="1"/>
  <c r="D99" i="53"/>
  <c r="D100" i="79" s="1"/>
  <c r="D98" i="53"/>
  <c r="D99" i="79" s="1"/>
  <c r="D97" i="53"/>
  <c r="D98" i="79" s="1"/>
  <c r="D96" i="53"/>
  <c r="D97" i="79" s="1"/>
  <c r="D95" i="53"/>
  <c r="D96" i="79" s="1"/>
  <c r="D94" i="53"/>
  <c r="D95" i="79" s="1"/>
  <c r="D93" i="53"/>
  <c r="D94" i="79" s="1"/>
  <c r="D92" i="53"/>
  <c r="D93" i="79" s="1"/>
  <c r="D91" i="53"/>
  <c r="D92" i="79" s="1"/>
  <c r="D90" i="53"/>
  <c r="D91" i="79" s="1"/>
  <c r="D89" i="53"/>
  <c r="D90" i="79" s="1"/>
  <c r="D88" i="53"/>
  <c r="D89" i="79" s="1"/>
  <c r="D87" i="53"/>
  <c r="D88" i="79" s="1"/>
  <c r="D86" i="53"/>
  <c r="D87" i="79" s="1"/>
  <c r="D85" i="53"/>
  <c r="D86" i="79" s="1"/>
  <c r="D84" i="53"/>
  <c r="D85" i="79" s="1"/>
  <c r="D83" i="53"/>
  <c r="D84" i="79" s="1"/>
  <c r="D82" i="53"/>
  <c r="D83" i="79" s="1"/>
  <c r="D81" i="53"/>
  <c r="D82" i="79" s="1"/>
  <c r="D80" i="53"/>
  <c r="D81" i="79" s="1"/>
  <c r="D79" i="53"/>
  <c r="D80" i="79" s="1"/>
  <c r="D78" i="53"/>
  <c r="D79" i="79" s="1"/>
  <c r="D77" i="53"/>
  <c r="D78" i="79" s="1"/>
  <c r="D76" i="53"/>
  <c r="D77" i="79" s="1"/>
  <c r="D75" i="53"/>
  <c r="D76" i="79" s="1"/>
  <c r="D74" i="53"/>
  <c r="D75" i="79" s="1"/>
  <c r="D73" i="53"/>
  <c r="D74" i="79" s="1"/>
  <c r="D72" i="53"/>
  <c r="D73" i="79" s="1"/>
  <c r="D71" i="53"/>
  <c r="D72" i="79" s="1"/>
  <c r="D70" i="53"/>
  <c r="D71" i="79" s="1"/>
  <c r="D69" i="53"/>
  <c r="D70" i="79" s="1"/>
  <c r="D68" i="53"/>
  <c r="D69" i="79" s="1"/>
  <c r="D67" i="53"/>
  <c r="D68" i="79" s="1"/>
  <c r="D66" i="53"/>
  <c r="D67" i="79" s="1"/>
  <c r="D65" i="53"/>
  <c r="D66" i="79" s="1"/>
  <c r="D64" i="53"/>
  <c r="D65" i="79" s="1"/>
  <c r="D63" i="53"/>
  <c r="D64" i="79" s="1"/>
  <c r="D62" i="53"/>
  <c r="D63" i="79" s="1"/>
  <c r="D61" i="53"/>
  <c r="D62" i="79" s="1"/>
  <c r="D60" i="53"/>
  <c r="D61" i="79" s="1"/>
  <c r="D59" i="53"/>
  <c r="D60" i="79" s="1"/>
  <c r="D58" i="53"/>
  <c r="D59" i="79" s="1"/>
  <c r="D57" i="53"/>
  <c r="D58" i="79" s="1"/>
  <c r="D56" i="53"/>
  <c r="D57" i="79" s="1"/>
  <c r="D55" i="53"/>
  <c r="D56" i="79" s="1"/>
  <c r="D54" i="53"/>
  <c r="D55" i="79" s="1"/>
  <c r="D53" i="53"/>
  <c r="D54" i="79" s="1"/>
  <c r="D52" i="53"/>
  <c r="D53" i="79" s="1"/>
  <c r="D51" i="53"/>
  <c r="D52" i="79" s="1"/>
  <c r="D50" i="53"/>
  <c r="D51" i="79" s="1"/>
  <c r="D49" i="53"/>
  <c r="D50" i="79" s="1"/>
  <c r="D48" i="53"/>
  <c r="D49" i="79" s="1"/>
  <c r="D47" i="53"/>
  <c r="D48" i="79" s="1"/>
  <c r="D46" i="53"/>
  <c r="D47" i="79" s="1"/>
  <c r="D45" i="53"/>
  <c r="D46" i="79" s="1"/>
  <c r="D44" i="53"/>
  <c r="D45" i="79" s="1"/>
  <c r="D43" i="53"/>
  <c r="D44" i="79" s="1"/>
  <c r="D42" i="53"/>
  <c r="D43" i="79" s="1"/>
  <c r="D41" i="53"/>
  <c r="D42" i="79" s="1"/>
  <c r="D40" i="53"/>
  <c r="D41" i="79" s="1"/>
  <c r="D39" i="53"/>
  <c r="D40" i="79" s="1"/>
  <c r="D38" i="53"/>
  <c r="D39" i="79" s="1"/>
  <c r="D37" i="53"/>
  <c r="D38" i="79" s="1"/>
  <c r="D36" i="53"/>
  <c r="D37" i="79" s="1"/>
  <c r="D35" i="53"/>
  <c r="D36" i="79" s="1"/>
  <c r="D34" i="53"/>
  <c r="D35" i="79" s="1"/>
  <c r="D33" i="53"/>
  <c r="D34" i="79" s="1"/>
  <c r="D32" i="53"/>
  <c r="D33" i="79" s="1"/>
  <c r="D31" i="53"/>
  <c r="D32" i="79" s="1"/>
  <c r="D30" i="53"/>
  <c r="D31" i="79" s="1"/>
  <c r="D29" i="53"/>
  <c r="D30" i="79" s="1"/>
  <c r="D28" i="53"/>
  <c r="D29" i="79" s="1"/>
  <c r="D27" i="53"/>
  <c r="D28" i="79" s="1"/>
  <c r="D26" i="53"/>
  <c r="D27" i="79" s="1"/>
  <c r="D25" i="53"/>
  <c r="D26" i="79" s="1"/>
  <c r="D24" i="53"/>
  <c r="D25" i="79" s="1"/>
  <c r="D23" i="53"/>
  <c r="D24" i="79" s="1"/>
  <c r="D22" i="53"/>
  <c r="D23" i="79" s="1"/>
  <c r="D21" i="53"/>
  <c r="D22" i="79" s="1"/>
  <c r="D20" i="53"/>
  <c r="D21" i="79" s="1"/>
  <c r="D19" i="53"/>
  <c r="D20" i="79" s="1"/>
  <c r="D18" i="53"/>
  <c r="D19" i="79" s="1"/>
  <c r="D17" i="53"/>
  <c r="D18" i="79" s="1"/>
  <c r="D16" i="53"/>
  <c r="D17" i="79" s="1"/>
  <c r="D15" i="53"/>
  <c r="D16" i="79" s="1"/>
  <c r="D14" i="53"/>
  <c r="D15" i="79" s="1"/>
  <c r="D13" i="53"/>
  <c r="D14" i="79" s="1"/>
  <c r="D12" i="53"/>
  <c r="D13" i="79" s="1"/>
  <c r="D11" i="53"/>
  <c r="D12" i="79" s="1"/>
  <c r="D10" i="53"/>
  <c r="D11" i="79" s="1"/>
  <c r="D9" i="53"/>
  <c r="D10" i="79" s="1"/>
  <c r="D8" i="53"/>
  <c r="D9" i="79" s="1"/>
  <c r="D7" i="53"/>
  <c r="D8" i="79" s="1"/>
  <c r="D6" i="53"/>
  <c r="D7" i="79" s="1"/>
  <c r="D5" i="53"/>
  <c r="D6" i="79" s="1"/>
  <c r="AI4" i="53"/>
  <c r="AH4"/>
  <c r="AG4"/>
  <c r="AF4"/>
  <c r="AE4"/>
  <c r="AD4"/>
  <c r="AB4"/>
  <c r="AC124"/>
  <c r="AC123"/>
  <c r="AC122"/>
  <c r="AC121"/>
  <c r="AC120"/>
  <c r="AC119"/>
  <c r="AC118"/>
  <c r="AC117"/>
  <c r="AC116"/>
  <c r="AC115"/>
  <c r="AC114"/>
  <c r="AC113"/>
  <c r="AC112"/>
  <c r="AC111"/>
  <c r="AC110"/>
  <c r="AC109"/>
  <c r="AC108"/>
  <c r="AC107"/>
  <c r="AC106"/>
  <c r="AC105"/>
  <c r="AC104"/>
  <c r="AC103"/>
  <c r="AC102"/>
  <c r="AC101"/>
  <c r="AC100"/>
  <c r="AC99"/>
  <c r="AC98"/>
  <c r="AC97"/>
  <c r="AC96"/>
  <c r="AC95"/>
  <c r="AC94"/>
  <c r="AC93"/>
  <c r="AC92"/>
  <c r="AC91"/>
  <c r="AC90"/>
  <c r="AC89"/>
  <c r="AC88"/>
  <c r="AC87"/>
  <c r="AC86"/>
  <c r="AC85"/>
  <c r="AC84"/>
  <c r="AC83"/>
  <c r="AC82"/>
  <c r="AC81"/>
  <c r="AC80"/>
  <c r="AC79"/>
  <c r="AC78"/>
  <c r="AC77"/>
  <c r="AC76"/>
  <c r="AC75"/>
  <c r="AC74"/>
  <c r="AC73"/>
  <c r="AC72"/>
  <c r="AC71"/>
  <c r="AC70"/>
  <c r="AC69"/>
  <c r="AC68"/>
  <c r="AC67"/>
  <c r="AC66"/>
  <c r="AC65"/>
  <c r="AC64"/>
  <c r="AC63"/>
  <c r="AC62"/>
  <c r="AC61"/>
  <c r="AC60"/>
  <c r="AC59"/>
  <c r="AC58"/>
  <c r="AC57"/>
  <c r="AC56"/>
  <c r="AC55"/>
  <c r="AC54"/>
  <c r="AC53"/>
  <c r="AC52"/>
  <c r="AC51"/>
  <c r="AC50"/>
  <c r="AC49"/>
  <c r="AC48"/>
  <c r="AC47"/>
  <c r="AC46"/>
  <c r="AC45"/>
  <c r="AC44"/>
  <c r="AC43"/>
  <c r="AC42"/>
  <c r="AC41"/>
  <c r="AC40"/>
  <c r="AC39"/>
  <c r="AC38"/>
  <c r="AC37"/>
  <c r="AC36"/>
  <c r="AC35"/>
  <c r="AC34"/>
  <c r="AC33"/>
  <c r="AC32"/>
  <c r="AC31"/>
  <c r="AC30"/>
  <c r="AC29"/>
  <c r="AC28"/>
  <c r="AC27"/>
  <c r="AC26"/>
  <c r="AC25"/>
  <c r="AC24"/>
  <c r="AC23"/>
  <c r="AC22"/>
  <c r="AC21"/>
  <c r="AC20"/>
  <c r="AC19"/>
  <c r="AC18"/>
  <c r="AC17"/>
  <c r="AC16"/>
  <c r="AC15"/>
  <c r="AC14"/>
  <c r="AC13"/>
  <c r="AC12"/>
  <c r="AC11"/>
  <c r="AC10"/>
  <c r="AC9"/>
  <c r="AC8"/>
  <c r="AC7"/>
  <c r="AC6"/>
  <c r="AC5"/>
  <c r="X4"/>
  <c r="AA4"/>
  <c r="Z4"/>
  <c r="Y4"/>
  <c r="W124"/>
  <c r="W123"/>
  <c r="W122"/>
  <c r="W121"/>
  <c r="W120"/>
  <c r="W119"/>
  <c r="W118"/>
  <c r="W117"/>
  <c r="W116"/>
  <c r="W115"/>
  <c r="W114"/>
  <c r="W113"/>
  <c r="W112"/>
  <c r="W111"/>
  <c r="W110"/>
  <c r="W109"/>
  <c r="W108"/>
  <c r="W107"/>
  <c r="W106"/>
  <c r="W105"/>
  <c r="W104"/>
  <c r="W103"/>
  <c r="W102"/>
  <c r="W101"/>
  <c r="W100"/>
  <c r="W99"/>
  <c r="W98"/>
  <c r="W97"/>
  <c r="W96"/>
  <c r="W95"/>
  <c r="W94"/>
  <c r="W93"/>
  <c r="W92"/>
  <c r="W91"/>
  <c r="W90"/>
  <c r="W89"/>
  <c r="W88"/>
  <c r="W87"/>
  <c r="W86"/>
  <c r="W85"/>
  <c r="W84"/>
  <c r="W83"/>
  <c r="W82"/>
  <c r="W81"/>
  <c r="W80"/>
  <c r="W79"/>
  <c r="W78"/>
  <c r="W77"/>
  <c r="W76"/>
  <c r="W75"/>
  <c r="W74"/>
  <c r="W73"/>
  <c r="W72"/>
  <c r="W71"/>
  <c r="W70"/>
  <c r="W69"/>
  <c r="W68"/>
  <c r="W67"/>
  <c r="W66"/>
  <c r="W65"/>
  <c r="W64"/>
  <c r="W63"/>
  <c r="W62"/>
  <c r="W61"/>
  <c r="W60"/>
  <c r="W59"/>
  <c r="W58"/>
  <c r="W57"/>
  <c r="W56"/>
  <c r="W55"/>
  <c r="W54"/>
  <c r="W53"/>
  <c r="W52"/>
  <c r="W51"/>
  <c r="W50"/>
  <c r="W49"/>
  <c r="W48"/>
  <c r="W47"/>
  <c r="W46"/>
  <c r="W45"/>
  <c r="W44"/>
  <c r="W43"/>
  <c r="W42"/>
  <c r="W41"/>
  <c r="W40"/>
  <c r="W39"/>
  <c r="W38"/>
  <c r="W37"/>
  <c r="W36"/>
  <c r="W35"/>
  <c r="W34"/>
  <c r="W33"/>
  <c r="W32"/>
  <c r="W31"/>
  <c r="W30"/>
  <c r="W29"/>
  <c r="W28"/>
  <c r="W27"/>
  <c r="W26"/>
  <c r="W25"/>
  <c r="W24"/>
  <c r="W23"/>
  <c r="W22"/>
  <c r="W21"/>
  <c r="W20"/>
  <c r="W19"/>
  <c r="W18"/>
  <c r="W17"/>
  <c r="W16"/>
  <c r="W15"/>
  <c r="W14"/>
  <c r="W13"/>
  <c r="W12"/>
  <c r="W11"/>
  <c r="W10"/>
  <c r="W9"/>
  <c r="W8"/>
  <c r="W7"/>
  <c r="W6"/>
  <c r="W5"/>
  <c r="P4"/>
  <c r="O4"/>
  <c r="H40" i="1"/>
  <c r="H39"/>
  <c r="H38"/>
  <c r="H37"/>
  <c r="H36"/>
  <c r="H35"/>
  <c r="H34"/>
  <c r="H33"/>
  <c r="H32"/>
  <c r="H31"/>
  <c r="H30"/>
  <c r="G40"/>
  <c r="G39"/>
  <c r="G38"/>
  <c r="G37"/>
  <c r="G36"/>
  <c r="G35"/>
  <c r="G34"/>
  <c r="G33"/>
  <c r="G32"/>
  <c r="G31"/>
  <c r="G30"/>
  <c r="F131" i="100"/>
  <c r="F130"/>
  <c r="F129"/>
  <c r="F128"/>
  <c r="F127"/>
  <c r="I131"/>
  <c r="I130"/>
  <c r="I129"/>
  <c r="I128"/>
  <c r="I127"/>
  <c r="L131"/>
  <c r="L130"/>
  <c r="L129"/>
  <c r="L128"/>
  <c r="L127"/>
  <c r="L100"/>
  <c r="I100"/>
  <c r="F100"/>
  <c r="L99"/>
  <c r="I99"/>
  <c r="F99"/>
  <c r="L98"/>
  <c r="I98"/>
  <c r="F98"/>
  <c r="L125"/>
  <c r="I125"/>
  <c r="F125"/>
  <c r="L124"/>
  <c r="I124"/>
  <c r="F124"/>
  <c r="L97"/>
  <c r="I97"/>
  <c r="F97"/>
  <c r="L96"/>
  <c r="I96"/>
  <c r="F96"/>
  <c r="L95"/>
  <c r="I95"/>
  <c r="F95"/>
  <c r="L123"/>
  <c r="I123"/>
  <c r="F123"/>
  <c r="L94"/>
  <c r="I94"/>
  <c r="F94"/>
  <c r="L93"/>
  <c r="I93"/>
  <c r="F93"/>
  <c r="L92"/>
  <c r="I92"/>
  <c r="F92"/>
  <c r="L122"/>
  <c r="I122"/>
  <c r="F122"/>
  <c r="L91"/>
  <c r="I91"/>
  <c r="F91"/>
  <c r="L90"/>
  <c r="I90"/>
  <c r="F90"/>
  <c r="L89"/>
  <c r="I89"/>
  <c r="F89"/>
  <c r="L88"/>
  <c r="I88"/>
  <c r="F88"/>
  <c r="L87"/>
  <c r="I87"/>
  <c r="F87"/>
  <c r="L86"/>
  <c r="I86"/>
  <c r="F86"/>
  <c r="L85"/>
  <c r="I85"/>
  <c r="F85"/>
  <c r="L84"/>
  <c r="I84"/>
  <c r="F84"/>
  <c r="L83"/>
  <c r="I83"/>
  <c r="F83"/>
  <c r="L82"/>
  <c r="I82"/>
  <c r="F82"/>
  <c r="L121"/>
  <c r="I121"/>
  <c r="F121"/>
  <c r="L81"/>
  <c r="I81"/>
  <c r="F81"/>
  <c r="L120"/>
  <c r="I120"/>
  <c r="F120"/>
  <c r="L80"/>
  <c r="I80"/>
  <c r="F80"/>
  <c r="L119"/>
  <c r="I119"/>
  <c r="F119"/>
  <c r="L79"/>
  <c r="I79"/>
  <c r="F79"/>
  <c r="L78"/>
  <c r="I78"/>
  <c r="F78"/>
  <c r="L77"/>
  <c r="I77"/>
  <c r="F77"/>
  <c r="L76"/>
  <c r="I76"/>
  <c r="F76"/>
  <c r="L75"/>
  <c r="I75"/>
  <c r="F75"/>
  <c r="L118"/>
  <c r="I118"/>
  <c r="F118"/>
  <c r="L74"/>
  <c r="I74"/>
  <c r="F74"/>
  <c r="L117"/>
  <c r="I117"/>
  <c r="F117"/>
  <c r="L73"/>
  <c r="I73"/>
  <c r="F73"/>
  <c r="L72"/>
  <c r="I72"/>
  <c r="F72"/>
  <c r="L71"/>
  <c r="I71"/>
  <c r="F71"/>
  <c r="L70"/>
  <c r="I70"/>
  <c r="F70"/>
  <c r="L116"/>
  <c r="I116"/>
  <c r="F116"/>
  <c r="L69"/>
  <c r="I69"/>
  <c r="F69"/>
  <c r="L68"/>
  <c r="I68"/>
  <c r="F68"/>
  <c r="L115"/>
  <c r="I115"/>
  <c r="F115"/>
  <c r="L114"/>
  <c r="I114"/>
  <c r="F114"/>
  <c r="L67"/>
  <c r="I67"/>
  <c r="F67"/>
  <c r="L66"/>
  <c r="I66"/>
  <c r="F66"/>
  <c r="L65"/>
  <c r="I65"/>
  <c r="F65"/>
  <c r="L64"/>
  <c r="I64"/>
  <c r="F64"/>
  <c r="L63"/>
  <c r="I63"/>
  <c r="F63"/>
  <c r="L62"/>
  <c r="I62"/>
  <c r="F62"/>
  <c r="L113"/>
  <c r="I113"/>
  <c r="F113"/>
  <c r="L112"/>
  <c r="I112"/>
  <c r="F112"/>
  <c r="L61"/>
  <c r="I61"/>
  <c r="F61"/>
  <c r="L111"/>
  <c r="I111"/>
  <c r="F111"/>
  <c r="L60"/>
  <c r="I60"/>
  <c r="F60"/>
  <c r="L59"/>
  <c r="I59"/>
  <c r="F59"/>
  <c r="L58"/>
  <c r="I58"/>
  <c r="F58"/>
  <c r="L57"/>
  <c r="I57"/>
  <c r="F57"/>
  <c r="L56"/>
  <c r="I56"/>
  <c r="F56"/>
  <c r="L55"/>
  <c r="I55"/>
  <c r="F55"/>
  <c r="L54"/>
  <c r="I54"/>
  <c r="F54"/>
  <c r="L53"/>
  <c r="I53"/>
  <c r="F53"/>
  <c r="L52"/>
  <c r="I52"/>
  <c r="F52"/>
  <c r="L51"/>
  <c r="I51"/>
  <c r="F51"/>
  <c r="L110"/>
  <c r="I110"/>
  <c r="F110"/>
  <c r="L50"/>
  <c r="I50"/>
  <c r="F50"/>
  <c r="L49"/>
  <c r="I49"/>
  <c r="F49"/>
  <c r="L48"/>
  <c r="I48"/>
  <c r="F48"/>
  <c r="L47"/>
  <c r="I47"/>
  <c r="F47"/>
  <c r="L109"/>
  <c r="I109"/>
  <c r="F109"/>
  <c r="L46"/>
  <c r="I46"/>
  <c r="F46"/>
  <c r="L45"/>
  <c r="I45"/>
  <c r="F45"/>
  <c r="L44"/>
  <c r="I44"/>
  <c r="F44"/>
  <c r="L43"/>
  <c r="I43"/>
  <c r="F43"/>
  <c r="L42"/>
  <c r="I42"/>
  <c r="F42"/>
  <c r="L41"/>
  <c r="I41"/>
  <c r="F41"/>
  <c r="L40"/>
  <c r="I40"/>
  <c r="F40"/>
  <c r="L108"/>
  <c r="I108"/>
  <c r="F108"/>
  <c r="L107"/>
  <c r="I107"/>
  <c r="F107"/>
  <c r="L39"/>
  <c r="I39"/>
  <c r="F39"/>
  <c r="L38"/>
  <c r="I38"/>
  <c r="F38"/>
  <c r="L106"/>
  <c r="I106"/>
  <c r="F106"/>
  <c r="L37"/>
  <c r="I37"/>
  <c r="F37"/>
  <c r="L36"/>
  <c r="I36"/>
  <c r="F36"/>
  <c r="L35"/>
  <c r="I35"/>
  <c r="F35"/>
  <c r="L34"/>
  <c r="I34"/>
  <c r="F34"/>
  <c r="L33"/>
  <c r="I33"/>
  <c r="F33"/>
  <c r="L32"/>
  <c r="I32"/>
  <c r="F32"/>
  <c r="L31"/>
  <c r="I31"/>
  <c r="F31"/>
  <c r="L105"/>
  <c r="I105"/>
  <c r="F105"/>
  <c r="L30"/>
  <c r="I30"/>
  <c r="F30"/>
  <c r="L29"/>
  <c r="I29"/>
  <c r="F29"/>
  <c r="L28"/>
  <c r="I28"/>
  <c r="F28"/>
  <c r="L27"/>
  <c r="I27"/>
  <c r="F27"/>
  <c r="L26"/>
  <c r="I26"/>
  <c r="F26"/>
  <c r="L104"/>
  <c r="I104"/>
  <c r="F104"/>
  <c r="L103"/>
  <c r="I103"/>
  <c r="F103"/>
  <c r="L25"/>
  <c r="I25"/>
  <c r="F25"/>
  <c r="L24"/>
  <c r="I24"/>
  <c r="F24"/>
  <c r="L23"/>
  <c r="I23"/>
  <c r="F23"/>
  <c r="L22"/>
  <c r="I22"/>
  <c r="F22"/>
  <c r="L21"/>
  <c r="I21"/>
  <c r="F21"/>
  <c r="L20"/>
  <c r="I20"/>
  <c r="F20"/>
  <c r="L19"/>
  <c r="I19"/>
  <c r="F19"/>
  <c r="L18"/>
  <c r="I18"/>
  <c r="F18"/>
  <c r="L102"/>
  <c r="I102"/>
  <c r="F102"/>
  <c r="L17"/>
  <c r="I17"/>
  <c r="F17"/>
  <c r="L16"/>
  <c r="I16"/>
  <c r="F16"/>
  <c r="L15"/>
  <c r="I15"/>
  <c r="F15"/>
  <c r="L14"/>
  <c r="I14"/>
  <c r="F14"/>
  <c r="L13"/>
  <c r="I13"/>
  <c r="F13"/>
  <c r="L12"/>
  <c r="I12"/>
  <c r="F12"/>
  <c r="L11"/>
  <c r="I11"/>
  <c r="F11"/>
  <c r="L10"/>
  <c r="I10"/>
  <c r="F10"/>
  <c r="L9"/>
  <c r="I9"/>
  <c r="F9"/>
  <c r="L8"/>
  <c r="I8"/>
  <c r="F8"/>
  <c r="L101"/>
  <c r="I101"/>
  <c r="F101"/>
  <c r="L7"/>
  <c r="I7"/>
  <c r="F7"/>
  <c r="L6"/>
  <c r="I6"/>
  <c r="F6"/>
  <c r="L5"/>
  <c r="I5"/>
  <c r="F5"/>
  <c r="F22" i="79" l="1"/>
  <c r="F38"/>
  <c r="F42"/>
  <c r="F46"/>
  <c r="F66"/>
  <c r="F118"/>
  <c r="H50" i="118"/>
  <c r="K11" i="53"/>
  <c r="F12" i="79" s="1"/>
  <c r="K19" i="53"/>
  <c r="F20" i="79" s="1"/>
  <c r="K27" i="53"/>
  <c r="F28" i="79" s="1"/>
  <c r="K35" i="53"/>
  <c r="F36" i="79" s="1"/>
  <c r="K43" i="53"/>
  <c r="F44" i="79" s="1"/>
  <c r="K51" i="53"/>
  <c r="F52" i="79" s="1"/>
  <c r="K59" i="53"/>
  <c r="F60" i="79" s="1"/>
  <c r="K67" i="53"/>
  <c r="F68" i="79" s="1"/>
  <c r="K75" i="53"/>
  <c r="F76" i="79" s="1"/>
  <c r="K83" i="53"/>
  <c r="F84" i="79" s="1"/>
  <c r="K91" i="53"/>
  <c r="F92" i="79" s="1"/>
  <c r="K99" i="53"/>
  <c r="F100" i="79" s="1"/>
  <c r="K107" i="53"/>
  <c r="F108" i="79" s="1"/>
  <c r="K115" i="53"/>
  <c r="F116" i="79" s="1"/>
  <c r="K123" i="53"/>
  <c r="F124" i="79" s="1"/>
  <c r="F17"/>
  <c r="F33"/>
  <c r="F53"/>
  <c r="F57"/>
  <c r="R57" s="1"/>
  <c r="AE57" s="1"/>
  <c r="F61"/>
  <c r="F97"/>
  <c r="F101"/>
  <c r="F105"/>
  <c r="R105" s="1"/>
  <c r="AE105" s="1"/>
  <c r="F109"/>
  <c r="F113"/>
  <c r="R91"/>
  <c r="AE91" s="1"/>
  <c r="K7" i="53"/>
  <c r="F8" i="79" s="1"/>
  <c r="K15" i="53"/>
  <c r="F16" i="79" s="1"/>
  <c r="K23" i="53"/>
  <c r="F24" i="79" s="1"/>
  <c r="K31" i="53"/>
  <c r="F32" i="79" s="1"/>
  <c r="K39" i="53"/>
  <c r="F40" i="79" s="1"/>
  <c r="K47" i="53"/>
  <c r="F48" i="79" s="1"/>
  <c r="K55" i="53"/>
  <c r="F56" i="79" s="1"/>
  <c r="K63" i="53"/>
  <c r="F64" i="79" s="1"/>
  <c r="K71" i="53"/>
  <c r="F72" i="79" s="1"/>
  <c r="K79" i="53"/>
  <c r="F80" i="79" s="1"/>
  <c r="K87" i="53"/>
  <c r="F88" i="79" s="1"/>
  <c r="K95" i="53"/>
  <c r="F96" i="79" s="1"/>
  <c r="K103" i="53"/>
  <c r="F104" i="79" s="1"/>
  <c r="K111" i="53"/>
  <c r="F112" i="79" s="1"/>
  <c r="K119" i="53"/>
  <c r="F120" i="79" s="1"/>
  <c r="I6" i="118"/>
  <c r="N6" i="79" s="1"/>
  <c r="I10" i="118"/>
  <c r="N10" i="79" s="1"/>
  <c r="R10" s="1"/>
  <c r="I14" i="118"/>
  <c r="N14" i="79" s="1"/>
  <c r="R14" s="1"/>
  <c r="AE14" s="1"/>
  <c r="I18" i="118"/>
  <c r="N18" i="79" s="1"/>
  <c r="I22" i="118"/>
  <c r="N22" i="79" s="1"/>
  <c r="R22" s="1"/>
  <c r="I26" i="118"/>
  <c r="N26" i="79" s="1"/>
  <c r="R26" s="1"/>
  <c r="AE26" s="1"/>
  <c r="I30" i="118"/>
  <c r="N30" i="79" s="1"/>
  <c r="I34" i="118"/>
  <c r="N34" i="79" s="1"/>
  <c r="I38" i="118"/>
  <c r="N38" i="79" s="1"/>
  <c r="I42" i="118"/>
  <c r="N42" i="79" s="1"/>
  <c r="I46" i="118"/>
  <c r="N46" i="79" s="1"/>
  <c r="I50" i="118"/>
  <c r="N50" i="79" s="1"/>
  <c r="I54" i="118"/>
  <c r="N54" i="79" s="1"/>
  <c r="I58" i="118"/>
  <c r="N58" i="79" s="1"/>
  <c r="R58" s="1"/>
  <c r="I62" i="118"/>
  <c r="N62" i="79" s="1"/>
  <c r="I66" i="118"/>
  <c r="N66" i="79" s="1"/>
  <c r="I70" i="118"/>
  <c r="N70" i="79" s="1"/>
  <c r="I74" i="118"/>
  <c r="N74" i="79" s="1"/>
  <c r="R74" s="1"/>
  <c r="I78" i="118"/>
  <c r="N78" i="79" s="1"/>
  <c r="I82" i="118"/>
  <c r="N82" i="79" s="1"/>
  <c r="I86" i="118"/>
  <c r="N86" i="79" s="1"/>
  <c r="R86" s="1"/>
  <c r="I90" i="118"/>
  <c r="N90" i="79" s="1"/>
  <c r="R90" s="1"/>
  <c r="I94" i="118"/>
  <c r="N94" i="79" s="1"/>
  <c r="I98" i="118"/>
  <c r="N98" i="79" s="1"/>
  <c r="I102" i="118"/>
  <c r="N102" i="79" s="1"/>
  <c r="R102" s="1"/>
  <c r="I106" i="118"/>
  <c r="N106" i="79" s="1"/>
  <c r="R106" s="1"/>
  <c r="I110" i="118"/>
  <c r="N110" i="79" s="1"/>
  <c r="R110" s="1"/>
  <c r="AE110" s="1"/>
  <c r="I114" i="118"/>
  <c r="N114" i="79" s="1"/>
  <c r="I118" i="118"/>
  <c r="N118" i="79" s="1"/>
  <c r="I122" i="118"/>
  <c r="N122" i="79" s="1"/>
  <c r="I9" i="118"/>
  <c r="N9" i="79" s="1"/>
  <c r="I13" i="118"/>
  <c r="N13" i="79" s="1"/>
  <c r="I17" i="118"/>
  <c r="N17" i="79" s="1"/>
  <c r="R17" s="1"/>
  <c r="I21" i="118"/>
  <c r="N21" i="79" s="1"/>
  <c r="R21" s="1"/>
  <c r="I25" i="118"/>
  <c r="N25" i="79" s="1"/>
  <c r="I29" i="118"/>
  <c r="N29" i="79" s="1"/>
  <c r="R29" s="1"/>
  <c r="AE29" s="1"/>
  <c r="I33" i="118"/>
  <c r="N33" i="79" s="1"/>
  <c r="I37" i="118"/>
  <c r="N37" i="79" s="1"/>
  <c r="R37" s="1"/>
  <c r="I41" i="118"/>
  <c r="N41" i="79" s="1"/>
  <c r="R41" s="1"/>
  <c r="I45" i="118"/>
  <c r="N45" i="79" s="1"/>
  <c r="I49" i="118"/>
  <c r="N49" i="79" s="1"/>
  <c r="I53" i="118"/>
  <c r="N53" i="79" s="1"/>
  <c r="I57" i="118"/>
  <c r="N57" i="79" s="1"/>
  <c r="I61" i="118"/>
  <c r="N61" i="79" s="1"/>
  <c r="I65" i="118"/>
  <c r="N65" i="79" s="1"/>
  <c r="I69" i="118"/>
  <c r="N69" i="79" s="1"/>
  <c r="R69" s="1"/>
  <c r="I73" i="118"/>
  <c r="N73" i="79" s="1"/>
  <c r="I77" i="118"/>
  <c r="N77" i="79" s="1"/>
  <c r="R77" s="1"/>
  <c r="AE77" s="1"/>
  <c r="I81" i="118"/>
  <c r="N81" i="79" s="1"/>
  <c r="I85" i="118"/>
  <c r="N85" i="79" s="1"/>
  <c r="R85" s="1"/>
  <c r="AE85" s="1"/>
  <c r="I89" i="118"/>
  <c r="N89" i="79" s="1"/>
  <c r="I93" i="118"/>
  <c r="N93" i="79" s="1"/>
  <c r="I97" i="118"/>
  <c r="N97" i="79" s="1"/>
  <c r="R97" s="1"/>
  <c r="I101" i="118"/>
  <c r="N101" i="79" s="1"/>
  <c r="R101" s="1"/>
  <c r="I105" i="118"/>
  <c r="N105" i="79" s="1"/>
  <c r="I109" i="118"/>
  <c r="N109" i="79" s="1"/>
  <c r="I113" i="118"/>
  <c r="N113" i="79" s="1"/>
  <c r="I117" i="118"/>
  <c r="N117" i="79" s="1"/>
  <c r="R117" s="1"/>
  <c r="AE117" s="1"/>
  <c r="I121" i="118"/>
  <c r="N121" i="79" s="1"/>
  <c r="R121" s="1"/>
  <c r="I125" i="118"/>
  <c r="N125" i="79" s="1"/>
  <c r="I8" i="118"/>
  <c r="N8" i="79" s="1"/>
  <c r="I12" i="118"/>
  <c r="N12" i="79" s="1"/>
  <c r="R12" s="1"/>
  <c r="I16" i="118"/>
  <c r="N16" i="79" s="1"/>
  <c r="I20" i="118"/>
  <c r="N20" i="79" s="1"/>
  <c r="R20" s="1"/>
  <c r="AE20" s="1"/>
  <c r="I24" i="118"/>
  <c r="N24" i="79" s="1"/>
  <c r="I28" i="118"/>
  <c r="N28" i="79" s="1"/>
  <c r="R28" s="1"/>
  <c r="AE28" s="1"/>
  <c r="I32" i="118"/>
  <c r="N32" i="79" s="1"/>
  <c r="I36" i="118"/>
  <c r="N36" i="79" s="1"/>
  <c r="I40" i="118"/>
  <c r="N40" i="79" s="1"/>
  <c r="I44" i="118"/>
  <c r="N44" i="79" s="1"/>
  <c r="R44" s="1"/>
  <c r="I48" i="118"/>
  <c r="N48" i="79" s="1"/>
  <c r="I52" i="118"/>
  <c r="N52" i="79" s="1"/>
  <c r="R52" s="1"/>
  <c r="AE52" s="1"/>
  <c r="I56" i="118"/>
  <c r="N56" i="79" s="1"/>
  <c r="I60" i="118"/>
  <c r="N60" i="79" s="1"/>
  <c r="R60" s="1"/>
  <c r="I64" i="118"/>
  <c r="N64" i="79" s="1"/>
  <c r="I68" i="118"/>
  <c r="N68" i="79" s="1"/>
  <c r="I72" i="118"/>
  <c r="N72" i="79" s="1"/>
  <c r="I76" i="118"/>
  <c r="N76" i="79" s="1"/>
  <c r="I80" i="118"/>
  <c r="N80" i="79" s="1"/>
  <c r="I84" i="118"/>
  <c r="N84" i="79" s="1"/>
  <c r="R84" s="1"/>
  <c r="AE84" s="1"/>
  <c r="I88" i="118"/>
  <c r="N88" i="79" s="1"/>
  <c r="I92" i="118"/>
  <c r="N92" i="79" s="1"/>
  <c r="I96" i="118"/>
  <c r="N96" i="79" s="1"/>
  <c r="I100" i="118"/>
  <c r="N100" i="79" s="1"/>
  <c r="I104" i="118"/>
  <c r="N104" i="79" s="1"/>
  <c r="I108" i="118"/>
  <c r="N108" i="79" s="1"/>
  <c r="R108" s="1"/>
  <c r="I112" i="118"/>
  <c r="N112" i="79" s="1"/>
  <c r="I116" i="118"/>
  <c r="N116" i="79" s="1"/>
  <c r="R116" s="1"/>
  <c r="AE116" s="1"/>
  <c r="I120" i="118"/>
  <c r="N120" i="79" s="1"/>
  <c r="I124" i="118"/>
  <c r="N124" i="79" s="1"/>
  <c r="R124" s="1"/>
  <c r="I7" i="118"/>
  <c r="N7" i="79" s="1"/>
  <c r="I11" i="118"/>
  <c r="N11" i="79" s="1"/>
  <c r="I15" i="118"/>
  <c r="N15" i="79" s="1"/>
  <c r="I19" i="118"/>
  <c r="N19" i="79" s="1"/>
  <c r="R19" s="1"/>
  <c r="AE19" s="1"/>
  <c r="I23" i="118"/>
  <c r="N23" i="79" s="1"/>
  <c r="R23" s="1"/>
  <c r="I27" i="118"/>
  <c r="N27" i="79" s="1"/>
  <c r="I31" i="118"/>
  <c r="N31" i="79" s="1"/>
  <c r="I35" i="118"/>
  <c r="N35" i="79" s="1"/>
  <c r="R35" s="1"/>
  <c r="I39" i="118"/>
  <c r="N39" i="79" s="1"/>
  <c r="I43" i="118"/>
  <c r="N43" i="79" s="1"/>
  <c r="R43" s="1"/>
  <c r="AE43" s="1"/>
  <c r="I47" i="118"/>
  <c r="N47" i="79" s="1"/>
  <c r="R47" s="1"/>
  <c r="I51" i="118"/>
  <c r="N51" i="79" s="1"/>
  <c r="R51" s="1"/>
  <c r="AE51" s="1"/>
  <c r="I55" i="118"/>
  <c r="N55" i="79" s="1"/>
  <c r="R55" s="1"/>
  <c r="I59" i="118"/>
  <c r="N59" i="79" s="1"/>
  <c r="R59" s="1"/>
  <c r="AE59" s="1"/>
  <c r="I63" i="118"/>
  <c r="N63" i="79" s="1"/>
  <c r="I67" i="118"/>
  <c r="N67" i="79" s="1"/>
  <c r="R67" s="1"/>
  <c r="I71" i="118"/>
  <c r="N71" i="79" s="1"/>
  <c r="I75" i="118"/>
  <c r="N75" i="79" s="1"/>
  <c r="I79" i="118"/>
  <c r="N79" i="79" s="1"/>
  <c r="I83" i="118"/>
  <c r="N83" i="79" s="1"/>
  <c r="R83" s="1"/>
  <c r="AE83" s="1"/>
  <c r="I87" i="118"/>
  <c r="N87" i="79" s="1"/>
  <c r="R87" s="1"/>
  <c r="I91" i="118"/>
  <c r="N91" i="79" s="1"/>
  <c r="I95" i="118"/>
  <c r="N95" i="79" s="1"/>
  <c r="I99" i="118"/>
  <c r="N99" i="79" s="1"/>
  <c r="R99" s="1"/>
  <c r="I103" i="118"/>
  <c r="N103" i="79" s="1"/>
  <c r="I107" i="118"/>
  <c r="N107" i="79" s="1"/>
  <c r="I111" i="118"/>
  <c r="N111" i="79" s="1"/>
  <c r="R111" s="1"/>
  <c r="I115" i="118"/>
  <c r="N115" i="79" s="1"/>
  <c r="R115" s="1"/>
  <c r="AE115" s="1"/>
  <c r="I119" i="118"/>
  <c r="N119" i="79" s="1"/>
  <c r="R119" s="1"/>
  <c r="I123" i="118"/>
  <c r="N123" i="79" s="1"/>
  <c r="I4" i="61"/>
  <c r="I25" i="55"/>
  <c r="H4"/>
  <c r="K4"/>
  <c r="I4"/>
  <c r="W4"/>
  <c r="H4" i="53"/>
  <c r="AC4"/>
  <c r="L5" i="103"/>
  <c r="K5"/>
  <c r="J5"/>
  <c r="I5"/>
  <c r="L5" i="102"/>
  <c r="K5"/>
  <c r="J5"/>
  <c r="I5"/>
  <c r="L5" i="49"/>
  <c r="K5"/>
  <c r="J5"/>
  <c r="I5"/>
  <c r="R118" i="79" l="1"/>
  <c r="R92"/>
  <c r="AE92" s="1"/>
  <c r="R42"/>
  <c r="AE119"/>
  <c r="AD119"/>
  <c r="AE23"/>
  <c r="AD23"/>
  <c r="AE35"/>
  <c r="AD35"/>
  <c r="AE60"/>
  <c r="AD60"/>
  <c r="AE101"/>
  <c r="AD101"/>
  <c r="AE69"/>
  <c r="AD69"/>
  <c r="AE37"/>
  <c r="AD37"/>
  <c r="AE21"/>
  <c r="AD21"/>
  <c r="AE106"/>
  <c r="AD106"/>
  <c r="AD90"/>
  <c r="AE90"/>
  <c r="AE74"/>
  <c r="AD74"/>
  <c r="AE58"/>
  <c r="AD58"/>
  <c r="AE42"/>
  <c r="AD42"/>
  <c r="AD10"/>
  <c r="AE10"/>
  <c r="AE87"/>
  <c r="AD87"/>
  <c r="AE41"/>
  <c r="AD41"/>
  <c r="AE99"/>
  <c r="AD99"/>
  <c r="AE124"/>
  <c r="AD124"/>
  <c r="AE44"/>
  <c r="AD44"/>
  <c r="AE111"/>
  <c r="AD111"/>
  <c r="AE17"/>
  <c r="AD17"/>
  <c r="AE118"/>
  <c r="AD118"/>
  <c r="AE86"/>
  <c r="AD86"/>
  <c r="AE22"/>
  <c r="AD22"/>
  <c r="AE55"/>
  <c r="AD55"/>
  <c r="AE67"/>
  <c r="AD67"/>
  <c r="AE108"/>
  <c r="AD108"/>
  <c r="AE12"/>
  <c r="AD12"/>
  <c r="AE47"/>
  <c r="AD47"/>
  <c r="AE97"/>
  <c r="AD97"/>
  <c r="AE102"/>
  <c r="AD102"/>
  <c r="AF91"/>
  <c r="AF43"/>
  <c r="AF84"/>
  <c r="AF52"/>
  <c r="AF77"/>
  <c r="AF29"/>
  <c r="R112"/>
  <c r="R80"/>
  <c r="AF80" s="1"/>
  <c r="R48"/>
  <c r="AE48" s="1"/>
  <c r="AD28"/>
  <c r="R16"/>
  <c r="AE16" s="1"/>
  <c r="AD16"/>
  <c r="R13"/>
  <c r="AD115"/>
  <c r="AD83"/>
  <c r="AD51"/>
  <c r="AD19"/>
  <c r="AD91"/>
  <c r="AD43"/>
  <c r="AD77"/>
  <c r="R61"/>
  <c r="AF61" s="1"/>
  <c r="R79"/>
  <c r="R15"/>
  <c r="R82"/>
  <c r="AF82" s="1"/>
  <c r="R38"/>
  <c r="R18"/>
  <c r="AF18" s="1"/>
  <c r="AD59"/>
  <c r="R125"/>
  <c r="AF125" s="1"/>
  <c r="AF47"/>
  <c r="AF97"/>
  <c r="AF118"/>
  <c r="AF102"/>
  <c r="R104"/>
  <c r="AE104" s="1"/>
  <c r="R72"/>
  <c r="AE72" s="1"/>
  <c r="R40"/>
  <c r="AE40" s="1"/>
  <c r="R8"/>
  <c r="AE8" s="1"/>
  <c r="R54"/>
  <c r="AF54" s="1"/>
  <c r="AD121"/>
  <c r="AE121"/>
  <c r="AF59"/>
  <c r="AF116"/>
  <c r="AF20"/>
  <c r="AF119"/>
  <c r="AF87"/>
  <c r="AF55"/>
  <c r="AF23"/>
  <c r="AF112"/>
  <c r="AF48"/>
  <c r="AF16"/>
  <c r="AF121"/>
  <c r="AF105"/>
  <c r="AF57"/>
  <c r="AF41"/>
  <c r="AF110"/>
  <c r="AF14"/>
  <c r="R120"/>
  <c r="AE120" s="1"/>
  <c r="R100"/>
  <c r="R88"/>
  <c r="AE88" s="1"/>
  <c r="R68"/>
  <c r="AF68" s="1"/>
  <c r="R56"/>
  <c r="AE56" s="1"/>
  <c r="R36"/>
  <c r="R24"/>
  <c r="AE24" s="1"/>
  <c r="AD24"/>
  <c r="R73"/>
  <c r="AF73" s="1"/>
  <c r="R45"/>
  <c r="AF45" s="1"/>
  <c r="R34"/>
  <c r="R6"/>
  <c r="R123"/>
  <c r="R75"/>
  <c r="AF75" s="1"/>
  <c r="R27"/>
  <c r="R113"/>
  <c r="AF113" s="1"/>
  <c r="R93"/>
  <c r="AF93" s="1"/>
  <c r="R114"/>
  <c r="R98"/>
  <c r="R78"/>
  <c r="R66"/>
  <c r="R30"/>
  <c r="AF30" s="1"/>
  <c r="R107"/>
  <c r="R11"/>
  <c r="AF111"/>
  <c r="AF56"/>
  <c r="AF17"/>
  <c r="AF86"/>
  <c r="AF22"/>
  <c r="AF115"/>
  <c r="AF99"/>
  <c r="AF83"/>
  <c r="AF67"/>
  <c r="AF51"/>
  <c r="AF35"/>
  <c r="AF19"/>
  <c r="AF124"/>
  <c r="AF108"/>
  <c r="AF60"/>
  <c r="AF44"/>
  <c r="AF28"/>
  <c r="AF12"/>
  <c r="AF117"/>
  <c r="AF101"/>
  <c r="AF85"/>
  <c r="AF69"/>
  <c r="AF37"/>
  <c r="AF21"/>
  <c r="AF106"/>
  <c r="AF90"/>
  <c r="AF74"/>
  <c r="AF58"/>
  <c r="AF42"/>
  <c r="AF26"/>
  <c r="AF10"/>
  <c r="R103"/>
  <c r="R71"/>
  <c r="AF71" s="1"/>
  <c r="R39"/>
  <c r="R7"/>
  <c r="AD116"/>
  <c r="R96"/>
  <c r="AE96" s="1"/>
  <c r="AD84"/>
  <c r="R76"/>
  <c r="R64"/>
  <c r="AE64" s="1"/>
  <c r="AD52"/>
  <c r="R32"/>
  <c r="AE32" s="1"/>
  <c r="AD20"/>
  <c r="AD117"/>
  <c r="AD85"/>
  <c r="AD57"/>
  <c r="AD29"/>
  <c r="R70"/>
  <c r="AF70" s="1"/>
  <c r="R46"/>
  <c r="AD26"/>
  <c r="AD14"/>
  <c r="AD105"/>
  <c r="R89"/>
  <c r="R65"/>
  <c r="AF65" s="1"/>
  <c r="R49"/>
  <c r="R33"/>
  <c r="R9"/>
  <c r="R95"/>
  <c r="R63"/>
  <c r="R31"/>
  <c r="AF31" s="1"/>
  <c r="R122"/>
  <c r="AD110"/>
  <c r="R94"/>
  <c r="AF94" s="1"/>
  <c r="R62"/>
  <c r="R50"/>
  <c r="AF50" s="1"/>
  <c r="R109"/>
  <c r="AF109" s="1"/>
  <c r="R81"/>
  <c r="R53"/>
  <c r="R25"/>
  <c r="I5" i="118"/>
  <c r="E4" i="116"/>
  <c r="D4"/>
  <c r="AF92" i="79" l="1"/>
  <c r="AD92"/>
  <c r="AD104"/>
  <c r="AD120"/>
  <c r="AD40"/>
  <c r="AF120"/>
  <c r="AF104"/>
  <c r="AE25"/>
  <c r="AD25"/>
  <c r="AE46"/>
  <c r="AD46"/>
  <c r="AE76"/>
  <c r="AD76"/>
  <c r="AF76"/>
  <c r="R5"/>
  <c r="AE5" s="1"/>
  <c r="AE6"/>
  <c r="AD6"/>
  <c r="AE100"/>
  <c r="AD100"/>
  <c r="AF72"/>
  <c r="AE53"/>
  <c r="AD53"/>
  <c r="AE33"/>
  <c r="AD33"/>
  <c r="AE70"/>
  <c r="AD70"/>
  <c r="AE7"/>
  <c r="AD7"/>
  <c r="AE107"/>
  <c r="AD107"/>
  <c r="AE98"/>
  <c r="AD98"/>
  <c r="AE27"/>
  <c r="AD27"/>
  <c r="AD34"/>
  <c r="AE34"/>
  <c r="AE68"/>
  <c r="AD68"/>
  <c r="AF46"/>
  <c r="AF64"/>
  <c r="AF7"/>
  <c r="AF100"/>
  <c r="AE15"/>
  <c r="AD15"/>
  <c r="AD80"/>
  <c r="AE80"/>
  <c r="AF34"/>
  <c r="AF98"/>
  <c r="AF33"/>
  <c r="AF15"/>
  <c r="AE122"/>
  <c r="AD122"/>
  <c r="AE9"/>
  <c r="AD9"/>
  <c r="AE103"/>
  <c r="AD103"/>
  <c r="AF122"/>
  <c r="AE11"/>
  <c r="AD11"/>
  <c r="AE113"/>
  <c r="AD113"/>
  <c r="AE82"/>
  <c r="AD82"/>
  <c r="AF11"/>
  <c r="AE62"/>
  <c r="AD62"/>
  <c r="AE31"/>
  <c r="AD31"/>
  <c r="AE81"/>
  <c r="AD81"/>
  <c r="AE94"/>
  <c r="AD94"/>
  <c r="AE63"/>
  <c r="AD63"/>
  <c r="AE49"/>
  <c r="AD49"/>
  <c r="AD64"/>
  <c r="AD96"/>
  <c r="AE39"/>
  <c r="AD39"/>
  <c r="AF81"/>
  <c r="AF63"/>
  <c r="AE30"/>
  <c r="AD30"/>
  <c r="AD114"/>
  <c r="AE114"/>
  <c r="AE75"/>
  <c r="AD75"/>
  <c r="AE45"/>
  <c r="AD45"/>
  <c r="AE36"/>
  <c r="AD36"/>
  <c r="AD88"/>
  <c r="AF62"/>
  <c r="AF9"/>
  <c r="AF107"/>
  <c r="AE54"/>
  <c r="AD54"/>
  <c r="AF40"/>
  <c r="AE18"/>
  <c r="AD18"/>
  <c r="AE79"/>
  <c r="AD79"/>
  <c r="AF114"/>
  <c r="AF79"/>
  <c r="AD50"/>
  <c r="AE50"/>
  <c r="AD89"/>
  <c r="AE89"/>
  <c r="AE78"/>
  <c r="AD78"/>
  <c r="AE125"/>
  <c r="AD125"/>
  <c r="AE109"/>
  <c r="AD109"/>
  <c r="AE95"/>
  <c r="AD95"/>
  <c r="AE65"/>
  <c r="AD65"/>
  <c r="AD32"/>
  <c r="AE71"/>
  <c r="AD71"/>
  <c r="AF53"/>
  <c r="AF8"/>
  <c r="AD66"/>
  <c r="AE66"/>
  <c r="AE93"/>
  <c r="AD93"/>
  <c r="AE123"/>
  <c r="AD123"/>
  <c r="AE73"/>
  <c r="AD73"/>
  <c r="AD56"/>
  <c r="AF78"/>
  <c r="AF25"/>
  <c r="AF89"/>
  <c r="AF32"/>
  <c r="AF96"/>
  <c r="AF39"/>
  <c r="AF103"/>
  <c r="AF36"/>
  <c r="AF27"/>
  <c r="AF123"/>
  <c r="AD8"/>
  <c r="AD72"/>
  <c r="AF6"/>
  <c r="AF49"/>
  <c r="AF88"/>
  <c r="AF95"/>
  <c r="AE38"/>
  <c r="AD38"/>
  <c r="AE61"/>
  <c r="AD61"/>
  <c r="AE13"/>
  <c r="AD13"/>
  <c r="AD48"/>
  <c r="AD112"/>
  <c r="AE112"/>
  <c r="AF66"/>
  <c r="AF13"/>
  <c r="AF38"/>
  <c r="AF24"/>
  <c r="D127" i="67"/>
  <c r="AD127" i="79" l="1"/>
  <c r="AE128"/>
  <c r="AE127"/>
  <c r="AF127"/>
  <c r="AF128"/>
  <c r="AD128"/>
  <c r="X130" i="115"/>
  <c r="W130"/>
  <c r="V130"/>
  <c r="U130"/>
  <c r="X129"/>
  <c r="W129"/>
  <c r="V129"/>
  <c r="U129"/>
  <c r="X128"/>
  <c r="W128"/>
  <c r="V128"/>
  <c r="U128"/>
  <c r="X127"/>
  <c r="W127"/>
  <c r="V127"/>
  <c r="U127"/>
  <c r="X126"/>
  <c r="W126"/>
  <c r="V126"/>
  <c r="U126"/>
  <c r="M130"/>
  <c r="L130"/>
  <c r="K130"/>
  <c r="J130"/>
  <c r="M129"/>
  <c r="L129"/>
  <c r="K129"/>
  <c r="J129"/>
  <c r="M128"/>
  <c r="L128"/>
  <c r="K128"/>
  <c r="J128"/>
  <c r="M127"/>
  <c r="L127"/>
  <c r="K127"/>
  <c r="J127"/>
  <c r="M126"/>
  <c r="L126"/>
  <c r="K126"/>
  <c r="J126"/>
  <c r="X99"/>
  <c r="W99"/>
  <c r="U99"/>
  <c r="X98"/>
  <c r="W98"/>
  <c r="U98"/>
  <c r="X97"/>
  <c r="W97"/>
  <c r="U97"/>
  <c r="X124"/>
  <c r="W124"/>
  <c r="U124"/>
  <c r="X123"/>
  <c r="W123"/>
  <c r="U123"/>
  <c r="X96"/>
  <c r="W96"/>
  <c r="U96"/>
  <c r="X95"/>
  <c r="W95"/>
  <c r="U95"/>
  <c r="X94"/>
  <c r="W94"/>
  <c r="U94"/>
  <c r="X122"/>
  <c r="W122"/>
  <c r="U122"/>
  <c r="X93"/>
  <c r="W93"/>
  <c r="U93"/>
  <c r="X92"/>
  <c r="W92"/>
  <c r="U92"/>
  <c r="X91"/>
  <c r="W91"/>
  <c r="U91"/>
  <c r="X121"/>
  <c r="W121"/>
  <c r="U121"/>
  <c r="X90"/>
  <c r="W90"/>
  <c r="U90"/>
  <c r="X89"/>
  <c r="W89"/>
  <c r="U89"/>
  <c r="X88"/>
  <c r="W88"/>
  <c r="U88"/>
  <c r="X87"/>
  <c r="W87"/>
  <c r="U87"/>
  <c r="X86"/>
  <c r="W86"/>
  <c r="U86"/>
  <c r="X85"/>
  <c r="W85"/>
  <c r="U85"/>
  <c r="X84"/>
  <c r="W84"/>
  <c r="U84"/>
  <c r="X83"/>
  <c r="W83"/>
  <c r="U83"/>
  <c r="X82"/>
  <c r="W82"/>
  <c r="U82"/>
  <c r="X81"/>
  <c r="W81"/>
  <c r="U81"/>
  <c r="X120"/>
  <c r="W120"/>
  <c r="U120"/>
  <c r="X80"/>
  <c r="W80"/>
  <c r="U80"/>
  <c r="X119"/>
  <c r="W119"/>
  <c r="U119"/>
  <c r="X79"/>
  <c r="W79"/>
  <c r="U79"/>
  <c r="X118"/>
  <c r="W118"/>
  <c r="U118"/>
  <c r="X78"/>
  <c r="W78"/>
  <c r="U78"/>
  <c r="X77"/>
  <c r="W77"/>
  <c r="U77"/>
  <c r="X76"/>
  <c r="W76"/>
  <c r="U76"/>
  <c r="X75"/>
  <c r="W75"/>
  <c r="U75"/>
  <c r="X74"/>
  <c r="W74"/>
  <c r="U74"/>
  <c r="X117"/>
  <c r="W117"/>
  <c r="U117"/>
  <c r="X73"/>
  <c r="W73"/>
  <c r="U73"/>
  <c r="X116"/>
  <c r="W116"/>
  <c r="U116"/>
  <c r="X72"/>
  <c r="W72"/>
  <c r="U72"/>
  <c r="X71"/>
  <c r="W71"/>
  <c r="U71"/>
  <c r="X70"/>
  <c r="W70"/>
  <c r="U70"/>
  <c r="X69"/>
  <c r="W69"/>
  <c r="U69"/>
  <c r="X115"/>
  <c r="W115"/>
  <c r="U115"/>
  <c r="X68"/>
  <c r="W68"/>
  <c r="U68"/>
  <c r="X67"/>
  <c r="W67"/>
  <c r="U67"/>
  <c r="X114"/>
  <c r="W114"/>
  <c r="U114"/>
  <c r="X113"/>
  <c r="W113"/>
  <c r="U113"/>
  <c r="X66"/>
  <c r="W66"/>
  <c r="U66"/>
  <c r="X65"/>
  <c r="W65"/>
  <c r="U65"/>
  <c r="X64"/>
  <c r="W64"/>
  <c r="U64"/>
  <c r="X63"/>
  <c r="W63"/>
  <c r="U63"/>
  <c r="X62"/>
  <c r="W62"/>
  <c r="U62"/>
  <c r="X61"/>
  <c r="W61"/>
  <c r="U61"/>
  <c r="X112"/>
  <c r="W112"/>
  <c r="U112"/>
  <c r="X111"/>
  <c r="W111"/>
  <c r="U111"/>
  <c r="X60"/>
  <c r="W60"/>
  <c r="U60"/>
  <c r="X110"/>
  <c r="W110"/>
  <c r="U110"/>
  <c r="X59"/>
  <c r="W59"/>
  <c r="U59"/>
  <c r="X58"/>
  <c r="W58"/>
  <c r="U58"/>
  <c r="X57"/>
  <c r="W57"/>
  <c r="U57"/>
  <c r="X56"/>
  <c r="W56"/>
  <c r="U56"/>
  <c r="X55"/>
  <c r="W55"/>
  <c r="U55"/>
  <c r="X54"/>
  <c r="W54"/>
  <c r="U54"/>
  <c r="X53"/>
  <c r="W53"/>
  <c r="U53"/>
  <c r="X52"/>
  <c r="W52"/>
  <c r="U52"/>
  <c r="X51"/>
  <c r="W51"/>
  <c r="U51"/>
  <c r="X50"/>
  <c r="W50"/>
  <c r="U50"/>
  <c r="X109"/>
  <c r="W109"/>
  <c r="U109"/>
  <c r="X49"/>
  <c r="W49"/>
  <c r="U49"/>
  <c r="X48"/>
  <c r="W48"/>
  <c r="U48"/>
  <c r="X47"/>
  <c r="W47"/>
  <c r="U47"/>
  <c r="X46"/>
  <c r="W46"/>
  <c r="U46"/>
  <c r="X108"/>
  <c r="W108"/>
  <c r="U108"/>
  <c r="X45"/>
  <c r="W45"/>
  <c r="U45"/>
  <c r="X44"/>
  <c r="W44"/>
  <c r="U44"/>
  <c r="X43"/>
  <c r="W43"/>
  <c r="U43"/>
  <c r="X42"/>
  <c r="W42"/>
  <c r="U42"/>
  <c r="X41"/>
  <c r="W41"/>
  <c r="U41"/>
  <c r="X40"/>
  <c r="W40"/>
  <c r="U40"/>
  <c r="X39"/>
  <c r="W39"/>
  <c r="U39"/>
  <c r="X107"/>
  <c r="W107"/>
  <c r="U107"/>
  <c r="X106"/>
  <c r="W106"/>
  <c r="U106"/>
  <c r="X38"/>
  <c r="W38"/>
  <c r="U38"/>
  <c r="X37"/>
  <c r="W37"/>
  <c r="U37"/>
  <c r="X105"/>
  <c r="W105"/>
  <c r="U105"/>
  <c r="X36"/>
  <c r="W36"/>
  <c r="U36"/>
  <c r="X35"/>
  <c r="W35"/>
  <c r="U35"/>
  <c r="X34"/>
  <c r="W34"/>
  <c r="U34"/>
  <c r="X33"/>
  <c r="W33"/>
  <c r="U33"/>
  <c r="X32"/>
  <c r="W32"/>
  <c r="U32"/>
  <c r="X31"/>
  <c r="W31"/>
  <c r="U31"/>
  <c r="X30"/>
  <c r="W30"/>
  <c r="U30"/>
  <c r="X104"/>
  <c r="W104"/>
  <c r="U104"/>
  <c r="X29"/>
  <c r="W29"/>
  <c r="U29"/>
  <c r="X28"/>
  <c r="W28"/>
  <c r="U28"/>
  <c r="X27"/>
  <c r="W27"/>
  <c r="U27"/>
  <c r="X26"/>
  <c r="W26"/>
  <c r="U26"/>
  <c r="X25"/>
  <c r="W25"/>
  <c r="U25"/>
  <c r="X103"/>
  <c r="W103"/>
  <c r="U103"/>
  <c r="X102"/>
  <c r="W102"/>
  <c r="U102"/>
  <c r="X24"/>
  <c r="W24"/>
  <c r="U24"/>
  <c r="X23"/>
  <c r="W23"/>
  <c r="U23"/>
  <c r="X22"/>
  <c r="W22"/>
  <c r="U22"/>
  <c r="X21"/>
  <c r="W21"/>
  <c r="U21"/>
  <c r="X20"/>
  <c r="W20"/>
  <c r="U20"/>
  <c r="X19"/>
  <c r="W19"/>
  <c r="U19"/>
  <c r="X18"/>
  <c r="W18"/>
  <c r="U18"/>
  <c r="X17"/>
  <c r="W17"/>
  <c r="U17"/>
  <c r="X101"/>
  <c r="W101"/>
  <c r="U101"/>
  <c r="X16"/>
  <c r="W16"/>
  <c r="U16"/>
  <c r="X15"/>
  <c r="W15"/>
  <c r="U15"/>
  <c r="X14"/>
  <c r="W14"/>
  <c r="U14"/>
  <c r="X13"/>
  <c r="W13"/>
  <c r="U13"/>
  <c r="X12"/>
  <c r="W12"/>
  <c r="U12"/>
  <c r="X11"/>
  <c r="W11"/>
  <c r="U11"/>
  <c r="X10"/>
  <c r="W10"/>
  <c r="U10"/>
  <c r="X9"/>
  <c r="W9"/>
  <c r="U9"/>
  <c r="X8"/>
  <c r="W8"/>
  <c r="U8"/>
  <c r="X7"/>
  <c r="W7"/>
  <c r="U7"/>
  <c r="X100"/>
  <c r="W100"/>
  <c r="U100"/>
  <c r="X6"/>
  <c r="W6"/>
  <c r="U6"/>
  <c r="X5"/>
  <c r="W5"/>
  <c r="U5"/>
  <c r="X4"/>
  <c r="W4"/>
  <c r="U4"/>
  <c r="Q99"/>
  <c r="V99" s="1"/>
  <c r="Q98"/>
  <c r="V98" s="1"/>
  <c r="Q97"/>
  <c r="V97" s="1"/>
  <c r="Q124"/>
  <c r="V124" s="1"/>
  <c r="Q123"/>
  <c r="V123" s="1"/>
  <c r="Q96"/>
  <c r="V96" s="1"/>
  <c r="Q95"/>
  <c r="V95" s="1"/>
  <c r="Q94"/>
  <c r="V94" s="1"/>
  <c r="Q122"/>
  <c r="V122" s="1"/>
  <c r="Q93"/>
  <c r="V93" s="1"/>
  <c r="Q92"/>
  <c r="V92" s="1"/>
  <c r="Q91"/>
  <c r="V91" s="1"/>
  <c r="Q121"/>
  <c r="V121" s="1"/>
  <c r="Q90"/>
  <c r="V90" s="1"/>
  <c r="Q89"/>
  <c r="V89" s="1"/>
  <c r="Q88"/>
  <c r="V88" s="1"/>
  <c r="Q87"/>
  <c r="V87" s="1"/>
  <c r="Q86"/>
  <c r="V86" s="1"/>
  <c r="Q85"/>
  <c r="V85" s="1"/>
  <c r="Q84"/>
  <c r="V84" s="1"/>
  <c r="Q83"/>
  <c r="V83" s="1"/>
  <c r="Q82"/>
  <c r="V82" s="1"/>
  <c r="Q81"/>
  <c r="V81" s="1"/>
  <c r="Q120"/>
  <c r="V120" s="1"/>
  <c r="Q80"/>
  <c r="V80" s="1"/>
  <c r="Q119"/>
  <c r="V119" s="1"/>
  <c r="Q79"/>
  <c r="V79" s="1"/>
  <c r="Q118"/>
  <c r="V118" s="1"/>
  <c r="Q78"/>
  <c r="V78" s="1"/>
  <c r="Q77"/>
  <c r="V77" s="1"/>
  <c r="Q76"/>
  <c r="V76" s="1"/>
  <c r="Q75"/>
  <c r="V75" s="1"/>
  <c r="Q74"/>
  <c r="V74" s="1"/>
  <c r="Q117"/>
  <c r="V117" s="1"/>
  <c r="Q73"/>
  <c r="V73" s="1"/>
  <c r="Q116"/>
  <c r="V116" s="1"/>
  <c r="Q72"/>
  <c r="V72" s="1"/>
  <c r="Q71"/>
  <c r="V71" s="1"/>
  <c r="Q70"/>
  <c r="V70" s="1"/>
  <c r="Q69"/>
  <c r="V69" s="1"/>
  <c r="Q115"/>
  <c r="V115" s="1"/>
  <c r="Q68"/>
  <c r="V68" s="1"/>
  <c r="Q67"/>
  <c r="V67" s="1"/>
  <c r="Q114"/>
  <c r="V114" s="1"/>
  <c r="Q113"/>
  <c r="V113" s="1"/>
  <c r="Q66"/>
  <c r="V66" s="1"/>
  <c r="Q65"/>
  <c r="V65" s="1"/>
  <c r="Q64"/>
  <c r="V64" s="1"/>
  <c r="Q63"/>
  <c r="V63" s="1"/>
  <c r="Q62"/>
  <c r="V62" s="1"/>
  <c r="Q61"/>
  <c r="V61" s="1"/>
  <c r="Q112"/>
  <c r="V112" s="1"/>
  <c r="Q111"/>
  <c r="V111" s="1"/>
  <c r="Q60"/>
  <c r="V60" s="1"/>
  <c r="Q110"/>
  <c r="V110" s="1"/>
  <c r="Q59"/>
  <c r="V59" s="1"/>
  <c r="Q58"/>
  <c r="V58" s="1"/>
  <c r="Q57"/>
  <c r="V57" s="1"/>
  <c r="Q56"/>
  <c r="V56" s="1"/>
  <c r="Q55"/>
  <c r="V55" s="1"/>
  <c r="Q54"/>
  <c r="V54" s="1"/>
  <c r="Q53"/>
  <c r="V53" s="1"/>
  <c r="Q52"/>
  <c r="V52" s="1"/>
  <c r="Q51"/>
  <c r="V51" s="1"/>
  <c r="Q50"/>
  <c r="V50" s="1"/>
  <c r="Q109"/>
  <c r="V109" s="1"/>
  <c r="Q49"/>
  <c r="V49" s="1"/>
  <c r="Q48"/>
  <c r="V48" s="1"/>
  <c r="Q47"/>
  <c r="V47" s="1"/>
  <c r="Q46"/>
  <c r="V46" s="1"/>
  <c r="Q108"/>
  <c r="V108" s="1"/>
  <c r="Q45"/>
  <c r="V45" s="1"/>
  <c r="Q44"/>
  <c r="V44" s="1"/>
  <c r="Q43"/>
  <c r="V43" s="1"/>
  <c r="Q42"/>
  <c r="V42" s="1"/>
  <c r="Q41"/>
  <c r="V41" s="1"/>
  <c r="Q40"/>
  <c r="V40" s="1"/>
  <c r="Q39"/>
  <c r="V39" s="1"/>
  <c r="Q107"/>
  <c r="V107" s="1"/>
  <c r="Q106"/>
  <c r="V106" s="1"/>
  <c r="Q38"/>
  <c r="V38" s="1"/>
  <c r="Q37"/>
  <c r="V37" s="1"/>
  <c r="Q105"/>
  <c r="V105" s="1"/>
  <c r="Q36"/>
  <c r="V36" s="1"/>
  <c r="Q35"/>
  <c r="V35" s="1"/>
  <c r="Q34"/>
  <c r="V34" s="1"/>
  <c r="Q33"/>
  <c r="V33" s="1"/>
  <c r="Q32"/>
  <c r="V32" s="1"/>
  <c r="Q31"/>
  <c r="V31" s="1"/>
  <c r="Q30"/>
  <c r="V30" s="1"/>
  <c r="Q104"/>
  <c r="V104" s="1"/>
  <c r="Q29"/>
  <c r="V29" s="1"/>
  <c r="Q28"/>
  <c r="V28" s="1"/>
  <c r="Q27"/>
  <c r="V27" s="1"/>
  <c r="Q26"/>
  <c r="V26" s="1"/>
  <c r="Q25"/>
  <c r="V25" s="1"/>
  <c r="Q103"/>
  <c r="V103" s="1"/>
  <c r="Q102"/>
  <c r="V102" s="1"/>
  <c r="Q24"/>
  <c r="V24" s="1"/>
  <c r="Q23"/>
  <c r="V23" s="1"/>
  <c r="Q22"/>
  <c r="V22" s="1"/>
  <c r="Q21"/>
  <c r="V21" s="1"/>
  <c r="Q20"/>
  <c r="V20" s="1"/>
  <c r="Q19"/>
  <c r="V19" s="1"/>
  <c r="Q18"/>
  <c r="V18" s="1"/>
  <c r="Q17"/>
  <c r="V17" s="1"/>
  <c r="Q101"/>
  <c r="V101" s="1"/>
  <c r="Q16"/>
  <c r="V16" s="1"/>
  <c r="Q15"/>
  <c r="V15" s="1"/>
  <c r="Q14"/>
  <c r="V14" s="1"/>
  <c r="Q13"/>
  <c r="V13" s="1"/>
  <c r="Q12"/>
  <c r="V12" s="1"/>
  <c r="Q11"/>
  <c r="V11" s="1"/>
  <c r="Q10"/>
  <c r="V10" s="1"/>
  <c r="Q9"/>
  <c r="V9" s="1"/>
  <c r="Q8"/>
  <c r="V8" s="1"/>
  <c r="Q7"/>
  <c r="V7" s="1"/>
  <c r="Q100"/>
  <c r="V100" s="1"/>
  <c r="Q6"/>
  <c r="V6" s="1"/>
  <c r="Q5"/>
  <c r="V5" s="1"/>
  <c r="Q4"/>
  <c r="V4" s="1"/>
  <c r="M99"/>
  <c r="M98"/>
  <c r="M97"/>
  <c r="M124"/>
  <c r="M123"/>
  <c r="M96"/>
  <c r="M95"/>
  <c r="M94"/>
  <c r="M122"/>
  <c r="M93"/>
  <c r="M92"/>
  <c r="M91"/>
  <c r="M121"/>
  <c r="M90"/>
  <c r="M89"/>
  <c r="M88"/>
  <c r="M87"/>
  <c r="M86"/>
  <c r="M85"/>
  <c r="M84"/>
  <c r="M83"/>
  <c r="M82"/>
  <c r="M81"/>
  <c r="M120"/>
  <c r="M80"/>
  <c r="M119"/>
  <c r="M79"/>
  <c r="M118"/>
  <c r="M78"/>
  <c r="M77"/>
  <c r="M76"/>
  <c r="M75"/>
  <c r="M74"/>
  <c r="M117"/>
  <c r="M73"/>
  <c r="M116"/>
  <c r="M72"/>
  <c r="M71"/>
  <c r="M70"/>
  <c r="M69"/>
  <c r="M115"/>
  <c r="M68"/>
  <c r="M67"/>
  <c r="M114"/>
  <c r="M113"/>
  <c r="M66"/>
  <c r="M65"/>
  <c r="M64"/>
  <c r="M63"/>
  <c r="M62"/>
  <c r="M61"/>
  <c r="M112"/>
  <c r="M111"/>
  <c r="M60"/>
  <c r="M110"/>
  <c r="M59"/>
  <c r="M58"/>
  <c r="M57"/>
  <c r="M56"/>
  <c r="M55"/>
  <c r="M54"/>
  <c r="M53"/>
  <c r="M52"/>
  <c r="M51"/>
  <c r="M50"/>
  <c r="M109"/>
  <c r="M49"/>
  <c r="M48"/>
  <c r="M47"/>
  <c r="M46"/>
  <c r="M108"/>
  <c r="M45"/>
  <c r="M44"/>
  <c r="M43"/>
  <c r="M42"/>
  <c r="M41"/>
  <c r="M40"/>
  <c r="M39"/>
  <c r="M107"/>
  <c r="M106"/>
  <c r="M38"/>
  <c r="M37"/>
  <c r="M105"/>
  <c r="M36"/>
  <c r="M35"/>
  <c r="M34"/>
  <c r="M33"/>
  <c r="M32"/>
  <c r="M31"/>
  <c r="M30"/>
  <c r="M104"/>
  <c r="M29"/>
  <c r="M28"/>
  <c r="M27"/>
  <c r="M26"/>
  <c r="M25"/>
  <c r="M103"/>
  <c r="M102"/>
  <c r="M24"/>
  <c r="M23"/>
  <c r="M22"/>
  <c r="M21"/>
  <c r="M20"/>
  <c r="M19"/>
  <c r="M18"/>
  <c r="M17"/>
  <c r="M101"/>
  <c r="M16"/>
  <c r="M15"/>
  <c r="M14"/>
  <c r="M13"/>
  <c r="M12"/>
  <c r="M11"/>
  <c r="M10"/>
  <c r="M9"/>
  <c r="M8"/>
  <c r="M7"/>
  <c r="M100"/>
  <c r="M6"/>
  <c r="M5"/>
  <c r="M4"/>
  <c r="L99"/>
  <c r="L98"/>
  <c r="L97"/>
  <c r="L124"/>
  <c r="L123"/>
  <c r="L96"/>
  <c r="L95"/>
  <c r="L94"/>
  <c r="L122"/>
  <c r="L93"/>
  <c r="L92"/>
  <c r="L91"/>
  <c r="L121"/>
  <c r="L90"/>
  <c r="L89"/>
  <c r="L88"/>
  <c r="L87"/>
  <c r="L86"/>
  <c r="L85"/>
  <c r="L84"/>
  <c r="L83"/>
  <c r="L82"/>
  <c r="L81"/>
  <c r="L120"/>
  <c r="L80"/>
  <c r="L119"/>
  <c r="L79"/>
  <c r="L118"/>
  <c r="L78"/>
  <c r="L77"/>
  <c r="L76"/>
  <c r="L75"/>
  <c r="L74"/>
  <c r="L117"/>
  <c r="L73"/>
  <c r="L116"/>
  <c r="L72"/>
  <c r="L71"/>
  <c r="L70"/>
  <c r="L69"/>
  <c r="L115"/>
  <c r="L68"/>
  <c r="L67"/>
  <c r="L114"/>
  <c r="L113"/>
  <c r="L66"/>
  <c r="L65"/>
  <c r="L64"/>
  <c r="L63"/>
  <c r="L62"/>
  <c r="L61"/>
  <c r="L112"/>
  <c r="L111"/>
  <c r="L60"/>
  <c r="L110"/>
  <c r="L59"/>
  <c r="L58"/>
  <c r="L57"/>
  <c r="L56"/>
  <c r="L55"/>
  <c r="L54"/>
  <c r="L53"/>
  <c r="L52"/>
  <c r="L51"/>
  <c r="L50"/>
  <c r="L109"/>
  <c r="L49"/>
  <c r="L48"/>
  <c r="L47"/>
  <c r="L46"/>
  <c r="L108"/>
  <c r="L45"/>
  <c r="L44"/>
  <c r="L43"/>
  <c r="L42"/>
  <c r="L41"/>
  <c r="L40"/>
  <c r="L39"/>
  <c r="L107"/>
  <c r="L106"/>
  <c r="L38"/>
  <c r="L37"/>
  <c r="L105"/>
  <c r="L36"/>
  <c r="L35"/>
  <c r="L34"/>
  <c r="L33"/>
  <c r="L32"/>
  <c r="L31"/>
  <c r="L30"/>
  <c r="L104"/>
  <c r="L29"/>
  <c r="L28"/>
  <c r="L27"/>
  <c r="L26"/>
  <c r="L25"/>
  <c r="L103"/>
  <c r="L102"/>
  <c r="L24"/>
  <c r="L23"/>
  <c r="L22"/>
  <c r="L21"/>
  <c r="L20"/>
  <c r="L19"/>
  <c r="L18"/>
  <c r="L17"/>
  <c r="L101"/>
  <c r="L16"/>
  <c r="L15"/>
  <c r="L14"/>
  <c r="L13"/>
  <c r="L12"/>
  <c r="L11"/>
  <c r="L10"/>
  <c r="L9"/>
  <c r="L8"/>
  <c r="L7"/>
  <c r="L100"/>
  <c r="L6"/>
  <c r="L5"/>
  <c r="L4"/>
  <c r="J99"/>
  <c r="J98"/>
  <c r="J97"/>
  <c r="J124"/>
  <c r="J123"/>
  <c r="J96"/>
  <c r="J95"/>
  <c r="J94"/>
  <c r="J122"/>
  <c r="J93"/>
  <c r="J92"/>
  <c r="J91"/>
  <c r="J121"/>
  <c r="J90"/>
  <c r="J89"/>
  <c r="J88"/>
  <c r="J87"/>
  <c r="J86"/>
  <c r="J85"/>
  <c r="J84"/>
  <c r="J83"/>
  <c r="J82"/>
  <c r="J81"/>
  <c r="J120"/>
  <c r="J80"/>
  <c r="J119"/>
  <c r="J79"/>
  <c r="J118"/>
  <c r="J78"/>
  <c r="J77"/>
  <c r="J76"/>
  <c r="J75"/>
  <c r="J74"/>
  <c r="J117"/>
  <c r="J73"/>
  <c r="J116"/>
  <c r="J72"/>
  <c r="J71"/>
  <c r="J70"/>
  <c r="J69"/>
  <c r="J115"/>
  <c r="J68"/>
  <c r="J67"/>
  <c r="J114"/>
  <c r="J113"/>
  <c r="J66"/>
  <c r="J65"/>
  <c r="J64"/>
  <c r="J63"/>
  <c r="J62"/>
  <c r="J61"/>
  <c r="J112"/>
  <c r="J111"/>
  <c r="J60"/>
  <c r="J110"/>
  <c r="J59"/>
  <c r="J58"/>
  <c r="J57"/>
  <c r="J56"/>
  <c r="J55"/>
  <c r="J54"/>
  <c r="J53"/>
  <c r="J52"/>
  <c r="J51"/>
  <c r="J50"/>
  <c r="J109"/>
  <c r="J49"/>
  <c r="J48"/>
  <c r="J47"/>
  <c r="J46"/>
  <c r="J108"/>
  <c r="J45"/>
  <c r="J44"/>
  <c r="J43"/>
  <c r="J42"/>
  <c r="J41"/>
  <c r="J40"/>
  <c r="J39"/>
  <c r="J107"/>
  <c r="J106"/>
  <c r="J38"/>
  <c r="J37"/>
  <c r="J105"/>
  <c r="J36"/>
  <c r="J35"/>
  <c r="J34"/>
  <c r="J33"/>
  <c r="J32"/>
  <c r="J31"/>
  <c r="J30"/>
  <c r="J104"/>
  <c r="J29"/>
  <c r="J28"/>
  <c r="J27"/>
  <c r="J26"/>
  <c r="J25"/>
  <c r="J103"/>
  <c r="J102"/>
  <c r="J24"/>
  <c r="J23"/>
  <c r="J22"/>
  <c r="J21"/>
  <c r="J20"/>
  <c r="J19"/>
  <c r="J18"/>
  <c r="J17"/>
  <c r="J101"/>
  <c r="J16"/>
  <c r="J15"/>
  <c r="J14"/>
  <c r="J13"/>
  <c r="J12"/>
  <c r="J11"/>
  <c r="J10"/>
  <c r="J9"/>
  <c r="J8"/>
  <c r="J7"/>
  <c r="J100"/>
  <c r="J6"/>
  <c r="J5"/>
  <c r="J4"/>
  <c r="F99"/>
  <c r="K99" s="1"/>
  <c r="F98"/>
  <c r="K98" s="1"/>
  <c r="F97"/>
  <c r="K97" s="1"/>
  <c r="F124"/>
  <c r="K124" s="1"/>
  <c r="F123"/>
  <c r="K123" s="1"/>
  <c r="F96"/>
  <c r="K96" s="1"/>
  <c r="F95"/>
  <c r="K95" s="1"/>
  <c r="F94"/>
  <c r="K94" s="1"/>
  <c r="F122"/>
  <c r="K122" s="1"/>
  <c r="F93"/>
  <c r="K93" s="1"/>
  <c r="F92"/>
  <c r="K92" s="1"/>
  <c r="F91"/>
  <c r="K91" s="1"/>
  <c r="F121"/>
  <c r="K121" s="1"/>
  <c r="F90"/>
  <c r="K90" s="1"/>
  <c r="F89"/>
  <c r="K89" s="1"/>
  <c r="F88"/>
  <c r="K88" s="1"/>
  <c r="F87"/>
  <c r="K87" s="1"/>
  <c r="F86"/>
  <c r="K86" s="1"/>
  <c r="F85"/>
  <c r="K85" s="1"/>
  <c r="F84"/>
  <c r="K84" s="1"/>
  <c r="F83"/>
  <c r="K83" s="1"/>
  <c r="F82"/>
  <c r="K82" s="1"/>
  <c r="F81"/>
  <c r="K81" s="1"/>
  <c r="F120"/>
  <c r="K120" s="1"/>
  <c r="F80"/>
  <c r="K80" s="1"/>
  <c r="F119"/>
  <c r="K119" s="1"/>
  <c r="F79"/>
  <c r="K79" s="1"/>
  <c r="F118"/>
  <c r="K118" s="1"/>
  <c r="F78"/>
  <c r="K78" s="1"/>
  <c r="F77"/>
  <c r="K77" s="1"/>
  <c r="F76"/>
  <c r="K76" s="1"/>
  <c r="F75"/>
  <c r="K75" s="1"/>
  <c r="F74"/>
  <c r="K74" s="1"/>
  <c r="F117"/>
  <c r="K117" s="1"/>
  <c r="F73"/>
  <c r="K73" s="1"/>
  <c r="F116"/>
  <c r="K116" s="1"/>
  <c r="F72"/>
  <c r="K72" s="1"/>
  <c r="F71"/>
  <c r="K71" s="1"/>
  <c r="F70"/>
  <c r="K70" s="1"/>
  <c r="F69"/>
  <c r="K69" s="1"/>
  <c r="F115"/>
  <c r="K115" s="1"/>
  <c r="F68"/>
  <c r="K68" s="1"/>
  <c r="F67"/>
  <c r="K67" s="1"/>
  <c r="F114"/>
  <c r="K114" s="1"/>
  <c r="F113"/>
  <c r="K113" s="1"/>
  <c r="F66"/>
  <c r="K66" s="1"/>
  <c r="F65"/>
  <c r="K65" s="1"/>
  <c r="F64"/>
  <c r="K64" s="1"/>
  <c r="F63"/>
  <c r="K63" s="1"/>
  <c r="F62"/>
  <c r="K62" s="1"/>
  <c r="F61"/>
  <c r="K61" s="1"/>
  <c r="F112"/>
  <c r="K112" s="1"/>
  <c r="F111"/>
  <c r="K111" s="1"/>
  <c r="F60"/>
  <c r="K60" s="1"/>
  <c r="F110"/>
  <c r="K110" s="1"/>
  <c r="F59"/>
  <c r="K59" s="1"/>
  <c r="F58"/>
  <c r="K58" s="1"/>
  <c r="F57"/>
  <c r="K57" s="1"/>
  <c r="F56"/>
  <c r="K56" s="1"/>
  <c r="F55"/>
  <c r="K55" s="1"/>
  <c r="F54"/>
  <c r="K54" s="1"/>
  <c r="F53"/>
  <c r="K53" s="1"/>
  <c r="F52"/>
  <c r="K52" s="1"/>
  <c r="F51"/>
  <c r="K51" s="1"/>
  <c r="F50"/>
  <c r="K50" s="1"/>
  <c r="F109"/>
  <c r="K109" s="1"/>
  <c r="F49"/>
  <c r="K49" s="1"/>
  <c r="F48"/>
  <c r="K48" s="1"/>
  <c r="F47"/>
  <c r="K47" s="1"/>
  <c r="F46"/>
  <c r="K46" s="1"/>
  <c r="F108"/>
  <c r="K108" s="1"/>
  <c r="F45"/>
  <c r="K45" s="1"/>
  <c r="F44"/>
  <c r="K44" s="1"/>
  <c r="F43"/>
  <c r="K43" s="1"/>
  <c r="F42"/>
  <c r="K42" s="1"/>
  <c r="F41"/>
  <c r="K41" s="1"/>
  <c r="F40"/>
  <c r="K40" s="1"/>
  <c r="F39"/>
  <c r="K39" s="1"/>
  <c r="F107"/>
  <c r="K107" s="1"/>
  <c r="F106"/>
  <c r="K106" s="1"/>
  <c r="F38"/>
  <c r="K38" s="1"/>
  <c r="F37"/>
  <c r="K37" s="1"/>
  <c r="F105"/>
  <c r="K105" s="1"/>
  <c r="F36"/>
  <c r="K36" s="1"/>
  <c r="F35"/>
  <c r="K35" s="1"/>
  <c r="F34"/>
  <c r="K34" s="1"/>
  <c r="F33"/>
  <c r="K33" s="1"/>
  <c r="F32"/>
  <c r="K32" s="1"/>
  <c r="F31"/>
  <c r="K31" s="1"/>
  <c r="F30"/>
  <c r="K30" s="1"/>
  <c r="F104"/>
  <c r="K104" s="1"/>
  <c r="F29"/>
  <c r="K29" s="1"/>
  <c r="F28"/>
  <c r="K28" s="1"/>
  <c r="F27"/>
  <c r="K27" s="1"/>
  <c r="F26"/>
  <c r="K26" s="1"/>
  <c r="F25"/>
  <c r="K25" s="1"/>
  <c r="F103"/>
  <c r="K103" s="1"/>
  <c r="F102"/>
  <c r="K102" s="1"/>
  <c r="F24"/>
  <c r="K24" s="1"/>
  <c r="F23"/>
  <c r="K23" s="1"/>
  <c r="F22"/>
  <c r="K22" s="1"/>
  <c r="F21"/>
  <c r="K21" s="1"/>
  <c r="F20"/>
  <c r="K20" s="1"/>
  <c r="F19"/>
  <c r="K19" s="1"/>
  <c r="F18"/>
  <c r="K18" s="1"/>
  <c r="F17"/>
  <c r="K17" s="1"/>
  <c r="F101"/>
  <c r="K101" s="1"/>
  <c r="F16"/>
  <c r="K16" s="1"/>
  <c r="F15"/>
  <c r="K15" s="1"/>
  <c r="F14"/>
  <c r="K14" s="1"/>
  <c r="F13"/>
  <c r="K13" s="1"/>
  <c r="F12"/>
  <c r="K12" s="1"/>
  <c r="F11"/>
  <c r="K11" s="1"/>
  <c r="F10"/>
  <c r="K10" s="1"/>
  <c r="F9"/>
  <c r="K9" s="1"/>
  <c r="F8"/>
  <c r="K8" s="1"/>
  <c r="F7"/>
  <c r="K7" s="1"/>
  <c r="F100"/>
  <c r="K100" s="1"/>
  <c r="F6"/>
  <c r="K6" s="1"/>
  <c r="F5"/>
  <c r="K5" s="1"/>
  <c r="F4"/>
  <c r="K4" s="1"/>
  <c r="G58" i="1" l="1"/>
  <c r="O131" i="114"/>
  <c r="N131"/>
  <c r="M131"/>
  <c r="L131"/>
  <c r="O130"/>
  <c r="N130"/>
  <c r="M130"/>
  <c r="L130"/>
  <c r="O129"/>
  <c r="N129"/>
  <c r="M129"/>
  <c r="L129"/>
  <c r="O128"/>
  <c r="N128"/>
  <c r="M128"/>
  <c r="L128"/>
  <c r="O127"/>
  <c r="N127"/>
  <c r="M127"/>
  <c r="L127"/>
  <c r="O100"/>
  <c r="N100"/>
  <c r="M100"/>
  <c r="L100"/>
  <c r="O99"/>
  <c r="N99"/>
  <c r="M99"/>
  <c r="L99"/>
  <c r="O98"/>
  <c r="N98"/>
  <c r="M98"/>
  <c r="L98"/>
  <c r="O125"/>
  <c r="N125"/>
  <c r="M125"/>
  <c r="L125"/>
  <c r="O124"/>
  <c r="N124"/>
  <c r="M124"/>
  <c r="L124"/>
  <c r="O97"/>
  <c r="N97"/>
  <c r="M97"/>
  <c r="L97"/>
  <c r="O96"/>
  <c r="N96"/>
  <c r="M96"/>
  <c r="L96"/>
  <c r="O95"/>
  <c r="N95"/>
  <c r="M95"/>
  <c r="L95"/>
  <c r="O123"/>
  <c r="N123"/>
  <c r="M123"/>
  <c r="L123"/>
  <c r="O94"/>
  <c r="N94"/>
  <c r="M94"/>
  <c r="L94"/>
  <c r="O93"/>
  <c r="N93"/>
  <c r="M93"/>
  <c r="L93"/>
  <c r="O92"/>
  <c r="N92"/>
  <c r="M92"/>
  <c r="L92"/>
  <c r="O122"/>
  <c r="N122"/>
  <c r="M122"/>
  <c r="L122"/>
  <c r="O91"/>
  <c r="N91"/>
  <c r="M91"/>
  <c r="L91"/>
  <c r="O90"/>
  <c r="N90"/>
  <c r="M90"/>
  <c r="L90"/>
  <c r="O89"/>
  <c r="N89"/>
  <c r="M89"/>
  <c r="L89"/>
  <c r="O88"/>
  <c r="N88"/>
  <c r="M88"/>
  <c r="L88"/>
  <c r="O87"/>
  <c r="N87"/>
  <c r="M87"/>
  <c r="L87"/>
  <c r="O86"/>
  <c r="N86"/>
  <c r="M86"/>
  <c r="L86"/>
  <c r="O85"/>
  <c r="N85"/>
  <c r="M85"/>
  <c r="L85"/>
  <c r="O84"/>
  <c r="N84"/>
  <c r="M84"/>
  <c r="L84"/>
  <c r="O83"/>
  <c r="N83"/>
  <c r="M83"/>
  <c r="L83"/>
  <c r="O82"/>
  <c r="N82"/>
  <c r="M82"/>
  <c r="L82"/>
  <c r="O121"/>
  <c r="N121"/>
  <c r="M121"/>
  <c r="L121"/>
  <c r="O81"/>
  <c r="N81"/>
  <c r="M81"/>
  <c r="L81"/>
  <c r="O120"/>
  <c r="N120"/>
  <c r="M120"/>
  <c r="L120"/>
  <c r="O80"/>
  <c r="N80"/>
  <c r="M80"/>
  <c r="L80"/>
  <c r="O119"/>
  <c r="N119"/>
  <c r="M119"/>
  <c r="L119"/>
  <c r="O79"/>
  <c r="N79"/>
  <c r="M79"/>
  <c r="L79"/>
  <c r="O78"/>
  <c r="N78"/>
  <c r="M78"/>
  <c r="L78"/>
  <c r="O77"/>
  <c r="N77"/>
  <c r="M77"/>
  <c r="L77"/>
  <c r="O76"/>
  <c r="N76"/>
  <c r="M76"/>
  <c r="L76"/>
  <c r="O75"/>
  <c r="N75"/>
  <c r="M75"/>
  <c r="L75"/>
  <c r="O118"/>
  <c r="N118"/>
  <c r="M118"/>
  <c r="L118"/>
  <c r="O74"/>
  <c r="N74"/>
  <c r="M74"/>
  <c r="L74"/>
  <c r="O117"/>
  <c r="N117"/>
  <c r="M117"/>
  <c r="L117"/>
  <c r="O73"/>
  <c r="N73"/>
  <c r="M73"/>
  <c r="L73"/>
  <c r="O72"/>
  <c r="N72"/>
  <c r="M72"/>
  <c r="L72"/>
  <c r="O71"/>
  <c r="N71"/>
  <c r="M71"/>
  <c r="L71"/>
  <c r="O70"/>
  <c r="N70"/>
  <c r="M70"/>
  <c r="L70"/>
  <c r="O116"/>
  <c r="N116"/>
  <c r="M116"/>
  <c r="L116"/>
  <c r="O69"/>
  <c r="N69"/>
  <c r="M69"/>
  <c r="L69"/>
  <c r="O68"/>
  <c r="N68"/>
  <c r="M68"/>
  <c r="L68"/>
  <c r="O115"/>
  <c r="N115"/>
  <c r="M115"/>
  <c r="L115"/>
  <c r="O114"/>
  <c r="N114"/>
  <c r="M114"/>
  <c r="L114"/>
  <c r="O67"/>
  <c r="N67"/>
  <c r="M67"/>
  <c r="L67"/>
  <c r="O66"/>
  <c r="N66"/>
  <c r="M66"/>
  <c r="L66"/>
  <c r="O65"/>
  <c r="N65"/>
  <c r="M65"/>
  <c r="L65"/>
  <c r="O64"/>
  <c r="N64"/>
  <c r="M64"/>
  <c r="L64"/>
  <c r="O63"/>
  <c r="N63"/>
  <c r="M63"/>
  <c r="L63"/>
  <c r="O62"/>
  <c r="N62"/>
  <c r="M62"/>
  <c r="L62"/>
  <c r="O113"/>
  <c r="N113"/>
  <c r="M113"/>
  <c r="L113"/>
  <c r="O112"/>
  <c r="N112"/>
  <c r="M112"/>
  <c r="L112"/>
  <c r="O61"/>
  <c r="N61"/>
  <c r="M61"/>
  <c r="L61"/>
  <c r="O111"/>
  <c r="N111"/>
  <c r="M111"/>
  <c r="L111"/>
  <c r="O60"/>
  <c r="N60"/>
  <c r="M60"/>
  <c r="L60"/>
  <c r="O59"/>
  <c r="N59"/>
  <c r="M59"/>
  <c r="L59"/>
  <c r="O58"/>
  <c r="N58"/>
  <c r="M58"/>
  <c r="L58"/>
  <c r="O57"/>
  <c r="N57"/>
  <c r="M57"/>
  <c r="L57"/>
  <c r="O56"/>
  <c r="N56"/>
  <c r="M56"/>
  <c r="L56"/>
  <c r="O55"/>
  <c r="N55"/>
  <c r="M55"/>
  <c r="L55"/>
  <c r="O54"/>
  <c r="N54"/>
  <c r="M54"/>
  <c r="L54"/>
  <c r="O53"/>
  <c r="N53"/>
  <c r="M53"/>
  <c r="L53"/>
  <c r="O52"/>
  <c r="N52"/>
  <c r="M52"/>
  <c r="L52"/>
  <c r="O51"/>
  <c r="N51"/>
  <c r="M51"/>
  <c r="L51"/>
  <c r="O110"/>
  <c r="N110"/>
  <c r="M110"/>
  <c r="L110"/>
  <c r="O50"/>
  <c r="N50"/>
  <c r="M50"/>
  <c r="L50"/>
  <c r="O49"/>
  <c r="N49"/>
  <c r="M49"/>
  <c r="L49"/>
  <c r="O48"/>
  <c r="N48"/>
  <c r="M48"/>
  <c r="L48"/>
  <c r="O47"/>
  <c r="N47"/>
  <c r="M47"/>
  <c r="L47"/>
  <c r="O109"/>
  <c r="N109"/>
  <c r="M109"/>
  <c r="L109"/>
  <c r="O46"/>
  <c r="N46"/>
  <c r="M46"/>
  <c r="L46"/>
  <c r="O45"/>
  <c r="N45"/>
  <c r="M45"/>
  <c r="L45"/>
  <c r="O44"/>
  <c r="N44"/>
  <c r="M44"/>
  <c r="L44"/>
  <c r="O43"/>
  <c r="N43"/>
  <c r="M43"/>
  <c r="L43"/>
  <c r="O42"/>
  <c r="N42"/>
  <c r="M42"/>
  <c r="L42"/>
  <c r="O41"/>
  <c r="N41"/>
  <c r="M41"/>
  <c r="L41"/>
  <c r="O40"/>
  <c r="N40"/>
  <c r="M40"/>
  <c r="L40"/>
  <c r="O108"/>
  <c r="N108"/>
  <c r="M108"/>
  <c r="L108"/>
  <c r="O107"/>
  <c r="N107"/>
  <c r="M107"/>
  <c r="L107"/>
  <c r="O39"/>
  <c r="N39"/>
  <c r="M39"/>
  <c r="L39"/>
  <c r="O38"/>
  <c r="N38"/>
  <c r="M38"/>
  <c r="L38"/>
  <c r="O106"/>
  <c r="N106"/>
  <c r="M106"/>
  <c r="L106"/>
  <c r="O37"/>
  <c r="N37"/>
  <c r="M37"/>
  <c r="L37"/>
  <c r="O36"/>
  <c r="N36"/>
  <c r="M36"/>
  <c r="L36"/>
  <c r="O35"/>
  <c r="N35"/>
  <c r="M35"/>
  <c r="L35"/>
  <c r="O34"/>
  <c r="N34"/>
  <c r="M34"/>
  <c r="L34"/>
  <c r="O33"/>
  <c r="N33"/>
  <c r="M33"/>
  <c r="L33"/>
  <c r="O32"/>
  <c r="N32"/>
  <c r="M32"/>
  <c r="L32"/>
  <c r="O31"/>
  <c r="N31"/>
  <c r="M31"/>
  <c r="L31"/>
  <c r="O105"/>
  <c r="N105"/>
  <c r="M105"/>
  <c r="L105"/>
  <c r="O30"/>
  <c r="N30"/>
  <c r="M30"/>
  <c r="L30"/>
  <c r="O29"/>
  <c r="N29"/>
  <c r="M29"/>
  <c r="L29"/>
  <c r="O28"/>
  <c r="N28"/>
  <c r="M28"/>
  <c r="L28"/>
  <c r="O27"/>
  <c r="N27"/>
  <c r="M27"/>
  <c r="L27"/>
  <c r="O26"/>
  <c r="N26"/>
  <c r="M26"/>
  <c r="L26"/>
  <c r="O104"/>
  <c r="N104"/>
  <c r="M104"/>
  <c r="L104"/>
  <c r="O103"/>
  <c r="N103"/>
  <c r="M103"/>
  <c r="L103"/>
  <c r="O25"/>
  <c r="N25"/>
  <c r="M25"/>
  <c r="L25"/>
  <c r="O24"/>
  <c r="N24"/>
  <c r="M24"/>
  <c r="L24"/>
  <c r="O23"/>
  <c r="N23"/>
  <c r="M23"/>
  <c r="L23"/>
  <c r="O22"/>
  <c r="N22"/>
  <c r="M22"/>
  <c r="L22"/>
  <c r="O21"/>
  <c r="N21"/>
  <c r="M21"/>
  <c r="L21"/>
  <c r="O20"/>
  <c r="N20"/>
  <c r="M20"/>
  <c r="L20"/>
  <c r="O19"/>
  <c r="N19"/>
  <c r="M19"/>
  <c r="L19"/>
  <c r="O18"/>
  <c r="N18"/>
  <c r="M18"/>
  <c r="L18"/>
  <c r="O102"/>
  <c r="N102"/>
  <c r="M102"/>
  <c r="L102"/>
  <c r="O17"/>
  <c r="N17"/>
  <c r="M17"/>
  <c r="L17"/>
  <c r="O16"/>
  <c r="N16"/>
  <c r="M16"/>
  <c r="L16"/>
  <c r="O15"/>
  <c r="N15"/>
  <c r="M15"/>
  <c r="L15"/>
  <c r="O14"/>
  <c r="N14"/>
  <c r="M14"/>
  <c r="L14"/>
  <c r="O13"/>
  <c r="N13"/>
  <c r="M13"/>
  <c r="L13"/>
  <c r="O12"/>
  <c r="N12"/>
  <c r="M12"/>
  <c r="L12"/>
  <c r="O11"/>
  <c r="N11"/>
  <c r="M11"/>
  <c r="L11"/>
  <c r="O10"/>
  <c r="N10"/>
  <c r="M10"/>
  <c r="L10"/>
  <c r="O9"/>
  <c r="N9"/>
  <c r="M9"/>
  <c r="L9"/>
  <c r="O8"/>
  <c r="N8"/>
  <c r="M8"/>
  <c r="L8"/>
  <c r="O101"/>
  <c r="N101"/>
  <c r="M101"/>
  <c r="L101"/>
  <c r="O7"/>
  <c r="N7"/>
  <c r="M7"/>
  <c r="L7"/>
  <c r="O6"/>
  <c r="N6"/>
  <c r="M6"/>
  <c r="L6"/>
  <c r="O5"/>
  <c r="J63" i="1" s="1"/>
  <c r="N5" i="114"/>
  <c r="J62" i="1" s="1"/>
  <c r="M5" i="114"/>
  <c r="J61" i="1" s="1"/>
  <c r="L5" i="114"/>
  <c r="J60" i="1" s="1"/>
  <c r="B20" i="108" l="1"/>
  <c r="AV131" i="113"/>
  <c r="AU131"/>
  <c r="AT131"/>
  <c r="AS131"/>
  <c r="AR131"/>
  <c r="AQ131"/>
  <c r="AP131"/>
  <c r="AO131"/>
  <c r="AN131"/>
  <c r="AM131"/>
  <c r="AL131"/>
  <c r="AK131"/>
  <c r="AJ131"/>
  <c r="AI131"/>
  <c r="AH131"/>
  <c r="AV130"/>
  <c r="AU130"/>
  <c r="AT130"/>
  <c r="AS130"/>
  <c r="AR130"/>
  <c r="AQ130"/>
  <c r="AP130"/>
  <c r="AO130"/>
  <c r="AN130"/>
  <c r="AM130"/>
  <c r="AL130"/>
  <c r="AK130"/>
  <c r="AJ130"/>
  <c r="AI130"/>
  <c r="AH130"/>
  <c r="AV129"/>
  <c r="AU129"/>
  <c r="AT129"/>
  <c r="AS129"/>
  <c r="AR129"/>
  <c r="AQ129"/>
  <c r="AP129"/>
  <c r="AO129"/>
  <c r="AN129"/>
  <c r="AM129"/>
  <c r="AL129"/>
  <c r="AK129"/>
  <c r="AJ129"/>
  <c r="AI129"/>
  <c r="AH129"/>
  <c r="AV128"/>
  <c r="AU128"/>
  <c r="AT128"/>
  <c r="AS128"/>
  <c r="AR128"/>
  <c r="AQ128"/>
  <c r="AP128"/>
  <c r="AO128"/>
  <c r="AN128"/>
  <c r="AM128"/>
  <c r="AL128"/>
  <c r="AK128"/>
  <c r="AJ128"/>
  <c r="AI128"/>
  <c r="AH128"/>
  <c r="AV127"/>
  <c r="AU127"/>
  <c r="AT127"/>
  <c r="AS127"/>
  <c r="AR127"/>
  <c r="AQ127"/>
  <c r="AP127"/>
  <c r="AO127"/>
  <c r="AN127"/>
  <c r="AM127"/>
  <c r="AL127"/>
  <c r="AK127"/>
  <c r="AJ127"/>
  <c r="AI127"/>
  <c r="AH127"/>
  <c r="AV100"/>
  <c r="AU100"/>
  <c r="AT100"/>
  <c r="AS100"/>
  <c r="AR100"/>
  <c r="AQ100"/>
  <c r="AP100"/>
  <c r="AO100"/>
  <c r="AN100"/>
  <c r="AM100"/>
  <c r="AL100"/>
  <c r="AK100"/>
  <c r="AJ100"/>
  <c r="AI100"/>
  <c r="AH100"/>
  <c r="AV99"/>
  <c r="AU99"/>
  <c r="AT99"/>
  <c r="AS99"/>
  <c r="AR99"/>
  <c r="AQ99"/>
  <c r="AP99"/>
  <c r="AO99"/>
  <c r="AN99"/>
  <c r="AM99"/>
  <c r="AL99"/>
  <c r="AK99"/>
  <c r="AJ99"/>
  <c r="AI99"/>
  <c r="AH99"/>
  <c r="AV98"/>
  <c r="AU98"/>
  <c r="AT98"/>
  <c r="AS98"/>
  <c r="AR98"/>
  <c r="AQ98"/>
  <c r="AP98"/>
  <c r="AO98"/>
  <c r="AN98"/>
  <c r="AM98"/>
  <c r="AL98"/>
  <c r="AK98"/>
  <c r="AJ98"/>
  <c r="AI98"/>
  <c r="AH98"/>
  <c r="AV125"/>
  <c r="AU125"/>
  <c r="AT125"/>
  <c r="AS125"/>
  <c r="AR125"/>
  <c r="AQ125"/>
  <c r="AP125"/>
  <c r="AO125"/>
  <c r="AN125"/>
  <c r="AM125"/>
  <c r="AL125"/>
  <c r="AK125"/>
  <c r="AJ125"/>
  <c r="AI125"/>
  <c r="AH125"/>
  <c r="AV124"/>
  <c r="AU124"/>
  <c r="AT124"/>
  <c r="AS124"/>
  <c r="AR124"/>
  <c r="AQ124"/>
  <c r="AP124"/>
  <c r="AO124"/>
  <c r="AN124"/>
  <c r="AM124"/>
  <c r="AL124"/>
  <c r="AK124"/>
  <c r="AJ124"/>
  <c r="AI124"/>
  <c r="AH124"/>
  <c r="AV97"/>
  <c r="AU97"/>
  <c r="AT97"/>
  <c r="AS97"/>
  <c r="AR97"/>
  <c r="AQ97"/>
  <c r="AP97"/>
  <c r="AO97"/>
  <c r="AN97"/>
  <c r="AM97"/>
  <c r="AL97"/>
  <c r="AK97"/>
  <c r="AJ97"/>
  <c r="AI97"/>
  <c r="AH97"/>
  <c r="AV96"/>
  <c r="AU96"/>
  <c r="AT96"/>
  <c r="AS96"/>
  <c r="AR96"/>
  <c r="AQ96"/>
  <c r="AP96"/>
  <c r="AO96"/>
  <c r="AN96"/>
  <c r="AM96"/>
  <c r="AL96"/>
  <c r="AK96"/>
  <c r="AJ96"/>
  <c r="AI96"/>
  <c r="AH96"/>
  <c r="AV95"/>
  <c r="AU95"/>
  <c r="AT95"/>
  <c r="AS95"/>
  <c r="AR95"/>
  <c r="AQ95"/>
  <c r="AP95"/>
  <c r="AO95"/>
  <c r="AN95"/>
  <c r="AM95"/>
  <c r="AL95"/>
  <c r="AK95"/>
  <c r="AJ95"/>
  <c r="AI95"/>
  <c r="AH95"/>
  <c r="AV123"/>
  <c r="AU123"/>
  <c r="AT123"/>
  <c r="AS123"/>
  <c r="AR123"/>
  <c r="AQ123"/>
  <c r="AP123"/>
  <c r="AO123"/>
  <c r="AN123"/>
  <c r="AM123"/>
  <c r="AL123"/>
  <c r="AK123"/>
  <c r="AJ123"/>
  <c r="AI123"/>
  <c r="AH123"/>
  <c r="AV94"/>
  <c r="AU94"/>
  <c r="AT94"/>
  <c r="AS94"/>
  <c r="AR94"/>
  <c r="AQ94"/>
  <c r="AP94"/>
  <c r="AO94"/>
  <c r="AN94"/>
  <c r="AM94"/>
  <c r="AL94"/>
  <c r="AK94"/>
  <c r="AJ94"/>
  <c r="AI94"/>
  <c r="AH94"/>
  <c r="AV93"/>
  <c r="AU93"/>
  <c r="AT93"/>
  <c r="AS93"/>
  <c r="AR93"/>
  <c r="AQ93"/>
  <c r="AP93"/>
  <c r="AO93"/>
  <c r="AN93"/>
  <c r="AM93"/>
  <c r="AL93"/>
  <c r="AK93"/>
  <c r="AJ93"/>
  <c r="AI93"/>
  <c r="AH93"/>
  <c r="AV92"/>
  <c r="AU92"/>
  <c r="AT92"/>
  <c r="AS92"/>
  <c r="AR92"/>
  <c r="AQ92"/>
  <c r="AP92"/>
  <c r="AO92"/>
  <c r="AN92"/>
  <c r="AM92"/>
  <c r="AL92"/>
  <c r="AK92"/>
  <c r="AJ92"/>
  <c r="AI92"/>
  <c r="AH92"/>
  <c r="AV122"/>
  <c r="AU122"/>
  <c r="AT122"/>
  <c r="AS122"/>
  <c r="AR122"/>
  <c r="AQ122"/>
  <c r="AP122"/>
  <c r="AO122"/>
  <c r="AN122"/>
  <c r="AM122"/>
  <c r="AL122"/>
  <c r="AK122"/>
  <c r="AJ122"/>
  <c r="AI122"/>
  <c r="AH122"/>
  <c r="AV91"/>
  <c r="AU91"/>
  <c r="AT91"/>
  <c r="AS91"/>
  <c r="AR91"/>
  <c r="AQ91"/>
  <c r="AP91"/>
  <c r="AO91"/>
  <c r="AN91"/>
  <c r="AM91"/>
  <c r="AL91"/>
  <c r="AK91"/>
  <c r="AJ91"/>
  <c r="AI91"/>
  <c r="AH91"/>
  <c r="AV90"/>
  <c r="AU90"/>
  <c r="AT90"/>
  <c r="AS90"/>
  <c r="AR90"/>
  <c r="AQ90"/>
  <c r="AP90"/>
  <c r="AO90"/>
  <c r="AN90"/>
  <c r="AM90"/>
  <c r="AL90"/>
  <c r="AK90"/>
  <c r="AJ90"/>
  <c r="AI90"/>
  <c r="AH90"/>
  <c r="AV89"/>
  <c r="AU89"/>
  <c r="AT89"/>
  <c r="AS89"/>
  <c r="AR89"/>
  <c r="AQ89"/>
  <c r="AP89"/>
  <c r="AO89"/>
  <c r="AN89"/>
  <c r="AM89"/>
  <c r="AL89"/>
  <c r="AK89"/>
  <c r="AJ89"/>
  <c r="AI89"/>
  <c r="AH89"/>
  <c r="AV88"/>
  <c r="AU88"/>
  <c r="AT88"/>
  <c r="AS88"/>
  <c r="AR88"/>
  <c r="AQ88"/>
  <c r="AP88"/>
  <c r="AO88"/>
  <c r="AN88"/>
  <c r="AM88"/>
  <c r="AL88"/>
  <c r="AK88"/>
  <c r="AJ88"/>
  <c r="AI88"/>
  <c r="AH88"/>
  <c r="AV87"/>
  <c r="AU87"/>
  <c r="AT87"/>
  <c r="AS87"/>
  <c r="AR87"/>
  <c r="AQ87"/>
  <c r="AP87"/>
  <c r="AO87"/>
  <c r="AN87"/>
  <c r="AM87"/>
  <c r="AL87"/>
  <c r="AK87"/>
  <c r="AJ87"/>
  <c r="AI87"/>
  <c r="AH87"/>
  <c r="AV86"/>
  <c r="AU86"/>
  <c r="AT86"/>
  <c r="AS86"/>
  <c r="AR86"/>
  <c r="AQ86"/>
  <c r="AP86"/>
  <c r="AO86"/>
  <c r="AN86"/>
  <c r="AM86"/>
  <c r="AL86"/>
  <c r="AK86"/>
  <c r="AJ86"/>
  <c r="AI86"/>
  <c r="AH86"/>
  <c r="AV85"/>
  <c r="AU85"/>
  <c r="AT85"/>
  <c r="AS85"/>
  <c r="AR85"/>
  <c r="AQ85"/>
  <c r="AP85"/>
  <c r="AO85"/>
  <c r="AN85"/>
  <c r="AM85"/>
  <c r="AL85"/>
  <c r="AK85"/>
  <c r="AJ85"/>
  <c r="AI85"/>
  <c r="AH85"/>
  <c r="AV84"/>
  <c r="AU84"/>
  <c r="AT84"/>
  <c r="AS84"/>
  <c r="AR84"/>
  <c r="AQ84"/>
  <c r="AP84"/>
  <c r="AO84"/>
  <c r="AN84"/>
  <c r="AM84"/>
  <c r="AL84"/>
  <c r="AK84"/>
  <c r="AJ84"/>
  <c r="AI84"/>
  <c r="AH84"/>
  <c r="AV83"/>
  <c r="AU83"/>
  <c r="AT83"/>
  <c r="AS83"/>
  <c r="AR83"/>
  <c r="AQ83"/>
  <c r="AP83"/>
  <c r="AO83"/>
  <c r="AN83"/>
  <c r="AM83"/>
  <c r="AL83"/>
  <c r="AK83"/>
  <c r="AJ83"/>
  <c r="AI83"/>
  <c r="AH83"/>
  <c r="AV82"/>
  <c r="AU82"/>
  <c r="AT82"/>
  <c r="AS82"/>
  <c r="AR82"/>
  <c r="AQ82"/>
  <c r="AP82"/>
  <c r="AO82"/>
  <c r="AN82"/>
  <c r="AM82"/>
  <c r="AL82"/>
  <c r="AK82"/>
  <c r="AJ82"/>
  <c r="AI82"/>
  <c r="AH82"/>
  <c r="AV121"/>
  <c r="AU121"/>
  <c r="AT121"/>
  <c r="AS121"/>
  <c r="AR121"/>
  <c r="AQ121"/>
  <c r="AP121"/>
  <c r="AO121"/>
  <c r="AN121"/>
  <c r="AM121"/>
  <c r="AL121"/>
  <c r="AK121"/>
  <c r="AJ121"/>
  <c r="AI121"/>
  <c r="AH121"/>
  <c r="AV81"/>
  <c r="AU81"/>
  <c r="AT81"/>
  <c r="AS81"/>
  <c r="AR81"/>
  <c r="AQ81"/>
  <c r="AP81"/>
  <c r="AO81"/>
  <c r="AN81"/>
  <c r="AM81"/>
  <c r="AL81"/>
  <c r="AK81"/>
  <c r="AJ81"/>
  <c r="AI81"/>
  <c r="AH81"/>
  <c r="AV120"/>
  <c r="AU120"/>
  <c r="AT120"/>
  <c r="AS120"/>
  <c r="AR120"/>
  <c r="AQ120"/>
  <c r="AP120"/>
  <c r="AO120"/>
  <c r="AN120"/>
  <c r="AM120"/>
  <c r="AL120"/>
  <c r="AK120"/>
  <c r="AJ120"/>
  <c r="AI120"/>
  <c r="AH120"/>
  <c r="AV80"/>
  <c r="AU80"/>
  <c r="AT80"/>
  <c r="AS80"/>
  <c r="AR80"/>
  <c r="AQ80"/>
  <c r="AP80"/>
  <c r="AO80"/>
  <c r="AN80"/>
  <c r="AM80"/>
  <c r="AL80"/>
  <c r="AK80"/>
  <c r="AJ80"/>
  <c r="AI80"/>
  <c r="AH80"/>
  <c r="AV119"/>
  <c r="AU119"/>
  <c r="AT119"/>
  <c r="AS119"/>
  <c r="AR119"/>
  <c r="AQ119"/>
  <c r="AP119"/>
  <c r="AO119"/>
  <c r="AN119"/>
  <c r="AM119"/>
  <c r="AL119"/>
  <c r="AK119"/>
  <c r="AJ119"/>
  <c r="AI119"/>
  <c r="AH119"/>
  <c r="AV79"/>
  <c r="AU79"/>
  <c r="AT79"/>
  <c r="AS79"/>
  <c r="AR79"/>
  <c r="AQ79"/>
  <c r="AP79"/>
  <c r="AO79"/>
  <c r="AN79"/>
  <c r="AM79"/>
  <c r="AL79"/>
  <c r="AK79"/>
  <c r="AJ79"/>
  <c r="AI79"/>
  <c r="AH79"/>
  <c r="AV78"/>
  <c r="AU78"/>
  <c r="AT78"/>
  <c r="AS78"/>
  <c r="AR78"/>
  <c r="AQ78"/>
  <c r="AP78"/>
  <c r="AO78"/>
  <c r="AN78"/>
  <c r="AM78"/>
  <c r="AL78"/>
  <c r="AK78"/>
  <c r="AJ78"/>
  <c r="AI78"/>
  <c r="AH78"/>
  <c r="AV77"/>
  <c r="AU77"/>
  <c r="AT77"/>
  <c r="AS77"/>
  <c r="AR77"/>
  <c r="AQ77"/>
  <c r="AP77"/>
  <c r="AO77"/>
  <c r="AN77"/>
  <c r="AM77"/>
  <c r="AL77"/>
  <c r="AK77"/>
  <c r="AJ77"/>
  <c r="AI77"/>
  <c r="AH77"/>
  <c r="AV76"/>
  <c r="AU76"/>
  <c r="AT76"/>
  <c r="AS76"/>
  <c r="AR76"/>
  <c r="AQ76"/>
  <c r="AP76"/>
  <c r="AO76"/>
  <c r="AN76"/>
  <c r="AM76"/>
  <c r="AL76"/>
  <c r="AK76"/>
  <c r="AJ76"/>
  <c r="AI76"/>
  <c r="AH76"/>
  <c r="AV75"/>
  <c r="AU75"/>
  <c r="AT75"/>
  <c r="AS75"/>
  <c r="AR75"/>
  <c r="AQ75"/>
  <c r="AP75"/>
  <c r="AO75"/>
  <c r="AN75"/>
  <c r="AM75"/>
  <c r="AL75"/>
  <c r="AK75"/>
  <c r="AJ75"/>
  <c r="AI75"/>
  <c r="AH75"/>
  <c r="AV118"/>
  <c r="AU118"/>
  <c r="AT118"/>
  <c r="AS118"/>
  <c r="AR118"/>
  <c r="AQ118"/>
  <c r="AP118"/>
  <c r="AO118"/>
  <c r="AN118"/>
  <c r="AM118"/>
  <c r="AL118"/>
  <c r="AK118"/>
  <c r="AJ118"/>
  <c r="AI118"/>
  <c r="AH118"/>
  <c r="AV74"/>
  <c r="AU74"/>
  <c r="AT74"/>
  <c r="AS74"/>
  <c r="AR74"/>
  <c r="AQ74"/>
  <c r="AP74"/>
  <c r="AO74"/>
  <c r="AN74"/>
  <c r="AM74"/>
  <c r="AL74"/>
  <c r="AK74"/>
  <c r="AJ74"/>
  <c r="AI74"/>
  <c r="AH74"/>
  <c r="AV117"/>
  <c r="AU117"/>
  <c r="AT117"/>
  <c r="AS117"/>
  <c r="AR117"/>
  <c r="AQ117"/>
  <c r="AP117"/>
  <c r="AO117"/>
  <c r="AN117"/>
  <c r="AM117"/>
  <c r="AL117"/>
  <c r="AK117"/>
  <c r="AJ117"/>
  <c r="AI117"/>
  <c r="AH117"/>
  <c r="AV73"/>
  <c r="AU73"/>
  <c r="AT73"/>
  <c r="AS73"/>
  <c r="AR73"/>
  <c r="AQ73"/>
  <c r="AP73"/>
  <c r="AO73"/>
  <c r="AN73"/>
  <c r="AM73"/>
  <c r="AL73"/>
  <c r="AK73"/>
  <c r="AJ73"/>
  <c r="AI73"/>
  <c r="AH73"/>
  <c r="AV72"/>
  <c r="AU72"/>
  <c r="AT72"/>
  <c r="AS72"/>
  <c r="AR72"/>
  <c r="AQ72"/>
  <c r="AP72"/>
  <c r="AO72"/>
  <c r="AN72"/>
  <c r="AM72"/>
  <c r="AL72"/>
  <c r="AK72"/>
  <c r="AJ72"/>
  <c r="AI72"/>
  <c r="AH72"/>
  <c r="AV71"/>
  <c r="AU71"/>
  <c r="AT71"/>
  <c r="AS71"/>
  <c r="AR71"/>
  <c r="AQ71"/>
  <c r="AP71"/>
  <c r="AO71"/>
  <c r="AN71"/>
  <c r="AM71"/>
  <c r="AL71"/>
  <c r="AK71"/>
  <c r="AJ71"/>
  <c r="AI71"/>
  <c r="AH71"/>
  <c r="AV70"/>
  <c r="AU70"/>
  <c r="AT70"/>
  <c r="AS70"/>
  <c r="AR70"/>
  <c r="AQ70"/>
  <c r="AP70"/>
  <c r="AO70"/>
  <c r="AN70"/>
  <c r="AM70"/>
  <c r="AL70"/>
  <c r="AK70"/>
  <c r="AJ70"/>
  <c r="AI70"/>
  <c r="AH70"/>
  <c r="AV116"/>
  <c r="AU116"/>
  <c r="AT116"/>
  <c r="AS116"/>
  <c r="AR116"/>
  <c r="AQ116"/>
  <c r="AP116"/>
  <c r="AO116"/>
  <c r="AN116"/>
  <c r="AM116"/>
  <c r="AL116"/>
  <c r="AK116"/>
  <c r="AJ116"/>
  <c r="AI116"/>
  <c r="AH116"/>
  <c r="AV69"/>
  <c r="AU69"/>
  <c r="AT69"/>
  <c r="AS69"/>
  <c r="AR69"/>
  <c r="AQ69"/>
  <c r="AP69"/>
  <c r="AO69"/>
  <c r="AN69"/>
  <c r="AM69"/>
  <c r="AL69"/>
  <c r="AK69"/>
  <c r="AJ69"/>
  <c r="AI69"/>
  <c r="AH69"/>
  <c r="AV68"/>
  <c r="AU68"/>
  <c r="AT68"/>
  <c r="AS68"/>
  <c r="AR68"/>
  <c r="AQ68"/>
  <c r="AP68"/>
  <c r="AO68"/>
  <c r="AN68"/>
  <c r="AM68"/>
  <c r="AL68"/>
  <c r="AK68"/>
  <c r="AJ68"/>
  <c r="AI68"/>
  <c r="AH68"/>
  <c r="AV115"/>
  <c r="AU115"/>
  <c r="AT115"/>
  <c r="AS115"/>
  <c r="AR115"/>
  <c r="AQ115"/>
  <c r="AP115"/>
  <c r="AO115"/>
  <c r="AN115"/>
  <c r="AM115"/>
  <c r="AL115"/>
  <c r="AK115"/>
  <c r="AJ115"/>
  <c r="AI115"/>
  <c r="AH115"/>
  <c r="AV114"/>
  <c r="AU114"/>
  <c r="AT114"/>
  <c r="AS114"/>
  <c r="AR114"/>
  <c r="AQ114"/>
  <c r="AP114"/>
  <c r="AO114"/>
  <c r="AN114"/>
  <c r="AM114"/>
  <c r="AL114"/>
  <c r="AK114"/>
  <c r="AJ114"/>
  <c r="AI114"/>
  <c r="AH114"/>
  <c r="AV67"/>
  <c r="AU67"/>
  <c r="AT67"/>
  <c r="AS67"/>
  <c r="AR67"/>
  <c r="AQ67"/>
  <c r="AP67"/>
  <c r="AO67"/>
  <c r="AN67"/>
  <c r="AM67"/>
  <c r="AL67"/>
  <c r="AK67"/>
  <c r="AJ67"/>
  <c r="AI67"/>
  <c r="AH67"/>
  <c r="AV66"/>
  <c r="AU66"/>
  <c r="AT66"/>
  <c r="AS66"/>
  <c r="AR66"/>
  <c r="AQ66"/>
  <c r="AP66"/>
  <c r="AO66"/>
  <c r="AN66"/>
  <c r="AM66"/>
  <c r="AL66"/>
  <c r="AK66"/>
  <c r="AJ66"/>
  <c r="AI66"/>
  <c r="AH66"/>
  <c r="AV65"/>
  <c r="AU65"/>
  <c r="AT65"/>
  <c r="AS65"/>
  <c r="AR65"/>
  <c r="AQ65"/>
  <c r="AP65"/>
  <c r="AO65"/>
  <c r="AN65"/>
  <c r="AM65"/>
  <c r="AL65"/>
  <c r="AK65"/>
  <c r="AJ65"/>
  <c r="AI65"/>
  <c r="AH65"/>
  <c r="AV64"/>
  <c r="AU64"/>
  <c r="AT64"/>
  <c r="AS64"/>
  <c r="AR64"/>
  <c r="AQ64"/>
  <c r="AP64"/>
  <c r="AO64"/>
  <c r="AN64"/>
  <c r="AM64"/>
  <c r="AL64"/>
  <c r="AK64"/>
  <c r="AJ64"/>
  <c r="AI64"/>
  <c r="AH64"/>
  <c r="AV63"/>
  <c r="AU63"/>
  <c r="AT63"/>
  <c r="AS63"/>
  <c r="AR63"/>
  <c r="AQ63"/>
  <c r="AP63"/>
  <c r="AO63"/>
  <c r="AN63"/>
  <c r="AM63"/>
  <c r="AL63"/>
  <c r="AK63"/>
  <c r="AJ63"/>
  <c r="AI63"/>
  <c r="AH63"/>
  <c r="AV62"/>
  <c r="AU62"/>
  <c r="AT62"/>
  <c r="AS62"/>
  <c r="AR62"/>
  <c r="AQ62"/>
  <c r="AP62"/>
  <c r="AO62"/>
  <c r="AN62"/>
  <c r="AM62"/>
  <c r="AL62"/>
  <c r="AK62"/>
  <c r="AJ62"/>
  <c r="AI62"/>
  <c r="AH62"/>
  <c r="AV113"/>
  <c r="AU113"/>
  <c r="AT113"/>
  <c r="AS113"/>
  <c r="AR113"/>
  <c r="AQ113"/>
  <c r="AP113"/>
  <c r="AO113"/>
  <c r="AN113"/>
  <c r="AM113"/>
  <c r="AL113"/>
  <c r="AK113"/>
  <c r="AJ113"/>
  <c r="AI113"/>
  <c r="AH113"/>
  <c r="AV112"/>
  <c r="AU112"/>
  <c r="AT112"/>
  <c r="AS112"/>
  <c r="AR112"/>
  <c r="AQ112"/>
  <c r="AP112"/>
  <c r="AO112"/>
  <c r="AN112"/>
  <c r="AM112"/>
  <c r="AL112"/>
  <c r="AK112"/>
  <c r="AJ112"/>
  <c r="AI112"/>
  <c r="AH112"/>
  <c r="AV61"/>
  <c r="AU61"/>
  <c r="AT61"/>
  <c r="AS61"/>
  <c r="AR61"/>
  <c r="AQ61"/>
  <c r="AP61"/>
  <c r="AO61"/>
  <c r="AN61"/>
  <c r="AM61"/>
  <c r="AL61"/>
  <c r="AK61"/>
  <c r="AJ61"/>
  <c r="AI61"/>
  <c r="AH61"/>
  <c r="AV111"/>
  <c r="AU111"/>
  <c r="AT111"/>
  <c r="AS111"/>
  <c r="AR111"/>
  <c r="AQ111"/>
  <c r="AP111"/>
  <c r="AO111"/>
  <c r="AN111"/>
  <c r="AM111"/>
  <c r="AL111"/>
  <c r="AK111"/>
  <c r="AJ111"/>
  <c r="AI111"/>
  <c r="AH111"/>
  <c r="AV60"/>
  <c r="AU60"/>
  <c r="AT60"/>
  <c r="AS60"/>
  <c r="AR60"/>
  <c r="AQ60"/>
  <c r="AP60"/>
  <c r="AO60"/>
  <c r="AN60"/>
  <c r="AM60"/>
  <c r="AL60"/>
  <c r="AK60"/>
  <c r="AJ60"/>
  <c r="AI60"/>
  <c r="AH60"/>
  <c r="AV59"/>
  <c r="AU59"/>
  <c r="AT59"/>
  <c r="AS59"/>
  <c r="AR59"/>
  <c r="AQ59"/>
  <c r="AP59"/>
  <c r="AO59"/>
  <c r="AN59"/>
  <c r="AM59"/>
  <c r="AL59"/>
  <c r="AK59"/>
  <c r="AJ59"/>
  <c r="AI59"/>
  <c r="AH59"/>
  <c r="AV58"/>
  <c r="AU58"/>
  <c r="AT58"/>
  <c r="AS58"/>
  <c r="AR58"/>
  <c r="AQ58"/>
  <c r="AP58"/>
  <c r="AO58"/>
  <c r="AN58"/>
  <c r="AM58"/>
  <c r="AL58"/>
  <c r="AK58"/>
  <c r="AJ58"/>
  <c r="AI58"/>
  <c r="AH58"/>
  <c r="AV57"/>
  <c r="AU57"/>
  <c r="AT57"/>
  <c r="AS57"/>
  <c r="AR57"/>
  <c r="AQ57"/>
  <c r="AP57"/>
  <c r="AO57"/>
  <c r="AN57"/>
  <c r="AM57"/>
  <c r="AL57"/>
  <c r="AK57"/>
  <c r="AJ57"/>
  <c r="AI57"/>
  <c r="AH57"/>
  <c r="AV56"/>
  <c r="AU56"/>
  <c r="AT56"/>
  <c r="AS56"/>
  <c r="AR56"/>
  <c r="AQ56"/>
  <c r="AP56"/>
  <c r="AO56"/>
  <c r="AN56"/>
  <c r="AM56"/>
  <c r="AL56"/>
  <c r="AK56"/>
  <c r="AJ56"/>
  <c r="AI56"/>
  <c r="AH56"/>
  <c r="AV55"/>
  <c r="AU55"/>
  <c r="AT55"/>
  <c r="AS55"/>
  <c r="AR55"/>
  <c r="AQ55"/>
  <c r="AP55"/>
  <c r="AO55"/>
  <c r="AN55"/>
  <c r="AM55"/>
  <c r="AL55"/>
  <c r="AK55"/>
  <c r="AJ55"/>
  <c r="AI55"/>
  <c r="AH55"/>
  <c r="AV54"/>
  <c r="AU54"/>
  <c r="AT54"/>
  <c r="AS54"/>
  <c r="AR54"/>
  <c r="AQ54"/>
  <c r="AP54"/>
  <c r="AO54"/>
  <c r="AN54"/>
  <c r="AM54"/>
  <c r="AL54"/>
  <c r="AK54"/>
  <c r="AJ54"/>
  <c r="AI54"/>
  <c r="AH54"/>
  <c r="AV53"/>
  <c r="AU53"/>
  <c r="AT53"/>
  <c r="AS53"/>
  <c r="AR53"/>
  <c r="AQ53"/>
  <c r="AP53"/>
  <c r="AO53"/>
  <c r="AN53"/>
  <c r="AM53"/>
  <c r="AL53"/>
  <c r="AK53"/>
  <c r="AJ53"/>
  <c r="AI53"/>
  <c r="AH53"/>
  <c r="AV52"/>
  <c r="AU52"/>
  <c r="AT52"/>
  <c r="AS52"/>
  <c r="AR52"/>
  <c r="AQ52"/>
  <c r="AP52"/>
  <c r="AO52"/>
  <c r="AN52"/>
  <c r="AM52"/>
  <c r="AL52"/>
  <c r="AK52"/>
  <c r="AJ52"/>
  <c r="AI52"/>
  <c r="AH52"/>
  <c r="AV51"/>
  <c r="AU51"/>
  <c r="AT51"/>
  <c r="AS51"/>
  <c r="AR51"/>
  <c r="AQ51"/>
  <c r="AP51"/>
  <c r="AO51"/>
  <c r="AN51"/>
  <c r="AM51"/>
  <c r="AL51"/>
  <c r="AK51"/>
  <c r="AJ51"/>
  <c r="AI51"/>
  <c r="AH51"/>
  <c r="AV110"/>
  <c r="AU110"/>
  <c r="AT110"/>
  <c r="AS110"/>
  <c r="AR110"/>
  <c r="AQ110"/>
  <c r="AP110"/>
  <c r="AO110"/>
  <c r="AN110"/>
  <c r="AM110"/>
  <c r="AL110"/>
  <c r="AK110"/>
  <c r="AJ110"/>
  <c r="AI110"/>
  <c r="AH110"/>
  <c r="AV50"/>
  <c r="AU50"/>
  <c r="AT50"/>
  <c r="AS50"/>
  <c r="AR50"/>
  <c r="AQ50"/>
  <c r="AP50"/>
  <c r="AO50"/>
  <c r="AN50"/>
  <c r="AM50"/>
  <c r="AL50"/>
  <c r="AK50"/>
  <c r="AJ50"/>
  <c r="AI50"/>
  <c r="AH50"/>
  <c r="AV49"/>
  <c r="AU49"/>
  <c r="AT49"/>
  <c r="AS49"/>
  <c r="AR49"/>
  <c r="AQ49"/>
  <c r="AP49"/>
  <c r="AO49"/>
  <c r="AN49"/>
  <c r="AM49"/>
  <c r="AL49"/>
  <c r="AK49"/>
  <c r="AJ49"/>
  <c r="AI49"/>
  <c r="AH49"/>
  <c r="AV48"/>
  <c r="AU48"/>
  <c r="AT48"/>
  <c r="AS48"/>
  <c r="AR48"/>
  <c r="AQ48"/>
  <c r="AP48"/>
  <c r="AO48"/>
  <c r="AN48"/>
  <c r="AM48"/>
  <c r="AL48"/>
  <c r="AK48"/>
  <c r="AJ48"/>
  <c r="AI48"/>
  <c r="AH48"/>
  <c r="AV47"/>
  <c r="AU47"/>
  <c r="AT47"/>
  <c r="AS47"/>
  <c r="AR47"/>
  <c r="AQ47"/>
  <c r="AP47"/>
  <c r="AO47"/>
  <c r="AN47"/>
  <c r="AM47"/>
  <c r="AL47"/>
  <c r="AK47"/>
  <c r="AJ47"/>
  <c r="AI47"/>
  <c r="AH47"/>
  <c r="AV109"/>
  <c r="AU109"/>
  <c r="AT109"/>
  <c r="AS109"/>
  <c r="AR109"/>
  <c r="AQ109"/>
  <c r="AP109"/>
  <c r="AO109"/>
  <c r="AN109"/>
  <c r="AM109"/>
  <c r="AL109"/>
  <c r="AK109"/>
  <c r="AJ109"/>
  <c r="AI109"/>
  <c r="AH109"/>
  <c r="AV46"/>
  <c r="AU46"/>
  <c r="AT46"/>
  <c r="AS46"/>
  <c r="AR46"/>
  <c r="AQ46"/>
  <c r="AP46"/>
  <c r="AO46"/>
  <c r="AN46"/>
  <c r="AM46"/>
  <c r="AL46"/>
  <c r="AK46"/>
  <c r="AJ46"/>
  <c r="AI46"/>
  <c r="AH46"/>
  <c r="AV45"/>
  <c r="AU45"/>
  <c r="AT45"/>
  <c r="AS45"/>
  <c r="AR45"/>
  <c r="AQ45"/>
  <c r="AP45"/>
  <c r="AO45"/>
  <c r="AN45"/>
  <c r="AM45"/>
  <c r="AL45"/>
  <c r="AK45"/>
  <c r="AJ45"/>
  <c r="AI45"/>
  <c r="AH45"/>
  <c r="AV44"/>
  <c r="AU44"/>
  <c r="AT44"/>
  <c r="AS44"/>
  <c r="AR44"/>
  <c r="AQ44"/>
  <c r="AP44"/>
  <c r="AO44"/>
  <c r="AN44"/>
  <c r="AM44"/>
  <c r="AL44"/>
  <c r="AK44"/>
  <c r="AJ44"/>
  <c r="AI44"/>
  <c r="AH44"/>
  <c r="AV43"/>
  <c r="AU43"/>
  <c r="AT43"/>
  <c r="AS43"/>
  <c r="AR43"/>
  <c r="AQ43"/>
  <c r="AP43"/>
  <c r="AO43"/>
  <c r="AN43"/>
  <c r="AM43"/>
  <c r="AL43"/>
  <c r="AK43"/>
  <c r="AJ43"/>
  <c r="AI43"/>
  <c r="AH43"/>
  <c r="AV42"/>
  <c r="AU42"/>
  <c r="AT42"/>
  <c r="AS42"/>
  <c r="AR42"/>
  <c r="AQ42"/>
  <c r="AP42"/>
  <c r="AO42"/>
  <c r="AN42"/>
  <c r="AM42"/>
  <c r="AL42"/>
  <c r="AK42"/>
  <c r="AJ42"/>
  <c r="AI42"/>
  <c r="AH42"/>
  <c r="AV41"/>
  <c r="AU41"/>
  <c r="AT41"/>
  <c r="AS41"/>
  <c r="AR41"/>
  <c r="AQ41"/>
  <c r="AP41"/>
  <c r="AO41"/>
  <c r="AN41"/>
  <c r="AM41"/>
  <c r="AL41"/>
  <c r="AK41"/>
  <c r="AJ41"/>
  <c r="AI41"/>
  <c r="AH41"/>
  <c r="AV40"/>
  <c r="AU40"/>
  <c r="AT40"/>
  <c r="AS40"/>
  <c r="AR40"/>
  <c r="AQ40"/>
  <c r="AP40"/>
  <c r="AO40"/>
  <c r="AN40"/>
  <c r="AM40"/>
  <c r="AL40"/>
  <c r="AK40"/>
  <c r="AJ40"/>
  <c r="AI40"/>
  <c r="AH40"/>
  <c r="AV108"/>
  <c r="AU108"/>
  <c r="AT108"/>
  <c r="AS108"/>
  <c r="AR108"/>
  <c r="AQ108"/>
  <c r="AP108"/>
  <c r="AO108"/>
  <c r="AN108"/>
  <c r="AM108"/>
  <c r="AL108"/>
  <c r="AK108"/>
  <c r="AJ108"/>
  <c r="AI108"/>
  <c r="AH108"/>
  <c r="AV107"/>
  <c r="AU107"/>
  <c r="AT107"/>
  <c r="AS107"/>
  <c r="AR107"/>
  <c r="AQ107"/>
  <c r="AP107"/>
  <c r="AO107"/>
  <c r="AN107"/>
  <c r="AM107"/>
  <c r="AL107"/>
  <c r="AK107"/>
  <c r="AJ107"/>
  <c r="AI107"/>
  <c r="AH107"/>
  <c r="AV39"/>
  <c r="AU39"/>
  <c r="AT39"/>
  <c r="AS39"/>
  <c r="AR39"/>
  <c r="AQ39"/>
  <c r="AP39"/>
  <c r="AO39"/>
  <c r="AN39"/>
  <c r="AM39"/>
  <c r="AL39"/>
  <c r="AK39"/>
  <c r="AJ39"/>
  <c r="AI39"/>
  <c r="AH39"/>
  <c r="AV38"/>
  <c r="AU38"/>
  <c r="AT38"/>
  <c r="AS38"/>
  <c r="AR38"/>
  <c r="AQ38"/>
  <c r="AP38"/>
  <c r="AO38"/>
  <c r="AN38"/>
  <c r="AM38"/>
  <c r="AL38"/>
  <c r="AK38"/>
  <c r="AJ38"/>
  <c r="AI38"/>
  <c r="AH38"/>
  <c r="AV106"/>
  <c r="AU106"/>
  <c r="AT106"/>
  <c r="AS106"/>
  <c r="AR106"/>
  <c r="AQ106"/>
  <c r="AP106"/>
  <c r="AO106"/>
  <c r="AN106"/>
  <c r="AM106"/>
  <c r="AL106"/>
  <c r="AK106"/>
  <c r="AJ106"/>
  <c r="AI106"/>
  <c r="AH106"/>
  <c r="AV37"/>
  <c r="AU37"/>
  <c r="AT37"/>
  <c r="AS37"/>
  <c r="AR37"/>
  <c r="AQ37"/>
  <c r="AP37"/>
  <c r="AO37"/>
  <c r="AN37"/>
  <c r="AM37"/>
  <c r="AL37"/>
  <c r="AK37"/>
  <c r="AJ37"/>
  <c r="AI37"/>
  <c r="AH37"/>
  <c r="AV36"/>
  <c r="AU36"/>
  <c r="AT36"/>
  <c r="AS36"/>
  <c r="AR36"/>
  <c r="AQ36"/>
  <c r="AP36"/>
  <c r="AO36"/>
  <c r="AN36"/>
  <c r="AM36"/>
  <c r="AL36"/>
  <c r="AK36"/>
  <c r="AJ36"/>
  <c r="AI36"/>
  <c r="AH36"/>
  <c r="AV35"/>
  <c r="AU35"/>
  <c r="AT35"/>
  <c r="AS35"/>
  <c r="AR35"/>
  <c r="AQ35"/>
  <c r="AP35"/>
  <c r="AO35"/>
  <c r="AN35"/>
  <c r="AM35"/>
  <c r="AL35"/>
  <c r="AK35"/>
  <c r="AJ35"/>
  <c r="AI35"/>
  <c r="AH35"/>
  <c r="AV34"/>
  <c r="AU34"/>
  <c r="AT34"/>
  <c r="AS34"/>
  <c r="AR34"/>
  <c r="AQ34"/>
  <c r="AP34"/>
  <c r="AO34"/>
  <c r="AN34"/>
  <c r="AM34"/>
  <c r="AL34"/>
  <c r="AK34"/>
  <c r="AJ34"/>
  <c r="AI34"/>
  <c r="AH34"/>
  <c r="AV33"/>
  <c r="AU33"/>
  <c r="AT33"/>
  <c r="AS33"/>
  <c r="AR33"/>
  <c r="AQ33"/>
  <c r="AP33"/>
  <c r="AO33"/>
  <c r="AN33"/>
  <c r="AM33"/>
  <c r="AL33"/>
  <c r="AK33"/>
  <c r="AJ33"/>
  <c r="AI33"/>
  <c r="AH33"/>
  <c r="AV32"/>
  <c r="AU32"/>
  <c r="AT32"/>
  <c r="AS32"/>
  <c r="AR32"/>
  <c r="AQ32"/>
  <c r="AP32"/>
  <c r="AO32"/>
  <c r="AN32"/>
  <c r="AM32"/>
  <c r="AL32"/>
  <c r="AK32"/>
  <c r="AJ32"/>
  <c r="AI32"/>
  <c r="AH32"/>
  <c r="AV31"/>
  <c r="AU31"/>
  <c r="AT31"/>
  <c r="AS31"/>
  <c r="AR31"/>
  <c r="AQ31"/>
  <c r="AP31"/>
  <c r="AO31"/>
  <c r="AN31"/>
  <c r="AM31"/>
  <c r="AL31"/>
  <c r="AK31"/>
  <c r="AJ31"/>
  <c r="AI31"/>
  <c r="AH31"/>
  <c r="AV105"/>
  <c r="AU105"/>
  <c r="AT105"/>
  <c r="AS105"/>
  <c r="AR105"/>
  <c r="AQ105"/>
  <c r="AP105"/>
  <c r="AO105"/>
  <c r="AN105"/>
  <c r="AM105"/>
  <c r="AL105"/>
  <c r="AK105"/>
  <c r="AJ105"/>
  <c r="AI105"/>
  <c r="AH105"/>
  <c r="AV30"/>
  <c r="AU30"/>
  <c r="AT30"/>
  <c r="AS30"/>
  <c r="AR30"/>
  <c r="AQ30"/>
  <c r="AP30"/>
  <c r="AO30"/>
  <c r="AN30"/>
  <c r="AM30"/>
  <c r="AL30"/>
  <c r="AK30"/>
  <c r="AJ30"/>
  <c r="AI30"/>
  <c r="AH30"/>
  <c r="AV29"/>
  <c r="AU29"/>
  <c r="AT29"/>
  <c r="AS29"/>
  <c r="AR29"/>
  <c r="AQ29"/>
  <c r="AP29"/>
  <c r="AO29"/>
  <c r="AN29"/>
  <c r="AM29"/>
  <c r="AL29"/>
  <c r="AK29"/>
  <c r="AJ29"/>
  <c r="AI29"/>
  <c r="AH29"/>
  <c r="AV28"/>
  <c r="AU28"/>
  <c r="AT28"/>
  <c r="AS28"/>
  <c r="AR28"/>
  <c r="AQ28"/>
  <c r="AP28"/>
  <c r="AO28"/>
  <c r="AN28"/>
  <c r="AM28"/>
  <c r="AL28"/>
  <c r="AK28"/>
  <c r="AJ28"/>
  <c r="AI28"/>
  <c r="AH28"/>
  <c r="AV27"/>
  <c r="AU27"/>
  <c r="AT27"/>
  <c r="AS27"/>
  <c r="AR27"/>
  <c r="AQ27"/>
  <c r="AP27"/>
  <c r="AO27"/>
  <c r="AN27"/>
  <c r="AM27"/>
  <c r="AL27"/>
  <c r="AK27"/>
  <c r="AJ27"/>
  <c r="AI27"/>
  <c r="AH27"/>
  <c r="AV26"/>
  <c r="AU26"/>
  <c r="AT26"/>
  <c r="AS26"/>
  <c r="AR26"/>
  <c r="AQ26"/>
  <c r="AP26"/>
  <c r="AO26"/>
  <c r="AN26"/>
  <c r="AM26"/>
  <c r="AL26"/>
  <c r="AK26"/>
  <c r="AJ26"/>
  <c r="AI26"/>
  <c r="AH26"/>
  <c r="AV104"/>
  <c r="AU104"/>
  <c r="AT104"/>
  <c r="AS104"/>
  <c r="AR104"/>
  <c r="AQ104"/>
  <c r="AP104"/>
  <c r="AO104"/>
  <c r="AN104"/>
  <c r="AM104"/>
  <c r="AL104"/>
  <c r="AK104"/>
  <c r="AJ104"/>
  <c r="AI104"/>
  <c r="AH104"/>
  <c r="AV103"/>
  <c r="AU103"/>
  <c r="AT103"/>
  <c r="AS103"/>
  <c r="AR103"/>
  <c r="AQ103"/>
  <c r="AP103"/>
  <c r="AO103"/>
  <c r="AN103"/>
  <c r="AM103"/>
  <c r="AL103"/>
  <c r="AK103"/>
  <c r="AJ103"/>
  <c r="AI103"/>
  <c r="AH103"/>
  <c r="AV25"/>
  <c r="AU25"/>
  <c r="AT25"/>
  <c r="AS25"/>
  <c r="AR25"/>
  <c r="AQ25"/>
  <c r="AP25"/>
  <c r="AO25"/>
  <c r="AN25"/>
  <c r="AM25"/>
  <c r="AL25"/>
  <c r="AK25"/>
  <c r="AJ25"/>
  <c r="AI25"/>
  <c r="AH25"/>
  <c r="AV24"/>
  <c r="AU24"/>
  <c r="AT24"/>
  <c r="AS24"/>
  <c r="AR24"/>
  <c r="AQ24"/>
  <c r="AP24"/>
  <c r="AO24"/>
  <c r="AN24"/>
  <c r="AM24"/>
  <c r="AL24"/>
  <c r="AK24"/>
  <c r="AJ24"/>
  <c r="AI24"/>
  <c r="AH24"/>
  <c r="AV23"/>
  <c r="AU23"/>
  <c r="AT23"/>
  <c r="AS23"/>
  <c r="AR23"/>
  <c r="AQ23"/>
  <c r="AP23"/>
  <c r="AO23"/>
  <c r="AN23"/>
  <c r="AM23"/>
  <c r="AL23"/>
  <c r="AK23"/>
  <c r="AJ23"/>
  <c r="AI23"/>
  <c r="AH23"/>
  <c r="AV22"/>
  <c r="AU22"/>
  <c r="AT22"/>
  <c r="AS22"/>
  <c r="AR22"/>
  <c r="AQ22"/>
  <c r="AP22"/>
  <c r="AO22"/>
  <c r="AN22"/>
  <c r="AM22"/>
  <c r="AL22"/>
  <c r="AK22"/>
  <c r="AJ22"/>
  <c r="AI22"/>
  <c r="AH22"/>
  <c r="AV21"/>
  <c r="AU21"/>
  <c r="AT21"/>
  <c r="AS21"/>
  <c r="AR21"/>
  <c r="AQ21"/>
  <c r="AP21"/>
  <c r="AO21"/>
  <c r="AN21"/>
  <c r="AM21"/>
  <c r="AL21"/>
  <c r="AK21"/>
  <c r="AJ21"/>
  <c r="AI21"/>
  <c r="AH21"/>
  <c r="AV20"/>
  <c r="AU20"/>
  <c r="AT20"/>
  <c r="AS20"/>
  <c r="AR20"/>
  <c r="AQ20"/>
  <c r="AP20"/>
  <c r="AO20"/>
  <c r="AN20"/>
  <c r="AM20"/>
  <c r="AL20"/>
  <c r="AK20"/>
  <c r="AJ20"/>
  <c r="AI20"/>
  <c r="AH20"/>
  <c r="AV19"/>
  <c r="AU19"/>
  <c r="AT19"/>
  <c r="AS19"/>
  <c r="AR19"/>
  <c r="AQ19"/>
  <c r="AP19"/>
  <c r="AO19"/>
  <c r="AN19"/>
  <c r="AM19"/>
  <c r="AL19"/>
  <c r="AK19"/>
  <c r="AJ19"/>
  <c r="AI19"/>
  <c r="AH19"/>
  <c r="AV18"/>
  <c r="AU18"/>
  <c r="AT18"/>
  <c r="AS18"/>
  <c r="AR18"/>
  <c r="AQ18"/>
  <c r="AP18"/>
  <c r="AO18"/>
  <c r="AN18"/>
  <c r="AM18"/>
  <c r="AL18"/>
  <c r="AK18"/>
  <c r="AJ18"/>
  <c r="AI18"/>
  <c r="AH18"/>
  <c r="AV102"/>
  <c r="AU102"/>
  <c r="AT102"/>
  <c r="AS102"/>
  <c r="AR102"/>
  <c r="AQ102"/>
  <c r="AP102"/>
  <c r="AO102"/>
  <c r="AN102"/>
  <c r="AM102"/>
  <c r="AL102"/>
  <c r="AK102"/>
  <c r="AJ102"/>
  <c r="AI102"/>
  <c r="AH102"/>
  <c r="AV17"/>
  <c r="AU17"/>
  <c r="AT17"/>
  <c r="AS17"/>
  <c r="AR17"/>
  <c r="AQ17"/>
  <c r="AP17"/>
  <c r="AO17"/>
  <c r="AN17"/>
  <c r="AM17"/>
  <c r="AL17"/>
  <c r="AK17"/>
  <c r="AJ17"/>
  <c r="AI17"/>
  <c r="AH17"/>
  <c r="AV16"/>
  <c r="AU16"/>
  <c r="AT16"/>
  <c r="AS16"/>
  <c r="AR16"/>
  <c r="AQ16"/>
  <c r="AP16"/>
  <c r="AO16"/>
  <c r="AN16"/>
  <c r="AM16"/>
  <c r="AL16"/>
  <c r="AK16"/>
  <c r="AJ16"/>
  <c r="AI16"/>
  <c r="AH16"/>
  <c r="AV15"/>
  <c r="AU15"/>
  <c r="AT15"/>
  <c r="AS15"/>
  <c r="AR15"/>
  <c r="AQ15"/>
  <c r="AP15"/>
  <c r="AO15"/>
  <c r="AN15"/>
  <c r="AM15"/>
  <c r="AL15"/>
  <c r="AK15"/>
  <c r="AJ15"/>
  <c r="AI15"/>
  <c r="AH15"/>
  <c r="AV14"/>
  <c r="AU14"/>
  <c r="AT14"/>
  <c r="AS14"/>
  <c r="AR14"/>
  <c r="AQ14"/>
  <c r="AP14"/>
  <c r="AO14"/>
  <c r="AN14"/>
  <c r="AM14"/>
  <c r="AL14"/>
  <c r="AK14"/>
  <c r="AJ14"/>
  <c r="AI14"/>
  <c r="AH14"/>
  <c r="AV13"/>
  <c r="AU13"/>
  <c r="AT13"/>
  <c r="AS13"/>
  <c r="AR13"/>
  <c r="AQ13"/>
  <c r="AP13"/>
  <c r="AO13"/>
  <c r="AN13"/>
  <c r="AM13"/>
  <c r="AL13"/>
  <c r="AK13"/>
  <c r="AJ13"/>
  <c r="AI13"/>
  <c r="AH13"/>
  <c r="AV12"/>
  <c r="AU12"/>
  <c r="AT12"/>
  <c r="AS12"/>
  <c r="AR12"/>
  <c r="AQ12"/>
  <c r="AP12"/>
  <c r="AO12"/>
  <c r="AN12"/>
  <c r="AM12"/>
  <c r="AL12"/>
  <c r="AK12"/>
  <c r="AJ12"/>
  <c r="AI12"/>
  <c r="AH12"/>
  <c r="AV11"/>
  <c r="AU11"/>
  <c r="AT11"/>
  <c r="AS11"/>
  <c r="AR11"/>
  <c r="AQ11"/>
  <c r="AP11"/>
  <c r="AO11"/>
  <c r="AN11"/>
  <c r="AM11"/>
  <c r="AL11"/>
  <c r="AK11"/>
  <c r="AJ11"/>
  <c r="AI11"/>
  <c r="AH11"/>
  <c r="AV10"/>
  <c r="AU10"/>
  <c r="AT10"/>
  <c r="AS10"/>
  <c r="AR10"/>
  <c r="AQ10"/>
  <c r="AP10"/>
  <c r="AO10"/>
  <c r="AN10"/>
  <c r="AM10"/>
  <c r="AL10"/>
  <c r="AK10"/>
  <c r="AJ10"/>
  <c r="AI10"/>
  <c r="AH10"/>
  <c r="AV9"/>
  <c r="AU9"/>
  <c r="AT9"/>
  <c r="AS9"/>
  <c r="AR9"/>
  <c r="AQ9"/>
  <c r="AP9"/>
  <c r="AO9"/>
  <c r="AN9"/>
  <c r="AM9"/>
  <c r="AL9"/>
  <c r="AK9"/>
  <c r="AJ9"/>
  <c r="AI9"/>
  <c r="AH9"/>
  <c r="AV8"/>
  <c r="AU8"/>
  <c r="AT8"/>
  <c r="AS8"/>
  <c r="AR8"/>
  <c r="AQ8"/>
  <c r="AP8"/>
  <c r="AO8"/>
  <c r="AN8"/>
  <c r="AM8"/>
  <c r="AL8"/>
  <c r="AK8"/>
  <c r="AJ8"/>
  <c r="AI8"/>
  <c r="AH8"/>
  <c r="AV101"/>
  <c r="AU101"/>
  <c r="AT101"/>
  <c r="AS101"/>
  <c r="AR101"/>
  <c r="AQ101"/>
  <c r="AP101"/>
  <c r="AO101"/>
  <c r="AN101"/>
  <c r="AM101"/>
  <c r="AL101"/>
  <c r="AK101"/>
  <c r="AJ101"/>
  <c r="AI101"/>
  <c r="AH101"/>
  <c r="AV7"/>
  <c r="AU7"/>
  <c r="AT7"/>
  <c r="AS7"/>
  <c r="AR7"/>
  <c r="AQ7"/>
  <c r="AP7"/>
  <c r="AO7"/>
  <c r="AN7"/>
  <c r="AM7"/>
  <c r="AL7"/>
  <c r="AK7"/>
  <c r="AJ7"/>
  <c r="AI7"/>
  <c r="AH7"/>
  <c r="AV6"/>
  <c r="AU6"/>
  <c r="AT6"/>
  <c r="AS6"/>
  <c r="AR6"/>
  <c r="AQ6"/>
  <c r="AP6"/>
  <c r="AO6"/>
  <c r="AN6"/>
  <c r="AM6"/>
  <c r="AL6"/>
  <c r="AK6"/>
  <c r="AJ6"/>
  <c r="AI6"/>
  <c r="AH6"/>
  <c r="AV5"/>
  <c r="D35" i="108" s="1"/>
  <c r="AU5" i="113"/>
  <c r="D34" i="108" s="1"/>
  <c r="AT5" i="113"/>
  <c r="D33" i="108" s="1"/>
  <c r="AS5" i="113"/>
  <c r="D32" i="108" s="1"/>
  <c r="AR5" i="113"/>
  <c r="D31" i="108" s="1"/>
  <c r="AQ5" i="113"/>
  <c r="D30" i="108" s="1"/>
  <c r="AP5" i="113"/>
  <c r="D29" i="108" s="1"/>
  <c r="AO5" i="113"/>
  <c r="D28" i="108" s="1"/>
  <c r="AN5" i="113"/>
  <c r="D27" i="108" s="1"/>
  <c r="AM5" i="113"/>
  <c r="D26" i="108" s="1"/>
  <c r="AL5" i="113"/>
  <c r="D25" i="108" s="1"/>
  <c r="AK5" i="113"/>
  <c r="D24" i="108" s="1"/>
  <c r="AJ5" i="113"/>
  <c r="D23" i="108" s="1"/>
  <c r="AI5" i="113"/>
  <c r="D22" i="108" s="1"/>
  <c r="AH5" i="113"/>
  <c r="D21" i="108" s="1"/>
  <c r="B2" l="1"/>
  <c r="AV131" i="109"/>
  <c r="AU131"/>
  <c r="AT131"/>
  <c r="AS131"/>
  <c r="AR131"/>
  <c r="AQ131"/>
  <c r="AP131"/>
  <c r="AO131"/>
  <c r="AN131"/>
  <c r="AM131"/>
  <c r="AL131"/>
  <c r="AK131"/>
  <c r="AJ131"/>
  <c r="AI131"/>
  <c r="AH131"/>
  <c r="AV130"/>
  <c r="AU130"/>
  <c r="AT130"/>
  <c r="AS130"/>
  <c r="AR130"/>
  <c r="AQ130"/>
  <c r="AP130"/>
  <c r="AO130"/>
  <c r="AN130"/>
  <c r="AM130"/>
  <c r="AL130"/>
  <c r="AK130"/>
  <c r="AJ130"/>
  <c r="AI130"/>
  <c r="AH130"/>
  <c r="AV129"/>
  <c r="AU129"/>
  <c r="AT129"/>
  <c r="AS129"/>
  <c r="AR129"/>
  <c r="AQ129"/>
  <c r="AP129"/>
  <c r="AO129"/>
  <c r="AN129"/>
  <c r="AM129"/>
  <c r="AL129"/>
  <c r="AK129"/>
  <c r="AJ129"/>
  <c r="AI129"/>
  <c r="AH129"/>
  <c r="AV128"/>
  <c r="AU128"/>
  <c r="AT128"/>
  <c r="AS128"/>
  <c r="AR128"/>
  <c r="AQ128"/>
  <c r="AP128"/>
  <c r="AO128"/>
  <c r="AN128"/>
  <c r="AM128"/>
  <c r="AL128"/>
  <c r="AK128"/>
  <c r="AJ128"/>
  <c r="AI128"/>
  <c r="AH128"/>
  <c r="AV127"/>
  <c r="AU127"/>
  <c r="AT127"/>
  <c r="AS127"/>
  <c r="AR127"/>
  <c r="AQ127"/>
  <c r="AP127"/>
  <c r="AO127"/>
  <c r="AN127"/>
  <c r="AM127"/>
  <c r="AL127"/>
  <c r="AK127"/>
  <c r="AJ127"/>
  <c r="AI127"/>
  <c r="AH127"/>
  <c r="AV100"/>
  <c r="AU100"/>
  <c r="AT100"/>
  <c r="AS100"/>
  <c r="AR100"/>
  <c r="AQ100"/>
  <c r="AP100"/>
  <c r="AO100"/>
  <c r="AN100"/>
  <c r="AM100"/>
  <c r="AL100"/>
  <c r="AK100"/>
  <c r="AJ100"/>
  <c r="AI100"/>
  <c r="AH100"/>
  <c r="AV99"/>
  <c r="AU99"/>
  <c r="AT99"/>
  <c r="AS99"/>
  <c r="AR99"/>
  <c r="AQ99"/>
  <c r="AP99"/>
  <c r="AO99"/>
  <c r="AN99"/>
  <c r="AM99"/>
  <c r="AL99"/>
  <c r="AK99"/>
  <c r="AJ99"/>
  <c r="AI99"/>
  <c r="AH99"/>
  <c r="AV98"/>
  <c r="AU98"/>
  <c r="AT98"/>
  <c r="AS98"/>
  <c r="AR98"/>
  <c r="AQ98"/>
  <c r="AP98"/>
  <c r="AO98"/>
  <c r="AN98"/>
  <c r="AM98"/>
  <c r="AL98"/>
  <c r="AK98"/>
  <c r="AJ98"/>
  <c r="AI98"/>
  <c r="AH98"/>
  <c r="AV125"/>
  <c r="AU125"/>
  <c r="AT125"/>
  <c r="AS125"/>
  <c r="AR125"/>
  <c r="AQ125"/>
  <c r="AP125"/>
  <c r="AO125"/>
  <c r="AN125"/>
  <c r="AM125"/>
  <c r="AL125"/>
  <c r="AK125"/>
  <c r="AJ125"/>
  <c r="AI125"/>
  <c r="AH125"/>
  <c r="AV124"/>
  <c r="AU124"/>
  <c r="AT124"/>
  <c r="AS124"/>
  <c r="AR124"/>
  <c r="AQ124"/>
  <c r="AP124"/>
  <c r="AO124"/>
  <c r="AN124"/>
  <c r="AM124"/>
  <c r="AL124"/>
  <c r="AK124"/>
  <c r="AJ124"/>
  <c r="AI124"/>
  <c r="AH124"/>
  <c r="AV97"/>
  <c r="AU97"/>
  <c r="AT97"/>
  <c r="AS97"/>
  <c r="AR97"/>
  <c r="AQ97"/>
  <c r="AP97"/>
  <c r="AO97"/>
  <c r="AN97"/>
  <c r="AM97"/>
  <c r="AL97"/>
  <c r="AK97"/>
  <c r="AJ97"/>
  <c r="AI97"/>
  <c r="AH97"/>
  <c r="AV96"/>
  <c r="AU96"/>
  <c r="AT96"/>
  <c r="AS96"/>
  <c r="AR96"/>
  <c r="AQ96"/>
  <c r="AP96"/>
  <c r="AO96"/>
  <c r="AN96"/>
  <c r="AM96"/>
  <c r="AL96"/>
  <c r="AK96"/>
  <c r="AJ96"/>
  <c r="AI96"/>
  <c r="AH96"/>
  <c r="AV95"/>
  <c r="AU95"/>
  <c r="AT95"/>
  <c r="AS95"/>
  <c r="AR95"/>
  <c r="AQ95"/>
  <c r="AP95"/>
  <c r="AO95"/>
  <c r="AN95"/>
  <c r="AM95"/>
  <c r="AL95"/>
  <c r="AK95"/>
  <c r="AJ95"/>
  <c r="AI95"/>
  <c r="AH95"/>
  <c r="AV123"/>
  <c r="AU123"/>
  <c r="AT123"/>
  <c r="AS123"/>
  <c r="AR123"/>
  <c r="AQ123"/>
  <c r="AP123"/>
  <c r="AO123"/>
  <c r="AN123"/>
  <c r="AM123"/>
  <c r="AL123"/>
  <c r="AK123"/>
  <c r="AJ123"/>
  <c r="AI123"/>
  <c r="AH123"/>
  <c r="AV94"/>
  <c r="AU94"/>
  <c r="AT94"/>
  <c r="AS94"/>
  <c r="AR94"/>
  <c r="AQ94"/>
  <c r="AP94"/>
  <c r="AO94"/>
  <c r="AN94"/>
  <c r="AM94"/>
  <c r="AL94"/>
  <c r="AK94"/>
  <c r="AJ94"/>
  <c r="AI94"/>
  <c r="AH94"/>
  <c r="AV93"/>
  <c r="AU93"/>
  <c r="AT93"/>
  <c r="AS93"/>
  <c r="AR93"/>
  <c r="AQ93"/>
  <c r="AP93"/>
  <c r="AO93"/>
  <c r="AN93"/>
  <c r="AM93"/>
  <c r="AL93"/>
  <c r="AK93"/>
  <c r="AJ93"/>
  <c r="AI93"/>
  <c r="AH93"/>
  <c r="AV92"/>
  <c r="AU92"/>
  <c r="AT92"/>
  <c r="AS92"/>
  <c r="AR92"/>
  <c r="AQ92"/>
  <c r="AP92"/>
  <c r="AO92"/>
  <c r="AN92"/>
  <c r="AM92"/>
  <c r="AL92"/>
  <c r="AK92"/>
  <c r="AJ92"/>
  <c r="AI92"/>
  <c r="AH92"/>
  <c r="AV122"/>
  <c r="AU122"/>
  <c r="AT122"/>
  <c r="AS122"/>
  <c r="AR122"/>
  <c r="AQ122"/>
  <c r="AP122"/>
  <c r="AO122"/>
  <c r="AN122"/>
  <c r="AM122"/>
  <c r="AL122"/>
  <c r="AK122"/>
  <c r="AJ122"/>
  <c r="AI122"/>
  <c r="AH122"/>
  <c r="AV91"/>
  <c r="AU91"/>
  <c r="AT91"/>
  <c r="AS91"/>
  <c r="AR91"/>
  <c r="AQ91"/>
  <c r="AP91"/>
  <c r="AO91"/>
  <c r="AN91"/>
  <c r="AM91"/>
  <c r="AL91"/>
  <c r="AK91"/>
  <c r="AJ91"/>
  <c r="AI91"/>
  <c r="AH91"/>
  <c r="AV90"/>
  <c r="AU90"/>
  <c r="AT90"/>
  <c r="AS90"/>
  <c r="AR90"/>
  <c r="AQ90"/>
  <c r="AP90"/>
  <c r="AO90"/>
  <c r="AN90"/>
  <c r="AM90"/>
  <c r="AL90"/>
  <c r="AK90"/>
  <c r="AJ90"/>
  <c r="AI90"/>
  <c r="AH90"/>
  <c r="AV89"/>
  <c r="AU89"/>
  <c r="AT89"/>
  <c r="AS89"/>
  <c r="AR89"/>
  <c r="AQ89"/>
  <c r="AP89"/>
  <c r="AO89"/>
  <c r="AN89"/>
  <c r="AM89"/>
  <c r="AL89"/>
  <c r="AK89"/>
  <c r="AJ89"/>
  <c r="AI89"/>
  <c r="AH89"/>
  <c r="AV88"/>
  <c r="AU88"/>
  <c r="AT88"/>
  <c r="AS88"/>
  <c r="AR88"/>
  <c r="AQ88"/>
  <c r="AP88"/>
  <c r="AO88"/>
  <c r="AN88"/>
  <c r="AM88"/>
  <c r="AL88"/>
  <c r="AK88"/>
  <c r="AJ88"/>
  <c r="AI88"/>
  <c r="AH88"/>
  <c r="AV87"/>
  <c r="AU87"/>
  <c r="AT87"/>
  <c r="AS87"/>
  <c r="AR87"/>
  <c r="AQ87"/>
  <c r="AP87"/>
  <c r="AO87"/>
  <c r="AN87"/>
  <c r="AM87"/>
  <c r="AL87"/>
  <c r="AK87"/>
  <c r="AJ87"/>
  <c r="AI87"/>
  <c r="AH87"/>
  <c r="AV86"/>
  <c r="AU86"/>
  <c r="AT86"/>
  <c r="AS86"/>
  <c r="AR86"/>
  <c r="AQ86"/>
  <c r="AP86"/>
  <c r="AO86"/>
  <c r="AN86"/>
  <c r="AM86"/>
  <c r="AL86"/>
  <c r="AK86"/>
  <c r="AJ86"/>
  <c r="AI86"/>
  <c r="AH86"/>
  <c r="AV85"/>
  <c r="AU85"/>
  <c r="AT85"/>
  <c r="AS85"/>
  <c r="AR85"/>
  <c r="AQ85"/>
  <c r="AP85"/>
  <c r="AO85"/>
  <c r="AN85"/>
  <c r="AM85"/>
  <c r="AL85"/>
  <c r="AK85"/>
  <c r="AJ85"/>
  <c r="AI85"/>
  <c r="AH85"/>
  <c r="AV84"/>
  <c r="AU84"/>
  <c r="AT84"/>
  <c r="AS84"/>
  <c r="AR84"/>
  <c r="AQ84"/>
  <c r="AP84"/>
  <c r="AO84"/>
  <c r="AN84"/>
  <c r="AM84"/>
  <c r="AL84"/>
  <c r="AK84"/>
  <c r="AJ84"/>
  <c r="AI84"/>
  <c r="AH84"/>
  <c r="AV83"/>
  <c r="AU83"/>
  <c r="AT83"/>
  <c r="AS83"/>
  <c r="AR83"/>
  <c r="AQ83"/>
  <c r="AP83"/>
  <c r="AO83"/>
  <c r="AN83"/>
  <c r="AM83"/>
  <c r="AL83"/>
  <c r="AK83"/>
  <c r="AJ83"/>
  <c r="AI83"/>
  <c r="AH83"/>
  <c r="AV82"/>
  <c r="AU82"/>
  <c r="AT82"/>
  <c r="AS82"/>
  <c r="AR82"/>
  <c r="AQ82"/>
  <c r="AP82"/>
  <c r="AO82"/>
  <c r="AN82"/>
  <c r="AM82"/>
  <c r="AL82"/>
  <c r="AK82"/>
  <c r="AJ82"/>
  <c r="AI82"/>
  <c r="AH82"/>
  <c r="AV121"/>
  <c r="AU121"/>
  <c r="AT121"/>
  <c r="AS121"/>
  <c r="AR121"/>
  <c r="AQ121"/>
  <c r="AP121"/>
  <c r="AO121"/>
  <c r="AN121"/>
  <c r="AM121"/>
  <c r="AL121"/>
  <c r="AK121"/>
  <c r="AJ121"/>
  <c r="AI121"/>
  <c r="AH121"/>
  <c r="AV81"/>
  <c r="AU81"/>
  <c r="AT81"/>
  <c r="AS81"/>
  <c r="AR81"/>
  <c r="AQ81"/>
  <c r="AP81"/>
  <c r="AO81"/>
  <c r="AN81"/>
  <c r="AM81"/>
  <c r="AL81"/>
  <c r="AK81"/>
  <c r="AJ81"/>
  <c r="AI81"/>
  <c r="AH81"/>
  <c r="AV120"/>
  <c r="AU120"/>
  <c r="AT120"/>
  <c r="AS120"/>
  <c r="AR120"/>
  <c r="AQ120"/>
  <c r="AP120"/>
  <c r="AO120"/>
  <c r="AN120"/>
  <c r="AM120"/>
  <c r="AL120"/>
  <c r="AK120"/>
  <c r="AJ120"/>
  <c r="AI120"/>
  <c r="AH120"/>
  <c r="AV80"/>
  <c r="AU80"/>
  <c r="AT80"/>
  <c r="AS80"/>
  <c r="AR80"/>
  <c r="AQ80"/>
  <c r="AP80"/>
  <c r="AO80"/>
  <c r="AN80"/>
  <c r="AM80"/>
  <c r="AL80"/>
  <c r="AK80"/>
  <c r="AJ80"/>
  <c r="AI80"/>
  <c r="AH80"/>
  <c r="AV119"/>
  <c r="AU119"/>
  <c r="AT119"/>
  <c r="AS119"/>
  <c r="AR119"/>
  <c r="AQ119"/>
  <c r="AP119"/>
  <c r="AO119"/>
  <c r="AN119"/>
  <c r="AM119"/>
  <c r="AL119"/>
  <c r="AK119"/>
  <c r="AJ119"/>
  <c r="AI119"/>
  <c r="AH119"/>
  <c r="AV79"/>
  <c r="AU79"/>
  <c r="AT79"/>
  <c r="AS79"/>
  <c r="AR79"/>
  <c r="AQ79"/>
  <c r="AP79"/>
  <c r="AO79"/>
  <c r="AN79"/>
  <c r="AM79"/>
  <c r="AL79"/>
  <c r="AK79"/>
  <c r="AJ79"/>
  <c r="AI79"/>
  <c r="AH79"/>
  <c r="AV78"/>
  <c r="AU78"/>
  <c r="AT78"/>
  <c r="AS78"/>
  <c r="AR78"/>
  <c r="AQ78"/>
  <c r="AP78"/>
  <c r="AO78"/>
  <c r="AN78"/>
  <c r="AM78"/>
  <c r="AL78"/>
  <c r="AK78"/>
  <c r="AJ78"/>
  <c r="AI78"/>
  <c r="AH78"/>
  <c r="AV77"/>
  <c r="AU77"/>
  <c r="AT77"/>
  <c r="AS77"/>
  <c r="AR77"/>
  <c r="AQ77"/>
  <c r="AP77"/>
  <c r="AO77"/>
  <c r="AN77"/>
  <c r="AM77"/>
  <c r="AL77"/>
  <c r="AK77"/>
  <c r="AJ77"/>
  <c r="AI77"/>
  <c r="AH77"/>
  <c r="AV76"/>
  <c r="AU76"/>
  <c r="AT76"/>
  <c r="AS76"/>
  <c r="AR76"/>
  <c r="AQ76"/>
  <c r="AP76"/>
  <c r="AO76"/>
  <c r="AN76"/>
  <c r="AM76"/>
  <c r="AL76"/>
  <c r="AK76"/>
  <c r="AJ76"/>
  <c r="AI76"/>
  <c r="AH76"/>
  <c r="AV75"/>
  <c r="AU75"/>
  <c r="AT75"/>
  <c r="AS75"/>
  <c r="AR75"/>
  <c r="AQ75"/>
  <c r="AP75"/>
  <c r="AO75"/>
  <c r="AN75"/>
  <c r="AM75"/>
  <c r="AL75"/>
  <c r="AK75"/>
  <c r="AJ75"/>
  <c r="AI75"/>
  <c r="AH75"/>
  <c r="AV118"/>
  <c r="AU118"/>
  <c r="AT118"/>
  <c r="AS118"/>
  <c r="AR118"/>
  <c r="AQ118"/>
  <c r="AP118"/>
  <c r="AO118"/>
  <c r="AN118"/>
  <c r="AM118"/>
  <c r="AL118"/>
  <c r="AK118"/>
  <c r="AJ118"/>
  <c r="AI118"/>
  <c r="AH118"/>
  <c r="AV74"/>
  <c r="AU74"/>
  <c r="AT74"/>
  <c r="AS74"/>
  <c r="AR74"/>
  <c r="AQ74"/>
  <c r="AP74"/>
  <c r="AO74"/>
  <c r="AN74"/>
  <c r="AM74"/>
  <c r="AL74"/>
  <c r="AK74"/>
  <c r="AJ74"/>
  <c r="AI74"/>
  <c r="AH74"/>
  <c r="AV117"/>
  <c r="AU117"/>
  <c r="AT117"/>
  <c r="AS117"/>
  <c r="AR117"/>
  <c r="AQ117"/>
  <c r="AP117"/>
  <c r="AO117"/>
  <c r="AN117"/>
  <c r="AM117"/>
  <c r="AL117"/>
  <c r="AK117"/>
  <c r="AJ117"/>
  <c r="AI117"/>
  <c r="AH117"/>
  <c r="AV73"/>
  <c r="AU73"/>
  <c r="AT73"/>
  <c r="AS73"/>
  <c r="AR73"/>
  <c r="AQ73"/>
  <c r="AP73"/>
  <c r="AO73"/>
  <c r="AN73"/>
  <c r="AM73"/>
  <c r="AL73"/>
  <c r="AK73"/>
  <c r="AJ73"/>
  <c r="AI73"/>
  <c r="AH73"/>
  <c r="AV72"/>
  <c r="AU72"/>
  <c r="AT72"/>
  <c r="AS72"/>
  <c r="AR72"/>
  <c r="AQ72"/>
  <c r="AP72"/>
  <c r="AO72"/>
  <c r="AN72"/>
  <c r="AM72"/>
  <c r="AL72"/>
  <c r="AK72"/>
  <c r="AJ72"/>
  <c r="AI72"/>
  <c r="AH72"/>
  <c r="AV71"/>
  <c r="AU71"/>
  <c r="AT71"/>
  <c r="AS71"/>
  <c r="AR71"/>
  <c r="AQ71"/>
  <c r="AP71"/>
  <c r="AO71"/>
  <c r="AN71"/>
  <c r="AM71"/>
  <c r="AL71"/>
  <c r="AK71"/>
  <c r="AJ71"/>
  <c r="AI71"/>
  <c r="AH71"/>
  <c r="AV70"/>
  <c r="AU70"/>
  <c r="AT70"/>
  <c r="AS70"/>
  <c r="AR70"/>
  <c r="AQ70"/>
  <c r="AP70"/>
  <c r="AO70"/>
  <c r="AN70"/>
  <c r="AM70"/>
  <c r="AL70"/>
  <c r="AK70"/>
  <c r="AJ70"/>
  <c r="AI70"/>
  <c r="AH70"/>
  <c r="AV116"/>
  <c r="AU116"/>
  <c r="AT116"/>
  <c r="AS116"/>
  <c r="AR116"/>
  <c r="AQ116"/>
  <c r="AP116"/>
  <c r="AO116"/>
  <c r="AN116"/>
  <c r="AM116"/>
  <c r="AL116"/>
  <c r="AK116"/>
  <c r="AJ116"/>
  <c r="AI116"/>
  <c r="AH116"/>
  <c r="AV69"/>
  <c r="AU69"/>
  <c r="AT69"/>
  <c r="AS69"/>
  <c r="AR69"/>
  <c r="AQ69"/>
  <c r="AP69"/>
  <c r="AO69"/>
  <c r="AN69"/>
  <c r="AM69"/>
  <c r="AL69"/>
  <c r="AK69"/>
  <c r="AJ69"/>
  <c r="AI69"/>
  <c r="AH69"/>
  <c r="AV68"/>
  <c r="AU68"/>
  <c r="AT68"/>
  <c r="AS68"/>
  <c r="AR68"/>
  <c r="AQ68"/>
  <c r="AP68"/>
  <c r="AO68"/>
  <c r="AN68"/>
  <c r="AM68"/>
  <c r="AL68"/>
  <c r="AK68"/>
  <c r="AJ68"/>
  <c r="AI68"/>
  <c r="AH68"/>
  <c r="AV115"/>
  <c r="AU115"/>
  <c r="AT115"/>
  <c r="AS115"/>
  <c r="AR115"/>
  <c r="AQ115"/>
  <c r="AP115"/>
  <c r="AO115"/>
  <c r="AN115"/>
  <c r="AM115"/>
  <c r="AL115"/>
  <c r="AK115"/>
  <c r="AJ115"/>
  <c r="AI115"/>
  <c r="AH115"/>
  <c r="AV114"/>
  <c r="AU114"/>
  <c r="AT114"/>
  <c r="AS114"/>
  <c r="AR114"/>
  <c r="AQ114"/>
  <c r="AP114"/>
  <c r="AO114"/>
  <c r="AN114"/>
  <c r="AM114"/>
  <c r="AL114"/>
  <c r="AK114"/>
  <c r="AJ114"/>
  <c r="AI114"/>
  <c r="AH114"/>
  <c r="AV67"/>
  <c r="AU67"/>
  <c r="AT67"/>
  <c r="AS67"/>
  <c r="AR67"/>
  <c r="AQ67"/>
  <c r="AP67"/>
  <c r="AO67"/>
  <c r="AN67"/>
  <c r="AM67"/>
  <c r="AL67"/>
  <c r="AK67"/>
  <c r="AJ67"/>
  <c r="AI67"/>
  <c r="AH67"/>
  <c r="AV66"/>
  <c r="AU66"/>
  <c r="AT66"/>
  <c r="AS66"/>
  <c r="AR66"/>
  <c r="AQ66"/>
  <c r="AP66"/>
  <c r="AO66"/>
  <c r="AN66"/>
  <c r="AM66"/>
  <c r="AL66"/>
  <c r="AK66"/>
  <c r="AJ66"/>
  <c r="AI66"/>
  <c r="AH66"/>
  <c r="AV65"/>
  <c r="AU65"/>
  <c r="AT65"/>
  <c r="AS65"/>
  <c r="AR65"/>
  <c r="AQ65"/>
  <c r="AP65"/>
  <c r="AO65"/>
  <c r="AN65"/>
  <c r="AM65"/>
  <c r="AL65"/>
  <c r="AK65"/>
  <c r="AJ65"/>
  <c r="AI65"/>
  <c r="AH65"/>
  <c r="AV64"/>
  <c r="AU64"/>
  <c r="AT64"/>
  <c r="AS64"/>
  <c r="AR64"/>
  <c r="AQ64"/>
  <c r="AP64"/>
  <c r="AO64"/>
  <c r="AN64"/>
  <c r="AM64"/>
  <c r="AL64"/>
  <c r="AK64"/>
  <c r="AJ64"/>
  <c r="AI64"/>
  <c r="AH64"/>
  <c r="AV63"/>
  <c r="AU63"/>
  <c r="AT63"/>
  <c r="AS63"/>
  <c r="AR63"/>
  <c r="AQ63"/>
  <c r="AP63"/>
  <c r="AO63"/>
  <c r="AN63"/>
  <c r="AM63"/>
  <c r="AL63"/>
  <c r="AK63"/>
  <c r="AJ63"/>
  <c r="AI63"/>
  <c r="AH63"/>
  <c r="AV62"/>
  <c r="AU62"/>
  <c r="AT62"/>
  <c r="AS62"/>
  <c r="AR62"/>
  <c r="AQ62"/>
  <c r="AP62"/>
  <c r="AO62"/>
  <c r="AN62"/>
  <c r="AM62"/>
  <c r="AL62"/>
  <c r="AK62"/>
  <c r="AJ62"/>
  <c r="AI62"/>
  <c r="AH62"/>
  <c r="AV113"/>
  <c r="AU113"/>
  <c r="AT113"/>
  <c r="AS113"/>
  <c r="AR113"/>
  <c r="AQ113"/>
  <c r="AP113"/>
  <c r="AO113"/>
  <c r="AN113"/>
  <c r="AM113"/>
  <c r="AL113"/>
  <c r="AK113"/>
  <c r="AJ113"/>
  <c r="AI113"/>
  <c r="AH113"/>
  <c r="AV112"/>
  <c r="AU112"/>
  <c r="AT112"/>
  <c r="AS112"/>
  <c r="AR112"/>
  <c r="AQ112"/>
  <c r="AP112"/>
  <c r="AO112"/>
  <c r="AN112"/>
  <c r="AM112"/>
  <c r="AL112"/>
  <c r="AK112"/>
  <c r="AJ112"/>
  <c r="AI112"/>
  <c r="AH112"/>
  <c r="AV61"/>
  <c r="AU61"/>
  <c r="AT61"/>
  <c r="AS61"/>
  <c r="AR61"/>
  <c r="AQ61"/>
  <c r="AP61"/>
  <c r="AO61"/>
  <c r="AN61"/>
  <c r="AM61"/>
  <c r="AL61"/>
  <c r="AK61"/>
  <c r="AJ61"/>
  <c r="AI61"/>
  <c r="AH61"/>
  <c r="AV111"/>
  <c r="AU111"/>
  <c r="AT111"/>
  <c r="AS111"/>
  <c r="AR111"/>
  <c r="AQ111"/>
  <c r="AP111"/>
  <c r="AO111"/>
  <c r="AN111"/>
  <c r="AM111"/>
  <c r="AL111"/>
  <c r="AK111"/>
  <c r="AJ111"/>
  <c r="AI111"/>
  <c r="AH111"/>
  <c r="AV60"/>
  <c r="AU60"/>
  <c r="AT60"/>
  <c r="AS60"/>
  <c r="AR60"/>
  <c r="AQ60"/>
  <c r="AP60"/>
  <c r="AO60"/>
  <c r="AN60"/>
  <c r="AM60"/>
  <c r="AL60"/>
  <c r="AK60"/>
  <c r="AJ60"/>
  <c r="AI60"/>
  <c r="AH60"/>
  <c r="AV59"/>
  <c r="AU59"/>
  <c r="AT59"/>
  <c r="AS59"/>
  <c r="AR59"/>
  <c r="AQ59"/>
  <c r="AP59"/>
  <c r="AO59"/>
  <c r="AN59"/>
  <c r="AM59"/>
  <c r="AL59"/>
  <c r="AK59"/>
  <c r="AJ59"/>
  <c r="AI59"/>
  <c r="AH59"/>
  <c r="AV58"/>
  <c r="AU58"/>
  <c r="AT58"/>
  <c r="AS58"/>
  <c r="AR58"/>
  <c r="AQ58"/>
  <c r="AP58"/>
  <c r="AO58"/>
  <c r="AN58"/>
  <c r="AM58"/>
  <c r="AL58"/>
  <c r="AK58"/>
  <c r="AJ58"/>
  <c r="AI58"/>
  <c r="AH58"/>
  <c r="AV57"/>
  <c r="AU57"/>
  <c r="AT57"/>
  <c r="AS57"/>
  <c r="AR57"/>
  <c r="AQ57"/>
  <c r="AP57"/>
  <c r="AO57"/>
  <c r="AN57"/>
  <c r="AM57"/>
  <c r="AL57"/>
  <c r="AK57"/>
  <c r="AJ57"/>
  <c r="AI57"/>
  <c r="AH57"/>
  <c r="AV56"/>
  <c r="AU56"/>
  <c r="AT56"/>
  <c r="AS56"/>
  <c r="AR56"/>
  <c r="AQ56"/>
  <c r="AP56"/>
  <c r="AO56"/>
  <c r="AN56"/>
  <c r="AM56"/>
  <c r="AL56"/>
  <c r="AK56"/>
  <c r="AJ56"/>
  <c r="AI56"/>
  <c r="AH56"/>
  <c r="AV55"/>
  <c r="AU55"/>
  <c r="AT55"/>
  <c r="AS55"/>
  <c r="AR55"/>
  <c r="AQ55"/>
  <c r="AP55"/>
  <c r="AO55"/>
  <c r="AN55"/>
  <c r="AM55"/>
  <c r="AL55"/>
  <c r="AK55"/>
  <c r="AJ55"/>
  <c r="AI55"/>
  <c r="AH55"/>
  <c r="AV54"/>
  <c r="AU54"/>
  <c r="AT54"/>
  <c r="AS54"/>
  <c r="AR54"/>
  <c r="AQ54"/>
  <c r="AP54"/>
  <c r="AO54"/>
  <c r="AN54"/>
  <c r="AM54"/>
  <c r="AL54"/>
  <c r="AK54"/>
  <c r="AJ54"/>
  <c r="AI54"/>
  <c r="AH54"/>
  <c r="AV53"/>
  <c r="AU53"/>
  <c r="AT53"/>
  <c r="AS53"/>
  <c r="AR53"/>
  <c r="AQ53"/>
  <c r="AP53"/>
  <c r="AO53"/>
  <c r="AN53"/>
  <c r="AM53"/>
  <c r="AL53"/>
  <c r="AK53"/>
  <c r="AJ53"/>
  <c r="AI53"/>
  <c r="AH53"/>
  <c r="AV52"/>
  <c r="AU52"/>
  <c r="AT52"/>
  <c r="AS52"/>
  <c r="AR52"/>
  <c r="AQ52"/>
  <c r="AP52"/>
  <c r="AO52"/>
  <c r="AN52"/>
  <c r="AM52"/>
  <c r="AL52"/>
  <c r="AK52"/>
  <c r="AJ52"/>
  <c r="AI52"/>
  <c r="AH52"/>
  <c r="AV51"/>
  <c r="AU51"/>
  <c r="AT51"/>
  <c r="AS51"/>
  <c r="AR51"/>
  <c r="AQ51"/>
  <c r="AP51"/>
  <c r="AO51"/>
  <c r="AN51"/>
  <c r="AM51"/>
  <c r="AL51"/>
  <c r="AK51"/>
  <c r="AJ51"/>
  <c r="AI51"/>
  <c r="AH51"/>
  <c r="AV110"/>
  <c r="AU110"/>
  <c r="AT110"/>
  <c r="AS110"/>
  <c r="AR110"/>
  <c r="AQ110"/>
  <c r="AP110"/>
  <c r="AO110"/>
  <c r="AN110"/>
  <c r="AM110"/>
  <c r="AL110"/>
  <c r="AK110"/>
  <c r="AJ110"/>
  <c r="AI110"/>
  <c r="AH110"/>
  <c r="AV50"/>
  <c r="AU50"/>
  <c r="AT50"/>
  <c r="AS50"/>
  <c r="AR50"/>
  <c r="AQ50"/>
  <c r="AP50"/>
  <c r="AO50"/>
  <c r="AN50"/>
  <c r="AM50"/>
  <c r="AL50"/>
  <c r="AK50"/>
  <c r="AJ50"/>
  <c r="AI50"/>
  <c r="AH50"/>
  <c r="AV49"/>
  <c r="AU49"/>
  <c r="AT49"/>
  <c r="AS49"/>
  <c r="AR49"/>
  <c r="AQ49"/>
  <c r="AP49"/>
  <c r="AO49"/>
  <c r="AN49"/>
  <c r="AM49"/>
  <c r="AL49"/>
  <c r="AK49"/>
  <c r="AJ49"/>
  <c r="AI49"/>
  <c r="AH49"/>
  <c r="AV48"/>
  <c r="AU48"/>
  <c r="AT48"/>
  <c r="AS48"/>
  <c r="AR48"/>
  <c r="AQ48"/>
  <c r="AP48"/>
  <c r="AO48"/>
  <c r="AN48"/>
  <c r="AM48"/>
  <c r="AL48"/>
  <c r="AK48"/>
  <c r="AJ48"/>
  <c r="AI48"/>
  <c r="AH48"/>
  <c r="AV47"/>
  <c r="AU47"/>
  <c r="AT47"/>
  <c r="AS47"/>
  <c r="AR47"/>
  <c r="AQ47"/>
  <c r="AP47"/>
  <c r="AO47"/>
  <c r="AN47"/>
  <c r="AM47"/>
  <c r="AL47"/>
  <c r="AK47"/>
  <c r="AJ47"/>
  <c r="AI47"/>
  <c r="AH47"/>
  <c r="AV109"/>
  <c r="AU109"/>
  <c r="AT109"/>
  <c r="AS109"/>
  <c r="AR109"/>
  <c r="AQ109"/>
  <c r="AP109"/>
  <c r="AO109"/>
  <c r="AN109"/>
  <c r="AM109"/>
  <c r="AL109"/>
  <c r="AK109"/>
  <c r="AJ109"/>
  <c r="AI109"/>
  <c r="AH109"/>
  <c r="AV46"/>
  <c r="AU46"/>
  <c r="AT46"/>
  <c r="AS46"/>
  <c r="AR46"/>
  <c r="AQ46"/>
  <c r="AP46"/>
  <c r="AO46"/>
  <c r="AN46"/>
  <c r="AM46"/>
  <c r="AL46"/>
  <c r="AK46"/>
  <c r="AJ46"/>
  <c r="AI46"/>
  <c r="AH46"/>
  <c r="AV45"/>
  <c r="AU45"/>
  <c r="AT45"/>
  <c r="AS45"/>
  <c r="AR45"/>
  <c r="AQ45"/>
  <c r="AP45"/>
  <c r="AO45"/>
  <c r="AN45"/>
  <c r="AM45"/>
  <c r="AL45"/>
  <c r="AK45"/>
  <c r="AJ45"/>
  <c r="AI45"/>
  <c r="AH45"/>
  <c r="AV44"/>
  <c r="AU44"/>
  <c r="AT44"/>
  <c r="AS44"/>
  <c r="AR44"/>
  <c r="AQ44"/>
  <c r="AP44"/>
  <c r="AO44"/>
  <c r="AN44"/>
  <c r="AM44"/>
  <c r="AL44"/>
  <c r="AK44"/>
  <c r="AJ44"/>
  <c r="AI44"/>
  <c r="AH44"/>
  <c r="AV43"/>
  <c r="AU43"/>
  <c r="AT43"/>
  <c r="AS43"/>
  <c r="AR43"/>
  <c r="AQ43"/>
  <c r="AP43"/>
  <c r="AO43"/>
  <c r="AN43"/>
  <c r="AM43"/>
  <c r="AL43"/>
  <c r="AK43"/>
  <c r="AJ43"/>
  <c r="AI43"/>
  <c r="AH43"/>
  <c r="AV42"/>
  <c r="AU42"/>
  <c r="AT42"/>
  <c r="AS42"/>
  <c r="AR42"/>
  <c r="AQ42"/>
  <c r="AP42"/>
  <c r="AO42"/>
  <c r="AN42"/>
  <c r="AM42"/>
  <c r="AL42"/>
  <c r="AK42"/>
  <c r="AJ42"/>
  <c r="AI42"/>
  <c r="AH42"/>
  <c r="AV41"/>
  <c r="AU41"/>
  <c r="AT41"/>
  <c r="AS41"/>
  <c r="AR41"/>
  <c r="AQ41"/>
  <c r="AP41"/>
  <c r="AO41"/>
  <c r="AN41"/>
  <c r="AM41"/>
  <c r="AL41"/>
  <c r="AK41"/>
  <c r="AJ41"/>
  <c r="AI41"/>
  <c r="AH41"/>
  <c r="AV40"/>
  <c r="AU40"/>
  <c r="AT40"/>
  <c r="AS40"/>
  <c r="AR40"/>
  <c r="AQ40"/>
  <c r="AP40"/>
  <c r="AO40"/>
  <c r="AN40"/>
  <c r="AM40"/>
  <c r="AL40"/>
  <c r="AK40"/>
  <c r="AJ40"/>
  <c r="AI40"/>
  <c r="AH40"/>
  <c r="AV108"/>
  <c r="AU108"/>
  <c r="AT108"/>
  <c r="AS108"/>
  <c r="AR108"/>
  <c r="AQ108"/>
  <c r="AP108"/>
  <c r="AO108"/>
  <c r="AN108"/>
  <c r="AM108"/>
  <c r="AL108"/>
  <c r="AK108"/>
  <c r="AJ108"/>
  <c r="AI108"/>
  <c r="AH108"/>
  <c r="AV107"/>
  <c r="AU107"/>
  <c r="AT107"/>
  <c r="AS107"/>
  <c r="AR107"/>
  <c r="AQ107"/>
  <c r="AP107"/>
  <c r="AO107"/>
  <c r="AN107"/>
  <c r="AM107"/>
  <c r="AL107"/>
  <c r="AK107"/>
  <c r="AJ107"/>
  <c r="AI107"/>
  <c r="AH107"/>
  <c r="AV39"/>
  <c r="AU39"/>
  <c r="AT39"/>
  <c r="AS39"/>
  <c r="AR39"/>
  <c r="AQ39"/>
  <c r="AP39"/>
  <c r="AO39"/>
  <c r="AN39"/>
  <c r="AM39"/>
  <c r="AL39"/>
  <c r="AK39"/>
  <c r="AJ39"/>
  <c r="AI39"/>
  <c r="AH39"/>
  <c r="AV38"/>
  <c r="AU38"/>
  <c r="AT38"/>
  <c r="AS38"/>
  <c r="AR38"/>
  <c r="AQ38"/>
  <c r="AP38"/>
  <c r="AO38"/>
  <c r="AN38"/>
  <c r="AM38"/>
  <c r="AL38"/>
  <c r="AK38"/>
  <c r="AJ38"/>
  <c r="AI38"/>
  <c r="AH38"/>
  <c r="AV106"/>
  <c r="AU106"/>
  <c r="AT106"/>
  <c r="AS106"/>
  <c r="AR106"/>
  <c r="AQ106"/>
  <c r="AP106"/>
  <c r="AO106"/>
  <c r="AN106"/>
  <c r="AM106"/>
  <c r="AL106"/>
  <c r="AK106"/>
  <c r="AJ106"/>
  <c r="AI106"/>
  <c r="AH106"/>
  <c r="AV37"/>
  <c r="AU37"/>
  <c r="AT37"/>
  <c r="AS37"/>
  <c r="AR37"/>
  <c r="AQ37"/>
  <c r="AP37"/>
  <c r="AO37"/>
  <c r="AN37"/>
  <c r="AM37"/>
  <c r="AL37"/>
  <c r="AK37"/>
  <c r="AJ37"/>
  <c r="AI37"/>
  <c r="AH37"/>
  <c r="AV36"/>
  <c r="AU36"/>
  <c r="AT36"/>
  <c r="AS36"/>
  <c r="AR36"/>
  <c r="AQ36"/>
  <c r="AP36"/>
  <c r="AO36"/>
  <c r="AN36"/>
  <c r="AM36"/>
  <c r="AL36"/>
  <c r="AK36"/>
  <c r="AJ36"/>
  <c r="AI36"/>
  <c r="AH36"/>
  <c r="AV35"/>
  <c r="AU35"/>
  <c r="AT35"/>
  <c r="AS35"/>
  <c r="AR35"/>
  <c r="AQ35"/>
  <c r="AP35"/>
  <c r="AO35"/>
  <c r="AN35"/>
  <c r="AM35"/>
  <c r="AL35"/>
  <c r="AK35"/>
  <c r="AJ35"/>
  <c r="AI35"/>
  <c r="AH35"/>
  <c r="AV34"/>
  <c r="AU34"/>
  <c r="AT34"/>
  <c r="AS34"/>
  <c r="AR34"/>
  <c r="AQ34"/>
  <c r="AP34"/>
  <c r="AO34"/>
  <c r="AN34"/>
  <c r="AM34"/>
  <c r="AL34"/>
  <c r="AK34"/>
  <c r="AJ34"/>
  <c r="AI34"/>
  <c r="AH34"/>
  <c r="AV33"/>
  <c r="AU33"/>
  <c r="AT33"/>
  <c r="AS33"/>
  <c r="AR33"/>
  <c r="AQ33"/>
  <c r="AP33"/>
  <c r="AO33"/>
  <c r="AN33"/>
  <c r="AM33"/>
  <c r="AL33"/>
  <c r="AK33"/>
  <c r="AJ33"/>
  <c r="AI33"/>
  <c r="AH33"/>
  <c r="AV32"/>
  <c r="AU32"/>
  <c r="AT32"/>
  <c r="AS32"/>
  <c r="AR32"/>
  <c r="AQ32"/>
  <c r="AP32"/>
  <c r="AO32"/>
  <c r="AN32"/>
  <c r="AM32"/>
  <c r="AL32"/>
  <c r="AK32"/>
  <c r="AJ32"/>
  <c r="AI32"/>
  <c r="AH32"/>
  <c r="AV31"/>
  <c r="AU31"/>
  <c r="AT31"/>
  <c r="AS31"/>
  <c r="AR31"/>
  <c r="AQ31"/>
  <c r="AP31"/>
  <c r="AO31"/>
  <c r="AN31"/>
  <c r="AM31"/>
  <c r="AL31"/>
  <c r="AK31"/>
  <c r="AJ31"/>
  <c r="AI31"/>
  <c r="AH31"/>
  <c r="AV105"/>
  <c r="AU105"/>
  <c r="AT105"/>
  <c r="AS105"/>
  <c r="AR105"/>
  <c r="AQ105"/>
  <c r="AP105"/>
  <c r="AO105"/>
  <c r="AN105"/>
  <c r="AM105"/>
  <c r="AL105"/>
  <c r="AK105"/>
  <c r="AJ105"/>
  <c r="AI105"/>
  <c r="AH105"/>
  <c r="AV30"/>
  <c r="AU30"/>
  <c r="AT30"/>
  <c r="AS30"/>
  <c r="AR30"/>
  <c r="AQ30"/>
  <c r="AP30"/>
  <c r="AO30"/>
  <c r="AN30"/>
  <c r="AM30"/>
  <c r="AL30"/>
  <c r="AK30"/>
  <c r="AJ30"/>
  <c r="AI30"/>
  <c r="AH30"/>
  <c r="AV29"/>
  <c r="AU29"/>
  <c r="AT29"/>
  <c r="AS29"/>
  <c r="AR29"/>
  <c r="AQ29"/>
  <c r="AP29"/>
  <c r="AO29"/>
  <c r="AN29"/>
  <c r="AM29"/>
  <c r="AL29"/>
  <c r="AK29"/>
  <c r="AJ29"/>
  <c r="AI29"/>
  <c r="AH29"/>
  <c r="AV28"/>
  <c r="AU28"/>
  <c r="AT28"/>
  <c r="AS28"/>
  <c r="AR28"/>
  <c r="AQ28"/>
  <c r="AP28"/>
  <c r="AO28"/>
  <c r="AN28"/>
  <c r="AM28"/>
  <c r="AL28"/>
  <c r="AK28"/>
  <c r="AJ28"/>
  <c r="AI28"/>
  <c r="AH28"/>
  <c r="AV27"/>
  <c r="AU27"/>
  <c r="AT27"/>
  <c r="AS27"/>
  <c r="AR27"/>
  <c r="AQ27"/>
  <c r="AP27"/>
  <c r="AO27"/>
  <c r="AN27"/>
  <c r="AM27"/>
  <c r="AL27"/>
  <c r="AK27"/>
  <c r="AJ27"/>
  <c r="AI27"/>
  <c r="AH27"/>
  <c r="AV26"/>
  <c r="AU26"/>
  <c r="AT26"/>
  <c r="AS26"/>
  <c r="AR26"/>
  <c r="AQ26"/>
  <c r="AP26"/>
  <c r="AO26"/>
  <c r="AN26"/>
  <c r="AM26"/>
  <c r="AL26"/>
  <c r="AK26"/>
  <c r="AJ26"/>
  <c r="AI26"/>
  <c r="AH26"/>
  <c r="AV104"/>
  <c r="AU104"/>
  <c r="AT104"/>
  <c r="AS104"/>
  <c r="AR104"/>
  <c r="AQ104"/>
  <c r="AP104"/>
  <c r="AO104"/>
  <c r="AN104"/>
  <c r="AM104"/>
  <c r="AL104"/>
  <c r="AK104"/>
  <c r="AJ104"/>
  <c r="AI104"/>
  <c r="AH104"/>
  <c r="AV103"/>
  <c r="AU103"/>
  <c r="AT103"/>
  <c r="AS103"/>
  <c r="AR103"/>
  <c r="AQ103"/>
  <c r="AP103"/>
  <c r="AO103"/>
  <c r="AN103"/>
  <c r="AM103"/>
  <c r="AL103"/>
  <c r="AK103"/>
  <c r="AJ103"/>
  <c r="AI103"/>
  <c r="AH103"/>
  <c r="AV25"/>
  <c r="AU25"/>
  <c r="AT25"/>
  <c r="AS25"/>
  <c r="AR25"/>
  <c r="AQ25"/>
  <c r="AP25"/>
  <c r="AO25"/>
  <c r="AN25"/>
  <c r="AM25"/>
  <c r="AL25"/>
  <c r="AK25"/>
  <c r="AJ25"/>
  <c r="AI25"/>
  <c r="AH25"/>
  <c r="AV24"/>
  <c r="AU24"/>
  <c r="AT24"/>
  <c r="AS24"/>
  <c r="AR24"/>
  <c r="AQ24"/>
  <c r="AP24"/>
  <c r="AO24"/>
  <c r="AN24"/>
  <c r="AM24"/>
  <c r="AL24"/>
  <c r="AK24"/>
  <c r="AJ24"/>
  <c r="AI24"/>
  <c r="AH24"/>
  <c r="AV23"/>
  <c r="AU23"/>
  <c r="AT23"/>
  <c r="AS23"/>
  <c r="AR23"/>
  <c r="AQ23"/>
  <c r="AP23"/>
  <c r="AO23"/>
  <c r="AN23"/>
  <c r="AM23"/>
  <c r="AL23"/>
  <c r="AK23"/>
  <c r="AJ23"/>
  <c r="AI23"/>
  <c r="AH23"/>
  <c r="AV22"/>
  <c r="AU22"/>
  <c r="AT22"/>
  <c r="AS22"/>
  <c r="AR22"/>
  <c r="AQ22"/>
  <c r="AP22"/>
  <c r="AO22"/>
  <c r="AN22"/>
  <c r="AM22"/>
  <c r="AL22"/>
  <c r="AK22"/>
  <c r="AJ22"/>
  <c r="AI22"/>
  <c r="AH22"/>
  <c r="AV21"/>
  <c r="AU21"/>
  <c r="AT21"/>
  <c r="AS21"/>
  <c r="AR21"/>
  <c r="AQ21"/>
  <c r="AP21"/>
  <c r="AO21"/>
  <c r="AN21"/>
  <c r="AM21"/>
  <c r="AL21"/>
  <c r="AK21"/>
  <c r="AJ21"/>
  <c r="AI21"/>
  <c r="AH21"/>
  <c r="AV20"/>
  <c r="AU20"/>
  <c r="AT20"/>
  <c r="AS20"/>
  <c r="AR20"/>
  <c r="AQ20"/>
  <c r="AP20"/>
  <c r="AO20"/>
  <c r="AN20"/>
  <c r="AM20"/>
  <c r="AL20"/>
  <c r="AK20"/>
  <c r="AJ20"/>
  <c r="AI20"/>
  <c r="AH20"/>
  <c r="AV19"/>
  <c r="AU19"/>
  <c r="AT19"/>
  <c r="AS19"/>
  <c r="AR19"/>
  <c r="AQ19"/>
  <c r="AP19"/>
  <c r="AO19"/>
  <c r="AN19"/>
  <c r="AM19"/>
  <c r="AL19"/>
  <c r="AK19"/>
  <c r="AJ19"/>
  <c r="AI19"/>
  <c r="AH19"/>
  <c r="AV18"/>
  <c r="AU18"/>
  <c r="AT18"/>
  <c r="AS18"/>
  <c r="AR18"/>
  <c r="AQ18"/>
  <c r="AP18"/>
  <c r="AO18"/>
  <c r="AN18"/>
  <c r="AM18"/>
  <c r="AL18"/>
  <c r="AK18"/>
  <c r="AJ18"/>
  <c r="AI18"/>
  <c r="AH18"/>
  <c r="AV102"/>
  <c r="AU102"/>
  <c r="AT102"/>
  <c r="AS102"/>
  <c r="AR102"/>
  <c r="AQ102"/>
  <c r="AP102"/>
  <c r="AO102"/>
  <c r="AN102"/>
  <c r="AM102"/>
  <c r="AL102"/>
  <c r="AK102"/>
  <c r="AJ102"/>
  <c r="AI102"/>
  <c r="AH102"/>
  <c r="AV17"/>
  <c r="AU17"/>
  <c r="AT17"/>
  <c r="AS17"/>
  <c r="AR17"/>
  <c r="AQ17"/>
  <c r="AP17"/>
  <c r="AO17"/>
  <c r="AN17"/>
  <c r="AM17"/>
  <c r="AL17"/>
  <c r="AK17"/>
  <c r="AJ17"/>
  <c r="AI17"/>
  <c r="AH17"/>
  <c r="AV16"/>
  <c r="AU16"/>
  <c r="AT16"/>
  <c r="AS16"/>
  <c r="AR16"/>
  <c r="AQ16"/>
  <c r="AP16"/>
  <c r="AO16"/>
  <c r="AN16"/>
  <c r="AM16"/>
  <c r="AL16"/>
  <c r="AK16"/>
  <c r="AJ16"/>
  <c r="AI16"/>
  <c r="AH16"/>
  <c r="AV15"/>
  <c r="AU15"/>
  <c r="AT15"/>
  <c r="AS15"/>
  <c r="AR15"/>
  <c r="AQ15"/>
  <c r="AP15"/>
  <c r="AO15"/>
  <c r="AN15"/>
  <c r="AM15"/>
  <c r="AL15"/>
  <c r="AK15"/>
  <c r="AJ15"/>
  <c r="AI15"/>
  <c r="AH15"/>
  <c r="AV14"/>
  <c r="AU14"/>
  <c r="AT14"/>
  <c r="AS14"/>
  <c r="AR14"/>
  <c r="AQ14"/>
  <c r="AP14"/>
  <c r="AO14"/>
  <c r="AN14"/>
  <c r="AM14"/>
  <c r="AL14"/>
  <c r="AK14"/>
  <c r="AJ14"/>
  <c r="AI14"/>
  <c r="AH14"/>
  <c r="AV13"/>
  <c r="AU13"/>
  <c r="AT13"/>
  <c r="AS13"/>
  <c r="AR13"/>
  <c r="AQ13"/>
  <c r="AP13"/>
  <c r="AO13"/>
  <c r="AN13"/>
  <c r="AM13"/>
  <c r="AL13"/>
  <c r="AK13"/>
  <c r="AJ13"/>
  <c r="AI13"/>
  <c r="AH13"/>
  <c r="AV12"/>
  <c r="AU12"/>
  <c r="AT12"/>
  <c r="AS12"/>
  <c r="AR12"/>
  <c r="AQ12"/>
  <c r="AP12"/>
  <c r="AO12"/>
  <c r="AN12"/>
  <c r="AM12"/>
  <c r="AL12"/>
  <c r="AK12"/>
  <c r="AJ12"/>
  <c r="AI12"/>
  <c r="AH12"/>
  <c r="AV11"/>
  <c r="AU11"/>
  <c r="AT11"/>
  <c r="AS11"/>
  <c r="AR11"/>
  <c r="AQ11"/>
  <c r="AP11"/>
  <c r="AO11"/>
  <c r="AN11"/>
  <c r="AM11"/>
  <c r="AL11"/>
  <c r="AK11"/>
  <c r="AJ11"/>
  <c r="AI11"/>
  <c r="AH11"/>
  <c r="AV10"/>
  <c r="AU10"/>
  <c r="AT10"/>
  <c r="AS10"/>
  <c r="AR10"/>
  <c r="AQ10"/>
  <c r="AP10"/>
  <c r="AO10"/>
  <c r="AN10"/>
  <c r="AM10"/>
  <c r="AL10"/>
  <c r="AK10"/>
  <c r="AJ10"/>
  <c r="AI10"/>
  <c r="AH10"/>
  <c r="AV9"/>
  <c r="AU9"/>
  <c r="AT9"/>
  <c r="AS9"/>
  <c r="AR9"/>
  <c r="AQ9"/>
  <c r="AP9"/>
  <c r="AO9"/>
  <c r="AN9"/>
  <c r="AM9"/>
  <c r="AL9"/>
  <c r="AK9"/>
  <c r="AJ9"/>
  <c r="AI9"/>
  <c r="AH9"/>
  <c r="AV8"/>
  <c r="AU8"/>
  <c r="AT8"/>
  <c r="AS8"/>
  <c r="AR8"/>
  <c r="AQ8"/>
  <c r="AP8"/>
  <c r="AO8"/>
  <c r="AN8"/>
  <c r="AM8"/>
  <c r="AL8"/>
  <c r="AK8"/>
  <c r="AJ8"/>
  <c r="AI8"/>
  <c r="AH8"/>
  <c r="AV101"/>
  <c r="AU101"/>
  <c r="AT101"/>
  <c r="AS101"/>
  <c r="AR101"/>
  <c r="AQ101"/>
  <c r="AP101"/>
  <c r="AO101"/>
  <c r="AN101"/>
  <c r="AM101"/>
  <c r="AL101"/>
  <c r="AK101"/>
  <c r="AJ101"/>
  <c r="AI101"/>
  <c r="AH101"/>
  <c r="AV7"/>
  <c r="AU7"/>
  <c r="AT7"/>
  <c r="AS7"/>
  <c r="AR7"/>
  <c r="AQ7"/>
  <c r="AP7"/>
  <c r="AO7"/>
  <c r="AN7"/>
  <c r="AM7"/>
  <c r="AL7"/>
  <c r="AK7"/>
  <c r="AJ7"/>
  <c r="AI7"/>
  <c r="AH7"/>
  <c r="AV6"/>
  <c r="AU6"/>
  <c r="AT6"/>
  <c r="AS6"/>
  <c r="AR6"/>
  <c r="AQ6"/>
  <c r="AP6"/>
  <c r="AO6"/>
  <c r="AN6"/>
  <c r="AM6"/>
  <c r="AL6"/>
  <c r="AK6"/>
  <c r="AJ6"/>
  <c r="AI6"/>
  <c r="AH6"/>
  <c r="AV5"/>
  <c r="D17" i="108" s="1"/>
  <c r="AU5" i="109"/>
  <c r="D16" i="108" s="1"/>
  <c r="AT5" i="109"/>
  <c r="D15" i="108" s="1"/>
  <c r="AS5" i="109"/>
  <c r="D14" i="108" s="1"/>
  <c r="AR5" i="109"/>
  <c r="D13" i="108" s="1"/>
  <c r="AQ5" i="109"/>
  <c r="D12" i="108" s="1"/>
  <c r="AP5" i="109"/>
  <c r="D11" i="108" s="1"/>
  <c r="AO5" i="109"/>
  <c r="D10" i="108" s="1"/>
  <c r="AN5" i="109"/>
  <c r="D9" i="108" s="1"/>
  <c r="AM5" i="109"/>
  <c r="D8" i="108" s="1"/>
  <c r="AL5" i="109"/>
  <c r="D7" i="108" s="1"/>
  <c r="AK5" i="109"/>
  <c r="D6" i="108" s="1"/>
  <c r="AJ5" i="109"/>
  <c r="D5" i="108" s="1"/>
  <c r="AI5" i="109"/>
  <c r="D4" i="108" s="1"/>
  <c r="AH5" i="109"/>
  <c r="D3" i="108" s="1"/>
  <c r="C58" i="1" l="1"/>
  <c r="I5" i="106"/>
  <c r="H5"/>
  <c r="G5"/>
  <c r="F5"/>
  <c r="E5"/>
  <c r="D5"/>
  <c r="M5" i="103" l="1"/>
  <c r="M5" i="102"/>
  <c r="M5" i="49"/>
  <c r="H5" l="1"/>
  <c r="G5"/>
  <c r="H5" i="102"/>
  <c r="G5"/>
  <c r="H5" i="103"/>
  <c r="G5"/>
  <c r="F5" i="104"/>
  <c r="E5"/>
  <c r="D5"/>
  <c r="F5" i="103"/>
  <c r="E5"/>
  <c r="D5"/>
  <c r="F5" i="102"/>
  <c r="E5"/>
  <c r="D5"/>
  <c r="F5" i="49"/>
  <c r="E5"/>
  <c r="D5"/>
  <c r="Q130" i="24" l="1"/>
  <c r="P130"/>
  <c r="O130"/>
  <c r="N130"/>
  <c r="M130"/>
  <c r="L130"/>
  <c r="K130"/>
  <c r="J130"/>
  <c r="I130"/>
  <c r="H130"/>
  <c r="G130"/>
  <c r="F130"/>
  <c r="E130"/>
  <c r="D130"/>
  <c r="Q129"/>
  <c r="P129"/>
  <c r="O129"/>
  <c r="N129"/>
  <c r="M129"/>
  <c r="L129"/>
  <c r="K129"/>
  <c r="J129"/>
  <c r="I129"/>
  <c r="H129"/>
  <c r="G129"/>
  <c r="F129"/>
  <c r="E129"/>
  <c r="D129"/>
  <c r="Q128"/>
  <c r="P128"/>
  <c r="O128"/>
  <c r="N128"/>
  <c r="M128"/>
  <c r="L128"/>
  <c r="K128"/>
  <c r="J128"/>
  <c r="I128"/>
  <c r="H128"/>
  <c r="G128"/>
  <c r="F128"/>
  <c r="E128"/>
  <c r="D128"/>
  <c r="Q127"/>
  <c r="P127"/>
  <c r="O127"/>
  <c r="N127"/>
  <c r="M127"/>
  <c r="L127"/>
  <c r="K127"/>
  <c r="J127"/>
  <c r="I127"/>
  <c r="H127"/>
  <c r="G127"/>
  <c r="F127"/>
  <c r="E127"/>
  <c r="D127"/>
  <c r="Q126"/>
  <c r="P126"/>
  <c r="O126"/>
  <c r="N126"/>
  <c r="M126"/>
  <c r="L126"/>
  <c r="K126"/>
  <c r="J126"/>
  <c r="I126"/>
  <c r="H126"/>
  <c r="G126"/>
  <c r="F126"/>
  <c r="E126"/>
  <c r="D126"/>
  <c r="Q124"/>
  <c r="P124"/>
  <c r="O124"/>
  <c r="N124"/>
  <c r="M124"/>
  <c r="L124"/>
  <c r="K124"/>
  <c r="J124"/>
  <c r="I124"/>
  <c r="H124"/>
  <c r="G124"/>
  <c r="F124"/>
  <c r="E124"/>
  <c r="D124"/>
  <c r="Q123"/>
  <c r="P123"/>
  <c r="O123"/>
  <c r="N123"/>
  <c r="M123"/>
  <c r="L123"/>
  <c r="K123"/>
  <c r="J123"/>
  <c r="I123"/>
  <c r="H123"/>
  <c r="G123"/>
  <c r="F123"/>
  <c r="E123"/>
  <c r="D123"/>
  <c r="Q122"/>
  <c r="P122"/>
  <c r="O122"/>
  <c r="N122"/>
  <c r="M122"/>
  <c r="L122"/>
  <c r="K122"/>
  <c r="J122"/>
  <c r="I122"/>
  <c r="H122"/>
  <c r="G122"/>
  <c r="F122"/>
  <c r="E122"/>
  <c r="D122"/>
  <c r="Q121"/>
  <c r="P121"/>
  <c r="O121"/>
  <c r="N121"/>
  <c r="M121"/>
  <c r="L121"/>
  <c r="K121"/>
  <c r="J121"/>
  <c r="I121"/>
  <c r="H121"/>
  <c r="G121"/>
  <c r="F121"/>
  <c r="E121"/>
  <c r="D121"/>
  <c r="Q120"/>
  <c r="P120"/>
  <c r="O120"/>
  <c r="N120"/>
  <c r="M120"/>
  <c r="L120"/>
  <c r="K120"/>
  <c r="J120"/>
  <c r="I120"/>
  <c r="H120"/>
  <c r="G120"/>
  <c r="F120"/>
  <c r="E120"/>
  <c r="D120"/>
  <c r="Q119"/>
  <c r="P119"/>
  <c r="O119"/>
  <c r="N119"/>
  <c r="M119"/>
  <c r="L119"/>
  <c r="K119"/>
  <c r="J119"/>
  <c r="I119"/>
  <c r="H119"/>
  <c r="G119"/>
  <c r="F119"/>
  <c r="E119"/>
  <c r="D119"/>
  <c r="Q118"/>
  <c r="P118"/>
  <c r="O118"/>
  <c r="N118"/>
  <c r="M118"/>
  <c r="L118"/>
  <c r="K118"/>
  <c r="J118"/>
  <c r="I118"/>
  <c r="H118"/>
  <c r="G118"/>
  <c r="F118"/>
  <c r="E118"/>
  <c r="D118"/>
  <c r="Q117"/>
  <c r="P117"/>
  <c r="O117"/>
  <c r="N117"/>
  <c r="M117"/>
  <c r="L117"/>
  <c r="K117"/>
  <c r="J117"/>
  <c r="I117"/>
  <c r="H117"/>
  <c r="G117"/>
  <c r="F117"/>
  <c r="E117"/>
  <c r="D117"/>
  <c r="Q116"/>
  <c r="P116"/>
  <c r="O116"/>
  <c r="N116"/>
  <c r="M116"/>
  <c r="L116"/>
  <c r="K116"/>
  <c r="J116"/>
  <c r="I116"/>
  <c r="H116"/>
  <c r="G116"/>
  <c r="F116"/>
  <c r="E116"/>
  <c r="D116"/>
  <c r="Q115"/>
  <c r="P115"/>
  <c r="O115"/>
  <c r="N115"/>
  <c r="M115"/>
  <c r="L115"/>
  <c r="K115"/>
  <c r="J115"/>
  <c r="I115"/>
  <c r="H115"/>
  <c r="G115"/>
  <c r="F115"/>
  <c r="E115"/>
  <c r="D115"/>
  <c r="Q114"/>
  <c r="P114"/>
  <c r="O114"/>
  <c r="N114"/>
  <c r="M114"/>
  <c r="L114"/>
  <c r="K114"/>
  <c r="J114"/>
  <c r="I114"/>
  <c r="H114"/>
  <c r="G114"/>
  <c r="F114"/>
  <c r="E114"/>
  <c r="D114"/>
  <c r="Q113"/>
  <c r="P113"/>
  <c r="O113"/>
  <c r="N113"/>
  <c r="M113"/>
  <c r="L113"/>
  <c r="K113"/>
  <c r="J113"/>
  <c r="I113"/>
  <c r="H113"/>
  <c r="G113"/>
  <c r="F113"/>
  <c r="E113"/>
  <c r="D113"/>
  <c r="Q112"/>
  <c r="P112"/>
  <c r="O112"/>
  <c r="N112"/>
  <c r="M112"/>
  <c r="L112"/>
  <c r="K112"/>
  <c r="J112"/>
  <c r="I112"/>
  <c r="H112"/>
  <c r="G112"/>
  <c r="F112"/>
  <c r="E112"/>
  <c r="D112"/>
  <c r="Q111"/>
  <c r="P111"/>
  <c r="O111"/>
  <c r="N111"/>
  <c r="M111"/>
  <c r="L111"/>
  <c r="K111"/>
  <c r="J111"/>
  <c r="I111"/>
  <c r="H111"/>
  <c r="G111"/>
  <c r="F111"/>
  <c r="E111"/>
  <c r="D111"/>
  <c r="Q110"/>
  <c r="P110"/>
  <c r="O110"/>
  <c r="N110"/>
  <c r="M110"/>
  <c r="L110"/>
  <c r="K110"/>
  <c r="J110"/>
  <c r="I110"/>
  <c r="H110"/>
  <c r="G110"/>
  <c r="F110"/>
  <c r="E110"/>
  <c r="D110"/>
  <c r="Q109"/>
  <c r="P109"/>
  <c r="O109"/>
  <c r="N109"/>
  <c r="M109"/>
  <c r="L109"/>
  <c r="K109"/>
  <c r="J109"/>
  <c r="I109"/>
  <c r="H109"/>
  <c r="G109"/>
  <c r="F109"/>
  <c r="E109"/>
  <c r="D109"/>
  <c r="Q108"/>
  <c r="P108"/>
  <c r="O108"/>
  <c r="N108"/>
  <c r="M108"/>
  <c r="L108"/>
  <c r="K108"/>
  <c r="J108"/>
  <c r="I108"/>
  <c r="H108"/>
  <c r="G108"/>
  <c r="F108"/>
  <c r="E108"/>
  <c r="D108"/>
  <c r="Q107"/>
  <c r="P107"/>
  <c r="O107"/>
  <c r="N107"/>
  <c r="M107"/>
  <c r="L107"/>
  <c r="K107"/>
  <c r="J107"/>
  <c r="I107"/>
  <c r="H107"/>
  <c r="G107"/>
  <c r="F107"/>
  <c r="E107"/>
  <c r="D107"/>
  <c r="Q106"/>
  <c r="P106"/>
  <c r="O106"/>
  <c r="N106"/>
  <c r="M106"/>
  <c r="L106"/>
  <c r="K106"/>
  <c r="J106"/>
  <c r="I106"/>
  <c r="H106"/>
  <c r="G106"/>
  <c r="F106"/>
  <c r="E106"/>
  <c r="D106"/>
  <c r="Q105"/>
  <c r="P105"/>
  <c r="O105"/>
  <c r="N105"/>
  <c r="M105"/>
  <c r="L105"/>
  <c r="K105"/>
  <c r="J105"/>
  <c r="I105"/>
  <c r="H105"/>
  <c r="G105"/>
  <c r="F105"/>
  <c r="E105"/>
  <c r="D105"/>
  <c r="Q104"/>
  <c r="P104"/>
  <c r="O104"/>
  <c r="N104"/>
  <c r="M104"/>
  <c r="L104"/>
  <c r="K104"/>
  <c r="J104"/>
  <c r="I104"/>
  <c r="H104"/>
  <c r="G104"/>
  <c r="F104"/>
  <c r="E104"/>
  <c r="D104"/>
  <c r="Q103"/>
  <c r="P103"/>
  <c r="O103"/>
  <c r="N103"/>
  <c r="M103"/>
  <c r="L103"/>
  <c r="K103"/>
  <c r="J103"/>
  <c r="I103"/>
  <c r="H103"/>
  <c r="G103"/>
  <c r="F103"/>
  <c r="E103"/>
  <c r="D103"/>
  <c r="Q102"/>
  <c r="P102"/>
  <c r="O102"/>
  <c r="N102"/>
  <c r="M102"/>
  <c r="L102"/>
  <c r="K102"/>
  <c r="J102"/>
  <c r="I102"/>
  <c r="H102"/>
  <c r="G102"/>
  <c r="F102"/>
  <c r="E102"/>
  <c r="D102"/>
  <c r="Q101"/>
  <c r="P101"/>
  <c r="O101"/>
  <c r="N101"/>
  <c r="M101"/>
  <c r="L101"/>
  <c r="K101"/>
  <c r="J101"/>
  <c r="I101"/>
  <c r="H101"/>
  <c r="G101"/>
  <c r="F101"/>
  <c r="E101"/>
  <c r="D101"/>
  <c r="Q100"/>
  <c r="P100"/>
  <c r="O100"/>
  <c r="N100"/>
  <c r="M100"/>
  <c r="L100"/>
  <c r="K100"/>
  <c r="J100"/>
  <c r="I100"/>
  <c r="H100"/>
  <c r="G100"/>
  <c r="F100"/>
  <c r="E100"/>
  <c r="D100"/>
  <c r="Q99"/>
  <c r="P99"/>
  <c r="O99"/>
  <c r="N99"/>
  <c r="M99"/>
  <c r="L99"/>
  <c r="K99"/>
  <c r="J99"/>
  <c r="I99"/>
  <c r="H99"/>
  <c r="G99"/>
  <c r="F99"/>
  <c r="E99"/>
  <c r="D99"/>
  <c r="Q98"/>
  <c r="P98"/>
  <c r="O98"/>
  <c r="N98"/>
  <c r="M98"/>
  <c r="L98"/>
  <c r="K98"/>
  <c r="J98"/>
  <c r="I98"/>
  <c r="H98"/>
  <c r="G98"/>
  <c r="F98"/>
  <c r="E98"/>
  <c r="D98"/>
  <c r="Q97"/>
  <c r="P97"/>
  <c r="O97"/>
  <c r="N97"/>
  <c r="M97"/>
  <c r="L97"/>
  <c r="K97"/>
  <c r="J97"/>
  <c r="I97"/>
  <c r="H97"/>
  <c r="G97"/>
  <c r="F97"/>
  <c r="E97"/>
  <c r="D97"/>
  <c r="Q96"/>
  <c r="P96"/>
  <c r="O96"/>
  <c r="N96"/>
  <c r="M96"/>
  <c r="L96"/>
  <c r="K96"/>
  <c r="J96"/>
  <c r="I96"/>
  <c r="H96"/>
  <c r="G96"/>
  <c r="F96"/>
  <c r="E96"/>
  <c r="D96"/>
  <c r="Q95"/>
  <c r="P95"/>
  <c r="O95"/>
  <c r="N95"/>
  <c r="M95"/>
  <c r="L95"/>
  <c r="K95"/>
  <c r="J95"/>
  <c r="I95"/>
  <c r="H95"/>
  <c r="G95"/>
  <c r="F95"/>
  <c r="E95"/>
  <c r="D95"/>
  <c r="Q94"/>
  <c r="P94"/>
  <c r="O94"/>
  <c r="N94"/>
  <c r="M94"/>
  <c r="L94"/>
  <c r="K94"/>
  <c r="J94"/>
  <c r="I94"/>
  <c r="H94"/>
  <c r="G94"/>
  <c r="F94"/>
  <c r="E94"/>
  <c r="D94"/>
  <c r="Q93"/>
  <c r="P93"/>
  <c r="O93"/>
  <c r="N93"/>
  <c r="M93"/>
  <c r="L93"/>
  <c r="K93"/>
  <c r="J93"/>
  <c r="I93"/>
  <c r="H93"/>
  <c r="G93"/>
  <c r="F93"/>
  <c r="E93"/>
  <c r="D93"/>
  <c r="Q92"/>
  <c r="P92"/>
  <c r="O92"/>
  <c r="N92"/>
  <c r="M92"/>
  <c r="L92"/>
  <c r="K92"/>
  <c r="J92"/>
  <c r="I92"/>
  <c r="H92"/>
  <c r="G92"/>
  <c r="F92"/>
  <c r="E92"/>
  <c r="D92"/>
  <c r="Q91"/>
  <c r="P91"/>
  <c r="O91"/>
  <c r="N91"/>
  <c r="M91"/>
  <c r="L91"/>
  <c r="K91"/>
  <c r="J91"/>
  <c r="I91"/>
  <c r="H91"/>
  <c r="G91"/>
  <c r="F91"/>
  <c r="E91"/>
  <c r="D91"/>
  <c r="Q90"/>
  <c r="P90"/>
  <c r="O90"/>
  <c r="N90"/>
  <c r="M90"/>
  <c r="L90"/>
  <c r="K90"/>
  <c r="J90"/>
  <c r="I90"/>
  <c r="H90"/>
  <c r="G90"/>
  <c r="F90"/>
  <c r="E90"/>
  <c r="D90"/>
  <c r="Q89"/>
  <c r="P89"/>
  <c r="O89"/>
  <c r="N89"/>
  <c r="M89"/>
  <c r="L89"/>
  <c r="K89"/>
  <c r="J89"/>
  <c r="I89"/>
  <c r="H89"/>
  <c r="G89"/>
  <c r="F89"/>
  <c r="E89"/>
  <c r="D89"/>
  <c r="Q88"/>
  <c r="P88"/>
  <c r="O88"/>
  <c r="N88"/>
  <c r="M88"/>
  <c r="L88"/>
  <c r="K88"/>
  <c r="J88"/>
  <c r="I88"/>
  <c r="H88"/>
  <c r="G88"/>
  <c r="F88"/>
  <c r="E88"/>
  <c r="D88"/>
  <c r="Q87"/>
  <c r="P87"/>
  <c r="O87"/>
  <c r="N87"/>
  <c r="M87"/>
  <c r="L87"/>
  <c r="K87"/>
  <c r="J87"/>
  <c r="I87"/>
  <c r="H87"/>
  <c r="G87"/>
  <c r="F87"/>
  <c r="E87"/>
  <c r="D87"/>
  <c r="Q86"/>
  <c r="P86"/>
  <c r="O86"/>
  <c r="N86"/>
  <c r="M86"/>
  <c r="L86"/>
  <c r="K86"/>
  <c r="J86"/>
  <c r="I86"/>
  <c r="H86"/>
  <c r="G86"/>
  <c r="F86"/>
  <c r="E86"/>
  <c r="D86"/>
  <c r="Q85"/>
  <c r="P85"/>
  <c r="O85"/>
  <c r="N85"/>
  <c r="M85"/>
  <c r="L85"/>
  <c r="K85"/>
  <c r="J85"/>
  <c r="I85"/>
  <c r="H85"/>
  <c r="G85"/>
  <c r="F85"/>
  <c r="E85"/>
  <c r="D85"/>
  <c r="Q84"/>
  <c r="P84"/>
  <c r="O84"/>
  <c r="N84"/>
  <c r="M84"/>
  <c r="L84"/>
  <c r="K84"/>
  <c r="J84"/>
  <c r="I84"/>
  <c r="H84"/>
  <c r="G84"/>
  <c r="F84"/>
  <c r="E84"/>
  <c r="D84"/>
  <c r="Q83"/>
  <c r="P83"/>
  <c r="O83"/>
  <c r="N83"/>
  <c r="M83"/>
  <c r="L83"/>
  <c r="K83"/>
  <c r="J83"/>
  <c r="I83"/>
  <c r="H83"/>
  <c r="G83"/>
  <c r="F83"/>
  <c r="E83"/>
  <c r="D83"/>
  <c r="Q82"/>
  <c r="P82"/>
  <c r="O82"/>
  <c r="N82"/>
  <c r="M82"/>
  <c r="L82"/>
  <c r="K82"/>
  <c r="J82"/>
  <c r="I82"/>
  <c r="H82"/>
  <c r="G82"/>
  <c r="F82"/>
  <c r="E82"/>
  <c r="D82"/>
  <c r="Q81"/>
  <c r="P81"/>
  <c r="O81"/>
  <c r="N81"/>
  <c r="M81"/>
  <c r="L81"/>
  <c r="K81"/>
  <c r="J81"/>
  <c r="I81"/>
  <c r="H81"/>
  <c r="G81"/>
  <c r="F81"/>
  <c r="E81"/>
  <c r="D81"/>
  <c r="Q80"/>
  <c r="P80"/>
  <c r="O80"/>
  <c r="N80"/>
  <c r="M80"/>
  <c r="L80"/>
  <c r="K80"/>
  <c r="J80"/>
  <c r="I80"/>
  <c r="H80"/>
  <c r="G80"/>
  <c r="F80"/>
  <c r="E80"/>
  <c r="D80"/>
  <c r="Q79"/>
  <c r="P79"/>
  <c r="O79"/>
  <c r="N79"/>
  <c r="M79"/>
  <c r="L79"/>
  <c r="K79"/>
  <c r="J79"/>
  <c r="I79"/>
  <c r="H79"/>
  <c r="G79"/>
  <c r="F79"/>
  <c r="E79"/>
  <c r="D79"/>
  <c r="Q78"/>
  <c r="P78"/>
  <c r="O78"/>
  <c r="N78"/>
  <c r="M78"/>
  <c r="L78"/>
  <c r="K78"/>
  <c r="J78"/>
  <c r="I78"/>
  <c r="H78"/>
  <c r="G78"/>
  <c r="F78"/>
  <c r="E78"/>
  <c r="D78"/>
  <c r="Q77"/>
  <c r="P77"/>
  <c r="O77"/>
  <c r="N77"/>
  <c r="M77"/>
  <c r="L77"/>
  <c r="K77"/>
  <c r="J77"/>
  <c r="I77"/>
  <c r="H77"/>
  <c r="G77"/>
  <c r="F77"/>
  <c r="E77"/>
  <c r="D77"/>
  <c r="Q76"/>
  <c r="P76"/>
  <c r="O76"/>
  <c r="N76"/>
  <c r="M76"/>
  <c r="L76"/>
  <c r="K76"/>
  <c r="J76"/>
  <c r="I76"/>
  <c r="H76"/>
  <c r="G76"/>
  <c r="F76"/>
  <c r="E76"/>
  <c r="D76"/>
  <c r="Q75"/>
  <c r="P75"/>
  <c r="O75"/>
  <c r="N75"/>
  <c r="M75"/>
  <c r="L75"/>
  <c r="K75"/>
  <c r="J75"/>
  <c r="I75"/>
  <c r="H75"/>
  <c r="G75"/>
  <c r="F75"/>
  <c r="E75"/>
  <c r="D75"/>
  <c r="Q74"/>
  <c r="P74"/>
  <c r="O74"/>
  <c r="N74"/>
  <c r="M74"/>
  <c r="L74"/>
  <c r="K74"/>
  <c r="J74"/>
  <c r="I74"/>
  <c r="H74"/>
  <c r="G74"/>
  <c r="F74"/>
  <c r="E74"/>
  <c r="D74"/>
  <c r="Q73"/>
  <c r="P73"/>
  <c r="O73"/>
  <c r="N73"/>
  <c r="M73"/>
  <c r="L73"/>
  <c r="K73"/>
  <c r="J73"/>
  <c r="I73"/>
  <c r="H73"/>
  <c r="G73"/>
  <c r="F73"/>
  <c r="E73"/>
  <c r="D73"/>
  <c r="Q72"/>
  <c r="P72"/>
  <c r="O72"/>
  <c r="N72"/>
  <c r="M72"/>
  <c r="L72"/>
  <c r="K72"/>
  <c r="J72"/>
  <c r="I72"/>
  <c r="H72"/>
  <c r="G72"/>
  <c r="F72"/>
  <c r="E72"/>
  <c r="D72"/>
  <c r="Q71"/>
  <c r="P71"/>
  <c r="O71"/>
  <c r="N71"/>
  <c r="M71"/>
  <c r="L71"/>
  <c r="K71"/>
  <c r="J71"/>
  <c r="I71"/>
  <c r="H71"/>
  <c r="G71"/>
  <c r="F71"/>
  <c r="E71"/>
  <c r="D71"/>
  <c r="Q70"/>
  <c r="P70"/>
  <c r="O70"/>
  <c r="N70"/>
  <c r="M70"/>
  <c r="L70"/>
  <c r="K70"/>
  <c r="J70"/>
  <c r="I70"/>
  <c r="H70"/>
  <c r="G70"/>
  <c r="F70"/>
  <c r="E70"/>
  <c r="D70"/>
  <c r="Q69"/>
  <c r="P69"/>
  <c r="O69"/>
  <c r="N69"/>
  <c r="M69"/>
  <c r="L69"/>
  <c r="K69"/>
  <c r="J69"/>
  <c r="I69"/>
  <c r="H69"/>
  <c r="G69"/>
  <c r="F69"/>
  <c r="E69"/>
  <c r="D69"/>
  <c r="Q68"/>
  <c r="P68"/>
  <c r="O68"/>
  <c r="N68"/>
  <c r="M68"/>
  <c r="L68"/>
  <c r="K68"/>
  <c r="J68"/>
  <c r="I68"/>
  <c r="H68"/>
  <c r="G68"/>
  <c r="F68"/>
  <c r="E68"/>
  <c r="D68"/>
  <c r="Q67"/>
  <c r="P67"/>
  <c r="O67"/>
  <c r="N67"/>
  <c r="M67"/>
  <c r="L67"/>
  <c r="K67"/>
  <c r="J67"/>
  <c r="I67"/>
  <c r="H67"/>
  <c r="G67"/>
  <c r="F67"/>
  <c r="E67"/>
  <c r="D67"/>
  <c r="Q66"/>
  <c r="P66"/>
  <c r="O66"/>
  <c r="N66"/>
  <c r="M66"/>
  <c r="L66"/>
  <c r="K66"/>
  <c r="J66"/>
  <c r="I66"/>
  <c r="H66"/>
  <c r="G66"/>
  <c r="F66"/>
  <c r="E66"/>
  <c r="D66"/>
  <c r="Q65"/>
  <c r="P65"/>
  <c r="O65"/>
  <c r="N65"/>
  <c r="M65"/>
  <c r="L65"/>
  <c r="K65"/>
  <c r="J65"/>
  <c r="I65"/>
  <c r="H65"/>
  <c r="G65"/>
  <c r="F65"/>
  <c r="E65"/>
  <c r="D65"/>
  <c r="Q64"/>
  <c r="P64"/>
  <c r="O64"/>
  <c r="N64"/>
  <c r="M64"/>
  <c r="L64"/>
  <c r="K64"/>
  <c r="J64"/>
  <c r="I64"/>
  <c r="H64"/>
  <c r="G64"/>
  <c r="F64"/>
  <c r="E64"/>
  <c r="D64"/>
  <c r="Q63"/>
  <c r="P63"/>
  <c r="O63"/>
  <c r="N63"/>
  <c r="M63"/>
  <c r="L63"/>
  <c r="K63"/>
  <c r="J63"/>
  <c r="I63"/>
  <c r="H63"/>
  <c r="G63"/>
  <c r="F63"/>
  <c r="E63"/>
  <c r="D63"/>
  <c r="Q62"/>
  <c r="P62"/>
  <c r="O62"/>
  <c r="N62"/>
  <c r="M62"/>
  <c r="L62"/>
  <c r="K62"/>
  <c r="J62"/>
  <c r="I62"/>
  <c r="H62"/>
  <c r="G62"/>
  <c r="F62"/>
  <c r="E62"/>
  <c r="D62"/>
  <c r="Q61"/>
  <c r="P61"/>
  <c r="O61"/>
  <c r="N61"/>
  <c r="M61"/>
  <c r="L61"/>
  <c r="K61"/>
  <c r="J61"/>
  <c r="I61"/>
  <c r="H61"/>
  <c r="G61"/>
  <c r="F61"/>
  <c r="E61"/>
  <c r="D61"/>
  <c r="Q60"/>
  <c r="P60"/>
  <c r="O60"/>
  <c r="N60"/>
  <c r="M60"/>
  <c r="L60"/>
  <c r="K60"/>
  <c r="J60"/>
  <c r="I60"/>
  <c r="H60"/>
  <c r="G60"/>
  <c r="F60"/>
  <c r="E60"/>
  <c r="D60"/>
  <c r="Q59"/>
  <c r="P59"/>
  <c r="O59"/>
  <c r="N59"/>
  <c r="M59"/>
  <c r="L59"/>
  <c r="K59"/>
  <c r="J59"/>
  <c r="I59"/>
  <c r="H59"/>
  <c r="G59"/>
  <c r="F59"/>
  <c r="E59"/>
  <c r="D59"/>
  <c r="Q58"/>
  <c r="P58"/>
  <c r="O58"/>
  <c r="N58"/>
  <c r="M58"/>
  <c r="L58"/>
  <c r="K58"/>
  <c r="J58"/>
  <c r="I58"/>
  <c r="H58"/>
  <c r="G58"/>
  <c r="F58"/>
  <c r="E58"/>
  <c r="D58"/>
  <c r="Q57"/>
  <c r="P57"/>
  <c r="O57"/>
  <c r="N57"/>
  <c r="M57"/>
  <c r="L57"/>
  <c r="K57"/>
  <c r="J57"/>
  <c r="I57"/>
  <c r="H57"/>
  <c r="G57"/>
  <c r="F57"/>
  <c r="E57"/>
  <c r="D57"/>
  <c r="Q56"/>
  <c r="P56"/>
  <c r="O56"/>
  <c r="N56"/>
  <c r="M56"/>
  <c r="L56"/>
  <c r="K56"/>
  <c r="J56"/>
  <c r="I56"/>
  <c r="H56"/>
  <c r="G56"/>
  <c r="F56"/>
  <c r="E56"/>
  <c r="D56"/>
  <c r="Q55"/>
  <c r="P55"/>
  <c r="O55"/>
  <c r="N55"/>
  <c r="M55"/>
  <c r="L55"/>
  <c r="K55"/>
  <c r="J55"/>
  <c r="I55"/>
  <c r="H55"/>
  <c r="G55"/>
  <c r="F55"/>
  <c r="E55"/>
  <c r="D55"/>
  <c r="Q54"/>
  <c r="P54"/>
  <c r="O54"/>
  <c r="N54"/>
  <c r="M54"/>
  <c r="L54"/>
  <c r="K54"/>
  <c r="J54"/>
  <c r="I54"/>
  <c r="H54"/>
  <c r="G54"/>
  <c r="F54"/>
  <c r="E54"/>
  <c r="D54"/>
  <c r="Q53"/>
  <c r="P53"/>
  <c r="O53"/>
  <c r="N53"/>
  <c r="M53"/>
  <c r="L53"/>
  <c r="K53"/>
  <c r="J53"/>
  <c r="I53"/>
  <c r="H53"/>
  <c r="G53"/>
  <c r="F53"/>
  <c r="E53"/>
  <c r="D53"/>
  <c r="Q52"/>
  <c r="P52"/>
  <c r="O52"/>
  <c r="N52"/>
  <c r="M52"/>
  <c r="L52"/>
  <c r="K52"/>
  <c r="J52"/>
  <c r="I52"/>
  <c r="H52"/>
  <c r="G52"/>
  <c r="F52"/>
  <c r="E52"/>
  <c r="D52"/>
  <c r="Q51"/>
  <c r="P51"/>
  <c r="O51"/>
  <c r="N51"/>
  <c r="M51"/>
  <c r="L51"/>
  <c r="K51"/>
  <c r="J51"/>
  <c r="I51"/>
  <c r="H51"/>
  <c r="G51"/>
  <c r="F51"/>
  <c r="E51"/>
  <c r="D51"/>
  <c r="Q50"/>
  <c r="P50"/>
  <c r="O50"/>
  <c r="N50"/>
  <c r="M50"/>
  <c r="L50"/>
  <c r="K50"/>
  <c r="J50"/>
  <c r="I50"/>
  <c r="H50"/>
  <c r="G50"/>
  <c r="F50"/>
  <c r="E50"/>
  <c r="D50"/>
  <c r="Q49"/>
  <c r="P49"/>
  <c r="O49"/>
  <c r="N49"/>
  <c r="M49"/>
  <c r="L49"/>
  <c r="K49"/>
  <c r="J49"/>
  <c r="I49"/>
  <c r="H49"/>
  <c r="G49"/>
  <c r="F49"/>
  <c r="E49"/>
  <c r="D49"/>
  <c r="Q48"/>
  <c r="P48"/>
  <c r="O48"/>
  <c r="N48"/>
  <c r="M48"/>
  <c r="L48"/>
  <c r="K48"/>
  <c r="J48"/>
  <c r="I48"/>
  <c r="H48"/>
  <c r="G48"/>
  <c r="F48"/>
  <c r="E48"/>
  <c r="D48"/>
  <c r="Q47"/>
  <c r="P47"/>
  <c r="O47"/>
  <c r="N47"/>
  <c r="M47"/>
  <c r="L47"/>
  <c r="K47"/>
  <c r="J47"/>
  <c r="I47"/>
  <c r="H47"/>
  <c r="G47"/>
  <c r="F47"/>
  <c r="E47"/>
  <c r="D47"/>
  <c r="Q46"/>
  <c r="P46"/>
  <c r="O46"/>
  <c r="N46"/>
  <c r="M46"/>
  <c r="L46"/>
  <c r="K46"/>
  <c r="J46"/>
  <c r="I46"/>
  <c r="H46"/>
  <c r="G46"/>
  <c r="F46"/>
  <c r="E46"/>
  <c r="D46"/>
  <c r="Q45"/>
  <c r="P45"/>
  <c r="O45"/>
  <c r="N45"/>
  <c r="M45"/>
  <c r="L45"/>
  <c r="K45"/>
  <c r="J45"/>
  <c r="I45"/>
  <c r="H45"/>
  <c r="G45"/>
  <c r="F45"/>
  <c r="E45"/>
  <c r="D45"/>
  <c r="Q44"/>
  <c r="P44"/>
  <c r="O44"/>
  <c r="N44"/>
  <c r="M44"/>
  <c r="L44"/>
  <c r="K44"/>
  <c r="J44"/>
  <c r="I44"/>
  <c r="H44"/>
  <c r="G44"/>
  <c r="F44"/>
  <c r="E44"/>
  <c r="D44"/>
  <c r="Q43"/>
  <c r="P43"/>
  <c r="O43"/>
  <c r="N43"/>
  <c r="M43"/>
  <c r="L43"/>
  <c r="K43"/>
  <c r="J43"/>
  <c r="I43"/>
  <c r="H43"/>
  <c r="G43"/>
  <c r="F43"/>
  <c r="E43"/>
  <c r="D43"/>
  <c r="Q42"/>
  <c r="P42"/>
  <c r="O42"/>
  <c r="N42"/>
  <c r="M42"/>
  <c r="L42"/>
  <c r="K42"/>
  <c r="J42"/>
  <c r="I42"/>
  <c r="H42"/>
  <c r="G42"/>
  <c r="F42"/>
  <c r="E42"/>
  <c r="D42"/>
  <c r="Q41"/>
  <c r="P41"/>
  <c r="O41"/>
  <c r="N41"/>
  <c r="M41"/>
  <c r="L41"/>
  <c r="K41"/>
  <c r="J41"/>
  <c r="I41"/>
  <c r="H41"/>
  <c r="G41"/>
  <c r="F41"/>
  <c r="E41"/>
  <c r="D41"/>
  <c r="Q40"/>
  <c r="P40"/>
  <c r="O40"/>
  <c r="N40"/>
  <c r="M40"/>
  <c r="L40"/>
  <c r="K40"/>
  <c r="J40"/>
  <c r="I40"/>
  <c r="H40"/>
  <c r="G40"/>
  <c r="F40"/>
  <c r="E40"/>
  <c r="D40"/>
  <c r="Q39"/>
  <c r="P39"/>
  <c r="O39"/>
  <c r="N39"/>
  <c r="M39"/>
  <c r="L39"/>
  <c r="K39"/>
  <c r="J39"/>
  <c r="I39"/>
  <c r="H39"/>
  <c r="G39"/>
  <c r="F39"/>
  <c r="E39"/>
  <c r="D39"/>
  <c r="Q38"/>
  <c r="P38"/>
  <c r="O38"/>
  <c r="N38"/>
  <c r="M38"/>
  <c r="L38"/>
  <c r="K38"/>
  <c r="J38"/>
  <c r="I38"/>
  <c r="H38"/>
  <c r="G38"/>
  <c r="F38"/>
  <c r="E38"/>
  <c r="D38"/>
  <c r="Q37"/>
  <c r="P37"/>
  <c r="O37"/>
  <c r="N37"/>
  <c r="M37"/>
  <c r="L37"/>
  <c r="K37"/>
  <c r="J37"/>
  <c r="I37"/>
  <c r="H37"/>
  <c r="G37"/>
  <c r="F37"/>
  <c r="E37"/>
  <c r="D37"/>
  <c r="Q36"/>
  <c r="P36"/>
  <c r="O36"/>
  <c r="N36"/>
  <c r="M36"/>
  <c r="L36"/>
  <c r="K36"/>
  <c r="J36"/>
  <c r="I36"/>
  <c r="H36"/>
  <c r="G36"/>
  <c r="F36"/>
  <c r="E36"/>
  <c r="D36"/>
  <c r="Q35"/>
  <c r="P35"/>
  <c r="O35"/>
  <c r="N35"/>
  <c r="M35"/>
  <c r="L35"/>
  <c r="K35"/>
  <c r="J35"/>
  <c r="I35"/>
  <c r="H35"/>
  <c r="G35"/>
  <c r="F35"/>
  <c r="E35"/>
  <c r="D35"/>
  <c r="Q34"/>
  <c r="P34"/>
  <c r="O34"/>
  <c r="N34"/>
  <c r="M34"/>
  <c r="L34"/>
  <c r="K34"/>
  <c r="J34"/>
  <c r="I34"/>
  <c r="H34"/>
  <c r="G34"/>
  <c r="F34"/>
  <c r="E34"/>
  <c r="D34"/>
  <c r="Q33"/>
  <c r="P33"/>
  <c r="O33"/>
  <c r="N33"/>
  <c r="M33"/>
  <c r="L33"/>
  <c r="K33"/>
  <c r="J33"/>
  <c r="I33"/>
  <c r="H33"/>
  <c r="G33"/>
  <c r="F33"/>
  <c r="E33"/>
  <c r="D33"/>
  <c r="Q32"/>
  <c r="P32"/>
  <c r="O32"/>
  <c r="N32"/>
  <c r="M32"/>
  <c r="L32"/>
  <c r="K32"/>
  <c r="J32"/>
  <c r="I32"/>
  <c r="H32"/>
  <c r="G32"/>
  <c r="F32"/>
  <c r="E32"/>
  <c r="D32"/>
  <c r="Q31"/>
  <c r="P31"/>
  <c r="O31"/>
  <c r="N31"/>
  <c r="M31"/>
  <c r="L31"/>
  <c r="K31"/>
  <c r="J31"/>
  <c r="I31"/>
  <c r="H31"/>
  <c r="G31"/>
  <c r="F31"/>
  <c r="E31"/>
  <c r="D31"/>
  <c r="Q30"/>
  <c r="P30"/>
  <c r="O30"/>
  <c r="N30"/>
  <c r="M30"/>
  <c r="L30"/>
  <c r="K30"/>
  <c r="J30"/>
  <c r="I30"/>
  <c r="H30"/>
  <c r="G30"/>
  <c r="F30"/>
  <c r="E30"/>
  <c r="D30"/>
  <c r="Q29"/>
  <c r="P29"/>
  <c r="O29"/>
  <c r="N29"/>
  <c r="M29"/>
  <c r="L29"/>
  <c r="K29"/>
  <c r="J29"/>
  <c r="I29"/>
  <c r="H29"/>
  <c r="G29"/>
  <c r="F29"/>
  <c r="E29"/>
  <c r="D29"/>
  <c r="Q28"/>
  <c r="P28"/>
  <c r="O28"/>
  <c r="N28"/>
  <c r="M28"/>
  <c r="L28"/>
  <c r="K28"/>
  <c r="J28"/>
  <c r="I28"/>
  <c r="H28"/>
  <c r="G28"/>
  <c r="F28"/>
  <c r="E28"/>
  <c r="D28"/>
  <c r="Q27"/>
  <c r="P27"/>
  <c r="O27"/>
  <c r="N27"/>
  <c r="M27"/>
  <c r="L27"/>
  <c r="K27"/>
  <c r="J27"/>
  <c r="I27"/>
  <c r="H27"/>
  <c r="G27"/>
  <c r="F27"/>
  <c r="E27"/>
  <c r="D27"/>
  <c r="Q26"/>
  <c r="P26"/>
  <c r="O26"/>
  <c r="N26"/>
  <c r="M26"/>
  <c r="L26"/>
  <c r="K26"/>
  <c r="J26"/>
  <c r="I26"/>
  <c r="H26"/>
  <c r="G26"/>
  <c r="F26"/>
  <c r="E26"/>
  <c r="D26"/>
  <c r="Q25"/>
  <c r="P25"/>
  <c r="O25"/>
  <c r="N25"/>
  <c r="M25"/>
  <c r="L25"/>
  <c r="K25"/>
  <c r="J25"/>
  <c r="I25"/>
  <c r="H25"/>
  <c r="G25"/>
  <c r="F25"/>
  <c r="E25"/>
  <c r="D25"/>
  <c r="Q24"/>
  <c r="P24"/>
  <c r="O24"/>
  <c r="N24"/>
  <c r="M24"/>
  <c r="L24"/>
  <c r="K24"/>
  <c r="J24"/>
  <c r="I24"/>
  <c r="H24"/>
  <c r="G24"/>
  <c r="F24"/>
  <c r="E24"/>
  <c r="D24"/>
  <c r="Q23"/>
  <c r="P23"/>
  <c r="O23"/>
  <c r="N23"/>
  <c r="M23"/>
  <c r="L23"/>
  <c r="K23"/>
  <c r="J23"/>
  <c r="I23"/>
  <c r="H23"/>
  <c r="G23"/>
  <c r="F23"/>
  <c r="E23"/>
  <c r="D23"/>
  <c r="Q22"/>
  <c r="P22"/>
  <c r="O22"/>
  <c r="N22"/>
  <c r="M22"/>
  <c r="L22"/>
  <c r="K22"/>
  <c r="J22"/>
  <c r="I22"/>
  <c r="H22"/>
  <c r="G22"/>
  <c r="F22"/>
  <c r="E22"/>
  <c r="D22"/>
  <c r="Q21"/>
  <c r="P21"/>
  <c r="O21"/>
  <c r="N21"/>
  <c r="M21"/>
  <c r="L21"/>
  <c r="K21"/>
  <c r="J21"/>
  <c r="I21"/>
  <c r="H21"/>
  <c r="G21"/>
  <c r="F21"/>
  <c r="E21"/>
  <c r="D21"/>
  <c r="Q20"/>
  <c r="P20"/>
  <c r="O20"/>
  <c r="N20"/>
  <c r="M20"/>
  <c r="L20"/>
  <c r="K20"/>
  <c r="J20"/>
  <c r="I20"/>
  <c r="H20"/>
  <c r="G20"/>
  <c r="F20"/>
  <c r="E20"/>
  <c r="D20"/>
  <c r="Q19"/>
  <c r="P19"/>
  <c r="O19"/>
  <c r="N19"/>
  <c r="M19"/>
  <c r="L19"/>
  <c r="K19"/>
  <c r="J19"/>
  <c r="I19"/>
  <c r="H19"/>
  <c r="G19"/>
  <c r="F19"/>
  <c r="E19"/>
  <c r="D19"/>
  <c r="Q18"/>
  <c r="P18"/>
  <c r="O18"/>
  <c r="N18"/>
  <c r="M18"/>
  <c r="L18"/>
  <c r="K18"/>
  <c r="J18"/>
  <c r="I18"/>
  <c r="H18"/>
  <c r="G18"/>
  <c r="F18"/>
  <c r="E18"/>
  <c r="D18"/>
  <c r="Q17"/>
  <c r="P17"/>
  <c r="O17"/>
  <c r="N17"/>
  <c r="M17"/>
  <c r="L17"/>
  <c r="K17"/>
  <c r="J17"/>
  <c r="I17"/>
  <c r="H17"/>
  <c r="G17"/>
  <c r="F17"/>
  <c r="E17"/>
  <c r="D17"/>
  <c r="Q16"/>
  <c r="P16"/>
  <c r="O16"/>
  <c r="N16"/>
  <c r="M16"/>
  <c r="L16"/>
  <c r="K16"/>
  <c r="J16"/>
  <c r="I16"/>
  <c r="H16"/>
  <c r="G16"/>
  <c r="F16"/>
  <c r="E16"/>
  <c r="D16"/>
  <c r="Q15"/>
  <c r="P15"/>
  <c r="O15"/>
  <c r="N15"/>
  <c r="M15"/>
  <c r="L15"/>
  <c r="K15"/>
  <c r="J15"/>
  <c r="I15"/>
  <c r="H15"/>
  <c r="G15"/>
  <c r="F15"/>
  <c r="E15"/>
  <c r="D15"/>
  <c r="Q14"/>
  <c r="P14"/>
  <c r="O14"/>
  <c r="N14"/>
  <c r="M14"/>
  <c r="L14"/>
  <c r="K14"/>
  <c r="J14"/>
  <c r="I14"/>
  <c r="H14"/>
  <c r="G14"/>
  <c r="F14"/>
  <c r="E14"/>
  <c r="D14"/>
  <c r="Q13"/>
  <c r="P13"/>
  <c r="O13"/>
  <c r="N13"/>
  <c r="M13"/>
  <c r="L13"/>
  <c r="K13"/>
  <c r="J13"/>
  <c r="I13"/>
  <c r="H13"/>
  <c r="G13"/>
  <c r="F13"/>
  <c r="E13"/>
  <c r="D13"/>
  <c r="Q12"/>
  <c r="P12"/>
  <c r="O12"/>
  <c r="N12"/>
  <c r="M12"/>
  <c r="L12"/>
  <c r="K12"/>
  <c r="J12"/>
  <c r="I12"/>
  <c r="H12"/>
  <c r="G12"/>
  <c r="F12"/>
  <c r="E12"/>
  <c r="D12"/>
  <c r="Q11"/>
  <c r="P11"/>
  <c r="O11"/>
  <c r="N11"/>
  <c r="M11"/>
  <c r="L11"/>
  <c r="K11"/>
  <c r="J11"/>
  <c r="I11"/>
  <c r="H11"/>
  <c r="G11"/>
  <c r="F11"/>
  <c r="E11"/>
  <c r="D11"/>
  <c r="Q10"/>
  <c r="P10"/>
  <c r="O10"/>
  <c r="N10"/>
  <c r="M10"/>
  <c r="L10"/>
  <c r="K10"/>
  <c r="J10"/>
  <c r="I10"/>
  <c r="H10"/>
  <c r="G10"/>
  <c r="F10"/>
  <c r="E10"/>
  <c r="D10"/>
  <c r="Q9"/>
  <c r="P9"/>
  <c r="O9"/>
  <c r="N9"/>
  <c r="M9"/>
  <c r="L9"/>
  <c r="K9"/>
  <c r="J9"/>
  <c r="I9"/>
  <c r="H9"/>
  <c r="G9"/>
  <c r="F9"/>
  <c r="E9"/>
  <c r="D9"/>
  <c r="Q8"/>
  <c r="P8"/>
  <c r="O8"/>
  <c r="N8"/>
  <c r="M8"/>
  <c r="L8"/>
  <c r="K8"/>
  <c r="J8"/>
  <c r="I8"/>
  <c r="H8"/>
  <c r="G8"/>
  <c r="F8"/>
  <c r="E8"/>
  <c r="D8"/>
  <c r="Q7"/>
  <c r="P7"/>
  <c r="O7"/>
  <c r="N7"/>
  <c r="M7"/>
  <c r="L7"/>
  <c r="K7"/>
  <c r="J7"/>
  <c r="I7"/>
  <c r="H7"/>
  <c r="G7"/>
  <c r="F7"/>
  <c r="E7"/>
  <c r="D7"/>
  <c r="Q6"/>
  <c r="P6"/>
  <c r="O6"/>
  <c r="N6"/>
  <c r="M6"/>
  <c r="L6"/>
  <c r="K6"/>
  <c r="J6"/>
  <c r="I6"/>
  <c r="H6"/>
  <c r="G6"/>
  <c r="F6"/>
  <c r="E6"/>
  <c r="D6"/>
  <c r="Q5"/>
  <c r="P5"/>
  <c r="O5"/>
  <c r="N5"/>
  <c r="M5"/>
  <c r="L5"/>
  <c r="K5"/>
  <c r="J5"/>
  <c r="I5"/>
  <c r="H5"/>
  <c r="G5"/>
  <c r="F5"/>
  <c r="E5"/>
  <c r="D5"/>
  <c r="Q4"/>
  <c r="P4"/>
  <c r="F4"/>
  <c r="D4"/>
  <c r="I131" i="84"/>
  <c r="H131"/>
  <c r="G131"/>
  <c r="F131"/>
  <c r="I130"/>
  <c r="H130"/>
  <c r="G130"/>
  <c r="F130"/>
  <c r="I129"/>
  <c r="H129"/>
  <c r="G129"/>
  <c r="F129"/>
  <c r="I128"/>
  <c r="H128"/>
  <c r="G128"/>
  <c r="F128"/>
  <c r="I127"/>
  <c r="H127"/>
  <c r="G127"/>
  <c r="F127"/>
  <c r="AK131"/>
  <c r="AK130"/>
  <c r="AK129"/>
  <c r="AK128"/>
  <c r="AK127"/>
  <c r="AB131"/>
  <c r="W131" s="1"/>
  <c r="AB130"/>
  <c r="W130" s="1"/>
  <c r="AB129"/>
  <c r="W129" s="1"/>
  <c r="AB128"/>
  <c r="W128" s="1"/>
  <c r="AB127"/>
  <c r="W127" s="1"/>
  <c r="V131"/>
  <c r="Q131" s="1"/>
  <c r="V130"/>
  <c r="Q130" s="1"/>
  <c r="V129"/>
  <c r="Q129" s="1"/>
  <c r="P131"/>
  <c r="K131" s="1"/>
  <c r="P130"/>
  <c r="K130" s="1"/>
  <c r="P129"/>
  <c r="K129" s="1"/>
  <c r="P128"/>
  <c r="K128" s="1"/>
  <c r="P127"/>
  <c r="K127" s="1"/>
  <c r="V127"/>
  <c r="Q127" s="1"/>
  <c r="V128"/>
  <c r="Q128" s="1"/>
  <c r="J127" l="1"/>
  <c r="J129"/>
  <c r="J131"/>
  <c r="E131" s="1"/>
  <c r="E127"/>
  <c r="AG127" s="1"/>
  <c r="J128"/>
  <c r="E128" s="1"/>
  <c r="J130"/>
  <c r="E130" s="1"/>
  <c r="AE130" s="1"/>
  <c r="E129"/>
  <c r="AG129" s="1"/>
  <c r="AF100"/>
  <c r="AE100"/>
  <c r="AF99"/>
  <c r="AE99"/>
  <c r="AF98"/>
  <c r="AE98"/>
  <c r="AF125"/>
  <c r="AE125"/>
  <c r="AF124"/>
  <c r="AE124"/>
  <c r="AF97"/>
  <c r="AE97"/>
  <c r="AF96"/>
  <c r="AE96"/>
  <c r="AF95"/>
  <c r="AE95"/>
  <c r="AF123"/>
  <c r="AE123"/>
  <c r="AF94"/>
  <c r="AE94"/>
  <c r="AF93"/>
  <c r="AE93"/>
  <c r="AF92"/>
  <c r="AE92"/>
  <c r="AF122"/>
  <c r="AE122"/>
  <c r="AF91"/>
  <c r="AE91"/>
  <c r="AF90"/>
  <c r="AE90"/>
  <c r="AF89"/>
  <c r="AE89"/>
  <c r="AF88"/>
  <c r="AE88"/>
  <c r="AF87"/>
  <c r="AE87"/>
  <c r="AF86"/>
  <c r="AE86"/>
  <c r="AF85"/>
  <c r="AE85"/>
  <c r="AF84"/>
  <c r="AE84"/>
  <c r="AF83"/>
  <c r="AE83"/>
  <c r="AF82"/>
  <c r="AE82"/>
  <c r="AF121"/>
  <c r="AE121"/>
  <c r="AF81"/>
  <c r="AE81"/>
  <c r="AF120"/>
  <c r="AE120"/>
  <c r="AF80"/>
  <c r="AE80"/>
  <c r="AF119"/>
  <c r="AE119"/>
  <c r="AF79"/>
  <c r="AE79"/>
  <c r="AF78"/>
  <c r="AE78"/>
  <c r="AF77"/>
  <c r="AE77"/>
  <c r="AF76"/>
  <c r="AE76"/>
  <c r="AF75"/>
  <c r="AE75"/>
  <c r="AF118"/>
  <c r="AE118"/>
  <c r="AF74"/>
  <c r="AE74"/>
  <c r="AF117"/>
  <c r="AE117"/>
  <c r="AF73"/>
  <c r="AE73"/>
  <c r="AF72"/>
  <c r="AE72"/>
  <c r="AF71"/>
  <c r="AE71"/>
  <c r="AF70"/>
  <c r="AE70"/>
  <c r="AF116"/>
  <c r="AE116"/>
  <c r="AF69"/>
  <c r="AE69"/>
  <c r="AF68"/>
  <c r="AE68"/>
  <c r="AF115"/>
  <c r="AE115"/>
  <c r="AF114"/>
  <c r="AE114"/>
  <c r="AF67"/>
  <c r="AE67"/>
  <c r="AF66"/>
  <c r="AE66"/>
  <c r="AF65"/>
  <c r="AE65"/>
  <c r="AF64"/>
  <c r="AE64"/>
  <c r="AF63"/>
  <c r="AE63"/>
  <c r="AF62"/>
  <c r="AE62"/>
  <c r="AF113"/>
  <c r="AE113"/>
  <c r="AF112"/>
  <c r="AE112"/>
  <c r="AF61"/>
  <c r="AE61"/>
  <c r="AF111"/>
  <c r="AE111"/>
  <c r="AF60"/>
  <c r="AE60"/>
  <c r="AF59"/>
  <c r="AE59"/>
  <c r="AF58"/>
  <c r="AE58"/>
  <c r="AF57"/>
  <c r="AE57"/>
  <c r="AF56"/>
  <c r="AE56"/>
  <c r="AF55"/>
  <c r="AE55"/>
  <c r="AF54"/>
  <c r="AE54"/>
  <c r="AF53"/>
  <c r="AE53"/>
  <c r="AF52"/>
  <c r="AE52"/>
  <c r="AF51"/>
  <c r="AE51"/>
  <c r="AF110"/>
  <c r="AE110"/>
  <c r="AF50"/>
  <c r="AE50"/>
  <c r="AF49"/>
  <c r="AE49"/>
  <c r="AF48"/>
  <c r="AE48"/>
  <c r="AF47"/>
  <c r="AE47"/>
  <c r="AF109"/>
  <c r="AE109"/>
  <c r="AF46"/>
  <c r="AE46"/>
  <c r="AF45"/>
  <c r="AE45"/>
  <c r="AF44"/>
  <c r="AE44"/>
  <c r="AF43"/>
  <c r="AE43"/>
  <c r="AF42"/>
  <c r="AE42"/>
  <c r="AF41"/>
  <c r="AE41"/>
  <c r="AF40"/>
  <c r="AE40"/>
  <c r="AF108"/>
  <c r="AE108"/>
  <c r="AF107"/>
  <c r="AE107"/>
  <c r="AF39"/>
  <c r="AE39"/>
  <c r="AF38"/>
  <c r="AE38"/>
  <c r="AF106"/>
  <c r="AE106"/>
  <c r="AF37"/>
  <c r="AE37"/>
  <c r="AF36"/>
  <c r="AE36"/>
  <c r="AF35"/>
  <c r="AE35"/>
  <c r="AF34"/>
  <c r="AE34"/>
  <c r="AF33"/>
  <c r="AE33"/>
  <c r="AF32"/>
  <c r="AE32"/>
  <c r="AF31"/>
  <c r="AE31"/>
  <c r="AF105"/>
  <c r="AE105"/>
  <c r="AF30"/>
  <c r="AE30"/>
  <c r="AF29"/>
  <c r="AE29"/>
  <c r="AF28"/>
  <c r="AE28"/>
  <c r="AF27"/>
  <c r="AE27"/>
  <c r="AF26"/>
  <c r="AE26"/>
  <c r="AF104"/>
  <c r="AE104"/>
  <c r="AF103"/>
  <c r="AE103"/>
  <c r="AF25"/>
  <c r="AE25"/>
  <c r="AF24"/>
  <c r="AE24"/>
  <c r="AF23"/>
  <c r="AE23"/>
  <c r="AF22"/>
  <c r="AE22"/>
  <c r="AF21"/>
  <c r="AE21"/>
  <c r="AF20"/>
  <c r="AE20"/>
  <c r="AF19"/>
  <c r="AE19"/>
  <c r="AF18"/>
  <c r="AE18"/>
  <c r="AF102"/>
  <c r="AE102"/>
  <c r="AF17"/>
  <c r="AE17"/>
  <c r="AF16"/>
  <c r="AE16"/>
  <c r="AF15"/>
  <c r="AE15"/>
  <c r="AF14"/>
  <c r="AE14"/>
  <c r="AF13"/>
  <c r="AE13"/>
  <c r="AF12"/>
  <c r="AE12"/>
  <c r="AF11"/>
  <c r="AE11"/>
  <c r="AF10"/>
  <c r="AE10"/>
  <c r="AF9"/>
  <c r="AE9"/>
  <c r="AF8"/>
  <c r="AE8"/>
  <c r="AF101"/>
  <c r="AE101"/>
  <c r="AF7"/>
  <c r="AE7"/>
  <c r="AF6"/>
  <c r="AE6"/>
  <c r="AO100"/>
  <c r="AO99"/>
  <c r="AO98"/>
  <c r="AO125"/>
  <c r="AO124"/>
  <c r="AO97"/>
  <c r="AO96"/>
  <c r="AO95"/>
  <c r="AO123"/>
  <c r="AO94"/>
  <c r="AO93"/>
  <c r="AO92"/>
  <c r="AO122"/>
  <c r="AO91"/>
  <c r="AO90"/>
  <c r="AO89"/>
  <c r="AO88"/>
  <c r="AO87"/>
  <c r="AO86"/>
  <c r="AO85"/>
  <c r="AO84"/>
  <c r="AO83"/>
  <c r="AO82"/>
  <c r="AO121"/>
  <c r="AO81"/>
  <c r="AO120"/>
  <c r="AO80"/>
  <c r="AO119"/>
  <c r="AO79"/>
  <c r="AO78"/>
  <c r="AO77"/>
  <c r="AO76"/>
  <c r="AO75"/>
  <c r="AO118"/>
  <c r="AO74"/>
  <c r="AO117"/>
  <c r="AO73"/>
  <c r="AO72"/>
  <c r="AO71"/>
  <c r="AO70"/>
  <c r="AO116"/>
  <c r="AO69"/>
  <c r="AO68"/>
  <c r="AO115"/>
  <c r="AO114"/>
  <c r="AO67"/>
  <c r="AO66"/>
  <c r="AO65"/>
  <c r="AO64"/>
  <c r="AO63"/>
  <c r="AO62"/>
  <c r="AO113"/>
  <c r="AO112"/>
  <c r="AO61"/>
  <c r="AO111"/>
  <c r="AO60"/>
  <c r="AO59"/>
  <c r="AO58"/>
  <c r="AO57"/>
  <c r="AO56"/>
  <c r="AO55"/>
  <c r="AO54"/>
  <c r="AO53"/>
  <c r="AO52"/>
  <c r="AO51"/>
  <c r="AO110"/>
  <c r="AO50"/>
  <c r="AO49"/>
  <c r="AO48"/>
  <c r="AO47"/>
  <c r="AO109"/>
  <c r="AO46"/>
  <c r="AO45"/>
  <c r="AO44"/>
  <c r="AO43"/>
  <c r="AO42"/>
  <c r="AO41"/>
  <c r="AO40"/>
  <c r="AO108"/>
  <c r="AO107"/>
  <c r="AO39"/>
  <c r="AO38"/>
  <c r="AO106"/>
  <c r="AO37"/>
  <c r="AO36"/>
  <c r="AO35"/>
  <c r="AO34"/>
  <c r="AO33"/>
  <c r="AO32"/>
  <c r="AO31"/>
  <c r="AO105"/>
  <c r="AO30"/>
  <c r="AO29"/>
  <c r="AO28"/>
  <c r="AO27"/>
  <c r="AO26"/>
  <c r="AO104"/>
  <c r="AO103"/>
  <c r="AO25"/>
  <c r="AO24"/>
  <c r="AO23"/>
  <c r="AO22"/>
  <c r="AO21"/>
  <c r="AO20"/>
  <c r="AO19"/>
  <c r="AO18"/>
  <c r="AO102"/>
  <c r="AO17"/>
  <c r="AO16"/>
  <c r="AO15"/>
  <c r="AO14"/>
  <c r="AO13"/>
  <c r="AO12"/>
  <c r="AO11"/>
  <c r="AO10"/>
  <c r="AO9"/>
  <c r="AO8"/>
  <c r="AO101"/>
  <c r="AO7"/>
  <c r="AO6"/>
  <c r="AL5"/>
  <c r="AN5"/>
  <c r="AM5"/>
  <c r="AK5"/>
  <c r="AA5"/>
  <c r="Z5"/>
  <c r="U5"/>
  <c r="T5"/>
  <c r="P100"/>
  <c r="P99"/>
  <c r="P98"/>
  <c r="P125"/>
  <c r="P124"/>
  <c r="P97"/>
  <c r="P96"/>
  <c r="P95"/>
  <c r="P123"/>
  <c r="P94"/>
  <c r="P93"/>
  <c r="P92"/>
  <c r="P122"/>
  <c r="P91"/>
  <c r="P90"/>
  <c r="P89"/>
  <c r="P88"/>
  <c r="P87"/>
  <c r="P86"/>
  <c r="P85"/>
  <c r="P84"/>
  <c r="P83"/>
  <c r="P82"/>
  <c r="P121"/>
  <c r="P81"/>
  <c r="P120"/>
  <c r="P80"/>
  <c r="P119"/>
  <c r="P79"/>
  <c r="P78"/>
  <c r="P77"/>
  <c r="P76"/>
  <c r="P75"/>
  <c r="P118"/>
  <c r="P74"/>
  <c r="P117"/>
  <c r="P73"/>
  <c r="P72"/>
  <c r="P71"/>
  <c r="P70"/>
  <c r="P116"/>
  <c r="P69"/>
  <c r="P68"/>
  <c r="P115"/>
  <c r="P114"/>
  <c r="P67"/>
  <c r="P66"/>
  <c r="P65"/>
  <c r="P64"/>
  <c r="P63"/>
  <c r="P62"/>
  <c r="P113"/>
  <c r="P112"/>
  <c r="P61"/>
  <c r="P111"/>
  <c r="P60"/>
  <c r="P59"/>
  <c r="P58"/>
  <c r="P57"/>
  <c r="P56"/>
  <c r="P55"/>
  <c r="P54"/>
  <c r="P53"/>
  <c r="P52"/>
  <c r="P51"/>
  <c r="P110"/>
  <c r="P50"/>
  <c r="P49"/>
  <c r="P48"/>
  <c r="P47"/>
  <c r="P109"/>
  <c r="P46"/>
  <c r="P45"/>
  <c r="P44"/>
  <c r="P43"/>
  <c r="P42"/>
  <c r="P41"/>
  <c r="P40"/>
  <c r="P108"/>
  <c r="P107"/>
  <c r="P39"/>
  <c r="P38"/>
  <c r="P106"/>
  <c r="P37"/>
  <c r="P36"/>
  <c r="P35"/>
  <c r="P34"/>
  <c r="P33"/>
  <c r="P32"/>
  <c r="P31"/>
  <c r="P105"/>
  <c r="P30"/>
  <c r="P29"/>
  <c r="P28"/>
  <c r="P27"/>
  <c r="P26"/>
  <c r="P104"/>
  <c r="P103"/>
  <c r="P25"/>
  <c r="P24"/>
  <c r="P23"/>
  <c r="P22"/>
  <c r="P21"/>
  <c r="P20"/>
  <c r="P19"/>
  <c r="P18"/>
  <c r="P102"/>
  <c r="P17"/>
  <c r="P16"/>
  <c r="P15"/>
  <c r="P14"/>
  <c r="P13"/>
  <c r="P12"/>
  <c r="P11"/>
  <c r="P10"/>
  <c r="P9"/>
  <c r="P8"/>
  <c r="P101"/>
  <c r="P7"/>
  <c r="P6"/>
  <c r="O5"/>
  <c r="N5"/>
  <c r="I5"/>
  <c r="H5"/>
  <c r="AB100"/>
  <c r="AB99"/>
  <c r="AB98"/>
  <c r="AB125"/>
  <c r="AB124"/>
  <c r="AB97"/>
  <c r="AB96"/>
  <c r="AB95"/>
  <c r="AB123"/>
  <c r="AB94"/>
  <c r="AB93"/>
  <c r="AB92"/>
  <c r="AB122"/>
  <c r="AB91"/>
  <c r="AB90"/>
  <c r="AB89"/>
  <c r="AB88"/>
  <c r="AB87"/>
  <c r="AB86"/>
  <c r="AB85"/>
  <c r="AB84"/>
  <c r="AB83"/>
  <c r="AB82"/>
  <c r="AB121"/>
  <c r="AB81"/>
  <c r="AB120"/>
  <c r="AB80"/>
  <c r="AB119"/>
  <c r="AB79"/>
  <c r="AB78"/>
  <c r="AB77"/>
  <c r="AB76"/>
  <c r="AB75"/>
  <c r="AB118"/>
  <c r="AB74"/>
  <c r="AB117"/>
  <c r="AB73"/>
  <c r="AB72"/>
  <c r="AB71"/>
  <c r="AB70"/>
  <c r="AB116"/>
  <c r="AB69"/>
  <c r="AB68"/>
  <c r="AB115"/>
  <c r="AB114"/>
  <c r="AB67"/>
  <c r="AB66"/>
  <c r="AB65"/>
  <c r="AB64"/>
  <c r="AB63"/>
  <c r="AB62"/>
  <c r="AB113"/>
  <c r="AB112"/>
  <c r="AB61"/>
  <c r="AB111"/>
  <c r="AB60"/>
  <c r="AB59"/>
  <c r="AB58"/>
  <c r="AB57"/>
  <c r="AB56"/>
  <c r="AB55"/>
  <c r="AB54"/>
  <c r="AB53"/>
  <c r="AB52"/>
  <c r="AB51"/>
  <c r="AB110"/>
  <c r="AB50"/>
  <c r="AB49"/>
  <c r="AB48"/>
  <c r="AB47"/>
  <c r="AB109"/>
  <c r="AB46"/>
  <c r="AB45"/>
  <c r="AB44"/>
  <c r="AB43"/>
  <c r="AB42"/>
  <c r="AB41"/>
  <c r="AB40"/>
  <c r="AB108"/>
  <c r="AB107"/>
  <c r="AB39"/>
  <c r="AB38"/>
  <c r="AB106"/>
  <c r="AB37"/>
  <c r="AB36"/>
  <c r="AB35"/>
  <c r="AB34"/>
  <c r="AB33"/>
  <c r="AB32"/>
  <c r="AB31"/>
  <c r="AB105"/>
  <c r="AB30"/>
  <c r="AB29"/>
  <c r="AB28"/>
  <c r="AB27"/>
  <c r="AB26"/>
  <c r="AB104"/>
  <c r="AB103"/>
  <c r="AB25"/>
  <c r="AB24"/>
  <c r="AB23"/>
  <c r="AB22"/>
  <c r="AB21"/>
  <c r="AB20"/>
  <c r="AB19"/>
  <c r="AB18"/>
  <c r="AB102"/>
  <c r="AB17"/>
  <c r="AB16"/>
  <c r="AB15"/>
  <c r="AB14"/>
  <c r="AB13"/>
  <c r="AB12"/>
  <c r="AB11"/>
  <c r="AB10"/>
  <c r="AB9"/>
  <c r="AB8"/>
  <c r="AB101"/>
  <c r="AB7"/>
  <c r="AB6"/>
  <c r="J100"/>
  <c r="AG100" s="1"/>
  <c r="J99"/>
  <c r="AG99" s="1"/>
  <c r="J98"/>
  <c r="AG98" s="1"/>
  <c r="J125"/>
  <c r="AG125" s="1"/>
  <c r="J124"/>
  <c r="AG124" s="1"/>
  <c r="J97"/>
  <c r="AG97" s="1"/>
  <c r="J96"/>
  <c r="AG96" s="1"/>
  <c r="J95"/>
  <c r="AG95" s="1"/>
  <c r="J123"/>
  <c r="AG123" s="1"/>
  <c r="J94"/>
  <c r="AG94" s="1"/>
  <c r="J93"/>
  <c r="AG93" s="1"/>
  <c r="J92"/>
  <c r="AG92" s="1"/>
  <c r="J122"/>
  <c r="AG122" s="1"/>
  <c r="J91"/>
  <c r="AG91" s="1"/>
  <c r="J90"/>
  <c r="AG90" s="1"/>
  <c r="J89"/>
  <c r="AG89" s="1"/>
  <c r="J88"/>
  <c r="AG88" s="1"/>
  <c r="J87"/>
  <c r="AG87" s="1"/>
  <c r="J86"/>
  <c r="AG86" s="1"/>
  <c r="J85"/>
  <c r="AG85" s="1"/>
  <c r="J84"/>
  <c r="AG84" s="1"/>
  <c r="J83"/>
  <c r="AG83" s="1"/>
  <c r="J82"/>
  <c r="AG82" s="1"/>
  <c r="J121"/>
  <c r="AG121" s="1"/>
  <c r="J81"/>
  <c r="AG81" s="1"/>
  <c r="J120"/>
  <c r="AG120" s="1"/>
  <c r="J80"/>
  <c r="AG80" s="1"/>
  <c r="J119"/>
  <c r="AG119" s="1"/>
  <c r="J79"/>
  <c r="AG79" s="1"/>
  <c r="J78"/>
  <c r="AG78" s="1"/>
  <c r="J77"/>
  <c r="AG77" s="1"/>
  <c r="J76"/>
  <c r="AG76" s="1"/>
  <c r="J75"/>
  <c r="AG75" s="1"/>
  <c r="J118"/>
  <c r="AG118" s="1"/>
  <c r="J74"/>
  <c r="AG74" s="1"/>
  <c r="J117"/>
  <c r="AG117" s="1"/>
  <c r="J73"/>
  <c r="AG73" s="1"/>
  <c r="J72"/>
  <c r="AG72" s="1"/>
  <c r="J71"/>
  <c r="AG71" s="1"/>
  <c r="J70"/>
  <c r="AG70" s="1"/>
  <c r="J116"/>
  <c r="AG116" s="1"/>
  <c r="J69"/>
  <c r="AG69" s="1"/>
  <c r="J68"/>
  <c r="AG68" s="1"/>
  <c r="J115"/>
  <c r="AG115" s="1"/>
  <c r="J114"/>
  <c r="AG114" s="1"/>
  <c r="J67"/>
  <c r="AG67" s="1"/>
  <c r="J66"/>
  <c r="AG66" s="1"/>
  <c r="J65"/>
  <c r="AG65" s="1"/>
  <c r="J64"/>
  <c r="AG64" s="1"/>
  <c r="J63"/>
  <c r="AG63" s="1"/>
  <c r="J62"/>
  <c r="AG62" s="1"/>
  <c r="J113"/>
  <c r="AG113" s="1"/>
  <c r="J112"/>
  <c r="AG112" s="1"/>
  <c r="J61"/>
  <c r="AG61" s="1"/>
  <c r="J111"/>
  <c r="AG111" s="1"/>
  <c r="J60"/>
  <c r="AG60" s="1"/>
  <c r="J59"/>
  <c r="AG59" s="1"/>
  <c r="J58"/>
  <c r="AG58" s="1"/>
  <c r="J57"/>
  <c r="AG57" s="1"/>
  <c r="J56"/>
  <c r="AG56" s="1"/>
  <c r="J55"/>
  <c r="AG55" s="1"/>
  <c r="J54"/>
  <c r="AG54" s="1"/>
  <c r="J53"/>
  <c r="AG53" s="1"/>
  <c r="J52"/>
  <c r="AG52" s="1"/>
  <c r="J51"/>
  <c r="AG51" s="1"/>
  <c r="J110"/>
  <c r="AG110" s="1"/>
  <c r="J50"/>
  <c r="AG50" s="1"/>
  <c r="J49"/>
  <c r="AG49" s="1"/>
  <c r="J48"/>
  <c r="AG48" s="1"/>
  <c r="J47"/>
  <c r="AG47" s="1"/>
  <c r="J109"/>
  <c r="AG109" s="1"/>
  <c r="J46"/>
  <c r="AG46" s="1"/>
  <c r="J45"/>
  <c r="AG45" s="1"/>
  <c r="J44"/>
  <c r="AG44" s="1"/>
  <c r="J43"/>
  <c r="AG43" s="1"/>
  <c r="J42"/>
  <c r="AG42" s="1"/>
  <c r="J41"/>
  <c r="AG41" s="1"/>
  <c r="J40"/>
  <c r="AG40" s="1"/>
  <c r="J108"/>
  <c r="AG108" s="1"/>
  <c r="J107"/>
  <c r="AG107" s="1"/>
  <c r="J39"/>
  <c r="AG39" s="1"/>
  <c r="J38"/>
  <c r="AG38" s="1"/>
  <c r="J106"/>
  <c r="AG106" s="1"/>
  <c r="J37"/>
  <c r="AG37" s="1"/>
  <c r="J36"/>
  <c r="AG36" s="1"/>
  <c r="J35"/>
  <c r="AG35" s="1"/>
  <c r="J34"/>
  <c r="AG34" s="1"/>
  <c r="J33"/>
  <c r="AG33" s="1"/>
  <c r="J32"/>
  <c r="AG32" s="1"/>
  <c r="J31"/>
  <c r="AG31" s="1"/>
  <c r="J105"/>
  <c r="AG105" s="1"/>
  <c r="J30"/>
  <c r="AG30" s="1"/>
  <c r="J29"/>
  <c r="AG29" s="1"/>
  <c r="J28"/>
  <c r="AG28" s="1"/>
  <c r="J27"/>
  <c r="AG27" s="1"/>
  <c r="J26"/>
  <c r="AG26" s="1"/>
  <c r="J104"/>
  <c r="AG104" s="1"/>
  <c r="J103"/>
  <c r="AG103" s="1"/>
  <c r="J25"/>
  <c r="AG25" s="1"/>
  <c r="J24"/>
  <c r="AG24" s="1"/>
  <c r="J23"/>
  <c r="AG23" s="1"/>
  <c r="J22"/>
  <c r="AG22" s="1"/>
  <c r="J21"/>
  <c r="AG21" s="1"/>
  <c r="J20"/>
  <c r="AG20" s="1"/>
  <c r="J19"/>
  <c r="AG19" s="1"/>
  <c r="J18"/>
  <c r="AG18" s="1"/>
  <c r="J102"/>
  <c r="AG102" s="1"/>
  <c r="J17"/>
  <c r="AG17" s="1"/>
  <c r="J16"/>
  <c r="AG16" s="1"/>
  <c r="J15"/>
  <c r="AG15" s="1"/>
  <c r="J14"/>
  <c r="AG14" s="1"/>
  <c r="J13"/>
  <c r="AG13" s="1"/>
  <c r="J12"/>
  <c r="AG12" s="1"/>
  <c r="J11"/>
  <c r="AG11" s="1"/>
  <c r="J10"/>
  <c r="AG10" s="1"/>
  <c r="J9"/>
  <c r="AG9" s="1"/>
  <c r="J8"/>
  <c r="AG8" s="1"/>
  <c r="J101"/>
  <c r="AG101" s="1"/>
  <c r="J7"/>
  <c r="AG7" s="1"/>
  <c r="J6"/>
  <c r="AG6" s="1"/>
  <c r="V100"/>
  <c r="V99"/>
  <c r="V98"/>
  <c r="V125"/>
  <c r="V124"/>
  <c r="V97"/>
  <c r="V96"/>
  <c r="V95"/>
  <c r="V123"/>
  <c r="V94"/>
  <c r="V93"/>
  <c r="V92"/>
  <c r="V122"/>
  <c r="V91"/>
  <c r="V90"/>
  <c r="V89"/>
  <c r="V88"/>
  <c r="V87"/>
  <c r="V86"/>
  <c r="V85"/>
  <c r="V84"/>
  <c r="V83"/>
  <c r="V82"/>
  <c r="V121"/>
  <c r="V81"/>
  <c r="V120"/>
  <c r="V80"/>
  <c r="V119"/>
  <c r="V79"/>
  <c r="V78"/>
  <c r="V77"/>
  <c r="V76"/>
  <c r="V75"/>
  <c r="V118"/>
  <c r="V74"/>
  <c r="V117"/>
  <c r="V73"/>
  <c r="V72"/>
  <c r="V71"/>
  <c r="V70"/>
  <c r="V116"/>
  <c r="V69"/>
  <c r="V68"/>
  <c r="V115"/>
  <c r="V114"/>
  <c r="V67"/>
  <c r="V66"/>
  <c r="V65"/>
  <c r="V64"/>
  <c r="V63"/>
  <c r="V62"/>
  <c r="V113"/>
  <c r="V112"/>
  <c r="V61"/>
  <c r="V111"/>
  <c r="V60"/>
  <c r="V59"/>
  <c r="V58"/>
  <c r="V57"/>
  <c r="V56"/>
  <c r="V55"/>
  <c r="V54"/>
  <c r="V53"/>
  <c r="V52"/>
  <c r="V51"/>
  <c r="V110"/>
  <c r="V50"/>
  <c r="V49"/>
  <c r="V48"/>
  <c r="V47"/>
  <c r="V109"/>
  <c r="V46"/>
  <c r="V45"/>
  <c r="V44"/>
  <c r="V43"/>
  <c r="V42"/>
  <c r="V41"/>
  <c r="V40"/>
  <c r="V108"/>
  <c r="V107"/>
  <c r="V39"/>
  <c r="V38"/>
  <c r="V106"/>
  <c r="V37"/>
  <c r="V36"/>
  <c r="V35"/>
  <c r="V34"/>
  <c r="V33"/>
  <c r="V32"/>
  <c r="V31"/>
  <c r="V105"/>
  <c r="V30"/>
  <c r="V29"/>
  <c r="V28"/>
  <c r="V27"/>
  <c r="V26"/>
  <c r="V104"/>
  <c r="V103"/>
  <c r="V25"/>
  <c r="V24"/>
  <c r="V23"/>
  <c r="V22"/>
  <c r="V21"/>
  <c r="V20"/>
  <c r="V19"/>
  <c r="V18"/>
  <c r="V102"/>
  <c r="V17"/>
  <c r="V16"/>
  <c r="V15"/>
  <c r="V14"/>
  <c r="V13"/>
  <c r="V12"/>
  <c r="V11"/>
  <c r="V10"/>
  <c r="V9"/>
  <c r="V8"/>
  <c r="V101"/>
  <c r="V7"/>
  <c r="V6"/>
  <c r="AJ100"/>
  <c r="AI100"/>
  <c r="AH100"/>
  <c r="AJ99"/>
  <c r="AI99"/>
  <c r="AH99"/>
  <c r="AJ98"/>
  <c r="AI98"/>
  <c r="AH98"/>
  <c r="AJ125"/>
  <c r="AI125"/>
  <c r="AH125"/>
  <c r="AJ124"/>
  <c r="AI124"/>
  <c r="AH124"/>
  <c r="AJ97"/>
  <c r="AI97"/>
  <c r="AH97"/>
  <c r="AJ96"/>
  <c r="AI96"/>
  <c r="AH96"/>
  <c r="AJ95"/>
  <c r="AI95"/>
  <c r="AH95"/>
  <c r="AJ123"/>
  <c r="AI123"/>
  <c r="AH123"/>
  <c r="AJ94"/>
  <c r="AI94"/>
  <c r="AH94"/>
  <c r="AJ93"/>
  <c r="AI93"/>
  <c r="AH93"/>
  <c r="AJ92"/>
  <c r="AI92"/>
  <c r="AH92"/>
  <c r="AJ122"/>
  <c r="AI122"/>
  <c r="AH122"/>
  <c r="AJ91"/>
  <c r="AI91"/>
  <c r="AH91"/>
  <c r="AJ90"/>
  <c r="AI90"/>
  <c r="AH90"/>
  <c r="AJ89"/>
  <c r="AI89"/>
  <c r="AH89"/>
  <c r="AJ88"/>
  <c r="AI88"/>
  <c r="AH88"/>
  <c r="AJ87"/>
  <c r="AI87"/>
  <c r="AH87"/>
  <c r="AJ86"/>
  <c r="AI86"/>
  <c r="AH86"/>
  <c r="AJ85"/>
  <c r="AI85"/>
  <c r="AH85"/>
  <c r="AJ84"/>
  <c r="AI84"/>
  <c r="AH84"/>
  <c r="AJ83"/>
  <c r="AI83"/>
  <c r="AH83"/>
  <c r="AJ82"/>
  <c r="AI82"/>
  <c r="AH82"/>
  <c r="AJ121"/>
  <c r="AI121"/>
  <c r="AH121"/>
  <c r="AJ81"/>
  <c r="AI81"/>
  <c r="AH81"/>
  <c r="AJ120"/>
  <c r="AI120"/>
  <c r="AH120"/>
  <c r="AJ80"/>
  <c r="AI80"/>
  <c r="AH80"/>
  <c r="AJ119"/>
  <c r="AI119"/>
  <c r="AH119"/>
  <c r="AJ79"/>
  <c r="AI79"/>
  <c r="AH79"/>
  <c r="AJ78"/>
  <c r="AI78"/>
  <c r="AH78"/>
  <c r="AJ77"/>
  <c r="AI77"/>
  <c r="AH77"/>
  <c r="AJ76"/>
  <c r="AI76"/>
  <c r="AH76"/>
  <c r="AJ75"/>
  <c r="AI75"/>
  <c r="AH75"/>
  <c r="AJ118"/>
  <c r="AI118"/>
  <c r="AH118"/>
  <c r="AJ74"/>
  <c r="AI74"/>
  <c r="AH74"/>
  <c r="AJ117"/>
  <c r="AI117"/>
  <c r="AH117"/>
  <c r="AJ73"/>
  <c r="AI73"/>
  <c r="AH73"/>
  <c r="AJ72"/>
  <c r="AI72"/>
  <c r="AH72"/>
  <c r="AJ71"/>
  <c r="AI71"/>
  <c r="AH71"/>
  <c r="AJ70"/>
  <c r="AI70"/>
  <c r="AH70"/>
  <c r="AJ116"/>
  <c r="AI116"/>
  <c r="AH116"/>
  <c r="AJ69"/>
  <c r="AI69"/>
  <c r="AH69"/>
  <c r="AJ68"/>
  <c r="AI68"/>
  <c r="AH68"/>
  <c r="AJ115"/>
  <c r="AI115"/>
  <c r="AH115"/>
  <c r="AJ114"/>
  <c r="AI114"/>
  <c r="AH114"/>
  <c r="AJ67"/>
  <c r="AI67"/>
  <c r="AH67"/>
  <c r="AJ66"/>
  <c r="AI66"/>
  <c r="AH66"/>
  <c r="AJ65"/>
  <c r="AI65"/>
  <c r="AH65"/>
  <c r="AJ64"/>
  <c r="AI64"/>
  <c r="AH64"/>
  <c r="AJ63"/>
  <c r="AI63"/>
  <c r="AH63"/>
  <c r="AJ62"/>
  <c r="AI62"/>
  <c r="AH62"/>
  <c r="AJ113"/>
  <c r="AI113"/>
  <c r="AH113"/>
  <c r="AJ112"/>
  <c r="AI112"/>
  <c r="AH112"/>
  <c r="AJ61"/>
  <c r="AI61"/>
  <c r="AH61"/>
  <c r="AJ111"/>
  <c r="AI111"/>
  <c r="AH111"/>
  <c r="AJ60"/>
  <c r="AI60"/>
  <c r="AH60"/>
  <c r="AJ59"/>
  <c r="AI59"/>
  <c r="AH59"/>
  <c r="AJ58"/>
  <c r="AI58"/>
  <c r="AH58"/>
  <c r="AJ57"/>
  <c r="AI57"/>
  <c r="AH57"/>
  <c r="AJ56"/>
  <c r="AI56"/>
  <c r="AH56"/>
  <c r="AJ55"/>
  <c r="AI55"/>
  <c r="AH55"/>
  <c r="AJ54"/>
  <c r="AI54"/>
  <c r="AH54"/>
  <c r="AJ53"/>
  <c r="AI53"/>
  <c r="AH53"/>
  <c r="AJ52"/>
  <c r="AI52"/>
  <c r="AH52"/>
  <c r="AJ51"/>
  <c r="AI51"/>
  <c r="AH51"/>
  <c r="AJ110"/>
  <c r="AI110"/>
  <c r="AH110"/>
  <c r="AJ50"/>
  <c r="AI50"/>
  <c r="AH50"/>
  <c r="AJ49"/>
  <c r="AI49"/>
  <c r="AH49"/>
  <c r="AJ48"/>
  <c r="AI48"/>
  <c r="AH48"/>
  <c r="AJ47"/>
  <c r="AI47"/>
  <c r="AH47"/>
  <c r="AJ109"/>
  <c r="AI109"/>
  <c r="AH109"/>
  <c r="AJ46"/>
  <c r="AI46"/>
  <c r="AH46"/>
  <c r="AJ45"/>
  <c r="AI45"/>
  <c r="AH45"/>
  <c r="AJ44"/>
  <c r="AI44"/>
  <c r="AH44"/>
  <c r="AJ43"/>
  <c r="AI43"/>
  <c r="AH43"/>
  <c r="AJ42"/>
  <c r="AI42"/>
  <c r="AH42"/>
  <c r="AJ41"/>
  <c r="AI41"/>
  <c r="AH41"/>
  <c r="AJ40"/>
  <c r="AI40"/>
  <c r="AH40"/>
  <c r="AJ108"/>
  <c r="AI108"/>
  <c r="AH108"/>
  <c r="AJ107"/>
  <c r="AI107"/>
  <c r="AH107"/>
  <c r="AJ39"/>
  <c r="AI39"/>
  <c r="AH39"/>
  <c r="AJ38"/>
  <c r="AI38"/>
  <c r="AH38"/>
  <c r="AJ106"/>
  <c r="AI106"/>
  <c r="AH106"/>
  <c r="AJ37"/>
  <c r="AI37"/>
  <c r="AH37"/>
  <c r="AJ36"/>
  <c r="AI36"/>
  <c r="AH36"/>
  <c r="AJ35"/>
  <c r="AI35"/>
  <c r="AH35"/>
  <c r="AJ34"/>
  <c r="AI34"/>
  <c r="AH34"/>
  <c r="AJ33"/>
  <c r="AI33"/>
  <c r="AH33"/>
  <c r="AJ32"/>
  <c r="AI32"/>
  <c r="AH32"/>
  <c r="AJ31"/>
  <c r="AI31"/>
  <c r="AH31"/>
  <c r="AJ105"/>
  <c r="AI105"/>
  <c r="AH105"/>
  <c r="AJ30"/>
  <c r="AI30"/>
  <c r="AH30"/>
  <c r="AJ29"/>
  <c r="AI29"/>
  <c r="AH29"/>
  <c r="AJ28"/>
  <c r="AI28"/>
  <c r="AH28"/>
  <c r="AJ27"/>
  <c r="AI27"/>
  <c r="AH27"/>
  <c r="AJ26"/>
  <c r="AI26"/>
  <c r="AH26"/>
  <c r="AJ104"/>
  <c r="AI104"/>
  <c r="AH104"/>
  <c r="AJ103"/>
  <c r="AI103"/>
  <c r="AH103"/>
  <c r="AJ25"/>
  <c r="AI25"/>
  <c r="AH25"/>
  <c r="AJ24"/>
  <c r="AI24"/>
  <c r="AH24"/>
  <c r="AJ23"/>
  <c r="AI23"/>
  <c r="AH23"/>
  <c r="AJ22"/>
  <c r="AI22"/>
  <c r="AH22"/>
  <c r="AJ21"/>
  <c r="AI21"/>
  <c r="AH21"/>
  <c r="AJ20"/>
  <c r="AI20"/>
  <c r="AH20"/>
  <c r="AJ19"/>
  <c r="AI19"/>
  <c r="AH19"/>
  <c r="AJ18"/>
  <c r="AI18"/>
  <c r="AH18"/>
  <c r="AJ102"/>
  <c r="AI102"/>
  <c r="AH102"/>
  <c r="AJ17"/>
  <c r="AI17"/>
  <c r="AH17"/>
  <c r="AJ16"/>
  <c r="AI16"/>
  <c r="AH16"/>
  <c r="AJ15"/>
  <c r="AI15"/>
  <c r="AH15"/>
  <c r="AJ14"/>
  <c r="AI14"/>
  <c r="AH14"/>
  <c r="AJ13"/>
  <c r="AI13"/>
  <c r="AH13"/>
  <c r="AJ12"/>
  <c r="AI12"/>
  <c r="AH12"/>
  <c r="AJ11"/>
  <c r="AI11"/>
  <c r="AH11"/>
  <c r="AJ10"/>
  <c r="AI10"/>
  <c r="AH10"/>
  <c r="AJ9"/>
  <c r="AI9"/>
  <c r="AH9"/>
  <c r="AJ8"/>
  <c r="AI8"/>
  <c r="AH8"/>
  <c r="AJ101"/>
  <c r="AI101"/>
  <c r="AH101"/>
  <c r="AJ7"/>
  <c r="AI7"/>
  <c r="AH7"/>
  <c r="AJ6"/>
  <c r="AI6"/>
  <c r="AH6"/>
  <c r="Y5"/>
  <c r="X5"/>
  <c r="W5"/>
  <c r="G5"/>
  <c r="F5"/>
  <c r="E5"/>
  <c r="M5"/>
  <c r="L5"/>
  <c r="K5"/>
  <c r="S5"/>
  <c r="R5"/>
  <c r="Q5"/>
  <c r="AC127" l="1"/>
  <c r="AH127"/>
  <c r="AJ127"/>
  <c r="AI127"/>
  <c r="AO127"/>
  <c r="AD127"/>
  <c r="AF128"/>
  <c r="AG128"/>
  <c r="AJ128"/>
  <c r="AC128"/>
  <c r="AD128"/>
  <c r="AO128"/>
  <c r="AF127"/>
  <c r="AE127"/>
  <c r="AH131"/>
  <c r="AO131"/>
  <c r="AJ131"/>
  <c r="AD131"/>
  <c r="AI131"/>
  <c r="AC131"/>
  <c r="AF131"/>
  <c r="AI130"/>
  <c r="AJ130"/>
  <c r="AO130"/>
  <c r="AH130"/>
  <c r="AD130"/>
  <c r="AE131"/>
  <c r="AF130"/>
  <c r="AG130"/>
  <c r="AC130"/>
  <c r="AG131"/>
  <c r="AO129"/>
  <c r="AJ129"/>
  <c r="AD129"/>
  <c r="AI129"/>
  <c r="AC129"/>
  <c r="AH129"/>
  <c r="AF129"/>
  <c r="AE129"/>
  <c r="AE128"/>
  <c r="AI128"/>
  <c r="AH128"/>
  <c r="AO5"/>
  <c r="AJ5"/>
  <c r="AF5"/>
  <c r="AH5"/>
  <c r="AE5"/>
  <c r="P5"/>
  <c r="AI5"/>
  <c r="J5"/>
  <c r="V5"/>
  <c r="AB5"/>
  <c r="L99" i="96" l="1"/>
  <c r="L98"/>
  <c r="L97"/>
  <c r="L124"/>
  <c r="L123"/>
  <c r="L96"/>
  <c r="L95"/>
  <c r="L94"/>
  <c r="L122"/>
  <c r="L93"/>
  <c r="L92"/>
  <c r="L91"/>
  <c r="L121"/>
  <c r="L90"/>
  <c r="L89"/>
  <c r="L88"/>
  <c r="L87"/>
  <c r="L86"/>
  <c r="L85"/>
  <c r="L84"/>
  <c r="L83"/>
  <c r="L82"/>
  <c r="L81"/>
  <c r="L120"/>
  <c r="L80"/>
  <c r="L119"/>
  <c r="L79"/>
  <c r="L118"/>
  <c r="L78"/>
  <c r="L77"/>
  <c r="L76"/>
  <c r="L75"/>
  <c r="L74"/>
  <c r="L117"/>
  <c r="L73"/>
  <c r="L116"/>
  <c r="L72"/>
  <c r="L71"/>
  <c r="L70"/>
  <c r="L69"/>
  <c r="L115"/>
  <c r="L68"/>
  <c r="L67"/>
  <c r="L114"/>
  <c r="L113"/>
  <c r="L66"/>
  <c r="L65"/>
  <c r="L64"/>
  <c r="L63"/>
  <c r="L62"/>
  <c r="L61"/>
  <c r="L112"/>
  <c r="L111"/>
  <c r="L60"/>
  <c r="L110"/>
  <c r="L59"/>
  <c r="L58"/>
  <c r="L57"/>
  <c r="L56"/>
  <c r="L55"/>
  <c r="L54"/>
  <c r="L53"/>
  <c r="L52"/>
  <c r="L51"/>
  <c r="L50"/>
  <c r="L109"/>
  <c r="L49"/>
  <c r="L48"/>
  <c r="L47"/>
  <c r="L46"/>
  <c r="L108"/>
  <c r="L45"/>
  <c r="L44"/>
  <c r="L43"/>
  <c r="L42"/>
  <c r="L41"/>
  <c r="L40"/>
  <c r="L39"/>
  <c r="L107"/>
  <c r="L106"/>
  <c r="L38"/>
  <c r="L37"/>
  <c r="L105"/>
  <c r="L36"/>
  <c r="L35"/>
  <c r="L34"/>
  <c r="L33"/>
  <c r="L32"/>
  <c r="L31"/>
  <c r="L30"/>
  <c r="L104"/>
  <c r="L29"/>
  <c r="L28"/>
  <c r="L27"/>
  <c r="L26"/>
  <c r="L25"/>
  <c r="L103"/>
  <c r="L102"/>
  <c r="L24"/>
  <c r="L23"/>
  <c r="L22"/>
  <c r="L21"/>
  <c r="L20"/>
  <c r="L19"/>
  <c r="L18"/>
  <c r="L17"/>
  <c r="L101"/>
  <c r="L16"/>
  <c r="L15"/>
  <c r="L14"/>
  <c r="L13"/>
  <c r="L12"/>
  <c r="L11"/>
  <c r="L10"/>
  <c r="L9"/>
  <c r="L8"/>
  <c r="L7"/>
  <c r="L100"/>
  <c r="L6"/>
  <c r="L5"/>
  <c r="K4"/>
  <c r="J4"/>
  <c r="I4"/>
  <c r="H4"/>
  <c r="G4"/>
  <c r="D4"/>
  <c r="O99" i="92"/>
  <c r="O98"/>
  <c r="O97"/>
  <c r="O124"/>
  <c r="O123"/>
  <c r="O96"/>
  <c r="O95"/>
  <c r="O94"/>
  <c r="O122"/>
  <c r="O93"/>
  <c r="O92"/>
  <c r="O91"/>
  <c r="O121"/>
  <c r="O90"/>
  <c r="O89"/>
  <c r="O88"/>
  <c r="O87"/>
  <c r="O86"/>
  <c r="O85"/>
  <c r="O84"/>
  <c r="O83"/>
  <c r="O82"/>
  <c r="O81"/>
  <c r="O120"/>
  <c r="O80"/>
  <c r="O119"/>
  <c r="O79"/>
  <c r="O118"/>
  <c r="O78"/>
  <c r="O77"/>
  <c r="O76"/>
  <c r="O75"/>
  <c r="O74"/>
  <c r="O117"/>
  <c r="O73"/>
  <c r="O116"/>
  <c r="O72"/>
  <c r="O71"/>
  <c r="O70"/>
  <c r="O69"/>
  <c r="O115"/>
  <c r="O68"/>
  <c r="O67"/>
  <c r="O114"/>
  <c r="O113"/>
  <c r="O66"/>
  <c r="O65"/>
  <c r="O64"/>
  <c r="O63"/>
  <c r="O62"/>
  <c r="O61"/>
  <c r="O112"/>
  <c r="O111"/>
  <c r="O60"/>
  <c r="O110"/>
  <c r="O59"/>
  <c r="O58"/>
  <c r="O57"/>
  <c r="O56"/>
  <c r="O55"/>
  <c r="O54"/>
  <c r="O53"/>
  <c r="O52"/>
  <c r="O51"/>
  <c r="O50"/>
  <c r="O109"/>
  <c r="O49"/>
  <c r="O48"/>
  <c r="O47"/>
  <c r="O46"/>
  <c r="O108"/>
  <c r="O45"/>
  <c r="O44"/>
  <c r="O43"/>
  <c r="O42"/>
  <c r="O41"/>
  <c r="O40"/>
  <c r="O39"/>
  <c r="O107"/>
  <c r="O106"/>
  <c r="O38"/>
  <c r="O37"/>
  <c r="O105"/>
  <c r="O36"/>
  <c r="O35"/>
  <c r="O34"/>
  <c r="O33"/>
  <c r="O32"/>
  <c r="O31"/>
  <c r="O30"/>
  <c r="O104"/>
  <c r="O29"/>
  <c r="O28"/>
  <c r="O27"/>
  <c r="O26"/>
  <c r="O25"/>
  <c r="O103"/>
  <c r="O102"/>
  <c r="O24"/>
  <c r="O23"/>
  <c r="O22"/>
  <c r="O21"/>
  <c r="O20"/>
  <c r="O19"/>
  <c r="O18"/>
  <c r="O17"/>
  <c r="O101"/>
  <c r="O16"/>
  <c r="O15"/>
  <c r="O14"/>
  <c r="O13"/>
  <c r="O12"/>
  <c r="O11"/>
  <c r="O10"/>
  <c r="O9"/>
  <c r="O8"/>
  <c r="O7"/>
  <c r="O100"/>
  <c r="O6"/>
  <c r="O5"/>
  <c r="N99"/>
  <c r="M99"/>
  <c r="N98"/>
  <c r="M98"/>
  <c r="N97"/>
  <c r="M97"/>
  <c r="N124"/>
  <c r="M124"/>
  <c r="N123"/>
  <c r="M123"/>
  <c r="N96"/>
  <c r="M96"/>
  <c r="N95"/>
  <c r="M95"/>
  <c r="N94"/>
  <c r="M94"/>
  <c r="N122"/>
  <c r="M122"/>
  <c r="N93"/>
  <c r="M93"/>
  <c r="N92"/>
  <c r="M92"/>
  <c r="N91"/>
  <c r="M91"/>
  <c r="N121"/>
  <c r="M121"/>
  <c r="N90"/>
  <c r="M90"/>
  <c r="N89"/>
  <c r="M89"/>
  <c r="N88"/>
  <c r="M88"/>
  <c r="N87"/>
  <c r="M87"/>
  <c r="N86"/>
  <c r="M86"/>
  <c r="N85"/>
  <c r="M85"/>
  <c r="N84"/>
  <c r="M84"/>
  <c r="N83"/>
  <c r="M83"/>
  <c r="N82"/>
  <c r="M82"/>
  <c r="N81"/>
  <c r="M81"/>
  <c r="N120"/>
  <c r="M120"/>
  <c r="N80"/>
  <c r="M80"/>
  <c r="N119"/>
  <c r="M119"/>
  <c r="N79"/>
  <c r="M79"/>
  <c r="N118"/>
  <c r="M118"/>
  <c r="N78"/>
  <c r="M78"/>
  <c r="N77"/>
  <c r="M77"/>
  <c r="N76"/>
  <c r="M76"/>
  <c r="N75"/>
  <c r="M75"/>
  <c r="N74"/>
  <c r="M74"/>
  <c r="N117"/>
  <c r="M117"/>
  <c r="N73"/>
  <c r="M73"/>
  <c r="N116"/>
  <c r="M116"/>
  <c r="N72"/>
  <c r="M72"/>
  <c r="N71"/>
  <c r="M71"/>
  <c r="N70"/>
  <c r="M70"/>
  <c r="N69"/>
  <c r="M69"/>
  <c r="N115"/>
  <c r="M115"/>
  <c r="N68"/>
  <c r="M68"/>
  <c r="N67"/>
  <c r="M67"/>
  <c r="N114"/>
  <c r="M114"/>
  <c r="N113"/>
  <c r="M113"/>
  <c r="N66"/>
  <c r="M66"/>
  <c r="N65"/>
  <c r="M65"/>
  <c r="N64"/>
  <c r="M64"/>
  <c r="N63"/>
  <c r="M63"/>
  <c r="N62"/>
  <c r="M62"/>
  <c r="N61"/>
  <c r="M61"/>
  <c r="N112"/>
  <c r="M112"/>
  <c r="N111"/>
  <c r="M111"/>
  <c r="N60"/>
  <c r="M60"/>
  <c r="N110"/>
  <c r="M110"/>
  <c r="N59"/>
  <c r="M59"/>
  <c r="N58"/>
  <c r="M58"/>
  <c r="N57"/>
  <c r="M57"/>
  <c r="N56"/>
  <c r="M56"/>
  <c r="N55"/>
  <c r="M55"/>
  <c r="N54"/>
  <c r="M54"/>
  <c r="N53"/>
  <c r="M53"/>
  <c r="N52"/>
  <c r="M52"/>
  <c r="N51"/>
  <c r="M51"/>
  <c r="N50"/>
  <c r="M50"/>
  <c r="N109"/>
  <c r="M109"/>
  <c r="N49"/>
  <c r="M49"/>
  <c r="N48"/>
  <c r="M48"/>
  <c r="N47"/>
  <c r="M47"/>
  <c r="N46"/>
  <c r="M46"/>
  <c r="N108"/>
  <c r="M108"/>
  <c r="N45"/>
  <c r="M45"/>
  <c r="N44"/>
  <c r="M44"/>
  <c r="N43"/>
  <c r="M43"/>
  <c r="N42"/>
  <c r="M42"/>
  <c r="N41"/>
  <c r="M41"/>
  <c r="N40"/>
  <c r="M40"/>
  <c r="N39"/>
  <c r="M39"/>
  <c r="N107"/>
  <c r="M107"/>
  <c r="N106"/>
  <c r="M106"/>
  <c r="N38"/>
  <c r="M38"/>
  <c r="N37"/>
  <c r="M37"/>
  <c r="N105"/>
  <c r="M105"/>
  <c r="N36"/>
  <c r="M36"/>
  <c r="N35"/>
  <c r="M35"/>
  <c r="N34"/>
  <c r="M34"/>
  <c r="N33"/>
  <c r="M33"/>
  <c r="N32"/>
  <c r="M32"/>
  <c r="N31"/>
  <c r="M31"/>
  <c r="N30"/>
  <c r="M30"/>
  <c r="N104"/>
  <c r="M104"/>
  <c r="N29"/>
  <c r="M29"/>
  <c r="N28"/>
  <c r="M28"/>
  <c r="N27"/>
  <c r="M27"/>
  <c r="N26"/>
  <c r="M26"/>
  <c r="N25"/>
  <c r="M25"/>
  <c r="N103"/>
  <c r="M103"/>
  <c r="N102"/>
  <c r="M102"/>
  <c r="N24"/>
  <c r="M24"/>
  <c r="N23"/>
  <c r="M23"/>
  <c r="N22"/>
  <c r="M22"/>
  <c r="N21"/>
  <c r="M21"/>
  <c r="N20"/>
  <c r="M20"/>
  <c r="N19"/>
  <c r="M19"/>
  <c r="N18"/>
  <c r="M18"/>
  <c r="N17"/>
  <c r="M17"/>
  <c r="N101"/>
  <c r="M101"/>
  <c r="N16"/>
  <c r="M16"/>
  <c r="N15"/>
  <c r="M15"/>
  <c r="N14"/>
  <c r="M14"/>
  <c r="N13"/>
  <c r="M13"/>
  <c r="N12"/>
  <c r="M12"/>
  <c r="N11"/>
  <c r="M11"/>
  <c r="N10"/>
  <c r="M10"/>
  <c r="N9"/>
  <c r="M9"/>
  <c r="N8"/>
  <c r="M8"/>
  <c r="N7"/>
  <c r="M7"/>
  <c r="N100"/>
  <c r="M100"/>
  <c r="N6"/>
  <c r="M6"/>
  <c r="N5"/>
  <c r="M5"/>
  <c r="F4"/>
  <c r="E4"/>
  <c r="J4"/>
  <c r="J5" i="6"/>
  <c r="I5"/>
  <c r="K5"/>
  <c r="H5"/>
  <c r="G5"/>
  <c r="K4" i="92"/>
  <c r="I4"/>
  <c r="H4"/>
  <c r="G4"/>
  <c r="D4"/>
  <c r="P100" i="6"/>
  <c r="P99"/>
  <c r="P98"/>
  <c r="P125"/>
  <c r="P124"/>
  <c r="P97"/>
  <c r="P96"/>
  <c r="P95"/>
  <c r="P123"/>
  <c r="P94"/>
  <c r="P93"/>
  <c r="P92"/>
  <c r="P122"/>
  <c r="P91"/>
  <c r="P90"/>
  <c r="P89"/>
  <c r="P88"/>
  <c r="P87"/>
  <c r="P86"/>
  <c r="P85"/>
  <c r="P84"/>
  <c r="P83"/>
  <c r="P82"/>
  <c r="P121"/>
  <c r="P81"/>
  <c r="P120"/>
  <c r="P80"/>
  <c r="P119"/>
  <c r="P79"/>
  <c r="P78"/>
  <c r="P77"/>
  <c r="P76"/>
  <c r="P75"/>
  <c r="P118"/>
  <c r="P74"/>
  <c r="P117"/>
  <c r="P73"/>
  <c r="P72"/>
  <c r="P71"/>
  <c r="P70"/>
  <c r="P116"/>
  <c r="P69"/>
  <c r="P68"/>
  <c r="P115"/>
  <c r="P114"/>
  <c r="P67"/>
  <c r="P66"/>
  <c r="P65"/>
  <c r="P64"/>
  <c r="P63"/>
  <c r="P62"/>
  <c r="P113"/>
  <c r="P112"/>
  <c r="P61"/>
  <c r="P111"/>
  <c r="P60"/>
  <c r="P59"/>
  <c r="P58"/>
  <c r="P57"/>
  <c r="P56"/>
  <c r="P55"/>
  <c r="P54"/>
  <c r="P53"/>
  <c r="P52"/>
  <c r="P51"/>
  <c r="P110"/>
  <c r="P50"/>
  <c r="P49"/>
  <c r="P48"/>
  <c r="P47"/>
  <c r="P109"/>
  <c r="P46"/>
  <c r="P45"/>
  <c r="P44"/>
  <c r="P43"/>
  <c r="P42"/>
  <c r="P41"/>
  <c r="P40"/>
  <c r="P108"/>
  <c r="P107"/>
  <c r="P39"/>
  <c r="P38"/>
  <c r="P106"/>
  <c r="P37"/>
  <c r="P36"/>
  <c r="P35"/>
  <c r="P34"/>
  <c r="P33"/>
  <c r="P32"/>
  <c r="P31"/>
  <c r="P105"/>
  <c r="P30"/>
  <c r="P29"/>
  <c r="P28"/>
  <c r="P27"/>
  <c r="P26"/>
  <c r="P104"/>
  <c r="P103"/>
  <c r="P25"/>
  <c r="P24"/>
  <c r="P23"/>
  <c r="P22"/>
  <c r="P21"/>
  <c r="P20"/>
  <c r="P19"/>
  <c r="P18"/>
  <c r="P102"/>
  <c r="P17"/>
  <c r="P16"/>
  <c r="P15"/>
  <c r="P14"/>
  <c r="P13"/>
  <c r="P12"/>
  <c r="P11"/>
  <c r="P10"/>
  <c r="P9"/>
  <c r="P8"/>
  <c r="P101"/>
  <c r="P7"/>
  <c r="P6"/>
  <c r="O100"/>
  <c r="O99"/>
  <c r="O98"/>
  <c r="O125"/>
  <c r="O124"/>
  <c r="O97"/>
  <c r="O96"/>
  <c r="O95"/>
  <c r="O123"/>
  <c r="O94"/>
  <c r="O93"/>
  <c r="O92"/>
  <c r="O122"/>
  <c r="O91"/>
  <c r="O90"/>
  <c r="O89"/>
  <c r="O88"/>
  <c r="O87"/>
  <c r="O86"/>
  <c r="O85"/>
  <c r="O84"/>
  <c r="O83"/>
  <c r="O82"/>
  <c r="O121"/>
  <c r="O81"/>
  <c r="O120"/>
  <c r="O80"/>
  <c r="O119"/>
  <c r="O79"/>
  <c r="O78"/>
  <c r="O77"/>
  <c r="O76"/>
  <c r="O75"/>
  <c r="O118"/>
  <c r="O74"/>
  <c r="O117"/>
  <c r="O73"/>
  <c r="O72"/>
  <c r="O71"/>
  <c r="O70"/>
  <c r="O116"/>
  <c r="O69"/>
  <c r="O68"/>
  <c r="O115"/>
  <c r="O114"/>
  <c r="O67"/>
  <c r="O66"/>
  <c r="O65"/>
  <c r="O64"/>
  <c r="O63"/>
  <c r="O62"/>
  <c r="O113"/>
  <c r="O112"/>
  <c r="O61"/>
  <c r="O111"/>
  <c r="O60"/>
  <c r="O59"/>
  <c r="O58"/>
  <c r="O57"/>
  <c r="O56"/>
  <c r="O55"/>
  <c r="O54"/>
  <c r="O53"/>
  <c r="O52"/>
  <c r="O51"/>
  <c r="O110"/>
  <c r="O50"/>
  <c r="O49"/>
  <c r="O48"/>
  <c r="O47"/>
  <c r="O109"/>
  <c r="O46"/>
  <c r="O45"/>
  <c r="O44"/>
  <c r="O43"/>
  <c r="O42"/>
  <c r="O41"/>
  <c r="O40"/>
  <c r="O108"/>
  <c r="O107"/>
  <c r="O39"/>
  <c r="O38"/>
  <c r="O106"/>
  <c r="O37"/>
  <c r="O36"/>
  <c r="O35"/>
  <c r="O34"/>
  <c r="O33"/>
  <c r="O32"/>
  <c r="O31"/>
  <c r="O105"/>
  <c r="O30"/>
  <c r="O29"/>
  <c r="O28"/>
  <c r="O27"/>
  <c r="O26"/>
  <c r="O104"/>
  <c r="O103"/>
  <c r="O25"/>
  <c r="O24"/>
  <c r="O23"/>
  <c r="O22"/>
  <c r="O21"/>
  <c r="O20"/>
  <c r="O19"/>
  <c r="O18"/>
  <c r="O102"/>
  <c r="O17"/>
  <c r="O16"/>
  <c r="O15"/>
  <c r="O14"/>
  <c r="O13"/>
  <c r="O12"/>
  <c r="O11"/>
  <c r="O10"/>
  <c r="O9"/>
  <c r="O8"/>
  <c r="O101"/>
  <c r="O7"/>
  <c r="O6"/>
  <c r="F5"/>
  <c r="E5"/>
  <c r="D5"/>
  <c r="G4" i="55"/>
  <c r="G4" i="101"/>
  <c r="F4"/>
  <c r="E4"/>
  <c r="D4"/>
  <c r="H124"/>
  <c r="H123"/>
  <c r="H122"/>
  <c r="H121"/>
  <c r="H120"/>
  <c r="H119"/>
  <c r="H118"/>
  <c r="H117"/>
  <c r="H116"/>
  <c r="H115"/>
  <c r="H114"/>
  <c r="H113"/>
  <c r="H112"/>
  <c r="H111"/>
  <c r="H110"/>
  <c r="H109"/>
  <c r="H108"/>
  <c r="H107"/>
  <c r="H106"/>
  <c r="H105"/>
  <c r="H104"/>
  <c r="H103"/>
  <c r="H102"/>
  <c r="H101"/>
  <c r="H100"/>
  <c r="H99"/>
  <c r="H98"/>
  <c r="H97"/>
  <c r="H96"/>
  <c r="H95"/>
  <c r="H94"/>
  <c r="H93"/>
  <c r="H92"/>
  <c r="H91"/>
  <c r="H90"/>
  <c r="H89"/>
  <c r="H88"/>
  <c r="H87"/>
  <c r="H86"/>
  <c r="H85"/>
  <c r="H84"/>
  <c r="H83"/>
  <c r="H82"/>
  <c r="H81"/>
  <c r="H80"/>
  <c r="H79"/>
  <c r="H78"/>
  <c r="H77"/>
  <c r="H76"/>
  <c r="H75"/>
  <c r="H74"/>
  <c r="H73"/>
  <c r="H72"/>
  <c r="H71"/>
  <c r="H70"/>
  <c r="H69"/>
  <c r="H68"/>
  <c r="H67"/>
  <c r="H66"/>
  <c r="H65"/>
  <c r="H64"/>
  <c r="H63"/>
  <c r="H62"/>
  <c r="H61"/>
  <c r="H60"/>
  <c r="H59"/>
  <c r="H58"/>
  <c r="H57"/>
  <c r="H56"/>
  <c r="H55"/>
  <c r="H54"/>
  <c r="H53"/>
  <c r="H52"/>
  <c r="H51"/>
  <c r="H50"/>
  <c r="H49"/>
  <c r="H48"/>
  <c r="H47"/>
  <c r="H46"/>
  <c r="H45"/>
  <c r="H44"/>
  <c r="H43"/>
  <c r="H42"/>
  <c r="H41"/>
  <c r="H40"/>
  <c r="H39"/>
  <c r="H38"/>
  <c r="H37"/>
  <c r="H36"/>
  <c r="H35"/>
  <c r="H34"/>
  <c r="H33"/>
  <c r="H32"/>
  <c r="H31"/>
  <c r="H30"/>
  <c r="H29"/>
  <c r="H28"/>
  <c r="H27"/>
  <c r="H26"/>
  <c r="H25"/>
  <c r="H24"/>
  <c r="H23"/>
  <c r="H22"/>
  <c r="H21"/>
  <c r="H20"/>
  <c r="H19"/>
  <c r="H18"/>
  <c r="H17"/>
  <c r="H16"/>
  <c r="H15"/>
  <c r="H14"/>
  <c r="H13"/>
  <c r="H12"/>
  <c r="H11"/>
  <c r="H10"/>
  <c r="H9"/>
  <c r="H8"/>
  <c r="H7"/>
  <c r="H6"/>
  <c r="H5"/>
  <c r="J124"/>
  <c r="I124"/>
  <c r="J123"/>
  <c r="I123"/>
  <c r="J122"/>
  <c r="I122"/>
  <c r="J121"/>
  <c r="I121"/>
  <c r="J120"/>
  <c r="I120"/>
  <c r="J119"/>
  <c r="I119"/>
  <c r="J118"/>
  <c r="I118"/>
  <c r="J117"/>
  <c r="I117"/>
  <c r="J116"/>
  <c r="I116"/>
  <c r="J115"/>
  <c r="I115"/>
  <c r="J114"/>
  <c r="I114"/>
  <c r="J113"/>
  <c r="I113"/>
  <c r="J112"/>
  <c r="I112"/>
  <c r="J111"/>
  <c r="I111"/>
  <c r="K111" s="1"/>
  <c r="H112" i="118" s="1"/>
  <c r="J110" i="101"/>
  <c r="I110"/>
  <c r="J109"/>
  <c r="I109"/>
  <c r="J108"/>
  <c r="I108"/>
  <c r="J107"/>
  <c r="I107"/>
  <c r="J106"/>
  <c r="I106"/>
  <c r="J105"/>
  <c r="I105"/>
  <c r="J104"/>
  <c r="I104"/>
  <c r="J103"/>
  <c r="I103"/>
  <c r="J102"/>
  <c r="I102"/>
  <c r="J101"/>
  <c r="I101"/>
  <c r="J100"/>
  <c r="I100"/>
  <c r="J99"/>
  <c r="I99"/>
  <c r="J98"/>
  <c r="I98"/>
  <c r="J97"/>
  <c r="I97"/>
  <c r="J96"/>
  <c r="I96"/>
  <c r="J95"/>
  <c r="I95"/>
  <c r="J94"/>
  <c r="I94"/>
  <c r="J93"/>
  <c r="I93"/>
  <c r="J92"/>
  <c r="I92"/>
  <c r="J91"/>
  <c r="I91"/>
  <c r="J90"/>
  <c r="I90"/>
  <c r="J89"/>
  <c r="I89"/>
  <c r="J88"/>
  <c r="I88"/>
  <c r="J87"/>
  <c r="I87"/>
  <c r="J86"/>
  <c r="I86"/>
  <c r="J85"/>
  <c r="I85"/>
  <c r="J84"/>
  <c r="I84"/>
  <c r="J83"/>
  <c r="I83"/>
  <c r="J82"/>
  <c r="I82"/>
  <c r="J81"/>
  <c r="I81"/>
  <c r="J80"/>
  <c r="I80"/>
  <c r="J79"/>
  <c r="I79"/>
  <c r="J78"/>
  <c r="I78"/>
  <c r="J77"/>
  <c r="I77"/>
  <c r="J76"/>
  <c r="I76"/>
  <c r="J75"/>
  <c r="I75"/>
  <c r="J74"/>
  <c r="I74"/>
  <c r="J73"/>
  <c r="I73"/>
  <c r="J72"/>
  <c r="I72"/>
  <c r="J71"/>
  <c r="I71"/>
  <c r="J70"/>
  <c r="I70"/>
  <c r="J69"/>
  <c r="I69"/>
  <c r="J68"/>
  <c r="I68"/>
  <c r="J67"/>
  <c r="I67"/>
  <c r="J66"/>
  <c r="I66"/>
  <c r="J65"/>
  <c r="I65"/>
  <c r="J64"/>
  <c r="I64"/>
  <c r="J63"/>
  <c r="I63"/>
  <c r="J62"/>
  <c r="I62"/>
  <c r="J61"/>
  <c r="I61"/>
  <c r="J60"/>
  <c r="I60"/>
  <c r="J59"/>
  <c r="I59"/>
  <c r="J58"/>
  <c r="I58"/>
  <c r="J57"/>
  <c r="I57"/>
  <c r="J56"/>
  <c r="I56"/>
  <c r="J55"/>
  <c r="I55"/>
  <c r="J54"/>
  <c r="I54"/>
  <c r="J53"/>
  <c r="I53"/>
  <c r="J52"/>
  <c r="I52"/>
  <c r="J51"/>
  <c r="I51"/>
  <c r="K51" s="1"/>
  <c r="H52" i="118" s="1"/>
  <c r="J50" i="101"/>
  <c r="I50"/>
  <c r="J48"/>
  <c r="I48"/>
  <c r="J47"/>
  <c r="I47"/>
  <c r="J46"/>
  <c r="I46"/>
  <c r="J45"/>
  <c r="I45"/>
  <c r="J44"/>
  <c r="I44"/>
  <c r="J43"/>
  <c r="I43"/>
  <c r="J42"/>
  <c r="I42"/>
  <c r="J41"/>
  <c r="I41"/>
  <c r="J40"/>
  <c r="I40"/>
  <c r="J39"/>
  <c r="I39"/>
  <c r="J38"/>
  <c r="I38"/>
  <c r="J37"/>
  <c r="I37"/>
  <c r="J36"/>
  <c r="I36"/>
  <c r="J35"/>
  <c r="I35"/>
  <c r="J34"/>
  <c r="I34"/>
  <c r="J33"/>
  <c r="I33"/>
  <c r="J32"/>
  <c r="I32"/>
  <c r="J31"/>
  <c r="I31"/>
  <c r="J30"/>
  <c r="I30"/>
  <c r="J29"/>
  <c r="I29"/>
  <c r="J28"/>
  <c r="I28"/>
  <c r="J27"/>
  <c r="I27"/>
  <c r="J26"/>
  <c r="I26"/>
  <c r="J25"/>
  <c r="I25"/>
  <c r="J24"/>
  <c r="I24"/>
  <c r="J23"/>
  <c r="I23"/>
  <c r="J22"/>
  <c r="I22"/>
  <c r="J21"/>
  <c r="I21"/>
  <c r="J20"/>
  <c r="I20"/>
  <c r="J19"/>
  <c r="I19"/>
  <c r="J18"/>
  <c r="I18"/>
  <c r="J17"/>
  <c r="I17"/>
  <c r="J16"/>
  <c r="I16"/>
  <c r="J15"/>
  <c r="I15"/>
  <c r="J14"/>
  <c r="I14"/>
  <c r="J13"/>
  <c r="I13"/>
  <c r="J12"/>
  <c r="I12"/>
  <c r="J11"/>
  <c r="I11"/>
  <c r="J10"/>
  <c r="I10"/>
  <c r="J9"/>
  <c r="I9"/>
  <c r="J8"/>
  <c r="I8"/>
  <c r="J7"/>
  <c r="I7"/>
  <c r="J6"/>
  <c r="I6"/>
  <c r="J5"/>
  <c r="I5"/>
  <c r="G4" i="62"/>
  <c r="J5" i="56"/>
  <c r="DO125"/>
  <c r="DO124"/>
  <c r="DO123"/>
  <c r="DO122"/>
  <c r="DO121"/>
  <c r="DO120"/>
  <c r="DO119"/>
  <c r="DO118"/>
  <c r="DO117"/>
  <c r="DO116"/>
  <c r="DO115"/>
  <c r="DO114"/>
  <c r="DO113"/>
  <c r="DO112"/>
  <c r="DO111"/>
  <c r="DO110"/>
  <c r="DO109"/>
  <c r="DO108"/>
  <c r="DO107"/>
  <c r="DO106"/>
  <c r="DO105"/>
  <c r="DO104"/>
  <c r="DO103"/>
  <c r="DO102"/>
  <c r="DO101"/>
  <c r="DO100"/>
  <c r="DO99"/>
  <c r="DO98"/>
  <c r="DO97"/>
  <c r="DO96"/>
  <c r="DO95"/>
  <c r="DO94"/>
  <c r="DO93"/>
  <c r="DO92"/>
  <c r="DO91"/>
  <c r="DO90"/>
  <c r="DO89"/>
  <c r="DO88"/>
  <c r="DO87"/>
  <c r="DO86"/>
  <c r="DO85"/>
  <c r="DO84"/>
  <c r="DO83"/>
  <c r="DO82"/>
  <c r="DO81"/>
  <c r="DO80"/>
  <c r="DO79"/>
  <c r="DO78"/>
  <c r="DO77"/>
  <c r="DO76"/>
  <c r="DO75"/>
  <c r="DO74"/>
  <c r="DO73"/>
  <c r="DO72"/>
  <c r="DO71"/>
  <c r="DO70"/>
  <c r="DO69"/>
  <c r="DO68"/>
  <c r="DO67"/>
  <c r="DO66"/>
  <c r="DO65"/>
  <c r="DO64"/>
  <c r="DO63"/>
  <c r="DO62"/>
  <c r="DO61"/>
  <c r="DO60"/>
  <c r="DO59"/>
  <c r="DO58"/>
  <c r="DO57"/>
  <c r="DO56"/>
  <c r="DO55"/>
  <c r="DO54"/>
  <c r="DO53"/>
  <c r="DO52"/>
  <c r="DO51"/>
  <c r="DO50"/>
  <c r="DO49"/>
  <c r="DO48"/>
  <c r="DO47"/>
  <c r="DO46"/>
  <c r="DO45"/>
  <c r="DO44"/>
  <c r="DO43"/>
  <c r="DO42"/>
  <c r="DO41"/>
  <c r="DO40"/>
  <c r="DO39"/>
  <c r="DO38"/>
  <c r="DO37"/>
  <c r="DO36"/>
  <c r="DO35"/>
  <c r="DO34"/>
  <c r="DO33"/>
  <c r="DO32"/>
  <c r="DO31"/>
  <c r="DO30"/>
  <c r="DO29"/>
  <c r="DO28"/>
  <c r="DO27"/>
  <c r="DO26"/>
  <c r="DO25"/>
  <c r="DO24"/>
  <c r="DO23"/>
  <c r="DO22"/>
  <c r="DO21"/>
  <c r="DO20"/>
  <c r="DO19"/>
  <c r="DO18"/>
  <c r="DO17"/>
  <c r="DO16"/>
  <c r="DO15"/>
  <c r="DO14"/>
  <c r="DO13"/>
  <c r="DO12"/>
  <c r="DO11"/>
  <c r="DO10"/>
  <c r="DO9"/>
  <c r="DO8"/>
  <c r="DO7"/>
  <c r="DO6"/>
  <c r="DN5"/>
  <c r="DM5"/>
  <c r="DL5"/>
  <c r="DK5"/>
  <c r="DJ5"/>
  <c r="AC125"/>
  <c r="AC124"/>
  <c r="AC123"/>
  <c r="AC122"/>
  <c r="AC121"/>
  <c r="AC120"/>
  <c r="AC119"/>
  <c r="AC118"/>
  <c r="AC117"/>
  <c r="AC116"/>
  <c r="AC115"/>
  <c r="AC114"/>
  <c r="AC113"/>
  <c r="AC112"/>
  <c r="AC111"/>
  <c r="AC110"/>
  <c r="AC109"/>
  <c r="AC108"/>
  <c r="AC107"/>
  <c r="AC106"/>
  <c r="AC105"/>
  <c r="AC104"/>
  <c r="AC103"/>
  <c r="AC102"/>
  <c r="AC101"/>
  <c r="AC100"/>
  <c r="AC99"/>
  <c r="AC98"/>
  <c r="AC97"/>
  <c r="AC96"/>
  <c r="AC95"/>
  <c r="AC94"/>
  <c r="AC93"/>
  <c r="AC92"/>
  <c r="AC91"/>
  <c r="AC90"/>
  <c r="AC89"/>
  <c r="AC88"/>
  <c r="AC87"/>
  <c r="AC86"/>
  <c r="AC85"/>
  <c r="AC84"/>
  <c r="AC83"/>
  <c r="AC82"/>
  <c r="AC81"/>
  <c r="AC80"/>
  <c r="AC79"/>
  <c r="AC78"/>
  <c r="AC77"/>
  <c r="AC76"/>
  <c r="AC75"/>
  <c r="AC74"/>
  <c r="AC73"/>
  <c r="AC72"/>
  <c r="AC71"/>
  <c r="AC70"/>
  <c r="AC69"/>
  <c r="AC68"/>
  <c r="AC67"/>
  <c r="AC66"/>
  <c r="AC65"/>
  <c r="AC64"/>
  <c r="AC63"/>
  <c r="AC62"/>
  <c r="AC61"/>
  <c r="AC60"/>
  <c r="AC59"/>
  <c r="AC58"/>
  <c r="AC57"/>
  <c r="AC56"/>
  <c r="AC55"/>
  <c r="AC54"/>
  <c r="AC53"/>
  <c r="AC52"/>
  <c r="AC51"/>
  <c r="AC50"/>
  <c r="AC49"/>
  <c r="AC48"/>
  <c r="AC47"/>
  <c r="AC46"/>
  <c r="AC45"/>
  <c r="AC44"/>
  <c r="AC43"/>
  <c r="AC42"/>
  <c r="AC41"/>
  <c r="AC40"/>
  <c r="AC39"/>
  <c r="AC38"/>
  <c r="AC37"/>
  <c r="AC36"/>
  <c r="AC35"/>
  <c r="AC34"/>
  <c r="AC33"/>
  <c r="AC32"/>
  <c r="AC31"/>
  <c r="AC30"/>
  <c r="AC29"/>
  <c r="AC28"/>
  <c r="AC27"/>
  <c r="AC26"/>
  <c r="AC25"/>
  <c r="AC24"/>
  <c r="AC23"/>
  <c r="AC22"/>
  <c r="AC21"/>
  <c r="AC20"/>
  <c r="AC19"/>
  <c r="AC18"/>
  <c r="AC17"/>
  <c r="AC16"/>
  <c r="AC15"/>
  <c r="AC14"/>
  <c r="AC13"/>
  <c r="AC12"/>
  <c r="AC11"/>
  <c r="AC10"/>
  <c r="AC9"/>
  <c r="AC8"/>
  <c r="AC7"/>
  <c r="AC6"/>
  <c r="AB5"/>
  <c r="AA5"/>
  <c r="Z5"/>
  <c r="Y5"/>
  <c r="X5"/>
  <c r="Q124" i="53"/>
  <c r="I124" s="1"/>
  <c r="G125" i="79" s="1"/>
  <c r="Q123" i="53"/>
  <c r="I123" s="1"/>
  <c r="G124" i="79" s="1"/>
  <c r="Q122" i="53"/>
  <c r="I122" s="1"/>
  <c r="G123" i="79" s="1"/>
  <c r="Q121" i="53"/>
  <c r="I121" s="1"/>
  <c r="G122" i="79" s="1"/>
  <c r="Q120" i="53"/>
  <c r="I120" s="1"/>
  <c r="G121" i="79" s="1"/>
  <c r="Q119" i="53"/>
  <c r="I119" s="1"/>
  <c r="G120" i="79" s="1"/>
  <c r="Q118" i="53"/>
  <c r="I118" s="1"/>
  <c r="G119" i="79" s="1"/>
  <c r="Q117" i="53"/>
  <c r="I117" s="1"/>
  <c r="G118" i="79" s="1"/>
  <c r="Q116" i="53"/>
  <c r="I116" s="1"/>
  <c r="G117" i="79" s="1"/>
  <c r="Q115" i="53"/>
  <c r="I115" s="1"/>
  <c r="G116" i="79" s="1"/>
  <c r="Q114" i="53"/>
  <c r="I114" s="1"/>
  <c r="G115" i="79" s="1"/>
  <c r="Q113" i="53"/>
  <c r="I113" s="1"/>
  <c r="G114" i="79" s="1"/>
  <c r="Q112" i="53"/>
  <c r="I112" s="1"/>
  <c r="G113" i="79" s="1"/>
  <c r="Q111" i="53"/>
  <c r="I111" s="1"/>
  <c r="G112" i="79" s="1"/>
  <c r="Q110" i="53"/>
  <c r="I110" s="1"/>
  <c r="G111" i="79" s="1"/>
  <c r="Q109" i="53"/>
  <c r="I109" s="1"/>
  <c r="G110" i="79" s="1"/>
  <c r="Q108" i="53"/>
  <c r="I108" s="1"/>
  <c r="G109" i="79" s="1"/>
  <c r="Q107" i="53"/>
  <c r="I107" s="1"/>
  <c r="G108" i="79" s="1"/>
  <c r="Q106" i="53"/>
  <c r="I106" s="1"/>
  <c r="G107" i="79" s="1"/>
  <c r="Q105" i="53"/>
  <c r="I105" s="1"/>
  <c r="G106" i="79" s="1"/>
  <c r="Q104" i="53"/>
  <c r="I104" s="1"/>
  <c r="G105" i="79" s="1"/>
  <c r="Q103" i="53"/>
  <c r="I103" s="1"/>
  <c r="G104" i="79" s="1"/>
  <c r="Q102" i="53"/>
  <c r="I102" s="1"/>
  <c r="G103" i="79" s="1"/>
  <c r="Q101" i="53"/>
  <c r="I101" s="1"/>
  <c r="G102" i="79" s="1"/>
  <c r="Q100" i="53"/>
  <c r="I100" s="1"/>
  <c r="G101" i="79" s="1"/>
  <c r="Q99" i="53"/>
  <c r="I99" s="1"/>
  <c r="G100" i="79" s="1"/>
  <c r="Q98" i="53"/>
  <c r="I98" s="1"/>
  <c r="G99" i="79" s="1"/>
  <c r="Q97" i="53"/>
  <c r="I97" s="1"/>
  <c r="G98" i="79" s="1"/>
  <c r="Q96" i="53"/>
  <c r="I96" s="1"/>
  <c r="G97" i="79" s="1"/>
  <c r="Q95" i="53"/>
  <c r="I95" s="1"/>
  <c r="G96" i="79" s="1"/>
  <c r="Q94" i="53"/>
  <c r="I94" s="1"/>
  <c r="G95" i="79" s="1"/>
  <c r="Q93" i="53"/>
  <c r="I93" s="1"/>
  <c r="G94" i="79" s="1"/>
  <c r="Q92" i="53"/>
  <c r="I92" s="1"/>
  <c r="G93" i="79" s="1"/>
  <c r="Q91" i="53"/>
  <c r="I91" s="1"/>
  <c r="G92" i="79" s="1"/>
  <c r="Q90" i="53"/>
  <c r="I90" s="1"/>
  <c r="G91" i="79" s="1"/>
  <c r="Q89" i="53"/>
  <c r="I89" s="1"/>
  <c r="G90" i="79" s="1"/>
  <c r="Q88" i="53"/>
  <c r="I88" s="1"/>
  <c r="G89" i="79" s="1"/>
  <c r="Q87" i="53"/>
  <c r="I87" s="1"/>
  <c r="G88" i="79" s="1"/>
  <c r="Q86" i="53"/>
  <c r="I86" s="1"/>
  <c r="G87" i="79" s="1"/>
  <c r="Q85" i="53"/>
  <c r="I85" s="1"/>
  <c r="G86" i="79" s="1"/>
  <c r="Q84" i="53"/>
  <c r="I84" s="1"/>
  <c r="G85" i="79" s="1"/>
  <c r="Q83" i="53"/>
  <c r="I83" s="1"/>
  <c r="G84" i="79" s="1"/>
  <c r="Q82" i="53"/>
  <c r="I82" s="1"/>
  <c r="G83" i="79" s="1"/>
  <c r="Q81" i="53"/>
  <c r="I81" s="1"/>
  <c r="G82" i="79" s="1"/>
  <c r="Q80" i="53"/>
  <c r="I80" s="1"/>
  <c r="G81" i="79" s="1"/>
  <c r="Q79" i="53"/>
  <c r="I79" s="1"/>
  <c r="G80" i="79" s="1"/>
  <c r="Q78" i="53"/>
  <c r="I78" s="1"/>
  <c r="G79" i="79" s="1"/>
  <c r="Q77" i="53"/>
  <c r="I77" s="1"/>
  <c r="G78" i="79" s="1"/>
  <c r="Q76" i="53"/>
  <c r="I76" s="1"/>
  <c r="G77" i="79" s="1"/>
  <c r="Q75" i="53"/>
  <c r="I75" s="1"/>
  <c r="G76" i="79" s="1"/>
  <c r="Q74" i="53"/>
  <c r="I74" s="1"/>
  <c r="G75" i="79" s="1"/>
  <c r="Q73" i="53"/>
  <c r="I73" s="1"/>
  <c r="G74" i="79" s="1"/>
  <c r="Q72" i="53"/>
  <c r="I72" s="1"/>
  <c r="G73" i="79" s="1"/>
  <c r="Q71" i="53"/>
  <c r="I71" s="1"/>
  <c r="G72" i="79" s="1"/>
  <c r="Q70" i="53"/>
  <c r="I70" s="1"/>
  <c r="G71" i="79" s="1"/>
  <c r="Q69" i="53"/>
  <c r="I69" s="1"/>
  <c r="G70" i="79" s="1"/>
  <c r="Q68" i="53"/>
  <c r="I68" s="1"/>
  <c r="G69" i="79" s="1"/>
  <c r="Q67" i="53"/>
  <c r="I67" s="1"/>
  <c r="G68" i="79" s="1"/>
  <c r="Q66" i="53"/>
  <c r="I66" s="1"/>
  <c r="G67" i="79" s="1"/>
  <c r="Q65" i="53"/>
  <c r="I65" s="1"/>
  <c r="G66" i="79" s="1"/>
  <c r="Q64" i="53"/>
  <c r="I64" s="1"/>
  <c r="G65" i="79" s="1"/>
  <c r="Q63" i="53"/>
  <c r="I63" s="1"/>
  <c r="G64" i="79" s="1"/>
  <c r="Q62" i="53"/>
  <c r="I62" s="1"/>
  <c r="G63" i="79" s="1"/>
  <c r="Q61" i="53"/>
  <c r="I61" s="1"/>
  <c r="G62" i="79" s="1"/>
  <c r="Q60" i="53"/>
  <c r="I60" s="1"/>
  <c r="G61" i="79" s="1"/>
  <c r="Q59" i="53"/>
  <c r="I59" s="1"/>
  <c r="G60" i="79" s="1"/>
  <c r="Q58" i="53"/>
  <c r="I58" s="1"/>
  <c r="G59" i="79" s="1"/>
  <c r="Q57" i="53"/>
  <c r="I57" s="1"/>
  <c r="G58" i="79" s="1"/>
  <c r="Q56" i="53"/>
  <c r="I56" s="1"/>
  <c r="G57" i="79" s="1"/>
  <c r="Q55" i="53"/>
  <c r="I55" s="1"/>
  <c r="G56" i="79" s="1"/>
  <c r="Q54" i="53"/>
  <c r="I54" s="1"/>
  <c r="G55" i="79" s="1"/>
  <c r="Q53" i="53"/>
  <c r="I53" s="1"/>
  <c r="G54" i="79" s="1"/>
  <c r="Q52" i="53"/>
  <c r="I52" s="1"/>
  <c r="G53" i="79" s="1"/>
  <c r="Q51" i="53"/>
  <c r="I51" s="1"/>
  <c r="G52" i="79" s="1"/>
  <c r="Q50" i="53"/>
  <c r="I50" s="1"/>
  <c r="G51" i="79" s="1"/>
  <c r="Q49" i="53"/>
  <c r="I49" s="1"/>
  <c r="G50" i="79" s="1"/>
  <c r="Q48" i="53"/>
  <c r="I48" s="1"/>
  <c r="G49" i="79" s="1"/>
  <c r="Q47" i="53"/>
  <c r="I47" s="1"/>
  <c r="G48" i="79" s="1"/>
  <c r="Q46" i="53"/>
  <c r="I46" s="1"/>
  <c r="G47" i="79" s="1"/>
  <c r="Q45" i="53"/>
  <c r="I45" s="1"/>
  <c r="G46" i="79" s="1"/>
  <c r="Q44" i="53"/>
  <c r="I44" s="1"/>
  <c r="G45" i="79" s="1"/>
  <c r="Q43" i="53"/>
  <c r="I43" s="1"/>
  <c r="G44" i="79" s="1"/>
  <c r="Q42" i="53"/>
  <c r="I42" s="1"/>
  <c r="G43" i="79" s="1"/>
  <c r="Q41" i="53"/>
  <c r="I41" s="1"/>
  <c r="G42" i="79" s="1"/>
  <c r="Q40" i="53"/>
  <c r="I40" s="1"/>
  <c r="G41" i="79" s="1"/>
  <c r="Q39" i="53"/>
  <c r="I39" s="1"/>
  <c r="G40" i="79" s="1"/>
  <c r="Q38" i="53"/>
  <c r="I38" s="1"/>
  <c r="G39" i="79" s="1"/>
  <c r="Q37" i="53"/>
  <c r="I37" s="1"/>
  <c r="G38" i="79" s="1"/>
  <c r="Q36" i="53"/>
  <c r="I36" s="1"/>
  <c r="G37" i="79" s="1"/>
  <c r="Q35" i="53"/>
  <c r="I35" s="1"/>
  <c r="G36" i="79" s="1"/>
  <c r="Q34" i="53"/>
  <c r="I34" s="1"/>
  <c r="G35" i="79" s="1"/>
  <c r="Q33" i="53"/>
  <c r="I33" s="1"/>
  <c r="G34" i="79" s="1"/>
  <c r="Q32" i="53"/>
  <c r="I32" s="1"/>
  <c r="G33" i="79" s="1"/>
  <c r="Q31" i="53"/>
  <c r="I31" s="1"/>
  <c r="G32" i="79" s="1"/>
  <c r="Q30" i="53"/>
  <c r="I30" s="1"/>
  <c r="G31" i="79" s="1"/>
  <c r="Q29" i="53"/>
  <c r="I29" s="1"/>
  <c r="G30" i="79" s="1"/>
  <c r="Q28" i="53"/>
  <c r="I28" s="1"/>
  <c r="G29" i="79" s="1"/>
  <c r="Q27" i="53"/>
  <c r="I27" s="1"/>
  <c r="G28" i="79" s="1"/>
  <c r="Q26" i="53"/>
  <c r="I26" s="1"/>
  <c r="G27" i="79" s="1"/>
  <c r="Q25" i="53"/>
  <c r="I25" s="1"/>
  <c r="G26" i="79" s="1"/>
  <c r="Q24" i="53"/>
  <c r="I24" s="1"/>
  <c r="G25" i="79" s="1"/>
  <c r="Q23" i="53"/>
  <c r="I23" s="1"/>
  <c r="G24" i="79" s="1"/>
  <c r="Q22" i="53"/>
  <c r="I22" s="1"/>
  <c r="G23" i="79" s="1"/>
  <c r="Q21" i="53"/>
  <c r="I21" s="1"/>
  <c r="G22" i="79" s="1"/>
  <c r="Q20" i="53"/>
  <c r="I20" s="1"/>
  <c r="G21" i="79" s="1"/>
  <c r="Q19" i="53"/>
  <c r="I19" s="1"/>
  <c r="G20" i="79" s="1"/>
  <c r="Q18" i="53"/>
  <c r="I18" s="1"/>
  <c r="G19" i="79" s="1"/>
  <c r="Q17" i="53"/>
  <c r="I17" s="1"/>
  <c r="G18" i="79" s="1"/>
  <c r="Q16" i="53"/>
  <c r="I16" s="1"/>
  <c r="G17" i="79" s="1"/>
  <c r="Q15" i="53"/>
  <c r="I15" s="1"/>
  <c r="G16" i="79" s="1"/>
  <c r="Q14" i="53"/>
  <c r="I14" s="1"/>
  <c r="G15" i="79" s="1"/>
  <c r="Q13" i="53"/>
  <c r="I13" s="1"/>
  <c r="G14" i="79" s="1"/>
  <c r="Q12" i="53"/>
  <c r="I12" s="1"/>
  <c r="G13" i="79" s="1"/>
  <c r="Q11" i="53"/>
  <c r="I11" s="1"/>
  <c r="G12" i="79" s="1"/>
  <c r="Q10" i="53"/>
  <c r="I10" s="1"/>
  <c r="G11" i="79" s="1"/>
  <c r="Q9" i="53"/>
  <c r="I9" s="1"/>
  <c r="G10" i="79" s="1"/>
  <c r="Q8" i="53"/>
  <c r="I8" s="1"/>
  <c r="G9" i="79" s="1"/>
  <c r="Q7" i="53"/>
  <c r="I7" s="1"/>
  <c r="G8" i="79" s="1"/>
  <c r="Q6" i="53"/>
  <c r="I6" s="1"/>
  <c r="G7" i="79" s="1"/>
  <c r="Q5" i="53"/>
  <c r="I5" s="1"/>
  <c r="AM124" i="62"/>
  <c r="AM123"/>
  <c r="AM122"/>
  <c r="AM121"/>
  <c r="AM120"/>
  <c r="AM119"/>
  <c r="AM118"/>
  <c r="AM117"/>
  <c r="AM116"/>
  <c r="AM115"/>
  <c r="AM114"/>
  <c r="AM113"/>
  <c r="AM112"/>
  <c r="AM111"/>
  <c r="AM110"/>
  <c r="AM109"/>
  <c r="AM108"/>
  <c r="AM107"/>
  <c r="AM106"/>
  <c r="AM105"/>
  <c r="AM104"/>
  <c r="AM103"/>
  <c r="AM102"/>
  <c r="AM101"/>
  <c r="AM100"/>
  <c r="AM99"/>
  <c r="AM98"/>
  <c r="AM97"/>
  <c r="AM96"/>
  <c r="AM95"/>
  <c r="AM94"/>
  <c r="AM93"/>
  <c r="AM92"/>
  <c r="AM91"/>
  <c r="AM90"/>
  <c r="AM89"/>
  <c r="AM88"/>
  <c r="AM87"/>
  <c r="AM86"/>
  <c r="AM85"/>
  <c r="AM84"/>
  <c r="AM83"/>
  <c r="AM82"/>
  <c r="AM81"/>
  <c r="AM80"/>
  <c r="AM79"/>
  <c r="AM78"/>
  <c r="AM77"/>
  <c r="AM76"/>
  <c r="AM75"/>
  <c r="AM74"/>
  <c r="AM73"/>
  <c r="AM72"/>
  <c r="AM71"/>
  <c r="AM70"/>
  <c r="AM69"/>
  <c r="AM68"/>
  <c r="AM67"/>
  <c r="AM66"/>
  <c r="AM65"/>
  <c r="AM64"/>
  <c r="AM63"/>
  <c r="AM62"/>
  <c r="AM61"/>
  <c r="AM60"/>
  <c r="AM59"/>
  <c r="AM58"/>
  <c r="AM57"/>
  <c r="AM56"/>
  <c r="AM55"/>
  <c r="AM54"/>
  <c r="AM53"/>
  <c r="AM52"/>
  <c r="AM51"/>
  <c r="AM50"/>
  <c r="AM49"/>
  <c r="AM48"/>
  <c r="AM47"/>
  <c r="AM46"/>
  <c r="AM45"/>
  <c r="AM44"/>
  <c r="AM43"/>
  <c r="AM42"/>
  <c r="AM41"/>
  <c r="AM40"/>
  <c r="AM39"/>
  <c r="AM38"/>
  <c r="AM37"/>
  <c r="AM36"/>
  <c r="AM35"/>
  <c r="AM34"/>
  <c r="AM33"/>
  <c r="AM32"/>
  <c r="AM31"/>
  <c r="AM30"/>
  <c r="AM29"/>
  <c r="AM28"/>
  <c r="AM27"/>
  <c r="AM26"/>
  <c r="AM25"/>
  <c r="AM24"/>
  <c r="AM23"/>
  <c r="AM22"/>
  <c r="AM21"/>
  <c r="AM20"/>
  <c r="AM19"/>
  <c r="AM18"/>
  <c r="AM17"/>
  <c r="AM16"/>
  <c r="AM15"/>
  <c r="AM14"/>
  <c r="AM13"/>
  <c r="AM12"/>
  <c r="AM11"/>
  <c r="AM10"/>
  <c r="AM9"/>
  <c r="AM8"/>
  <c r="AM7"/>
  <c r="AM6"/>
  <c r="AM5"/>
  <c r="AG124"/>
  <c r="AG123"/>
  <c r="AG122"/>
  <c r="AG121"/>
  <c r="AG120"/>
  <c r="AG119"/>
  <c r="AG118"/>
  <c r="AG117"/>
  <c r="AG116"/>
  <c r="AG115"/>
  <c r="AG114"/>
  <c r="AG113"/>
  <c r="AG112"/>
  <c r="AG111"/>
  <c r="AG110"/>
  <c r="AG109"/>
  <c r="AG108"/>
  <c r="AG107"/>
  <c r="AG106"/>
  <c r="AG105"/>
  <c r="AG104"/>
  <c r="AG103"/>
  <c r="AG102"/>
  <c r="AG101"/>
  <c r="AG100"/>
  <c r="AG99"/>
  <c r="AG98"/>
  <c r="AG97"/>
  <c r="AG96"/>
  <c r="AG95"/>
  <c r="AG94"/>
  <c r="AG93"/>
  <c r="AG92"/>
  <c r="AG91"/>
  <c r="AG90"/>
  <c r="AG89"/>
  <c r="AG88"/>
  <c r="AG87"/>
  <c r="AG86"/>
  <c r="AG85"/>
  <c r="AG84"/>
  <c r="AG83"/>
  <c r="AG82"/>
  <c r="AG81"/>
  <c r="AG80"/>
  <c r="AG79"/>
  <c r="AG78"/>
  <c r="AG77"/>
  <c r="AG76"/>
  <c r="AG75"/>
  <c r="AG74"/>
  <c r="AG73"/>
  <c r="AG72"/>
  <c r="AG71"/>
  <c r="AG70"/>
  <c r="AG69"/>
  <c r="AG68"/>
  <c r="AG67"/>
  <c r="AG66"/>
  <c r="AG65"/>
  <c r="AG64"/>
  <c r="AG63"/>
  <c r="AG62"/>
  <c r="AG61"/>
  <c r="AG60"/>
  <c r="AG59"/>
  <c r="AG58"/>
  <c r="AG57"/>
  <c r="AG56"/>
  <c r="AG55"/>
  <c r="AG54"/>
  <c r="AG53"/>
  <c r="AG52"/>
  <c r="AG51"/>
  <c r="AG50"/>
  <c r="AG49"/>
  <c r="AG48"/>
  <c r="AG47"/>
  <c r="AG46"/>
  <c r="AG45"/>
  <c r="AG44"/>
  <c r="AG43"/>
  <c r="AG42"/>
  <c r="AG41"/>
  <c r="AG40"/>
  <c r="AG39"/>
  <c r="AG38"/>
  <c r="AG37"/>
  <c r="AG36"/>
  <c r="AG35"/>
  <c r="AG34"/>
  <c r="AG33"/>
  <c r="AG32"/>
  <c r="AG31"/>
  <c r="AG30"/>
  <c r="AG29"/>
  <c r="AG28"/>
  <c r="AG27"/>
  <c r="AG26"/>
  <c r="AG25"/>
  <c r="AG24"/>
  <c r="AG23"/>
  <c r="AG22"/>
  <c r="AG21"/>
  <c r="AG20"/>
  <c r="AG19"/>
  <c r="AG18"/>
  <c r="AG17"/>
  <c r="AG16"/>
  <c r="AG15"/>
  <c r="AG14"/>
  <c r="AG13"/>
  <c r="AG12"/>
  <c r="AG11"/>
  <c r="AG10"/>
  <c r="AG9"/>
  <c r="AG8"/>
  <c r="AG7"/>
  <c r="AG6"/>
  <c r="AG5"/>
  <c r="O124"/>
  <c r="O123"/>
  <c r="O122"/>
  <c r="O121"/>
  <c r="O120"/>
  <c r="O119"/>
  <c r="O118"/>
  <c r="O117"/>
  <c r="O116"/>
  <c r="O115"/>
  <c r="O114"/>
  <c r="O113"/>
  <c r="O112"/>
  <c r="O111"/>
  <c r="O110"/>
  <c r="O109"/>
  <c r="O108"/>
  <c r="O107"/>
  <c r="O106"/>
  <c r="O105"/>
  <c r="O104"/>
  <c r="O103"/>
  <c r="O102"/>
  <c r="O101"/>
  <c r="O100"/>
  <c r="O99"/>
  <c r="O98"/>
  <c r="O97"/>
  <c r="O96"/>
  <c r="O95"/>
  <c r="O94"/>
  <c r="O93"/>
  <c r="O92"/>
  <c r="O91"/>
  <c r="O90"/>
  <c r="O89"/>
  <c r="O88"/>
  <c r="O87"/>
  <c r="O86"/>
  <c r="O85"/>
  <c r="O84"/>
  <c r="O83"/>
  <c r="O82"/>
  <c r="O81"/>
  <c r="O80"/>
  <c r="O79"/>
  <c r="O78"/>
  <c r="O77"/>
  <c r="O76"/>
  <c r="O75"/>
  <c r="O74"/>
  <c r="O73"/>
  <c r="O72"/>
  <c r="O71"/>
  <c r="O70"/>
  <c r="O69"/>
  <c r="O68"/>
  <c r="O67"/>
  <c r="O66"/>
  <c r="O65"/>
  <c r="O64"/>
  <c r="O63"/>
  <c r="O62"/>
  <c r="O61"/>
  <c r="O60"/>
  <c r="O59"/>
  <c r="O58"/>
  <c r="O57"/>
  <c r="O56"/>
  <c r="O55"/>
  <c r="O54"/>
  <c r="O53"/>
  <c r="O52"/>
  <c r="O51"/>
  <c r="O50"/>
  <c r="O49"/>
  <c r="O48"/>
  <c r="O47"/>
  <c r="O46"/>
  <c r="O45"/>
  <c r="O44"/>
  <c r="O43"/>
  <c r="O42"/>
  <c r="O41"/>
  <c r="O40"/>
  <c r="O39"/>
  <c r="O38"/>
  <c r="O37"/>
  <c r="O36"/>
  <c r="O35"/>
  <c r="O34"/>
  <c r="O33"/>
  <c r="O32"/>
  <c r="O31"/>
  <c r="O30"/>
  <c r="O29"/>
  <c r="O28"/>
  <c r="O27"/>
  <c r="O26"/>
  <c r="O25"/>
  <c r="O24"/>
  <c r="O23"/>
  <c r="O22"/>
  <c r="O21"/>
  <c r="O20"/>
  <c r="O19"/>
  <c r="O18"/>
  <c r="O17"/>
  <c r="O16"/>
  <c r="O15"/>
  <c r="O14"/>
  <c r="O13"/>
  <c r="O12"/>
  <c r="O11"/>
  <c r="O10"/>
  <c r="O9"/>
  <c r="O8"/>
  <c r="O7"/>
  <c r="O6"/>
  <c r="O5"/>
  <c r="D4" i="60"/>
  <c r="E4"/>
  <c r="H4"/>
  <c r="AM125"/>
  <c r="AM99"/>
  <c r="AM98"/>
  <c r="AM97"/>
  <c r="AM124"/>
  <c r="AM123"/>
  <c r="AM96"/>
  <c r="AM95"/>
  <c r="AM94"/>
  <c r="AM122"/>
  <c r="AM93"/>
  <c r="AM92"/>
  <c r="AM91"/>
  <c r="AM121"/>
  <c r="AM90"/>
  <c r="AM89"/>
  <c r="AM88"/>
  <c r="AM87"/>
  <c r="AM86"/>
  <c r="AM85"/>
  <c r="AM84"/>
  <c r="AM83"/>
  <c r="AM82"/>
  <c r="AM81"/>
  <c r="AM120"/>
  <c r="AM80"/>
  <c r="AM119"/>
  <c r="AM79"/>
  <c r="AM118"/>
  <c r="AM78"/>
  <c r="AM77"/>
  <c r="AM76"/>
  <c r="AM75"/>
  <c r="AM74"/>
  <c r="AM117"/>
  <c r="AM73"/>
  <c r="AM116"/>
  <c r="AM72"/>
  <c r="AM71"/>
  <c r="AM70"/>
  <c r="AM69"/>
  <c r="AM115"/>
  <c r="AM68"/>
  <c r="AM67"/>
  <c r="AM114"/>
  <c r="AM113"/>
  <c r="AM66"/>
  <c r="AM65"/>
  <c r="AM64"/>
  <c r="AM63"/>
  <c r="AM62"/>
  <c r="AM61"/>
  <c r="AM112"/>
  <c r="AM111"/>
  <c r="AM60"/>
  <c r="AM110"/>
  <c r="AM59"/>
  <c r="AM58"/>
  <c r="AM57"/>
  <c r="AM56"/>
  <c r="AM55"/>
  <c r="AM54"/>
  <c r="AM53"/>
  <c r="AM52"/>
  <c r="AM51"/>
  <c r="AM50"/>
  <c r="AM109"/>
  <c r="AM49"/>
  <c r="AM48"/>
  <c r="AM47"/>
  <c r="AM46"/>
  <c r="AM108"/>
  <c r="AM45"/>
  <c r="AM44"/>
  <c r="AM43"/>
  <c r="AM42"/>
  <c r="AM41"/>
  <c r="AM40"/>
  <c r="AM39"/>
  <c r="AM107"/>
  <c r="AM106"/>
  <c r="AM38"/>
  <c r="AM37"/>
  <c r="AM105"/>
  <c r="AM36"/>
  <c r="AM35"/>
  <c r="AM34"/>
  <c r="AM33"/>
  <c r="AM32"/>
  <c r="AM31"/>
  <c r="AM30"/>
  <c r="AM104"/>
  <c r="AM29"/>
  <c r="AM28"/>
  <c r="AM27"/>
  <c r="AM26"/>
  <c r="AM25"/>
  <c r="AM103"/>
  <c r="AM102"/>
  <c r="AM24"/>
  <c r="AM23"/>
  <c r="AM22"/>
  <c r="AM21"/>
  <c r="AM20"/>
  <c r="AM19"/>
  <c r="AM18"/>
  <c r="AM17"/>
  <c r="AM101"/>
  <c r="AM16"/>
  <c r="AM15"/>
  <c r="AM14"/>
  <c r="AM13"/>
  <c r="AM12"/>
  <c r="AM11"/>
  <c r="AM10"/>
  <c r="AM9"/>
  <c r="AM8"/>
  <c r="AM7"/>
  <c r="AM100"/>
  <c r="AM6"/>
  <c r="AM5"/>
  <c r="AE99"/>
  <c r="AE98"/>
  <c r="AE97"/>
  <c r="AE124"/>
  <c r="AE123"/>
  <c r="AE96"/>
  <c r="AE95"/>
  <c r="AE94"/>
  <c r="AE122"/>
  <c r="AE93"/>
  <c r="AE92"/>
  <c r="AE91"/>
  <c r="AE121"/>
  <c r="AE90"/>
  <c r="AE89"/>
  <c r="AE88"/>
  <c r="AE87"/>
  <c r="AE86"/>
  <c r="AE85"/>
  <c r="AE84"/>
  <c r="AE83"/>
  <c r="AE82"/>
  <c r="AE81"/>
  <c r="AE120"/>
  <c r="AE80"/>
  <c r="AE119"/>
  <c r="AE79"/>
  <c r="AE118"/>
  <c r="AE78"/>
  <c r="AE77"/>
  <c r="AE76"/>
  <c r="AE75"/>
  <c r="AE74"/>
  <c r="AE117"/>
  <c r="AE73"/>
  <c r="AE116"/>
  <c r="AE72"/>
  <c r="AE71"/>
  <c r="AE70"/>
  <c r="AE69"/>
  <c r="AE115"/>
  <c r="AE68"/>
  <c r="AE67"/>
  <c r="AE114"/>
  <c r="AE113"/>
  <c r="AE66"/>
  <c r="AE65"/>
  <c r="AE64"/>
  <c r="AE63"/>
  <c r="AE62"/>
  <c r="AE61"/>
  <c r="AE112"/>
  <c r="AE111"/>
  <c r="AE60"/>
  <c r="AE110"/>
  <c r="AE59"/>
  <c r="AE58"/>
  <c r="AE57"/>
  <c r="AE56"/>
  <c r="AE55"/>
  <c r="AE54"/>
  <c r="AE53"/>
  <c r="AE52"/>
  <c r="AE51"/>
  <c r="AE50"/>
  <c r="AE109"/>
  <c r="AE49"/>
  <c r="AE48"/>
  <c r="AE47"/>
  <c r="AE46"/>
  <c r="AE108"/>
  <c r="AE45"/>
  <c r="AE44"/>
  <c r="AE43"/>
  <c r="AE42"/>
  <c r="AE41"/>
  <c r="AE40"/>
  <c r="AE39"/>
  <c r="AE107"/>
  <c r="AE106"/>
  <c r="AE38"/>
  <c r="AE37"/>
  <c r="AE105"/>
  <c r="AE36"/>
  <c r="AE35"/>
  <c r="AE34"/>
  <c r="AE33"/>
  <c r="AE32"/>
  <c r="AE31"/>
  <c r="AE30"/>
  <c r="AE104"/>
  <c r="AE29"/>
  <c r="AE28"/>
  <c r="AE27"/>
  <c r="AE26"/>
  <c r="AE25"/>
  <c r="AE103"/>
  <c r="AE102"/>
  <c r="AE24"/>
  <c r="AE23"/>
  <c r="AE22"/>
  <c r="AE21"/>
  <c r="AE20"/>
  <c r="AE19"/>
  <c r="AE18"/>
  <c r="AE17"/>
  <c r="AE101"/>
  <c r="AE16"/>
  <c r="AE15"/>
  <c r="AE14"/>
  <c r="AE13"/>
  <c r="AE12"/>
  <c r="AE11"/>
  <c r="AE10"/>
  <c r="AE9"/>
  <c r="AE8"/>
  <c r="AE7"/>
  <c r="AE100"/>
  <c r="AE6"/>
  <c r="AE5"/>
  <c r="W99"/>
  <c r="W98"/>
  <c r="W97"/>
  <c r="W124"/>
  <c r="W123"/>
  <c r="W96"/>
  <c r="W95"/>
  <c r="W94"/>
  <c r="W122"/>
  <c r="W93"/>
  <c r="W92"/>
  <c r="W91"/>
  <c r="W121"/>
  <c r="W90"/>
  <c r="W89"/>
  <c r="W88"/>
  <c r="W87"/>
  <c r="W86"/>
  <c r="W85"/>
  <c r="W84"/>
  <c r="W83"/>
  <c r="W82"/>
  <c r="W81"/>
  <c r="W120"/>
  <c r="W80"/>
  <c r="W119"/>
  <c r="W79"/>
  <c r="W118"/>
  <c r="W78"/>
  <c r="W77"/>
  <c r="W76"/>
  <c r="W75"/>
  <c r="W74"/>
  <c r="W117"/>
  <c r="W73"/>
  <c r="W116"/>
  <c r="W72"/>
  <c r="W71"/>
  <c r="W70"/>
  <c r="W69"/>
  <c r="W115"/>
  <c r="W68"/>
  <c r="W67"/>
  <c r="W114"/>
  <c r="W113"/>
  <c r="W66"/>
  <c r="W65"/>
  <c r="W64"/>
  <c r="W63"/>
  <c r="W62"/>
  <c r="W61"/>
  <c r="W112"/>
  <c r="W111"/>
  <c r="W60"/>
  <c r="W110"/>
  <c r="W59"/>
  <c r="W58"/>
  <c r="W57"/>
  <c r="W56"/>
  <c r="W55"/>
  <c r="W54"/>
  <c r="W53"/>
  <c r="W52"/>
  <c r="W51"/>
  <c r="W50"/>
  <c r="W109"/>
  <c r="W49"/>
  <c r="W48"/>
  <c r="W47"/>
  <c r="W46"/>
  <c r="W108"/>
  <c r="W45"/>
  <c r="W44"/>
  <c r="W43"/>
  <c r="W42"/>
  <c r="W41"/>
  <c r="W40"/>
  <c r="W39"/>
  <c r="W107"/>
  <c r="W106"/>
  <c r="W38"/>
  <c r="W37"/>
  <c r="W105"/>
  <c r="W36"/>
  <c r="W35"/>
  <c r="W34"/>
  <c r="W33"/>
  <c r="W32"/>
  <c r="W31"/>
  <c r="W30"/>
  <c r="W104"/>
  <c r="W29"/>
  <c r="W28"/>
  <c r="W27"/>
  <c r="W26"/>
  <c r="W25"/>
  <c r="W103"/>
  <c r="W102"/>
  <c r="W24"/>
  <c r="W23"/>
  <c r="W22"/>
  <c r="W21"/>
  <c r="W20"/>
  <c r="W19"/>
  <c r="W18"/>
  <c r="W17"/>
  <c r="W101"/>
  <c r="W16"/>
  <c r="W15"/>
  <c r="W14"/>
  <c r="W13"/>
  <c r="W12"/>
  <c r="W11"/>
  <c r="W10"/>
  <c r="W9"/>
  <c r="W8"/>
  <c r="W7"/>
  <c r="W100"/>
  <c r="W6"/>
  <c r="W5"/>
  <c r="O4"/>
  <c r="DU125" i="56"/>
  <c r="DU124"/>
  <c r="DU123"/>
  <c r="DU122"/>
  <c r="DU121"/>
  <c r="DU120"/>
  <c r="DU119"/>
  <c r="DU118"/>
  <c r="DU117"/>
  <c r="DU116"/>
  <c r="DU115"/>
  <c r="DU114"/>
  <c r="DU113"/>
  <c r="DU112"/>
  <c r="DU111"/>
  <c r="DU110"/>
  <c r="DU109"/>
  <c r="DU108"/>
  <c r="DU107"/>
  <c r="DU106"/>
  <c r="DU105"/>
  <c r="DU104"/>
  <c r="DU103"/>
  <c r="DU102"/>
  <c r="DU101"/>
  <c r="DU100"/>
  <c r="DU99"/>
  <c r="DU98"/>
  <c r="DU97"/>
  <c r="DU96"/>
  <c r="DU95"/>
  <c r="DU94"/>
  <c r="DU93"/>
  <c r="DU92"/>
  <c r="DU91"/>
  <c r="DU90"/>
  <c r="DU89"/>
  <c r="DU88"/>
  <c r="DU87"/>
  <c r="DU86"/>
  <c r="DU85"/>
  <c r="DU84"/>
  <c r="DU83"/>
  <c r="DU82"/>
  <c r="DU81"/>
  <c r="DU80"/>
  <c r="DU79"/>
  <c r="DU78"/>
  <c r="DU77"/>
  <c r="DU76"/>
  <c r="DU75"/>
  <c r="DU74"/>
  <c r="DU73"/>
  <c r="DU72"/>
  <c r="DU71"/>
  <c r="DU70"/>
  <c r="DU69"/>
  <c r="DU68"/>
  <c r="DU67"/>
  <c r="DU66"/>
  <c r="DU65"/>
  <c r="DU64"/>
  <c r="DU63"/>
  <c r="DU62"/>
  <c r="DU61"/>
  <c r="DU60"/>
  <c r="DU59"/>
  <c r="DU58"/>
  <c r="DU57"/>
  <c r="DU56"/>
  <c r="DU55"/>
  <c r="DU54"/>
  <c r="DU53"/>
  <c r="DU52"/>
  <c r="DU51"/>
  <c r="DU50"/>
  <c r="DU49"/>
  <c r="DU48"/>
  <c r="DU47"/>
  <c r="DU46"/>
  <c r="DU45"/>
  <c r="DU44"/>
  <c r="DU43"/>
  <c r="DU42"/>
  <c r="DU41"/>
  <c r="DU40"/>
  <c r="DU39"/>
  <c r="DU38"/>
  <c r="DU37"/>
  <c r="DU36"/>
  <c r="DU35"/>
  <c r="DU34"/>
  <c r="DU33"/>
  <c r="DU32"/>
  <c r="DU31"/>
  <c r="DU30"/>
  <c r="DU29"/>
  <c r="DU28"/>
  <c r="DU27"/>
  <c r="DU26"/>
  <c r="DU25"/>
  <c r="DU24"/>
  <c r="DU23"/>
  <c r="DU22"/>
  <c r="DU21"/>
  <c r="DU20"/>
  <c r="DU19"/>
  <c r="DU18"/>
  <c r="DU17"/>
  <c r="DU16"/>
  <c r="DU15"/>
  <c r="DU14"/>
  <c r="DU13"/>
  <c r="DU12"/>
  <c r="DU11"/>
  <c r="DU10"/>
  <c r="DU9"/>
  <c r="DU8"/>
  <c r="DU7"/>
  <c r="DU6"/>
  <c r="BS125"/>
  <c r="BS124"/>
  <c r="BS123"/>
  <c r="BS122"/>
  <c r="BS121"/>
  <c r="BS120"/>
  <c r="BS119"/>
  <c r="BS118"/>
  <c r="BS117"/>
  <c r="BS116"/>
  <c r="BS115"/>
  <c r="BS114"/>
  <c r="BS113"/>
  <c r="BS112"/>
  <c r="BS111"/>
  <c r="BS110"/>
  <c r="BS109"/>
  <c r="BS108"/>
  <c r="BS107"/>
  <c r="BS106"/>
  <c r="BS105"/>
  <c r="BS104"/>
  <c r="BS103"/>
  <c r="BS102"/>
  <c r="BS101"/>
  <c r="BS100"/>
  <c r="BS99"/>
  <c r="BS98"/>
  <c r="BS97"/>
  <c r="BS96"/>
  <c r="BS95"/>
  <c r="BS94"/>
  <c r="BS93"/>
  <c r="BS92"/>
  <c r="BS91"/>
  <c r="BS90"/>
  <c r="BS89"/>
  <c r="BS88"/>
  <c r="BS87"/>
  <c r="BS86"/>
  <c r="BS85"/>
  <c r="BS84"/>
  <c r="BS83"/>
  <c r="BS82"/>
  <c r="BS81"/>
  <c r="BS80"/>
  <c r="BS79"/>
  <c r="BS78"/>
  <c r="BS77"/>
  <c r="BS76"/>
  <c r="BS75"/>
  <c r="BS74"/>
  <c r="BS73"/>
  <c r="BS72"/>
  <c r="BS71"/>
  <c r="BS70"/>
  <c r="BS69"/>
  <c r="BS68"/>
  <c r="BS67"/>
  <c r="BS66"/>
  <c r="BS65"/>
  <c r="BS64"/>
  <c r="BS63"/>
  <c r="BS62"/>
  <c r="BS61"/>
  <c r="BS60"/>
  <c r="BS59"/>
  <c r="BS58"/>
  <c r="BS57"/>
  <c r="BS56"/>
  <c r="BS55"/>
  <c r="BS54"/>
  <c r="BS53"/>
  <c r="BS52"/>
  <c r="BS51"/>
  <c r="BS50"/>
  <c r="BS49"/>
  <c r="BS48"/>
  <c r="BS47"/>
  <c r="BS46"/>
  <c r="BS45"/>
  <c r="BS44"/>
  <c r="BS43"/>
  <c r="BS42"/>
  <c r="BS41"/>
  <c r="BS40"/>
  <c r="BS39"/>
  <c r="BS38"/>
  <c r="BS37"/>
  <c r="BS36"/>
  <c r="BS35"/>
  <c r="BS34"/>
  <c r="BS33"/>
  <c r="BS32"/>
  <c r="BS31"/>
  <c r="BS30"/>
  <c r="BS29"/>
  <c r="BS28"/>
  <c r="BS27"/>
  <c r="BS26"/>
  <c r="BS25"/>
  <c r="BS24"/>
  <c r="BS23"/>
  <c r="BS22"/>
  <c r="BS21"/>
  <c r="BS20"/>
  <c r="BS19"/>
  <c r="BS18"/>
  <c r="BS17"/>
  <c r="BS16"/>
  <c r="BS15"/>
  <c r="BS14"/>
  <c r="BS13"/>
  <c r="BS12"/>
  <c r="BS11"/>
  <c r="BS10"/>
  <c r="BS9"/>
  <c r="BS8"/>
  <c r="BS7"/>
  <c r="BS6"/>
  <c r="EA125"/>
  <c r="EA124"/>
  <c r="EA123"/>
  <c r="EA122"/>
  <c r="EA121"/>
  <c r="EA120"/>
  <c r="EA119"/>
  <c r="EA118"/>
  <c r="EA117"/>
  <c r="EA116"/>
  <c r="EA115"/>
  <c r="EA114"/>
  <c r="EA113"/>
  <c r="EA112"/>
  <c r="EA111"/>
  <c r="EA110"/>
  <c r="EA109"/>
  <c r="EA108"/>
  <c r="EA107"/>
  <c r="EA106"/>
  <c r="EA105"/>
  <c r="EA104"/>
  <c r="EA103"/>
  <c r="EA102"/>
  <c r="EA101"/>
  <c r="EA100"/>
  <c r="EA99"/>
  <c r="EA98"/>
  <c r="EA97"/>
  <c r="EA96"/>
  <c r="EA95"/>
  <c r="EA94"/>
  <c r="EA93"/>
  <c r="EA92"/>
  <c r="EA91"/>
  <c r="EA90"/>
  <c r="EA89"/>
  <c r="EA88"/>
  <c r="EA87"/>
  <c r="EA86"/>
  <c r="EA85"/>
  <c r="EA84"/>
  <c r="EA83"/>
  <c r="EA82"/>
  <c r="EA81"/>
  <c r="EA80"/>
  <c r="EA79"/>
  <c r="EA78"/>
  <c r="EA77"/>
  <c r="EA76"/>
  <c r="EA75"/>
  <c r="EA74"/>
  <c r="EA73"/>
  <c r="EA72"/>
  <c r="EA71"/>
  <c r="EA70"/>
  <c r="EA69"/>
  <c r="EA68"/>
  <c r="EA67"/>
  <c r="EA66"/>
  <c r="EA65"/>
  <c r="EA64"/>
  <c r="EA63"/>
  <c r="EA62"/>
  <c r="EA61"/>
  <c r="EA60"/>
  <c r="EA59"/>
  <c r="EA58"/>
  <c r="EA57"/>
  <c r="EA56"/>
  <c r="EA55"/>
  <c r="EA54"/>
  <c r="EA53"/>
  <c r="EA52"/>
  <c r="EA51"/>
  <c r="EA50"/>
  <c r="EA49"/>
  <c r="EA48"/>
  <c r="EA47"/>
  <c r="EA46"/>
  <c r="EA45"/>
  <c r="EA44"/>
  <c r="EA43"/>
  <c r="EA42"/>
  <c r="EA41"/>
  <c r="EA40"/>
  <c r="EA39"/>
  <c r="EA38"/>
  <c r="EA37"/>
  <c r="EA36"/>
  <c r="EA35"/>
  <c r="EA34"/>
  <c r="EA33"/>
  <c r="EA32"/>
  <c r="EA31"/>
  <c r="EA30"/>
  <c r="EA29"/>
  <c r="EA28"/>
  <c r="EA27"/>
  <c r="EA26"/>
  <c r="EA25"/>
  <c r="EA24"/>
  <c r="EA23"/>
  <c r="EA22"/>
  <c r="EA21"/>
  <c r="EA20"/>
  <c r="EA19"/>
  <c r="EA18"/>
  <c r="EA17"/>
  <c r="EA16"/>
  <c r="EA15"/>
  <c r="EA14"/>
  <c r="EA13"/>
  <c r="EA12"/>
  <c r="EA11"/>
  <c r="EA10"/>
  <c r="EA9"/>
  <c r="EA8"/>
  <c r="EA7"/>
  <c r="EA6"/>
  <c r="DI125"/>
  <c r="DI124"/>
  <c r="DI123"/>
  <c r="DI122"/>
  <c r="DI121"/>
  <c r="DI120"/>
  <c r="DI119"/>
  <c r="DI118"/>
  <c r="DI117"/>
  <c r="DI116"/>
  <c r="DI115"/>
  <c r="DI114"/>
  <c r="DI113"/>
  <c r="DI112"/>
  <c r="DI111"/>
  <c r="DI110"/>
  <c r="DI109"/>
  <c r="DI108"/>
  <c r="DI107"/>
  <c r="DI106"/>
  <c r="DI105"/>
  <c r="DI104"/>
  <c r="DI103"/>
  <c r="DI102"/>
  <c r="DI101"/>
  <c r="DI100"/>
  <c r="DI99"/>
  <c r="DI98"/>
  <c r="DI97"/>
  <c r="DI96"/>
  <c r="DI95"/>
  <c r="DI94"/>
  <c r="DI93"/>
  <c r="DI92"/>
  <c r="DI91"/>
  <c r="DI90"/>
  <c r="DI89"/>
  <c r="DI88"/>
  <c r="DI87"/>
  <c r="DI86"/>
  <c r="DI85"/>
  <c r="DI84"/>
  <c r="DI83"/>
  <c r="DI82"/>
  <c r="DI81"/>
  <c r="DI80"/>
  <c r="DI79"/>
  <c r="DI78"/>
  <c r="DI77"/>
  <c r="DI76"/>
  <c r="DI75"/>
  <c r="DI74"/>
  <c r="DI73"/>
  <c r="DI72"/>
  <c r="DI71"/>
  <c r="DI70"/>
  <c r="DI69"/>
  <c r="DI68"/>
  <c r="DI67"/>
  <c r="DI66"/>
  <c r="DI65"/>
  <c r="DI64"/>
  <c r="DI63"/>
  <c r="DI62"/>
  <c r="DI61"/>
  <c r="DI60"/>
  <c r="DI59"/>
  <c r="DI58"/>
  <c r="DI57"/>
  <c r="DI56"/>
  <c r="DI55"/>
  <c r="DI54"/>
  <c r="DI53"/>
  <c r="DI52"/>
  <c r="DI51"/>
  <c r="DI50"/>
  <c r="DI49"/>
  <c r="DI48"/>
  <c r="DI47"/>
  <c r="DI46"/>
  <c r="DI45"/>
  <c r="DI44"/>
  <c r="DI43"/>
  <c r="DI42"/>
  <c r="DI41"/>
  <c r="DI40"/>
  <c r="DI39"/>
  <c r="DI38"/>
  <c r="DI37"/>
  <c r="DI36"/>
  <c r="DI35"/>
  <c r="DI34"/>
  <c r="DI33"/>
  <c r="DI32"/>
  <c r="DI31"/>
  <c r="DI30"/>
  <c r="DI29"/>
  <c r="DI28"/>
  <c r="DI27"/>
  <c r="DI26"/>
  <c r="DI25"/>
  <c r="DI24"/>
  <c r="DI23"/>
  <c r="DI22"/>
  <c r="DI21"/>
  <c r="DI20"/>
  <c r="DI19"/>
  <c r="DI18"/>
  <c r="DI17"/>
  <c r="DI16"/>
  <c r="DI15"/>
  <c r="DI14"/>
  <c r="DI13"/>
  <c r="DI12"/>
  <c r="DI11"/>
  <c r="DI10"/>
  <c r="DI9"/>
  <c r="DI8"/>
  <c r="DI7"/>
  <c r="DI6"/>
  <c r="DC125"/>
  <c r="DC124"/>
  <c r="DC123"/>
  <c r="DC122"/>
  <c r="DC121"/>
  <c r="DC120"/>
  <c r="DC119"/>
  <c r="DC118"/>
  <c r="DC117"/>
  <c r="DC116"/>
  <c r="DC115"/>
  <c r="DC114"/>
  <c r="DC113"/>
  <c r="DC112"/>
  <c r="DC111"/>
  <c r="DC110"/>
  <c r="DC109"/>
  <c r="DC108"/>
  <c r="DC107"/>
  <c r="DC106"/>
  <c r="DC105"/>
  <c r="DC104"/>
  <c r="DC103"/>
  <c r="DC102"/>
  <c r="DC101"/>
  <c r="DC100"/>
  <c r="DC99"/>
  <c r="DC98"/>
  <c r="DC97"/>
  <c r="DC96"/>
  <c r="DC95"/>
  <c r="DC94"/>
  <c r="DC93"/>
  <c r="DC92"/>
  <c r="DC91"/>
  <c r="DC90"/>
  <c r="DC89"/>
  <c r="DC88"/>
  <c r="DC87"/>
  <c r="DC86"/>
  <c r="DC85"/>
  <c r="DC84"/>
  <c r="DC83"/>
  <c r="DC82"/>
  <c r="DC81"/>
  <c r="DC80"/>
  <c r="DC79"/>
  <c r="DC78"/>
  <c r="DC77"/>
  <c r="DC76"/>
  <c r="DC75"/>
  <c r="DC74"/>
  <c r="DC73"/>
  <c r="DC72"/>
  <c r="DC71"/>
  <c r="DC70"/>
  <c r="DC69"/>
  <c r="DC68"/>
  <c r="DC67"/>
  <c r="DC66"/>
  <c r="DC65"/>
  <c r="DC64"/>
  <c r="DC63"/>
  <c r="DC62"/>
  <c r="DC61"/>
  <c r="DC60"/>
  <c r="DC59"/>
  <c r="DC58"/>
  <c r="DC57"/>
  <c r="DC56"/>
  <c r="DC55"/>
  <c r="DC54"/>
  <c r="DC53"/>
  <c r="DC52"/>
  <c r="DC51"/>
  <c r="DC50"/>
  <c r="DC49"/>
  <c r="DC48"/>
  <c r="DC47"/>
  <c r="DC46"/>
  <c r="DC45"/>
  <c r="DC44"/>
  <c r="DC43"/>
  <c r="DC42"/>
  <c r="DC41"/>
  <c r="DC40"/>
  <c r="DC39"/>
  <c r="DC38"/>
  <c r="DC37"/>
  <c r="DC36"/>
  <c r="DC35"/>
  <c r="DC34"/>
  <c r="DC33"/>
  <c r="DC32"/>
  <c r="DC31"/>
  <c r="DC30"/>
  <c r="DC29"/>
  <c r="DC28"/>
  <c r="DC27"/>
  <c r="DC26"/>
  <c r="DC25"/>
  <c r="DC24"/>
  <c r="DC23"/>
  <c r="DC22"/>
  <c r="DC21"/>
  <c r="DC20"/>
  <c r="DC19"/>
  <c r="DC18"/>
  <c r="DC17"/>
  <c r="DC16"/>
  <c r="DC15"/>
  <c r="DC14"/>
  <c r="DC13"/>
  <c r="DC12"/>
  <c r="DC11"/>
  <c r="DC10"/>
  <c r="DC9"/>
  <c r="DC8"/>
  <c r="DC7"/>
  <c r="DC6"/>
  <c r="CW125"/>
  <c r="CW124"/>
  <c r="CW123"/>
  <c r="CW122"/>
  <c r="CW121"/>
  <c r="CW120"/>
  <c r="CW119"/>
  <c r="CW118"/>
  <c r="CW117"/>
  <c r="CW116"/>
  <c r="CW115"/>
  <c r="CW114"/>
  <c r="CW113"/>
  <c r="CW112"/>
  <c r="CW111"/>
  <c r="CW110"/>
  <c r="CW109"/>
  <c r="CW108"/>
  <c r="CW107"/>
  <c r="CW106"/>
  <c r="CW105"/>
  <c r="CW104"/>
  <c r="CW103"/>
  <c r="CW102"/>
  <c r="CW101"/>
  <c r="CW100"/>
  <c r="CW99"/>
  <c r="CW98"/>
  <c r="CW97"/>
  <c r="CW96"/>
  <c r="CW95"/>
  <c r="CW94"/>
  <c r="CW93"/>
  <c r="CW92"/>
  <c r="CW91"/>
  <c r="CW90"/>
  <c r="CW89"/>
  <c r="CW88"/>
  <c r="CW87"/>
  <c r="CW86"/>
  <c r="CW85"/>
  <c r="CW84"/>
  <c r="CW83"/>
  <c r="CW82"/>
  <c r="CW81"/>
  <c r="CW80"/>
  <c r="CW79"/>
  <c r="CW78"/>
  <c r="CW77"/>
  <c r="CW76"/>
  <c r="CW75"/>
  <c r="CW74"/>
  <c r="CW73"/>
  <c r="CW72"/>
  <c r="CW71"/>
  <c r="CW70"/>
  <c r="CW69"/>
  <c r="CW68"/>
  <c r="CW67"/>
  <c r="CW66"/>
  <c r="CW65"/>
  <c r="CW64"/>
  <c r="CW63"/>
  <c r="CW62"/>
  <c r="CW61"/>
  <c r="CW60"/>
  <c r="CW59"/>
  <c r="CW58"/>
  <c r="CW57"/>
  <c r="CW56"/>
  <c r="CW55"/>
  <c r="CW54"/>
  <c r="CW53"/>
  <c r="CW52"/>
  <c r="CW51"/>
  <c r="CW50"/>
  <c r="CW49"/>
  <c r="CW48"/>
  <c r="CW47"/>
  <c r="CW46"/>
  <c r="CW45"/>
  <c r="CW44"/>
  <c r="CW43"/>
  <c r="CW42"/>
  <c r="CW41"/>
  <c r="CW40"/>
  <c r="CW39"/>
  <c r="CW38"/>
  <c r="CW37"/>
  <c r="CW36"/>
  <c r="CW35"/>
  <c r="CW34"/>
  <c r="CW33"/>
  <c r="CW32"/>
  <c r="CW31"/>
  <c r="CW30"/>
  <c r="CW29"/>
  <c r="CW28"/>
  <c r="CW27"/>
  <c r="CW26"/>
  <c r="CW25"/>
  <c r="CW24"/>
  <c r="CW23"/>
  <c r="CW22"/>
  <c r="CW21"/>
  <c r="CW20"/>
  <c r="CW19"/>
  <c r="CW18"/>
  <c r="CW17"/>
  <c r="CW16"/>
  <c r="CW15"/>
  <c r="CW14"/>
  <c r="CW13"/>
  <c r="CW12"/>
  <c r="CW11"/>
  <c r="CW10"/>
  <c r="CW9"/>
  <c r="CW8"/>
  <c r="CW7"/>
  <c r="CW6"/>
  <c r="CQ125"/>
  <c r="CQ124"/>
  <c r="CQ123"/>
  <c r="CQ122"/>
  <c r="CQ121"/>
  <c r="CQ120"/>
  <c r="CQ119"/>
  <c r="CQ118"/>
  <c r="CQ117"/>
  <c r="CQ116"/>
  <c r="CQ115"/>
  <c r="CQ114"/>
  <c r="CQ113"/>
  <c r="CQ112"/>
  <c r="CQ111"/>
  <c r="CQ110"/>
  <c r="CQ109"/>
  <c r="CQ108"/>
  <c r="CQ107"/>
  <c r="CQ106"/>
  <c r="CQ105"/>
  <c r="CQ104"/>
  <c r="CQ103"/>
  <c r="CQ102"/>
  <c r="CQ101"/>
  <c r="CQ100"/>
  <c r="CQ99"/>
  <c r="CQ98"/>
  <c r="CQ97"/>
  <c r="CQ96"/>
  <c r="CQ95"/>
  <c r="CQ94"/>
  <c r="CQ93"/>
  <c r="CQ92"/>
  <c r="CQ91"/>
  <c r="CQ90"/>
  <c r="CQ89"/>
  <c r="CQ88"/>
  <c r="CQ87"/>
  <c r="CQ86"/>
  <c r="CQ85"/>
  <c r="CQ84"/>
  <c r="CQ83"/>
  <c r="CQ82"/>
  <c r="CQ81"/>
  <c r="CQ80"/>
  <c r="CQ79"/>
  <c r="CQ78"/>
  <c r="CQ77"/>
  <c r="CQ76"/>
  <c r="CQ75"/>
  <c r="CQ74"/>
  <c r="CQ73"/>
  <c r="CQ72"/>
  <c r="CQ71"/>
  <c r="CQ70"/>
  <c r="CQ69"/>
  <c r="CQ68"/>
  <c r="CQ67"/>
  <c r="CQ66"/>
  <c r="CQ65"/>
  <c r="CQ64"/>
  <c r="CQ63"/>
  <c r="CQ62"/>
  <c r="CQ61"/>
  <c r="CQ60"/>
  <c r="CQ59"/>
  <c r="CQ58"/>
  <c r="CQ57"/>
  <c r="CQ56"/>
  <c r="CQ55"/>
  <c r="CQ54"/>
  <c r="CQ53"/>
  <c r="CQ52"/>
  <c r="CQ51"/>
  <c r="CQ50"/>
  <c r="CQ49"/>
  <c r="CQ48"/>
  <c r="CQ47"/>
  <c r="CQ46"/>
  <c r="CQ45"/>
  <c r="CQ44"/>
  <c r="CQ43"/>
  <c r="CQ42"/>
  <c r="CQ41"/>
  <c r="CQ40"/>
  <c r="CQ39"/>
  <c r="CQ38"/>
  <c r="CQ37"/>
  <c r="CQ36"/>
  <c r="CQ35"/>
  <c r="CQ34"/>
  <c r="CQ33"/>
  <c r="CQ32"/>
  <c r="CQ31"/>
  <c r="CQ30"/>
  <c r="CQ29"/>
  <c r="CQ28"/>
  <c r="CQ27"/>
  <c r="CQ26"/>
  <c r="CQ25"/>
  <c r="CQ24"/>
  <c r="CQ23"/>
  <c r="CQ22"/>
  <c r="CQ21"/>
  <c r="CQ20"/>
  <c r="CQ19"/>
  <c r="CQ18"/>
  <c r="CQ17"/>
  <c r="CQ16"/>
  <c r="CQ15"/>
  <c r="CQ14"/>
  <c r="CQ13"/>
  <c r="CQ12"/>
  <c r="CQ11"/>
  <c r="CQ10"/>
  <c r="CQ9"/>
  <c r="CQ8"/>
  <c r="CQ7"/>
  <c r="CQ6"/>
  <c r="CK125"/>
  <c r="CK124"/>
  <c r="CK123"/>
  <c r="CK122"/>
  <c r="CK121"/>
  <c r="CK120"/>
  <c r="CK119"/>
  <c r="CK118"/>
  <c r="CK117"/>
  <c r="CK116"/>
  <c r="CK115"/>
  <c r="CK114"/>
  <c r="CK113"/>
  <c r="CK112"/>
  <c r="CK111"/>
  <c r="CK110"/>
  <c r="CK109"/>
  <c r="CK108"/>
  <c r="CK107"/>
  <c r="CK106"/>
  <c r="CK105"/>
  <c r="CK104"/>
  <c r="CK103"/>
  <c r="CK102"/>
  <c r="CK101"/>
  <c r="CK100"/>
  <c r="CK99"/>
  <c r="CK98"/>
  <c r="CK97"/>
  <c r="CK96"/>
  <c r="CK95"/>
  <c r="CK94"/>
  <c r="CK93"/>
  <c r="CK92"/>
  <c r="CK91"/>
  <c r="CK90"/>
  <c r="CK89"/>
  <c r="CK88"/>
  <c r="CK87"/>
  <c r="CK86"/>
  <c r="CK85"/>
  <c r="CK84"/>
  <c r="CK83"/>
  <c r="CK82"/>
  <c r="CK81"/>
  <c r="CK80"/>
  <c r="CK79"/>
  <c r="CK78"/>
  <c r="CK77"/>
  <c r="CK76"/>
  <c r="CK75"/>
  <c r="CK74"/>
  <c r="CK73"/>
  <c r="CK72"/>
  <c r="CK71"/>
  <c r="CK70"/>
  <c r="CK69"/>
  <c r="CK68"/>
  <c r="CK67"/>
  <c r="CK66"/>
  <c r="CK65"/>
  <c r="CK64"/>
  <c r="CK63"/>
  <c r="CK62"/>
  <c r="CK61"/>
  <c r="CK60"/>
  <c r="CK59"/>
  <c r="CK58"/>
  <c r="CK57"/>
  <c r="CK56"/>
  <c r="CK55"/>
  <c r="CK54"/>
  <c r="CK53"/>
  <c r="CK52"/>
  <c r="CK51"/>
  <c r="CK50"/>
  <c r="CK49"/>
  <c r="CK48"/>
  <c r="CK47"/>
  <c r="CK46"/>
  <c r="CK45"/>
  <c r="CK44"/>
  <c r="CK43"/>
  <c r="CK42"/>
  <c r="CK41"/>
  <c r="CK40"/>
  <c r="CK39"/>
  <c r="CK38"/>
  <c r="CK37"/>
  <c r="CK36"/>
  <c r="CK35"/>
  <c r="CK34"/>
  <c r="CK33"/>
  <c r="CK32"/>
  <c r="CK31"/>
  <c r="CK30"/>
  <c r="CK29"/>
  <c r="CK28"/>
  <c r="CK27"/>
  <c r="CK26"/>
  <c r="CK25"/>
  <c r="CK24"/>
  <c r="CK23"/>
  <c r="CK22"/>
  <c r="CK21"/>
  <c r="CK20"/>
  <c r="CK19"/>
  <c r="CK18"/>
  <c r="CK17"/>
  <c r="CK16"/>
  <c r="CK15"/>
  <c r="CK14"/>
  <c r="CK13"/>
  <c r="CK12"/>
  <c r="CK11"/>
  <c r="CK10"/>
  <c r="CK9"/>
  <c r="CK8"/>
  <c r="CK7"/>
  <c r="CK6"/>
  <c r="CE125"/>
  <c r="CE124"/>
  <c r="CE123"/>
  <c r="CE122"/>
  <c r="CE121"/>
  <c r="CE120"/>
  <c r="CE119"/>
  <c r="CE118"/>
  <c r="CE117"/>
  <c r="CE116"/>
  <c r="CE115"/>
  <c r="CE114"/>
  <c r="CE113"/>
  <c r="CE112"/>
  <c r="CE111"/>
  <c r="CE110"/>
  <c r="CE109"/>
  <c r="CE108"/>
  <c r="CE107"/>
  <c r="CE106"/>
  <c r="CE105"/>
  <c r="CE104"/>
  <c r="CE103"/>
  <c r="CE102"/>
  <c r="CE101"/>
  <c r="CE100"/>
  <c r="CE99"/>
  <c r="CE98"/>
  <c r="CE97"/>
  <c r="CE96"/>
  <c r="CE95"/>
  <c r="CE94"/>
  <c r="CE93"/>
  <c r="CE92"/>
  <c r="CE91"/>
  <c r="CE90"/>
  <c r="CE89"/>
  <c r="CE88"/>
  <c r="CE87"/>
  <c r="CE86"/>
  <c r="CE85"/>
  <c r="CE84"/>
  <c r="CE83"/>
  <c r="CE82"/>
  <c r="CE81"/>
  <c r="CE80"/>
  <c r="CE79"/>
  <c r="CE78"/>
  <c r="CE77"/>
  <c r="CE76"/>
  <c r="CE75"/>
  <c r="CE74"/>
  <c r="CE73"/>
  <c r="CE72"/>
  <c r="CE71"/>
  <c r="CE70"/>
  <c r="CE69"/>
  <c r="CE68"/>
  <c r="CE67"/>
  <c r="CE66"/>
  <c r="CE65"/>
  <c r="CE64"/>
  <c r="CE63"/>
  <c r="CE62"/>
  <c r="CE61"/>
  <c r="CE60"/>
  <c r="CE59"/>
  <c r="CE58"/>
  <c r="CE57"/>
  <c r="CE56"/>
  <c r="CE55"/>
  <c r="CE54"/>
  <c r="CE53"/>
  <c r="CE52"/>
  <c r="CE51"/>
  <c r="CE50"/>
  <c r="CE49"/>
  <c r="CE48"/>
  <c r="CE47"/>
  <c r="CE46"/>
  <c r="CE45"/>
  <c r="CE44"/>
  <c r="CE43"/>
  <c r="CE42"/>
  <c r="CE41"/>
  <c r="CE40"/>
  <c r="CE39"/>
  <c r="CE38"/>
  <c r="CE37"/>
  <c r="CE36"/>
  <c r="CE35"/>
  <c r="CE34"/>
  <c r="CE33"/>
  <c r="CE32"/>
  <c r="CE31"/>
  <c r="CE30"/>
  <c r="CE29"/>
  <c r="CE28"/>
  <c r="CE27"/>
  <c r="CE26"/>
  <c r="CE25"/>
  <c r="CE24"/>
  <c r="CE23"/>
  <c r="CE22"/>
  <c r="CE21"/>
  <c r="CE20"/>
  <c r="CE19"/>
  <c r="CE18"/>
  <c r="CE17"/>
  <c r="CE16"/>
  <c r="CE15"/>
  <c r="CE14"/>
  <c r="CE13"/>
  <c r="CE12"/>
  <c r="CE11"/>
  <c r="CE10"/>
  <c r="CE9"/>
  <c r="CE8"/>
  <c r="CE7"/>
  <c r="CE6"/>
  <c r="BY125"/>
  <c r="BY124"/>
  <c r="BY123"/>
  <c r="BY122"/>
  <c r="BY121"/>
  <c r="BY120"/>
  <c r="BY119"/>
  <c r="BY118"/>
  <c r="BY117"/>
  <c r="BY116"/>
  <c r="BY115"/>
  <c r="BY114"/>
  <c r="BY113"/>
  <c r="BY112"/>
  <c r="BY111"/>
  <c r="BY110"/>
  <c r="BY109"/>
  <c r="BY108"/>
  <c r="BY107"/>
  <c r="BY106"/>
  <c r="BY105"/>
  <c r="BY104"/>
  <c r="BY103"/>
  <c r="BY102"/>
  <c r="BY101"/>
  <c r="BY100"/>
  <c r="BY99"/>
  <c r="BY98"/>
  <c r="BY97"/>
  <c r="BY96"/>
  <c r="BY95"/>
  <c r="BY94"/>
  <c r="BY93"/>
  <c r="BY92"/>
  <c r="BY91"/>
  <c r="BY90"/>
  <c r="BY89"/>
  <c r="BY88"/>
  <c r="BY87"/>
  <c r="BY86"/>
  <c r="BY85"/>
  <c r="BY84"/>
  <c r="BY83"/>
  <c r="BY82"/>
  <c r="BY81"/>
  <c r="BY80"/>
  <c r="BY79"/>
  <c r="BY78"/>
  <c r="BY77"/>
  <c r="BY76"/>
  <c r="BY75"/>
  <c r="BY74"/>
  <c r="BY73"/>
  <c r="BY72"/>
  <c r="BY71"/>
  <c r="BY70"/>
  <c r="BY69"/>
  <c r="BY68"/>
  <c r="BY67"/>
  <c r="BY66"/>
  <c r="BY65"/>
  <c r="BY64"/>
  <c r="BY63"/>
  <c r="BY62"/>
  <c r="BY61"/>
  <c r="BY60"/>
  <c r="BY59"/>
  <c r="BY58"/>
  <c r="BY57"/>
  <c r="BY56"/>
  <c r="BY55"/>
  <c r="BY54"/>
  <c r="BY53"/>
  <c r="BY52"/>
  <c r="BY51"/>
  <c r="BY50"/>
  <c r="BY49"/>
  <c r="BY48"/>
  <c r="BY47"/>
  <c r="BY46"/>
  <c r="BY45"/>
  <c r="BY44"/>
  <c r="BY43"/>
  <c r="BY42"/>
  <c r="BY41"/>
  <c r="BY40"/>
  <c r="BY39"/>
  <c r="BY38"/>
  <c r="BY37"/>
  <c r="BY36"/>
  <c r="BY35"/>
  <c r="BY34"/>
  <c r="BY33"/>
  <c r="BY32"/>
  <c r="BY31"/>
  <c r="BY30"/>
  <c r="BY29"/>
  <c r="BY28"/>
  <c r="BY27"/>
  <c r="BY26"/>
  <c r="BY25"/>
  <c r="BY24"/>
  <c r="BY23"/>
  <c r="BY22"/>
  <c r="BY21"/>
  <c r="BY20"/>
  <c r="BY19"/>
  <c r="BY18"/>
  <c r="BY17"/>
  <c r="BY16"/>
  <c r="BY15"/>
  <c r="BY14"/>
  <c r="BY13"/>
  <c r="BY12"/>
  <c r="BY11"/>
  <c r="BY10"/>
  <c r="BY9"/>
  <c r="BY8"/>
  <c r="BY7"/>
  <c r="BY6"/>
  <c r="BM125"/>
  <c r="BM124"/>
  <c r="BM123"/>
  <c r="BM122"/>
  <c r="BM121"/>
  <c r="BM120"/>
  <c r="BM119"/>
  <c r="BM118"/>
  <c r="BM117"/>
  <c r="BM116"/>
  <c r="BM115"/>
  <c r="BM114"/>
  <c r="BM113"/>
  <c r="BM112"/>
  <c r="BM111"/>
  <c r="BM110"/>
  <c r="BM109"/>
  <c r="BM108"/>
  <c r="BM107"/>
  <c r="BM106"/>
  <c r="BM105"/>
  <c r="BM104"/>
  <c r="BM103"/>
  <c r="BM102"/>
  <c r="BM101"/>
  <c r="BM100"/>
  <c r="BM99"/>
  <c r="BM98"/>
  <c r="BM97"/>
  <c r="BM96"/>
  <c r="BM95"/>
  <c r="BM94"/>
  <c r="BM93"/>
  <c r="BM92"/>
  <c r="BM91"/>
  <c r="BM90"/>
  <c r="BM89"/>
  <c r="BM88"/>
  <c r="BM87"/>
  <c r="BM86"/>
  <c r="BM85"/>
  <c r="BM84"/>
  <c r="BM83"/>
  <c r="BM82"/>
  <c r="BM81"/>
  <c r="BM80"/>
  <c r="BM79"/>
  <c r="BM78"/>
  <c r="BM77"/>
  <c r="BM76"/>
  <c r="BM75"/>
  <c r="BM74"/>
  <c r="BM73"/>
  <c r="BM72"/>
  <c r="BM71"/>
  <c r="BM70"/>
  <c r="BM69"/>
  <c r="BM68"/>
  <c r="BM67"/>
  <c r="BM66"/>
  <c r="BM65"/>
  <c r="BM64"/>
  <c r="BM63"/>
  <c r="BM62"/>
  <c r="BM61"/>
  <c r="BM60"/>
  <c r="BM59"/>
  <c r="BM58"/>
  <c r="BM57"/>
  <c r="BM56"/>
  <c r="BM55"/>
  <c r="BM54"/>
  <c r="BM53"/>
  <c r="BM52"/>
  <c r="BM51"/>
  <c r="BM50"/>
  <c r="BM49"/>
  <c r="BM48"/>
  <c r="BM47"/>
  <c r="BM46"/>
  <c r="BM45"/>
  <c r="BM44"/>
  <c r="BM43"/>
  <c r="BM42"/>
  <c r="BM41"/>
  <c r="BM40"/>
  <c r="BM39"/>
  <c r="BM38"/>
  <c r="BM37"/>
  <c r="BM36"/>
  <c r="BM35"/>
  <c r="BM34"/>
  <c r="BM33"/>
  <c r="BM32"/>
  <c r="BM31"/>
  <c r="BM30"/>
  <c r="BM29"/>
  <c r="BM28"/>
  <c r="BM27"/>
  <c r="BM26"/>
  <c r="BM25"/>
  <c r="BM24"/>
  <c r="BM23"/>
  <c r="BM22"/>
  <c r="BM21"/>
  <c r="BM20"/>
  <c r="BM19"/>
  <c r="BM18"/>
  <c r="BM17"/>
  <c r="BM16"/>
  <c r="BM15"/>
  <c r="BM14"/>
  <c r="BM13"/>
  <c r="BM12"/>
  <c r="BM11"/>
  <c r="BM10"/>
  <c r="BM9"/>
  <c r="BM8"/>
  <c r="BM7"/>
  <c r="BM6"/>
  <c r="BG125"/>
  <c r="BG124"/>
  <c r="BG123"/>
  <c r="BG122"/>
  <c r="BG121"/>
  <c r="BG120"/>
  <c r="BG119"/>
  <c r="BG118"/>
  <c r="BG117"/>
  <c r="BG116"/>
  <c r="BG115"/>
  <c r="BG114"/>
  <c r="BG113"/>
  <c r="BG112"/>
  <c r="BG111"/>
  <c r="BG110"/>
  <c r="BG109"/>
  <c r="BG108"/>
  <c r="BG107"/>
  <c r="BG106"/>
  <c r="BG105"/>
  <c r="BG104"/>
  <c r="BG103"/>
  <c r="BG102"/>
  <c r="BG101"/>
  <c r="BG100"/>
  <c r="BG99"/>
  <c r="BG98"/>
  <c r="BG97"/>
  <c r="BG96"/>
  <c r="BG95"/>
  <c r="BG94"/>
  <c r="BG93"/>
  <c r="BG92"/>
  <c r="BG91"/>
  <c r="BG90"/>
  <c r="BG89"/>
  <c r="BG88"/>
  <c r="BG87"/>
  <c r="BG86"/>
  <c r="BG85"/>
  <c r="BG84"/>
  <c r="BG83"/>
  <c r="BG82"/>
  <c r="BG81"/>
  <c r="BG80"/>
  <c r="BG79"/>
  <c r="BG78"/>
  <c r="BG77"/>
  <c r="BG76"/>
  <c r="BG75"/>
  <c r="BG74"/>
  <c r="BG73"/>
  <c r="BG72"/>
  <c r="BG71"/>
  <c r="BG70"/>
  <c r="BG69"/>
  <c r="BG68"/>
  <c r="BG67"/>
  <c r="BG66"/>
  <c r="BG65"/>
  <c r="BG64"/>
  <c r="BG63"/>
  <c r="BG62"/>
  <c r="BG61"/>
  <c r="BG60"/>
  <c r="BG59"/>
  <c r="BG58"/>
  <c r="BG57"/>
  <c r="BG56"/>
  <c r="BG55"/>
  <c r="BG54"/>
  <c r="BG53"/>
  <c r="BG52"/>
  <c r="BG51"/>
  <c r="BG50"/>
  <c r="BG49"/>
  <c r="BG48"/>
  <c r="BG47"/>
  <c r="BG46"/>
  <c r="BG45"/>
  <c r="BG44"/>
  <c r="BG43"/>
  <c r="BG42"/>
  <c r="BG41"/>
  <c r="BG40"/>
  <c r="BG39"/>
  <c r="BG38"/>
  <c r="BG37"/>
  <c r="BG36"/>
  <c r="BG35"/>
  <c r="BG34"/>
  <c r="BG33"/>
  <c r="BG32"/>
  <c r="BG31"/>
  <c r="BG30"/>
  <c r="BG29"/>
  <c r="BG28"/>
  <c r="BG27"/>
  <c r="BG26"/>
  <c r="BG25"/>
  <c r="BG24"/>
  <c r="BG23"/>
  <c r="BG22"/>
  <c r="BG21"/>
  <c r="BG20"/>
  <c r="BG19"/>
  <c r="BG18"/>
  <c r="BG17"/>
  <c r="BG16"/>
  <c r="BG15"/>
  <c r="BG14"/>
  <c r="BG13"/>
  <c r="BG12"/>
  <c r="BG11"/>
  <c r="BG10"/>
  <c r="BG9"/>
  <c r="BG8"/>
  <c r="BG7"/>
  <c r="BG6"/>
  <c r="BA125"/>
  <c r="BA124"/>
  <c r="BA123"/>
  <c r="BA122"/>
  <c r="BA121"/>
  <c r="BA120"/>
  <c r="BA119"/>
  <c r="BA118"/>
  <c r="BA117"/>
  <c r="BA116"/>
  <c r="BA115"/>
  <c r="BA114"/>
  <c r="BA113"/>
  <c r="BA112"/>
  <c r="BA111"/>
  <c r="BA110"/>
  <c r="BA109"/>
  <c r="BA108"/>
  <c r="BA107"/>
  <c r="BA106"/>
  <c r="BA105"/>
  <c r="BA104"/>
  <c r="BA103"/>
  <c r="BA102"/>
  <c r="BA101"/>
  <c r="BA100"/>
  <c r="BA99"/>
  <c r="BA98"/>
  <c r="BA97"/>
  <c r="BA96"/>
  <c r="BA95"/>
  <c r="BA94"/>
  <c r="BA93"/>
  <c r="BA92"/>
  <c r="BA91"/>
  <c r="BA90"/>
  <c r="BA89"/>
  <c r="BA88"/>
  <c r="BA87"/>
  <c r="BA86"/>
  <c r="BA85"/>
  <c r="BA84"/>
  <c r="BA83"/>
  <c r="BA82"/>
  <c r="BA81"/>
  <c r="BA80"/>
  <c r="BA79"/>
  <c r="BA78"/>
  <c r="BA77"/>
  <c r="BA76"/>
  <c r="BA75"/>
  <c r="BA74"/>
  <c r="BA73"/>
  <c r="BA72"/>
  <c r="BA71"/>
  <c r="BA70"/>
  <c r="BA69"/>
  <c r="BA68"/>
  <c r="BA67"/>
  <c r="BA66"/>
  <c r="BA65"/>
  <c r="BA64"/>
  <c r="BA63"/>
  <c r="BA62"/>
  <c r="BA61"/>
  <c r="BA60"/>
  <c r="BA59"/>
  <c r="BA58"/>
  <c r="BA57"/>
  <c r="BA56"/>
  <c r="BA55"/>
  <c r="BA54"/>
  <c r="BA53"/>
  <c r="BA52"/>
  <c r="BA51"/>
  <c r="BA50"/>
  <c r="BA49"/>
  <c r="BA48"/>
  <c r="BA47"/>
  <c r="BA46"/>
  <c r="BA45"/>
  <c r="BA44"/>
  <c r="BA43"/>
  <c r="BA42"/>
  <c r="BA41"/>
  <c r="BA40"/>
  <c r="BA39"/>
  <c r="BA38"/>
  <c r="BA37"/>
  <c r="BA36"/>
  <c r="BA35"/>
  <c r="BA34"/>
  <c r="BA33"/>
  <c r="BA32"/>
  <c r="BA31"/>
  <c r="BA30"/>
  <c r="BA29"/>
  <c r="BA28"/>
  <c r="BA27"/>
  <c r="BA26"/>
  <c r="BA25"/>
  <c r="BA24"/>
  <c r="BA23"/>
  <c r="BA22"/>
  <c r="BA21"/>
  <c r="BA20"/>
  <c r="BA19"/>
  <c r="BA18"/>
  <c r="BA17"/>
  <c r="BA16"/>
  <c r="BA15"/>
  <c r="BA14"/>
  <c r="BA13"/>
  <c r="BA12"/>
  <c r="BA11"/>
  <c r="BA10"/>
  <c r="BA9"/>
  <c r="BA8"/>
  <c r="BA7"/>
  <c r="BA6"/>
  <c r="AU125"/>
  <c r="AU124"/>
  <c r="AU123"/>
  <c r="AU122"/>
  <c r="AU121"/>
  <c r="AU120"/>
  <c r="AU119"/>
  <c r="AU118"/>
  <c r="AU117"/>
  <c r="AU116"/>
  <c r="AU115"/>
  <c r="AU114"/>
  <c r="AU113"/>
  <c r="AU112"/>
  <c r="AU111"/>
  <c r="AU110"/>
  <c r="AU109"/>
  <c r="AU108"/>
  <c r="AU107"/>
  <c r="AU106"/>
  <c r="AU105"/>
  <c r="AU104"/>
  <c r="AU103"/>
  <c r="AU102"/>
  <c r="AU101"/>
  <c r="AU100"/>
  <c r="AU99"/>
  <c r="AU98"/>
  <c r="AU97"/>
  <c r="AU96"/>
  <c r="AU95"/>
  <c r="AU94"/>
  <c r="AU93"/>
  <c r="AU92"/>
  <c r="AU91"/>
  <c r="AU90"/>
  <c r="AU89"/>
  <c r="AU88"/>
  <c r="AU87"/>
  <c r="AU86"/>
  <c r="AU85"/>
  <c r="AU84"/>
  <c r="AU83"/>
  <c r="AU82"/>
  <c r="AU81"/>
  <c r="AU80"/>
  <c r="AU79"/>
  <c r="AU78"/>
  <c r="AU77"/>
  <c r="AU76"/>
  <c r="AU75"/>
  <c r="AU74"/>
  <c r="AU73"/>
  <c r="AU72"/>
  <c r="AU71"/>
  <c r="AU70"/>
  <c r="AU69"/>
  <c r="AU68"/>
  <c r="AU67"/>
  <c r="AU66"/>
  <c r="AU65"/>
  <c r="AU64"/>
  <c r="AU63"/>
  <c r="AU62"/>
  <c r="AU61"/>
  <c r="AU60"/>
  <c r="AU59"/>
  <c r="AU58"/>
  <c r="AU57"/>
  <c r="AU56"/>
  <c r="AU55"/>
  <c r="AU54"/>
  <c r="AU53"/>
  <c r="AU52"/>
  <c r="AU51"/>
  <c r="AU50"/>
  <c r="AU49"/>
  <c r="AU48"/>
  <c r="AU47"/>
  <c r="AU46"/>
  <c r="AU45"/>
  <c r="AU44"/>
  <c r="AU43"/>
  <c r="AU42"/>
  <c r="AU41"/>
  <c r="AU40"/>
  <c r="AU39"/>
  <c r="AU38"/>
  <c r="AU37"/>
  <c r="AU36"/>
  <c r="AU35"/>
  <c r="AU34"/>
  <c r="AU33"/>
  <c r="AU32"/>
  <c r="AU31"/>
  <c r="AU30"/>
  <c r="AU29"/>
  <c r="AU28"/>
  <c r="AU27"/>
  <c r="AU26"/>
  <c r="AU25"/>
  <c r="AU24"/>
  <c r="AU23"/>
  <c r="AU22"/>
  <c r="AU21"/>
  <c r="AU20"/>
  <c r="AU19"/>
  <c r="AU18"/>
  <c r="AU17"/>
  <c r="AU16"/>
  <c r="AU15"/>
  <c r="AU14"/>
  <c r="AU13"/>
  <c r="AU12"/>
  <c r="AU11"/>
  <c r="AU10"/>
  <c r="AU9"/>
  <c r="AU8"/>
  <c r="AU7"/>
  <c r="AU6"/>
  <c r="AO125"/>
  <c r="AO124"/>
  <c r="AO123"/>
  <c r="AO122"/>
  <c r="AO121"/>
  <c r="AO120"/>
  <c r="AO119"/>
  <c r="AO118"/>
  <c r="AO117"/>
  <c r="AO116"/>
  <c r="AO115"/>
  <c r="AO114"/>
  <c r="AO113"/>
  <c r="AO112"/>
  <c r="AO111"/>
  <c r="AO110"/>
  <c r="AO109"/>
  <c r="AO108"/>
  <c r="AO107"/>
  <c r="AO106"/>
  <c r="AO105"/>
  <c r="AO104"/>
  <c r="AO103"/>
  <c r="AO102"/>
  <c r="AO101"/>
  <c r="AO100"/>
  <c r="AO99"/>
  <c r="AO98"/>
  <c r="AO97"/>
  <c r="AO96"/>
  <c r="AO95"/>
  <c r="AO94"/>
  <c r="AO93"/>
  <c r="AO92"/>
  <c r="AO91"/>
  <c r="AO90"/>
  <c r="AO89"/>
  <c r="AO88"/>
  <c r="AO87"/>
  <c r="AO86"/>
  <c r="AO85"/>
  <c r="AO84"/>
  <c r="AO83"/>
  <c r="AO82"/>
  <c r="AO81"/>
  <c r="AO80"/>
  <c r="AO79"/>
  <c r="AO78"/>
  <c r="AO77"/>
  <c r="AO76"/>
  <c r="AO75"/>
  <c r="AO74"/>
  <c r="AO73"/>
  <c r="AO72"/>
  <c r="AO71"/>
  <c r="AO70"/>
  <c r="AO69"/>
  <c r="AO68"/>
  <c r="AO67"/>
  <c r="AO66"/>
  <c r="AO65"/>
  <c r="AO64"/>
  <c r="AO63"/>
  <c r="AO62"/>
  <c r="AO61"/>
  <c r="AO60"/>
  <c r="AO59"/>
  <c r="AO58"/>
  <c r="AO57"/>
  <c r="AO56"/>
  <c r="AO55"/>
  <c r="AO54"/>
  <c r="AO53"/>
  <c r="AO52"/>
  <c r="AO51"/>
  <c r="AO50"/>
  <c r="AO49"/>
  <c r="AO48"/>
  <c r="AO47"/>
  <c r="AO46"/>
  <c r="AO45"/>
  <c r="AO44"/>
  <c r="AO43"/>
  <c r="AO42"/>
  <c r="AO41"/>
  <c r="AO40"/>
  <c r="AO39"/>
  <c r="AO38"/>
  <c r="AO37"/>
  <c r="AO36"/>
  <c r="AO35"/>
  <c r="AO34"/>
  <c r="AO33"/>
  <c r="AO32"/>
  <c r="AO31"/>
  <c r="AO30"/>
  <c r="AO29"/>
  <c r="AO28"/>
  <c r="AO27"/>
  <c r="AO26"/>
  <c r="AO25"/>
  <c r="AO24"/>
  <c r="AO23"/>
  <c r="AO22"/>
  <c r="AO21"/>
  <c r="AO20"/>
  <c r="AO19"/>
  <c r="AO18"/>
  <c r="AO17"/>
  <c r="AO16"/>
  <c r="AO15"/>
  <c r="AO14"/>
  <c r="AO13"/>
  <c r="AO12"/>
  <c r="AO11"/>
  <c r="AO10"/>
  <c r="AO9"/>
  <c r="AO8"/>
  <c r="AO7"/>
  <c r="AO6"/>
  <c r="AI125"/>
  <c r="AI124"/>
  <c r="AI123"/>
  <c r="AI122"/>
  <c r="AI121"/>
  <c r="AI120"/>
  <c r="AI119"/>
  <c r="AI118"/>
  <c r="AI117"/>
  <c r="AI116"/>
  <c r="AI115"/>
  <c r="AI114"/>
  <c r="AI113"/>
  <c r="AI112"/>
  <c r="AI111"/>
  <c r="AI110"/>
  <c r="AI109"/>
  <c r="AI108"/>
  <c r="AI107"/>
  <c r="AI106"/>
  <c r="AI105"/>
  <c r="AI104"/>
  <c r="AI103"/>
  <c r="AI102"/>
  <c r="AI101"/>
  <c r="AI100"/>
  <c r="AI99"/>
  <c r="AI98"/>
  <c r="AI97"/>
  <c r="AI96"/>
  <c r="AI95"/>
  <c r="AI94"/>
  <c r="AI93"/>
  <c r="AI92"/>
  <c r="AI91"/>
  <c r="AI90"/>
  <c r="AI89"/>
  <c r="AI88"/>
  <c r="AI87"/>
  <c r="AI86"/>
  <c r="AI85"/>
  <c r="AI84"/>
  <c r="AI83"/>
  <c r="AI82"/>
  <c r="AI81"/>
  <c r="AI80"/>
  <c r="AI79"/>
  <c r="AI78"/>
  <c r="AI77"/>
  <c r="AI76"/>
  <c r="AI75"/>
  <c r="AI74"/>
  <c r="AI73"/>
  <c r="AI72"/>
  <c r="AI71"/>
  <c r="AI70"/>
  <c r="AI69"/>
  <c r="AI68"/>
  <c r="AI67"/>
  <c r="AI66"/>
  <c r="AI65"/>
  <c r="AI64"/>
  <c r="AI63"/>
  <c r="AI62"/>
  <c r="AI61"/>
  <c r="AI60"/>
  <c r="AI59"/>
  <c r="AI58"/>
  <c r="AI57"/>
  <c r="AI56"/>
  <c r="AI55"/>
  <c r="AI54"/>
  <c r="AI53"/>
  <c r="AI52"/>
  <c r="AI51"/>
  <c r="AI50"/>
  <c r="AI49"/>
  <c r="AI48"/>
  <c r="AI47"/>
  <c r="AI46"/>
  <c r="AI45"/>
  <c r="AI44"/>
  <c r="AI43"/>
  <c r="AI42"/>
  <c r="AI41"/>
  <c r="AI40"/>
  <c r="AI39"/>
  <c r="AI38"/>
  <c r="AI37"/>
  <c r="AI36"/>
  <c r="AI35"/>
  <c r="AI34"/>
  <c r="AI33"/>
  <c r="AI32"/>
  <c r="AI31"/>
  <c r="AI30"/>
  <c r="AI29"/>
  <c r="AI28"/>
  <c r="AI27"/>
  <c r="AI26"/>
  <c r="AI25"/>
  <c r="AI24"/>
  <c r="AI23"/>
  <c r="AI22"/>
  <c r="AI21"/>
  <c r="AI20"/>
  <c r="AI19"/>
  <c r="AI18"/>
  <c r="AI17"/>
  <c r="AI16"/>
  <c r="AI15"/>
  <c r="AI14"/>
  <c r="AI13"/>
  <c r="AI12"/>
  <c r="AI11"/>
  <c r="AI10"/>
  <c r="AI9"/>
  <c r="AI8"/>
  <c r="AI7"/>
  <c r="AI6"/>
  <c r="W125"/>
  <c r="W124"/>
  <c r="W123"/>
  <c r="W122"/>
  <c r="W121"/>
  <c r="W120"/>
  <c r="W119"/>
  <c r="W118"/>
  <c r="W117"/>
  <c r="W116"/>
  <c r="W115"/>
  <c r="W114"/>
  <c r="W113"/>
  <c r="W112"/>
  <c r="W111"/>
  <c r="W110"/>
  <c r="W109"/>
  <c r="W108"/>
  <c r="W107"/>
  <c r="W106"/>
  <c r="W105"/>
  <c r="W104"/>
  <c r="W103"/>
  <c r="W102"/>
  <c r="W101"/>
  <c r="W100"/>
  <c r="W99"/>
  <c r="W98"/>
  <c r="W97"/>
  <c r="W96"/>
  <c r="W95"/>
  <c r="W94"/>
  <c r="W93"/>
  <c r="W92"/>
  <c r="W91"/>
  <c r="W90"/>
  <c r="W89"/>
  <c r="W88"/>
  <c r="W87"/>
  <c r="W86"/>
  <c r="W85"/>
  <c r="W84"/>
  <c r="W83"/>
  <c r="W82"/>
  <c r="W81"/>
  <c r="W80"/>
  <c r="W79"/>
  <c r="W78"/>
  <c r="W77"/>
  <c r="W76"/>
  <c r="W75"/>
  <c r="W74"/>
  <c r="W73"/>
  <c r="W72"/>
  <c r="W71"/>
  <c r="W70"/>
  <c r="W69"/>
  <c r="W68"/>
  <c r="W67"/>
  <c r="W66"/>
  <c r="W65"/>
  <c r="W64"/>
  <c r="W63"/>
  <c r="W62"/>
  <c r="W61"/>
  <c r="W60"/>
  <c r="W59"/>
  <c r="W58"/>
  <c r="W57"/>
  <c r="W56"/>
  <c r="W55"/>
  <c r="W54"/>
  <c r="W53"/>
  <c r="W52"/>
  <c r="W51"/>
  <c r="W50"/>
  <c r="W49"/>
  <c r="W48"/>
  <c r="W47"/>
  <c r="W46"/>
  <c r="W45"/>
  <c r="W44"/>
  <c r="W43"/>
  <c r="W42"/>
  <c r="W41"/>
  <c r="W40"/>
  <c r="W39"/>
  <c r="W38"/>
  <c r="W37"/>
  <c r="W36"/>
  <c r="W35"/>
  <c r="W34"/>
  <c r="W33"/>
  <c r="W32"/>
  <c r="W31"/>
  <c r="W30"/>
  <c r="W29"/>
  <c r="W28"/>
  <c r="W27"/>
  <c r="W26"/>
  <c r="W25"/>
  <c r="W24"/>
  <c r="W23"/>
  <c r="W22"/>
  <c r="W21"/>
  <c r="W20"/>
  <c r="W19"/>
  <c r="W18"/>
  <c r="W17"/>
  <c r="W16"/>
  <c r="W15"/>
  <c r="W14"/>
  <c r="W13"/>
  <c r="W12"/>
  <c r="W11"/>
  <c r="W10"/>
  <c r="W9"/>
  <c r="W8"/>
  <c r="W7"/>
  <c r="W6"/>
  <c r="Q125"/>
  <c r="Q124"/>
  <c r="Q123"/>
  <c r="Q122"/>
  <c r="Q121"/>
  <c r="Q120"/>
  <c r="Q119"/>
  <c r="Q118"/>
  <c r="Q117"/>
  <c r="Q116"/>
  <c r="Q115"/>
  <c r="Q114"/>
  <c r="Q113"/>
  <c r="Q112"/>
  <c r="Q111"/>
  <c r="Q110"/>
  <c r="Q109"/>
  <c r="Q108"/>
  <c r="Q107"/>
  <c r="Q106"/>
  <c r="Q105"/>
  <c r="Q104"/>
  <c r="Q103"/>
  <c r="Q102"/>
  <c r="Q101"/>
  <c r="Q100"/>
  <c r="Q99"/>
  <c r="Q98"/>
  <c r="Q97"/>
  <c r="Q96"/>
  <c r="Q95"/>
  <c r="Q94"/>
  <c r="Q93"/>
  <c r="Q92"/>
  <c r="Q91"/>
  <c r="Q90"/>
  <c r="Q89"/>
  <c r="Q88"/>
  <c r="Q87"/>
  <c r="Q86"/>
  <c r="Q85"/>
  <c r="Q84"/>
  <c r="Q83"/>
  <c r="Q82"/>
  <c r="Q81"/>
  <c r="Q80"/>
  <c r="Q79"/>
  <c r="Q78"/>
  <c r="Q77"/>
  <c r="Q76"/>
  <c r="Q75"/>
  <c r="Q74"/>
  <c r="Q73"/>
  <c r="Q72"/>
  <c r="Q71"/>
  <c r="Q70"/>
  <c r="Q69"/>
  <c r="Q68"/>
  <c r="Q67"/>
  <c r="Q66"/>
  <c r="Q65"/>
  <c r="Q64"/>
  <c r="Q63"/>
  <c r="Q62"/>
  <c r="Q61"/>
  <c r="Q60"/>
  <c r="Q59"/>
  <c r="Q58"/>
  <c r="Q57"/>
  <c r="Q56"/>
  <c r="Q55"/>
  <c r="Q54"/>
  <c r="Q53"/>
  <c r="Q52"/>
  <c r="Q51"/>
  <c r="Q50"/>
  <c r="Q49"/>
  <c r="Q48"/>
  <c r="Q47"/>
  <c r="Q46"/>
  <c r="Q45"/>
  <c r="Q44"/>
  <c r="Q43"/>
  <c r="Q42"/>
  <c r="Q41"/>
  <c r="Q40"/>
  <c r="Q39"/>
  <c r="Q38"/>
  <c r="Q37"/>
  <c r="Q36"/>
  <c r="Q35"/>
  <c r="Q34"/>
  <c r="Q33"/>
  <c r="Q32"/>
  <c r="Q31"/>
  <c r="Q30"/>
  <c r="Q29"/>
  <c r="Q28"/>
  <c r="Q27"/>
  <c r="Q26"/>
  <c r="Q25"/>
  <c r="Q24"/>
  <c r="Q23"/>
  <c r="Q22"/>
  <c r="Q21"/>
  <c r="Q20"/>
  <c r="Q19"/>
  <c r="Q18"/>
  <c r="Q17"/>
  <c r="Q16"/>
  <c r="Q15"/>
  <c r="Q14"/>
  <c r="Q13"/>
  <c r="Q12"/>
  <c r="Q11"/>
  <c r="Q10"/>
  <c r="Q9"/>
  <c r="Q8"/>
  <c r="Q7"/>
  <c r="Q6"/>
  <c r="N4" i="57"/>
  <c r="F55" i="1"/>
  <c r="G98" i="40"/>
  <c r="C123"/>
  <c r="G122"/>
  <c r="G121"/>
  <c r="G120"/>
  <c r="G86"/>
  <c r="C83"/>
  <c r="G82"/>
  <c r="C119"/>
  <c r="G79"/>
  <c r="G118"/>
  <c r="C117"/>
  <c r="G77"/>
  <c r="G73"/>
  <c r="G116"/>
  <c r="C115"/>
  <c r="G71"/>
  <c r="C68"/>
  <c r="G114"/>
  <c r="G112"/>
  <c r="C63"/>
  <c r="G62"/>
  <c r="C111"/>
  <c r="G110"/>
  <c r="C58"/>
  <c r="G57"/>
  <c r="G53"/>
  <c r="C50"/>
  <c r="G49"/>
  <c r="C47"/>
  <c r="G46"/>
  <c r="C44"/>
  <c r="G43"/>
  <c r="G39"/>
  <c r="C105"/>
  <c r="G37"/>
  <c r="C35"/>
  <c r="G34"/>
  <c r="C31"/>
  <c r="G30"/>
  <c r="G27"/>
  <c r="C24"/>
  <c r="G102"/>
  <c r="C22"/>
  <c r="G21"/>
  <c r="C18"/>
  <c r="G17"/>
  <c r="C15"/>
  <c r="G14"/>
  <c r="G10"/>
  <c r="C7"/>
  <c r="G6"/>
  <c r="C4"/>
  <c r="S126" i="85"/>
  <c r="R126"/>
  <c r="Q126"/>
  <c r="S125"/>
  <c r="R125"/>
  <c r="Q125"/>
  <c r="S124"/>
  <c r="R124"/>
  <c r="Q124"/>
  <c r="S123"/>
  <c r="R123"/>
  <c r="Q123"/>
  <c r="S122"/>
  <c r="R122"/>
  <c r="Q122"/>
  <c r="S121"/>
  <c r="R121"/>
  <c r="Q121"/>
  <c r="S120"/>
  <c r="R120"/>
  <c r="Q120"/>
  <c r="S119"/>
  <c r="R119"/>
  <c r="Q119"/>
  <c r="S118"/>
  <c r="R118"/>
  <c r="Q118"/>
  <c r="S117"/>
  <c r="R117"/>
  <c r="Q117"/>
  <c r="S116"/>
  <c r="R116"/>
  <c r="Q116"/>
  <c r="S115"/>
  <c r="R115"/>
  <c r="Q115"/>
  <c r="S114"/>
  <c r="R114"/>
  <c r="Q114"/>
  <c r="S113"/>
  <c r="R113"/>
  <c r="Q113"/>
  <c r="S112"/>
  <c r="R112"/>
  <c r="Q112"/>
  <c r="S111"/>
  <c r="R111"/>
  <c r="Q111"/>
  <c r="S110"/>
  <c r="R110"/>
  <c r="Q110"/>
  <c r="S109"/>
  <c r="R109"/>
  <c r="Q109"/>
  <c r="S108"/>
  <c r="R108"/>
  <c r="Q108"/>
  <c r="S107"/>
  <c r="R107"/>
  <c r="Q107"/>
  <c r="S106"/>
  <c r="R106"/>
  <c r="Q106"/>
  <c r="S105"/>
  <c r="R105"/>
  <c r="Q105"/>
  <c r="S104"/>
  <c r="R104"/>
  <c r="Q104"/>
  <c r="S103"/>
  <c r="R103"/>
  <c r="Q103"/>
  <c r="S102"/>
  <c r="R102"/>
  <c r="Q102"/>
  <c r="S101"/>
  <c r="R101"/>
  <c r="Q101"/>
  <c r="S100"/>
  <c r="R100"/>
  <c r="Q100"/>
  <c r="S99"/>
  <c r="R99"/>
  <c r="Q99"/>
  <c r="S98"/>
  <c r="R98"/>
  <c r="Q98"/>
  <c r="S97"/>
  <c r="R97"/>
  <c r="Q97"/>
  <c r="S96"/>
  <c r="R96"/>
  <c r="Q96"/>
  <c r="S95"/>
  <c r="R95"/>
  <c r="Q95"/>
  <c r="S94"/>
  <c r="R94"/>
  <c r="Q94"/>
  <c r="S93"/>
  <c r="R93"/>
  <c r="Q93"/>
  <c r="S92"/>
  <c r="R92"/>
  <c r="Q92"/>
  <c r="S91"/>
  <c r="R91"/>
  <c r="Q91"/>
  <c r="S90"/>
  <c r="R90"/>
  <c r="Q90"/>
  <c r="S89"/>
  <c r="R89"/>
  <c r="Q89"/>
  <c r="S88"/>
  <c r="R88"/>
  <c r="Q88"/>
  <c r="S87"/>
  <c r="R87"/>
  <c r="Q87"/>
  <c r="S86"/>
  <c r="R86"/>
  <c r="Q86"/>
  <c r="S85"/>
  <c r="R85"/>
  <c r="Q85"/>
  <c r="S84"/>
  <c r="R84"/>
  <c r="Q84"/>
  <c r="S83"/>
  <c r="R83"/>
  <c r="Q83"/>
  <c r="S82"/>
  <c r="R82"/>
  <c r="Q82"/>
  <c r="S81"/>
  <c r="R81"/>
  <c r="Q81"/>
  <c r="S80"/>
  <c r="R80"/>
  <c r="Q80"/>
  <c r="S79"/>
  <c r="R79"/>
  <c r="Q79"/>
  <c r="S78"/>
  <c r="R78"/>
  <c r="Q78"/>
  <c r="S77"/>
  <c r="R77"/>
  <c r="Q77"/>
  <c r="S76"/>
  <c r="R76"/>
  <c r="Q76"/>
  <c r="S75"/>
  <c r="R75"/>
  <c r="Q75"/>
  <c r="S74"/>
  <c r="R74"/>
  <c r="Q74"/>
  <c r="S73"/>
  <c r="R73"/>
  <c r="Q73"/>
  <c r="S72"/>
  <c r="R72"/>
  <c r="Q72"/>
  <c r="S71"/>
  <c r="R71"/>
  <c r="Q71"/>
  <c r="S70"/>
  <c r="R70"/>
  <c r="Q70"/>
  <c r="S69"/>
  <c r="R69"/>
  <c r="Q69"/>
  <c r="S68"/>
  <c r="R68"/>
  <c r="Q68"/>
  <c r="S67"/>
  <c r="R67"/>
  <c r="Q67"/>
  <c r="S66"/>
  <c r="R66"/>
  <c r="Q66"/>
  <c r="S65"/>
  <c r="R65"/>
  <c r="Q65"/>
  <c r="S64"/>
  <c r="R64"/>
  <c r="Q64"/>
  <c r="S63"/>
  <c r="R63"/>
  <c r="Q63"/>
  <c r="S62"/>
  <c r="R62"/>
  <c r="Q62"/>
  <c r="S61"/>
  <c r="R61"/>
  <c r="Q61"/>
  <c r="S60"/>
  <c r="R60"/>
  <c r="Q60"/>
  <c r="S59"/>
  <c r="R59"/>
  <c r="Q59"/>
  <c r="S58"/>
  <c r="R58"/>
  <c r="Q58"/>
  <c r="S57"/>
  <c r="R57"/>
  <c r="Q57"/>
  <c r="S56"/>
  <c r="R56"/>
  <c r="Q56"/>
  <c r="S55"/>
  <c r="R55"/>
  <c r="Q55"/>
  <c r="S54"/>
  <c r="R54"/>
  <c r="Q54"/>
  <c r="S53"/>
  <c r="R53"/>
  <c r="Q53"/>
  <c r="S52"/>
  <c r="R52"/>
  <c r="Q52"/>
  <c r="S51"/>
  <c r="R51"/>
  <c r="Q51"/>
  <c r="S50"/>
  <c r="R50"/>
  <c r="Q50"/>
  <c r="S49"/>
  <c r="R49"/>
  <c r="Q49"/>
  <c r="S48"/>
  <c r="R48"/>
  <c r="Q48"/>
  <c r="S47"/>
  <c r="R47"/>
  <c r="Q47"/>
  <c r="S46"/>
  <c r="R46"/>
  <c r="Q46"/>
  <c r="S45"/>
  <c r="R45"/>
  <c r="Q45"/>
  <c r="S44"/>
  <c r="R44"/>
  <c r="Q44"/>
  <c r="S43"/>
  <c r="R43"/>
  <c r="Q43"/>
  <c r="S42"/>
  <c r="R42"/>
  <c r="Q42"/>
  <c r="S41"/>
  <c r="R41"/>
  <c r="Q41"/>
  <c r="S40"/>
  <c r="R40"/>
  <c r="Q40"/>
  <c r="S39"/>
  <c r="R39"/>
  <c r="Q39"/>
  <c r="S38"/>
  <c r="R38"/>
  <c r="Q38"/>
  <c r="S37"/>
  <c r="R37"/>
  <c r="Q37"/>
  <c r="S36"/>
  <c r="R36"/>
  <c r="Q36"/>
  <c r="S35"/>
  <c r="R35"/>
  <c r="Q35"/>
  <c r="S34"/>
  <c r="R34"/>
  <c r="Q34"/>
  <c r="S33"/>
  <c r="R33"/>
  <c r="Q33"/>
  <c r="S32"/>
  <c r="R32"/>
  <c r="Q32"/>
  <c r="S31"/>
  <c r="R31"/>
  <c r="Q31"/>
  <c r="S30"/>
  <c r="R30"/>
  <c r="Q30"/>
  <c r="S29"/>
  <c r="R29"/>
  <c r="Q29"/>
  <c r="S28"/>
  <c r="R28"/>
  <c r="Q28"/>
  <c r="S27"/>
  <c r="R27"/>
  <c r="Q27"/>
  <c r="S26"/>
  <c r="R26"/>
  <c r="Q26"/>
  <c r="S25"/>
  <c r="R25"/>
  <c r="Q25"/>
  <c r="S24"/>
  <c r="R24"/>
  <c r="Q24"/>
  <c r="S23"/>
  <c r="R23"/>
  <c r="Q23"/>
  <c r="S22"/>
  <c r="R22"/>
  <c r="Q22"/>
  <c r="S21"/>
  <c r="R21"/>
  <c r="Q21"/>
  <c r="S20"/>
  <c r="R20"/>
  <c r="Q20"/>
  <c r="S19"/>
  <c r="R19"/>
  <c r="Q19"/>
  <c r="S18"/>
  <c r="R18"/>
  <c r="Q18"/>
  <c r="S17"/>
  <c r="R17"/>
  <c r="Q17"/>
  <c r="S16"/>
  <c r="R16"/>
  <c r="Q16"/>
  <c r="S15"/>
  <c r="R15"/>
  <c r="Q15"/>
  <c r="S14"/>
  <c r="R14"/>
  <c r="Q14"/>
  <c r="S13"/>
  <c r="R13"/>
  <c r="Q13"/>
  <c r="S12"/>
  <c r="R12"/>
  <c r="Q12"/>
  <c r="S11"/>
  <c r="R11"/>
  <c r="Q11"/>
  <c r="S10"/>
  <c r="R10"/>
  <c r="Q10"/>
  <c r="S9"/>
  <c r="R9"/>
  <c r="Q9"/>
  <c r="S8"/>
  <c r="R8"/>
  <c r="Q8"/>
  <c r="S7"/>
  <c r="R7"/>
  <c r="Q7"/>
  <c r="Y126"/>
  <c r="X126"/>
  <c r="W126"/>
  <c r="Y125"/>
  <c r="X125"/>
  <c r="W125"/>
  <c r="Y124"/>
  <c r="X124"/>
  <c r="W124"/>
  <c r="Y123"/>
  <c r="X123"/>
  <c r="W123"/>
  <c r="Y122"/>
  <c r="X122"/>
  <c r="W122"/>
  <c r="Y121"/>
  <c r="X121"/>
  <c r="W121"/>
  <c r="Y120"/>
  <c r="X120"/>
  <c r="W120"/>
  <c r="Y119"/>
  <c r="X119"/>
  <c r="W119"/>
  <c r="Y118"/>
  <c r="X118"/>
  <c r="W118"/>
  <c r="Y117"/>
  <c r="X117"/>
  <c r="W117"/>
  <c r="Y116"/>
  <c r="X116"/>
  <c r="W116"/>
  <c r="Y115"/>
  <c r="X115"/>
  <c r="W115"/>
  <c r="Y114"/>
  <c r="X114"/>
  <c r="W114"/>
  <c r="Y113"/>
  <c r="X113"/>
  <c r="W113"/>
  <c r="Y112"/>
  <c r="X112"/>
  <c r="W112"/>
  <c r="Y111"/>
  <c r="X111"/>
  <c r="W111"/>
  <c r="Y110"/>
  <c r="X110"/>
  <c r="W110"/>
  <c r="Y109"/>
  <c r="X109"/>
  <c r="W109"/>
  <c r="Y108"/>
  <c r="X108"/>
  <c r="W108"/>
  <c r="Y107"/>
  <c r="X107"/>
  <c r="W107"/>
  <c r="Y106"/>
  <c r="X106"/>
  <c r="W106"/>
  <c r="Y105"/>
  <c r="X105"/>
  <c r="W105"/>
  <c r="Y104"/>
  <c r="X104"/>
  <c r="W104"/>
  <c r="Y103"/>
  <c r="X103"/>
  <c r="W103"/>
  <c r="Y102"/>
  <c r="X102"/>
  <c r="W102"/>
  <c r="Y101"/>
  <c r="X101"/>
  <c r="W101"/>
  <c r="Y100"/>
  <c r="X100"/>
  <c r="W100"/>
  <c r="Y99"/>
  <c r="X99"/>
  <c r="W99"/>
  <c r="Y98"/>
  <c r="X98"/>
  <c r="W98"/>
  <c r="Y97"/>
  <c r="X97"/>
  <c r="W97"/>
  <c r="Y96"/>
  <c r="X96"/>
  <c r="W96"/>
  <c r="Y95"/>
  <c r="X95"/>
  <c r="W95"/>
  <c r="Y94"/>
  <c r="X94"/>
  <c r="W94"/>
  <c r="Y93"/>
  <c r="X93"/>
  <c r="W93"/>
  <c r="Y92"/>
  <c r="X92"/>
  <c r="W92"/>
  <c r="Y91"/>
  <c r="X91"/>
  <c r="W91"/>
  <c r="Y90"/>
  <c r="X90"/>
  <c r="W90"/>
  <c r="Y89"/>
  <c r="X89"/>
  <c r="W89"/>
  <c r="Y88"/>
  <c r="X88"/>
  <c r="W88"/>
  <c r="Y87"/>
  <c r="X87"/>
  <c r="W87"/>
  <c r="Y86"/>
  <c r="X86"/>
  <c r="W86"/>
  <c r="Y85"/>
  <c r="X85"/>
  <c r="W85"/>
  <c r="Y84"/>
  <c r="X84"/>
  <c r="W84"/>
  <c r="Y83"/>
  <c r="X83"/>
  <c r="W83"/>
  <c r="Y82"/>
  <c r="X82"/>
  <c r="W82"/>
  <c r="Y81"/>
  <c r="X81"/>
  <c r="W81"/>
  <c r="Y80"/>
  <c r="X80"/>
  <c r="W80"/>
  <c r="Y79"/>
  <c r="X79"/>
  <c r="W79"/>
  <c r="Y78"/>
  <c r="X78"/>
  <c r="W78"/>
  <c r="Y77"/>
  <c r="X77"/>
  <c r="W77"/>
  <c r="Y76"/>
  <c r="X76"/>
  <c r="W76"/>
  <c r="Y75"/>
  <c r="X75"/>
  <c r="W75"/>
  <c r="Y74"/>
  <c r="X74"/>
  <c r="W74"/>
  <c r="Y73"/>
  <c r="X73"/>
  <c r="W73"/>
  <c r="Y72"/>
  <c r="X72"/>
  <c r="W72"/>
  <c r="Y71"/>
  <c r="X71"/>
  <c r="W71"/>
  <c r="Y70"/>
  <c r="X70"/>
  <c r="W70"/>
  <c r="Y69"/>
  <c r="X69"/>
  <c r="W69"/>
  <c r="Y68"/>
  <c r="X68"/>
  <c r="W68"/>
  <c r="Y67"/>
  <c r="X67"/>
  <c r="W67"/>
  <c r="Y66"/>
  <c r="X66"/>
  <c r="W66"/>
  <c r="Y65"/>
  <c r="X65"/>
  <c r="W65"/>
  <c r="Y64"/>
  <c r="X64"/>
  <c r="W64"/>
  <c r="Y63"/>
  <c r="X63"/>
  <c r="W63"/>
  <c r="Y62"/>
  <c r="X62"/>
  <c r="W62"/>
  <c r="Y61"/>
  <c r="X61"/>
  <c r="W61"/>
  <c r="Y60"/>
  <c r="X60"/>
  <c r="W60"/>
  <c r="Y59"/>
  <c r="X59"/>
  <c r="W59"/>
  <c r="Y58"/>
  <c r="X58"/>
  <c r="W58"/>
  <c r="Y57"/>
  <c r="X57"/>
  <c r="W57"/>
  <c r="Y56"/>
  <c r="X56"/>
  <c r="W56"/>
  <c r="Y55"/>
  <c r="X55"/>
  <c r="W55"/>
  <c r="Y54"/>
  <c r="X54"/>
  <c r="W54"/>
  <c r="Y53"/>
  <c r="X53"/>
  <c r="W53"/>
  <c r="Y52"/>
  <c r="X52"/>
  <c r="W52"/>
  <c r="Y51"/>
  <c r="X51"/>
  <c r="W51"/>
  <c r="Y50"/>
  <c r="X50"/>
  <c r="W50"/>
  <c r="Y49"/>
  <c r="X49"/>
  <c r="W49"/>
  <c r="Y48"/>
  <c r="X48"/>
  <c r="W48"/>
  <c r="Y47"/>
  <c r="X47"/>
  <c r="W47"/>
  <c r="Y46"/>
  <c r="X46"/>
  <c r="W46"/>
  <c r="Y45"/>
  <c r="X45"/>
  <c r="W45"/>
  <c r="Y44"/>
  <c r="X44"/>
  <c r="W44"/>
  <c r="Y43"/>
  <c r="X43"/>
  <c r="W43"/>
  <c r="Y42"/>
  <c r="X42"/>
  <c r="W42"/>
  <c r="Y41"/>
  <c r="X41"/>
  <c r="W41"/>
  <c r="Y40"/>
  <c r="X40"/>
  <c r="W40"/>
  <c r="Y39"/>
  <c r="X39"/>
  <c r="W39"/>
  <c r="Y38"/>
  <c r="X38"/>
  <c r="W38"/>
  <c r="Y37"/>
  <c r="X37"/>
  <c r="W37"/>
  <c r="Y36"/>
  <c r="X36"/>
  <c r="W36"/>
  <c r="Y35"/>
  <c r="X35"/>
  <c r="W35"/>
  <c r="Y34"/>
  <c r="X34"/>
  <c r="W34"/>
  <c r="Y33"/>
  <c r="X33"/>
  <c r="W33"/>
  <c r="Y32"/>
  <c r="X32"/>
  <c r="W32"/>
  <c r="Y31"/>
  <c r="X31"/>
  <c r="W31"/>
  <c r="Y30"/>
  <c r="X30"/>
  <c r="W30"/>
  <c r="Y29"/>
  <c r="X29"/>
  <c r="W29"/>
  <c r="Y28"/>
  <c r="X28"/>
  <c r="W28"/>
  <c r="Y27"/>
  <c r="X27"/>
  <c r="W27"/>
  <c r="Y26"/>
  <c r="X26"/>
  <c r="W26"/>
  <c r="Y25"/>
  <c r="X25"/>
  <c r="W25"/>
  <c r="Y24"/>
  <c r="X24"/>
  <c r="W24"/>
  <c r="Y23"/>
  <c r="X23"/>
  <c r="W23"/>
  <c r="Y22"/>
  <c r="X22"/>
  <c r="W22"/>
  <c r="Y21"/>
  <c r="X21"/>
  <c r="W21"/>
  <c r="Y20"/>
  <c r="X20"/>
  <c r="W20"/>
  <c r="Y19"/>
  <c r="X19"/>
  <c r="W19"/>
  <c r="Y18"/>
  <c r="X18"/>
  <c r="W18"/>
  <c r="Y17"/>
  <c r="X17"/>
  <c r="W17"/>
  <c r="Y16"/>
  <c r="X16"/>
  <c r="W16"/>
  <c r="Y15"/>
  <c r="X15"/>
  <c r="W15"/>
  <c r="Y14"/>
  <c r="X14"/>
  <c r="W14"/>
  <c r="Y13"/>
  <c r="X13"/>
  <c r="W13"/>
  <c r="Y12"/>
  <c r="X12"/>
  <c r="W12"/>
  <c r="Y11"/>
  <c r="X11"/>
  <c r="W11"/>
  <c r="Y10"/>
  <c r="X10"/>
  <c r="W10"/>
  <c r="Y9"/>
  <c r="X9"/>
  <c r="W9"/>
  <c r="Y8"/>
  <c r="X8"/>
  <c r="W8"/>
  <c r="Y7"/>
  <c r="X7"/>
  <c r="W7"/>
  <c r="F54" i="1"/>
  <c r="H4" i="89"/>
  <c r="G4"/>
  <c r="F4"/>
  <c r="E4"/>
  <c r="D4"/>
  <c r="L4" i="32"/>
  <c r="I4"/>
  <c r="L4" i="31"/>
  <c r="K4"/>
  <c r="J4"/>
  <c r="I4"/>
  <c r="H4"/>
  <c r="H4" i="94"/>
  <c r="AM101" i="97"/>
  <c r="AL101"/>
  <c r="AP101"/>
  <c r="AO101"/>
  <c r="AN101"/>
  <c r="AK101"/>
  <c r="AS101" s="1"/>
  <c r="BA101" s="1"/>
  <c r="AI101"/>
  <c r="AH101"/>
  <c r="AJ101"/>
  <c r="AJ100"/>
  <c r="AI100"/>
  <c r="AP100"/>
  <c r="AN100"/>
  <c r="AM100"/>
  <c r="AL100"/>
  <c r="AN99"/>
  <c r="AK99"/>
  <c r="AH99"/>
  <c r="AO126"/>
  <c r="AN126"/>
  <c r="AL126"/>
  <c r="AK126"/>
  <c r="AH126"/>
  <c r="AI126"/>
  <c r="AP125"/>
  <c r="AO125"/>
  <c r="AM125"/>
  <c r="AI125"/>
  <c r="AH125"/>
  <c r="AJ125"/>
  <c r="AP98"/>
  <c r="AN98"/>
  <c r="AM98"/>
  <c r="AJ98"/>
  <c r="AI98"/>
  <c r="AH98"/>
  <c r="AP97"/>
  <c r="AK97"/>
  <c r="AS97" s="1"/>
  <c r="BA97" s="1"/>
  <c r="AO97"/>
  <c r="AN97"/>
  <c r="AM97"/>
  <c r="AL97"/>
  <c r="AH97"/>
  <c r="AR97" s="1"/>
  <c r="AZ97" s="1"/>
  <c r="AJ97"/>
  <c r="AI97"/>
  <c r="AM96"/>
  <c r="AL96"/>
  <c r="AP96"/>
  <c r="AO96"/>
  <c r="AN96"/>
  <c r="AT96" s="1"/>
  <c r="BB96" s="1"/>
  <c r="AK96"/>
  <c r="AI96"/>
  <c r="AH96"/>
  <c r="AJ96"/>
  <c r="AJ124"/>
  <c r="AP124"/>
  <c r="AO124"/>
  <c r="AN124"/>
  <c r="AT124" s="1"/>
  <c r="BB124" s="1"/>
  <c r="AM124"/>
  <c r="AI124"/>
  <c r="AK95"/>
  <c r="AO95"/>
  <c r="AN95"/>
  <c r="AJ95"/>
  <c r="AH95"/>
  <c r="AO94"/>
  <c r="AL94"/>
  <c r="AP94"/>
  <c r="AN94"/>
  <c r="AK94"/>
  <c r="AH94"/>
  <c r="AI94"/>
  <c r="AP93"/>
  <c r="AO93"/>
  <c r="AM93"/>
  <c r="AI93"/>
  <c r="AH93"/>
  <c r="AJ93"/>
  <c r="AR93" s="1"/>
  <c r="AZ93" s="1"/>
  <c r="AN123"/>
  <c r="AM123"/>
  <c r="AP123"/>
  <c r="AO123"/>
  <c r="AK123"/>
  <c r="AJ123"/>
  <c r="AI123"/>
  <c r="AH123"/>
  <c r="AR123" s="1"/>
  <c r="AZ123" s="1"/>
  <c r="AP92"/>
  <c r="AT92" s="1"/>
  <c r="BB92" s="1"/>
  <c r="AO92"/>
  <c r="AN92"/>
  <c r="AK92"/>
  <c r="AS92" s="1"/>
  <c r="BA92" s="1"/>
  <c r="AL92"/>
  <c r="AH92"/>
  <c r="AJ92"/>
  <c r="AI92"/>
  <c r="AM91"/>
  <c r="AS91" s="1"/>
  <c r="BA91" s="1"/>
  <c r="AL91"/>
  <c r="AP91"/>
  <c r="AO91"/>
  <c r="AN91"/>
  <c r="AK91"/>
  <c r="AI91"/>
  <c r="AH91"/>
  <c r="AJ91"/>
  <c r="AJ90"/>
  <c r="AI90"/>
  <c r="AP90"/>
  <c r="AN90"/>
  <c r="AM90"/>
  <c r="AL90"/>
  <c r="AN89"/>
  <c r="AK89"/>
  <c r="AH89"/>
  <c r="AO88"/>
  <c r="AN88"/>
  <c r="AL88"/>
  <c r="AK88"/>
  <c r="AH88"/>
  <c r="AI88"/>
  <c r="AP87"/>
  <c r="AO87"/>
  <c r="AM87"/>
  <c r="AI87"/>
  <c r="AH87"/>
  <c r="AR87" s="1"/>
  <c r="AZ87" s="1"/>
  <c r="AJ87"/>
  <c r="AJ86"/>
  <c r="AP86"/>
  <c r="AT86" s="1"/>
  <c r="BB86" s="1"/>
  <c r="AO86"/>
  <c r="AN86"/>
  <c r="AL86"/>
  <c r="AK86"/>
  <c r="AI86"/>
  <c r="AH86"/>
  <c r="AP85"/>
  <c r="AK85"/>
  <c r="AO85"/>
  <c r="AN85"/>
  <c r="AM85"/>
  <c r="AL85"/>
  <c r="AH85"/>
  <c r="AR85" s="1"/>
  <c r="AZ85" s="1"/>
  <c r="AJ85"/>
  <c r="AI85"/>
  <c r="AM84"/>
  <c r="AL84"/>
  <c r="AP84"/>
  <c r="AO84"/>
  <c r="AN84"/>
  <c r="AT84" s="1"/>
  <c r="BB84" s="1"/>
  <c r="AK84"/>
  <c r="AI84"/>
  <c r="AH84"/>
  <c r="AJ84"/>
  <c r="AJ83"/>
  <c r="AP83"/>
  <c r="AN83"/>
  <c r="AM83"/>
  <c r="AI83"/>
  <c r="AK122"/>
  <c r="AO122"/>
  <c r="AN122"/>
  <c r="AJ122"/>
  <c r="AR122" s="1"/>
  <c r="AZ122" s="1"/>
  <c r="AH122"/>
  <c r="AO82"/>
  <c r="AL82"/>
  <c r="AP82"/>
  <c r="AN82"/>
  <c r="AK82"/>
  <c r="AH82"/>
  <c r="AI82"/>
  <c r="AP121"/>
  <c r="AO121"/>
  <c r="AM121"/>
  <c r="AI121"/>
  <c r="AH121"/>
  <c r="AJ121"/>
  <c r="AN81"/>
  <c r="AM81"/>
  <c r="AP81"/>
  <c r="AO81"/>
  <c r="AK81"/>
  <c r="AJ81"/>
  <c r="AI81"/>
  <c r="AH81"/>
  <c r="AO120"/>
  <c r="AJ120"/>
  <c r="AR120" s="1"/>
  <c r="AZ120" s="1"/>
  <c r="AP120"/>
  <c r="AN120"/>
  <c r="AL120"/>
  <c r="AK120"/>
  <c r="AI120"/>
  <c r="AH120"/>
  <c r="AP80"/>
  <c r="AT80" s="1"/>
  <c r="BB80" s="1"/>
  <c r="AO80"/>
  <c r="AN80"/>
  <c r="AK80"/>
  <c r="AL80"/>
  <c r="AH80"/>
  <c r="AJ80"/>
  <c r="AI80"/>
  <c r="AM79"/>
  <c r="AL79"/>
  <c r="AP79"/>
  <c r="AO79"/>
  <c r="AN79"/>
  <c r="AK79"/>
  <c r="AI79"/>
  <c r="AH79"/>
  <c r="AJ79"/>
  <c r="AJ78"/>
  <c r="AI78"/>
  <c r="AP78"/>
  <c r="AN78"/>
  <c r="AT78" s="1"/>
  <c r="BB78" s="1"/>
  <c r="AM78"/>
  <c r="AL78"/>
  <c r="AN77"/>
  <c r="AK77"/>
  <c r="AM77"/>
  <c r="AH77"/>
  <c r="AO76"/>
  <c r="AN76"/>
  <c r="AL76"/>
  <c r="AK76"/>
  <c r="AH76"/>
  <c r="AI76"/>
  <c r="AP119"/>
  <c r="AO119"/>
  <c r="AL119"/>
  <c r="AI119"/>
  <c r="AH119"/>
  <c r="AR119" s="1"/>
  <c r="AZ119" s="1"/>
  <c r="AJ119"/>
  <c r="AO75"/>
  <c r="AN75"/>
  <c r="AK75"/>
  <c r="AJ75"/>
  <c r="AI75"/>
  <c r="AH75"/>
  <c r="AP118"/>
  <c r="AK118"/>
  <c r="AO118"/>
  <c r="AN118"/>
  <c r="AM118"/>
  <c r="AL118"/>
  <c r="AH118"/>
  <c r="AJ118"/>
  <c r="AI118"/>
  <c r="AM74"/>
  <c r="AL74"/>
  <c r="AP74"/>
  <c r="AO74"/>
  <c r="AN74"/>
  <c r="AK74"/>
  <c r="AI74"/>
  <c r="AH74"/>
  <c r="AJ74"/>
  <c r="AJ73"/>
  <c r="AP73"/>
  <c r="AM73"/>
  <c r="AI73"/>
  <c r="AK72"/>
  <c r="AO72"/>
  <c r="AN72"/>
  <c r="AJ72"/>
  <c r="AH72"/>
  <c r="AO71"/>
  <c r="AL71"/>
  <c r="AP71"/>
  <c r="AN71"/>
  <c r="AK71"/>
  <c r="AS71" s="1"/>
  <c r="BA71" s="1"/>
  <c r="AH71"/>
  <c r="AI71"/>
  <c r="AP117"/>
  <c r="AO117"/>
  <c r="AM117"/>
  <c r="AI117"/>
  <c r="AH117"/>
  <c r="AJ117"/>
  <c r="AN70"/>
  <c r="AM70"/>
  <c r="AP70"/>
  <c r="AO70"/>
  <c r="AK70"/>
  <c r="AS70" s="1"/>
  <c r="BA70" s="1"/>
  <c r="AJ70"/>
  <c r="AI70"/>
  <c r="AH70"/>
  <c r="AO69"/>
  <c r="AJ69"/>
  <c r="AP69"/>
  <c r="AN69"/>
  <c r="AT69" s="1"/>
  <c r="BB69" s="1"/>
  <c r="AL69"/>
  <c r="AK69"/>
  <c r="AI69"/>
  <c r="AH69"/>
  <c r="AP116"/>
  <c r="AT116" s="1"/>
  <c r="BB116" s="1"/>
  <c r="AO116"/>
  <c r="AN116"/>
  <c r="AK116"/>
  <c r="AL116"/>
  <c r="AH116"/>
  <c r="AJ116"/>
  <c r="AI116"/>
  <c r="AM115"/>
  <c r="AS115" s="1"/>
  <c r="BA115" s="1"/>
  <c r="AL115"/>
  <c r="AP115"/>
  <c r="AO115"/>
  <c r="AN115"/>
  <c r="AK115"/>
  <c r="AI115"/>
  <c r="AH115"/>
  <c r="AJ115"/>
  <c r="AJ68"/>
  <c r="AI68"/>
  <c r="AP68"/>
  <c r="AN68"/>
  <c r="AM68"/>
  <c r="AL68"/>
  <c r="AN67"/>
  <c r="AK67"/>
  <c r="AS67" s="1"/>
  <c r="BA67" s="1"/>
  <c r="AM67"/>
  <c r="AH67"/>
  <c r="AO66"/>
  <c r="AN66"/>
  <c r="AL66"/>
  <c r="AK66"/>
  <c r="AH66"/>
  <c r="AI66"/>
  <c r="AP65"/>
  <c r="AO65"/>
  <c r="AM65"/>
  <c r="AL65"/>
  <c r="AI65"/>
  <c r="AH65"/>
  <c r="AJ65"/>
  <c r="AR65" s="1"/>
  <c r="AZ65" s="1"/>
  <c r="AP64"/>
  <c r="AO64"/>
  <c r="AN64"/>
  <c r="AM64"/>
  <c r="AK64"/>
  <c r="AJ64"/>
  <c r="AI64"/>
  <c r="AH64"/>
  <c r="AP63"/>
  <c r="AT63" s="1"/>
  <c r="BB63" s="1"/>
  <c r="AO63"/>
  <c r="AN63"/>
  <c r="AK63"/>
  <c r="AJ63"/>
  <c r="AR63" s="1"/>
  <c r="AZ63" s="1"/>
  <c r="AI63"/>
  <c r="AH63"/>
  <c r="AM114"/>
  <c r="AL114"/>
  <c r="AP114"/>
  <c r="AO114"/>
  <c r="AN114"/>
  <c r="AT114" s="1"/>
  <c r="BB114" s="1"/>
  <c r="AK114"/>
  <c r="AI114"/>
  <c r="AH114"/>
  <c r="AJ114"/>
  <c r="AR114" s="1"/>
  <c r="AZ114" s="1"/>
  <c r="AJ113"/>
  <c r="AP113"/>
  <c r="AN113"/>
  <c r="AM113"/>
  <c r="AI113"/>
  <c r="AK62"/>
  <c r="AO62"/>
  <c r="AN62"/>
  <c r="AJ62"/>
  <c r="AR62" s="1"/>
  <c r="AZ62" s="1"/>
  <c r="AH62"/>
  <c r="AO112"/>
  <c r="AL112"/>
  <c r="AP112"/>
  <c r="AN112"/>
  <c r="AK112"/>
  <c r="AH112"/>
  <c r="AI112"/>
  <c r="AP61"/>
  <c r="AO61"/>
  <c r="AM61"/>
  <c r="AI61"/>
  <c r="AH61"/>
  <c r="AJ61"/>
  <c r="AN60"/>
  <c r="AT60" s="1"/>
  <c r="BB60" s="1"/>
  <c r="AM60"/>
  <c r="AP60"/>
  <c r="AO60"/>
  <c r="AK60"/>
  <c r="AJ60"/>
  <c r="AI60"/>
  <c r="AH60"/>
  <c r="AO59"/>
  <c r="AJ59"/>
  <c r="AR59" s="1"/>
  <c r="AZ59" s="1"/>
  <c r="AP59"/>
  <c r="AN59"/>
  <c r="AL59"/>
  <c r="AK59"/>
  <c r="AI59"/>
  <c r="AH59"/>
  <c r="AM58"/>
  <c r="AL58"/>
  <c r="AP58"/>
  <c r="AO58"/>
  <c r="AN58"/>
  <c r="AK58"/>
  <c r="AI58"/>
  <c r="AH58"/>
  <c r="AJ58"/>
  <c r="AR58" s="1"/>
  <c r="AZ58" s="1"/>
  <c r="AJ57"/>
  <c r="AI57"/>
  <c r="AP57"/>
  <c r="AN57"/>
  <c r="AM57"/>
  <c r="AL57"/>
  <c r="AN56"/>
  <c r="AK56"/>
  <c r="AH56"/>
  <c r="AN55"/>
  <c r="AH55"/>
  <c r="AO54"/>
  <c r="AN54"/>
  <c r="AJ54"/>
  <c r="AI54"/>
  <c r="AH54"/>
  <c r="AP53"/>
  <c r="AT53" s="1"/>
  <c r="BB53" s="1"/>
  <c r="AO53"/>
  <c r="AN53"/>
  <c r="AK53"/>
  <c r="AH53"/>
  <c r="AI53"/>
  <c r="AI52"/>
  <c r="AP52"/>
  <c r="AO52"/>
  <c r="AL52"/>
  <c r="AM52"/>
  <c r="AH52"/>
  <c r="AJ52"/>
  <c r="AN111"/>
  <c r="AI111"/>
  <c r="AP111"/>
  <c r="AO111"/>
  <c r="AM111"/>
  <c r="AL111"/>
  <c r="AK111"/>
  <c r="AS111" s="1"/>
  <c r="BA111" s="1"/>
  <c r="AJ111"/>
  <c r="AH111"/>
  <c r="AK51"/>
  <c r="AJ51"/>
  <c r="AP51"/>
  <c r="AO51"/>
  <c r="AN51"/>
  <c r="AM51"/>
  <c r="AL51"/>
  <c r="AI51"/>
  <c r="AH51"/>
  <c r="AL50"/>
  <c r="AK50"/>
  <c r="AP50"/>
  <c r="AO50"/>
  <c r="AN50"/>
  <c r="AM50"/>
  <c r="AH50"/>
  <c r="AJ50"/>
  <c r="AI50"/>
  <c r="AP49"/>
  <c r="AT49" s="1"/>
  <c r="BB49" s="1"/>
  <c r="AO49"/>
  <c r="AN49"/>
  <c r="AM49"/>
  <c r="AL49"/>
  <c r="AI49"/>
  <c r="AH49"/>
  <c r="AJ49"/>
  <c r="AO48"/>
  <c r="AN48"/>
  <c r="AK48"/>
  <c r="AJ48"/>
  <c r="AR48" s="1"/>
  <c r="AZ48" s="1"/>
  <c r="AI48"/>
  <c r="AH48"/>
  <c r="AP110"/>
  <c r="AO110"/>
  <c r="AN110"/>
  <c r="AL110"/>
  <c r="AH110"/>
  <c r="AJ110"/>
  <c r="AI110"/>
  <c r="AP47"/>
  <c r="AO47"/>
  <c r="AN47"/>
  <c r="AL47"/>
  <c r="AM47"/>
  <c r="AI47"/>
  <c r="AH47"/>
  <c r="AJ47"/>
  <c r="AN46"/>
  <c r="AI46"/>
  <c r="AP46"/>
  <c r="AT46" s="1"/>
  <c r="BB46" s="1"/>
  <c r="AO46"/>
  <c r="AM46"/>
  <c r="AL46"/>
  <c r="AK46"/>
  <c r="AJ46"/>
  <c r="AH46"/>
  <c r="AK45"/>
  <c r="AJ45"/>
  <c r="AR45" s="1"/>
  <c r="AZ45" s="1"/>
  <c r="AP45"/>
  <c r="AO45"/>
  <c r="AN45"/>
  <c r="AM45"/>
  <c r="AL45"/>
  <c r="AI45"/>
  <c r="AH45"/>
  <c r="AL44"/>
  <c r="AK44"/>
  <c r="AP44"/>
  <c r="AO44"/>
  <c r="AN44"/>
  <c r="AT44" s="1"/>
  <c r="BB44" s="1"/>
  <c r="AM44"/>
  <c r="AH44"/>
  <c r="AJ44"/>
  <c r="AI44"/>
  <c r="AP43"/>
  <c r="AM43"/>
  <c r="AO43"/>
  <c r="AN43"/>
  <c r="AL43"/>
  <c r="AK43"/>
  <c r="AS43" s="1"/>
  <c r="BA43" s="1"/>
  <c r="AI43"/>
  <c r="AH43"/>
  <c r="AJ43"/>
  <c r="AJ42"/>
  <c r="AP42"/>
  <c r="AM42"/>
  <c r="AH42"/>
  <c r="AO41"/>
  <c r="AN41"/>
  <c r="AJ41"/>
  <c r="AI41"/>
  <c r="AH41"/>
  <c r="AP109"/>
  <c r="AO109"/>
  <c r="AN109"/>
  <c r="AL109"/>
  <c r="AK109"/>
  <c r="AH109"/>
  <c r="AI109"/>
  <c r="AP108"/>
  <c r="AO108"/>
  <c r="AM108"/>
  <c r="AL108"/>
  <c r="AI108"/>
  <c r="AH108"/>
  <c r="AJ108"/>
  <c r="AP40"/>
  <c r="AT40" s="1"/>
  <c r="BB40" s="1"/>
  <c r="AN40"/>
  <c r="AM40"/>
  <c r="AJ40"/>
  <c r="AI40"/>
  <c r="AH40"/>
  <c r="AO39"/>
  <c r="AN39"/>
  <c r="AK39"/>
  <c r="AJ39"/>
  <c r="AI39"/>
  <c r="AH39"/>
  <c r="AR39" s="1"/>
  <c r="AZ39" s="1"/>
  <c r="AP107"/>
  <c r="AT107" s="1"/>
  <c r="BB107" s="1"/>
  <c r="AO107"/>
  <c r="AN107"/>
  <c r="AL107"/>
  <c r="AK107"/>
  <c r="AH107"/>
  <c r="AJ107"/>
  <c r="AI107"/>
  <c r="AL38"/>
  <c r="AP38"/>
  <c r="AO38"/>
  <c r="AN38"/>
  <c r="AT38" s="1"/>
  <c r="BB38" s="1"/>
  <c r="AM38"/>
  <c r="AI38"/>
  <c r="AH38"/>
  <c r="AJ38"/>
  <c r="AR38" s="1"/>
  <c r="AZ38" s="1"/>
  <c r="AN37"/>
  <c r="AT37" s="1"/>
  <c r="BB37" s="1"/>
  <c r="AI37"/>
  <c r="AP37"/>
  <c r="AO37"/>
  <c r="AM37"/>
  <c r="AL37"/>
  <c r="AK37"/>
  <c r="AJ37"/>
  <c r="AK36"/>
  <c r="AJ36"/>
  <c r="AP36"/>
  <c r="AO36"/>
  <c r="AN36"/>
  <c r="AT36" s="1"/>
  <c r="BB36" s="1"/>
  <c r="AM36"/>
  <c r="AL36"/>
  <c r="AH36"/>
  <c r="AR36" s="1"/>
  <c r="AZ36" s="1"/>
  <c r="AP35"/>
  <c r="AO35"/>
  <c r="AM35"/>
  <c r="AL35"/>
  <c r="AI35"/>
  <c r="AH35"/>
  <c r="AJ35"/>
  <c r="AO34"/>
  <c r="AN34"/>
  <c r="AK34"/>
  <c r="AJ34"/>
  <c r="AI34"/>
  <c r="AH34"/>
  <c r="AR34" s="1"/>
  <c r="AZ34" s="1"/>
  <c r="AL33"/>
  <c r="AP33"/>
  <c r="AO33"/>
  <c r="AN33"/>
  <c r="AM33"/>
  <c r="AI33"/>
  <c r="AH33"/>
  <c r="AJ33"/>
  <c r="AN32"/>
  <c r="AJ32"/>
  <c r="AI32"/>
  <c r="AP32"/>
  <c r="AT32" s="1"/>
  <c r="BB32" s="1"/>
  <c r="AO32"/>
  <c r="AM32"/>
  <c r="AL32"/>
  <c r="AK32"/>
  <c r="AK106"/>
  <c r="AJ106"/>
  <c r="AP106"/>
  <c r="AO106"/>
  <c r="AN106"/>
  <c r="AM106"/>
  <c r="AL106"/>
  <c r="AH106"/>
  <c r="AR106" s="1"/>
  <c r="AZ106" s="1"/>
  <c r="AL31"/>
  <c r="AK31"/>
  <c r="AS31" s="1"/>
  <c r="BA31" s="1"/>
  <c r="AP31"/>
  <c r="AT31" s="1"/>
  <c r="BB31" s="1"/>
  <c r="AO31"/>
  <c r="AN31"/>
  <c r="AM31"/>
  <c r="AH31"/>
  <c r="AI31"/>
  <c r="AP30"/>
  <c r="AO30"/>
  <c r="AM30"/>
  <c r="AL30"/>
  <c r="AI30"/>
  <c r="AH30"/>
  <c r="AJ30"/>
  <c r="AP29"/>
  <c r="AN29"/>
  <c r="AM29"/>
  <c r="AJ29"/>
  <c r="AI29"/>
  <c r="AH29"/>
  <c r="AL28"/>
  <c r="AP28"/>
  <c r="AO28"/>
  <c r="AN28"/>
  <c r="AM28"/>
  <c r="AI28"/>
  <c r="AH28"/>
  <c r="AJ28"/>
  <c r="AN27"/>
  <c r="AJ27"/>
  <c r="AI27"/>
  <c r="AP27"/>
  <c r="AO27"/>
  <c r="AM27"/>
  <c r="AL27"/>
  <c r="AK27"/>
  <c r="AK105"/>
  <c r="AJ105"/>
  <c r="AR105" s="1"/>
  <c r="AZ105" s="1"/>
  <c r="AP105"/>
  <c r="AO105"/>
  <c r="AN105"/>
  <c r="AM105"/>
  <c r="AL105"/>
  <c r="AH105"/>
  <c r="AL104"/>
  <c r="AK104"/>
  <c r="AP104"/>
  <c r="AO104"/>
  <c r="AN104"/>
  <c r="AM104"/>
  <c r="AH104"/>
  <c r="AI104"/>
  <c r="AP26"/>
  <c r="AO26"/>
  <c r="AM26"/>
  <c r="AL26"/>
  <c r="AI26"/>
  <c r="AH26"/>
  <c r="AJ26"/>
  <c r="AP25"/>
  <c r="AN25"/>
  <c r="AM25"/>
  <c r="AJ25"/>
  <c r="AR25" s="1"/>
  <c r="AZ25" s="1"/>
  <c r="AI25"/>
  <c r="AH25"/>
  <c r="AO24"/>
  <c r="AN24"/>
  <c r="AK24"/>
  <c r="AJ24"/>
  <c r="AI24"/>
  <c r="AH24"/>
  <c r="AR24" s="1"/>
  <c r="AZ24" s="1"/>
  <c r="AP23"/>
  <c r="AO23"/>
  <c r="AN23"/>
  <c r="AL23"/>
  <c r="AK23"/>
  <c r="AH23"/>
  <c r="AJ23"/>
  <c r="AI23"/>
  <c r="AL22"/>
  <c r="AP22"/>
  <c r="AO22"/>
  <c r="AN22"/>
  <c r="AT22" s="1"/>
  <c r="BB22" s="1"/>
  <c r="AM22"/>
  <c r="AI22"/>
  <c r="AH22"/>
  <c r="AJ22"/>
  <c r="AK21"/>
  <c r="AJ21"/>
  <c r="AP21"/>
  <c r="AO21"/>
  <c r="AN21"/>
  <c r="AM21"/>
  <c r="AL21"/>
  <c r="AH21"/>
  <c r="AR21" s="1"/>
  <c r="AZ21" s="1"/>
  <c r="AL20"/>
  <c r="AK20"/>
  <c r="AP20"/>
  <c r="AO20"/>
  <c r="AN20"/>
  <c r="AM20"/>
  <c r="AH20"/>
  <c r="AI20"/>
  <c r="AP19"/>
  <c r="AO19"/>
  <c r="AM19"/>
  <c r="AL19"/>
  <c r="AI19"/>
  <c r="AH19"/>
  <c r="AJ19"/>
  <c r="AP103"/>
  <c r="AN103"/>
  <c r="AM103"/>
  <c r="AJ103"/>
  <c r="AR103" s="1"/>
  <c r="AZ103" s="1"/>
  <c r="AI103"/>
  <c r="AH103"/>
  <c r="AO18"/>
  <c r="AN18"/>
  <c r="AK18"/>
  <c r="AJ18"/>
  <c r="AI18"/>
  <c r="AH18"/>
  <c r="AP17"/>
  <c r="AO17"/>
  <c r="AJ17"/>
  <c r="AN17"/>
  <c r="AK17"/>
  <c r="AM17"/>
  <c r="AL17"/>
  <c r="AH17"/>
  <c r="AP16"/>
  <c r="AO16"/>
  <c r="AK16"/>
  <c r="AN16"/>
  <c r="AL16"/>
  <c r="AM16"/>
  <c r="AI16"/>
  <c r="AH16"/>
  <c r="AO15"/>
  <c r="AJ15"/>
  <c r="AN15"/>
  <c r="AP15"/>
  <c r="AK15"/>
  <c r="AS15" s="1"/>
  <c r="BA15" s="1"/>
  <c r="AM15"/>
  <c r="AI15"/>
  <c r="AP14"/>
  <c r="AO14"/>
  <c r="AN14"/>
  <c r="AL14"/>
  <c r="AK14"/>
  <c r="AJ14"/>
  <c r="AH14"/>
  <c r="AP13"/>
  <c r="AO13"/>
  <c r="AN13"/>
  <c r="AT13" s="1"/>
  <c r="BB13" s="1"/>
  <c r="AM13"/>
  <c r="AL13"/>
  <c r="AK13"/>
  <c r="AH13"/>
  <c r="AI13"/>
  <c r="AN12"/>
  <c r="AP12"/>
  <c r="AT12" s="1"/>
  <c r="BB12" s="1"/>
  <c r="AM12"/>
  <c r="AL12"/>
  <c r="AI12"/>
  <c r="AH12"/>
  <c r="AJ12"/>
  <c r="AO11"/>
  <c r="AN11"/>
  <c r="AK11"/>
  <c r="AM11"/>
  <c r="AJ11"/>
  <c r="AI11"/>
  <c r="AH11"/>
  <c r="AR11" s="1"/>
  <c r="AZ11" s="1"/>
  <c r="AP10"/>
  <c r="AO10"/>
  <c r="AN10"/>
  <c r="AL10"/>
  <c r="AK10"/>
  <c r="AJ10"/>
  <c r="AI10"/>
  <c r="AH10"/>
  <c r="AP9"/>
  <c r="AT9" s="1"/>
  <c r="BB9" s="1"/>
  <c r="AO9"/>
  <c r="AN9"/>
  <c r="AM9"/>
  <c r="AL9"/>
  <c r="AK9"/>
  <c r="AH9"/>
  <c r="AJ9"/>
  <c r="AR9" s="1"/>
  <c r="AZ9" s="1"/>
  <c r="AI9"/>
  <c r="AP102"/>
  <c r="AO102"/>
  <c r="AN102"/>
  <c r="AT102" s="1"/>
  <c r="BB102" s="1"/>
  <c r="AM102"/>
  <c r="AL102"/>
  <c r="AK102"/>
  <c r="AI102"/>
  <c r="AH102"/>
  <c r="AJ102"/>
  <c r="AP8"/>
  <c r="AO8"/>
  <c r="AN8"/>
  <c r="AM8"/>
  <c r="AL8"/>
  <c r="AK8"/>
  <c r="AS8" s="1"/>
  <c r="BA8" s="1"/>
  <c r="AJ8"/>
  <c r="AI8"/>
  <c r="AH8"/>
  <c r="AP7"/>
  <c r="AO7"/>
  <c r="AN7"/>
  <c r="AM7"/>
  <c r="AL7"/>
  <c r="AK7"/>
  <c r="AS7" s="1"/>
  <c r="BA7" s="1"/>
  <c r="AJ7"/>
  <c r="AI7"/>
  <c r="AH7"/>
  <c r="AP6"/>
  <c r="AT6" s="1"/>
  <c r="BB6" s="1"/>
  <c r="AO6"/>
  <c r="AN6"/>
  <c r="AM6"/>
  <c r="AL6"/>
  <c r="AK6"/>
  <c r="AH6"/>
  <c r="AJ6"/>
  <c r="AR6" s="1"/>
  <c r="AZ6" s="1"/>
  <c r="AI6"/>
  <c r="AT113"/>
  <c r="BB113" s="1"/>
  <c r="AR35"/>
  <c r="AZ35" s="1"/>
  <c r="AM14"/>
  <c r="AK30"/>
  <c r="AK35"/>
  <c r="AK49"/>
  <c r="AM56"/>
  <c r="AL87"/>
  <c r="AM89"/>
  <c r="AM10"/>
  <c r="AL11"/>
  <c r="AP11"/>
  <c r="AK12"/>
  <c r="AO12"/>
  <c r="AJ16"/>
  <c r="AI17"/>
  <c r="AM18"/>
  <c r="AL103"/>
  <c r="AN19"/>
  <c r="AT19" s="1"/>
  <c r="BB19" s="1"/>
  <c r="AJ20"/>
  <c r="AI21"/>
  <c r="AM24"/>
  <c r="AL25"/>
  <c r="AN26"/>
  <c r="AJ104"/>
  <c r="AI105"/>
  <c r="AH27"/>
  <c r="AL29"/>
  <c r="AN30"/>
  <c r="AJ31"/>
  <c r="AI106"/>
  <c r="AH32"/>
  <c r="AM34"/>
  <c r="AS34"/>
  <c r="BA34" s="1"/>
  <c r="AN35"/>
  <c r="AI36"/>
  <c r="AH37"/>
  <c r="AM39"/>
  <c r="AL40"/>
  <c r="AN108"/>
  <c r="AT108" s="1"/>
  <c r="BB108" s="1"/>
  <c r="AJ109"/>
  <c r="AK41"/>
  <c r="AI42"/>
  <c r="AN42"/>
  <c r="AN52"/>
  <c r="AJ53"/>
  <c r="AL53"/>
  <c r="AK54"/>
  <c r="AI55"/>
  <c r="AK55"/>
  <c r="AL55"/>
  <c r="AO55"/>
  <c r="AL63"/>
  <c r="AL125"/>
  <c r="AM99"/>
  <c r="AS99" s="1"/>
  <c r="BA99" s="1"/>
  <c r="AL15"/>
  <c r="AK19"/>
  <c r="AK26"/>
  <c r="AT27"/>
  <c r="BB27" s="1"/>
  <c r="AK108"/>
  <c r="AK110"/>
  <c r="AJ13"/>
  <c r="AI14"/>
  <c r="AH15"/>
  <c r="AL18"/>
  <c r="AP18"/>
  <c r="AK103"/>
  <c r="AS103" s="1"/>
  <c r="BA103" s="1"/>
  <c r="AO103"/>
  <c r="AK22"/>
  <c r="AS22" s="1"/>
  <c r="BA22"/>
  <c r="AM23"/>
  <c r="AL24"/>
  <c r="AP24"/>
  <c r="AK25"/>
  <c r="AO25"/>
  <c r="AK28"/>
  <c r="AK29"/>
  <c r="AO29"/>
  <c r="AK33"/>
  <c r="AS33" s="1"/>
  <c r="BA33" s="1"/>
  <c r="AL34"/>
  <c r="AP34"/>
  <c r="AK38"/>
  <c r="AS38" s="1"/>
  <c r="BA38" s="1"/>
  <c r="AM107"/>
  <c r="AL39"/>
  <c r="AP39"/>
  <c r="AK40"/>
  <c r="AS40" s="1"/>
  <c r="BA40" s="1"/>
  <c r="AO40"/>
  <c r="AN73"/>
  <c r="AL75"/>
  <c r="AP75"/>
  <c r="AM119"/>
  <c r="AK98"/>
  <c r="AS98" s="1"/>
  <c r="BA98" s="1"/>
  <c r="AO98"/>
  <c r="AM109"/>
  <c r="AL41"/>
  <c r="AP41"/>
  <c r="AK42"/>
  <c r="AO42"/>
  <c r="AK47"/>
  <c r="AS47" s="1"/>
  <c r="BA47" s="1"/>
  <c r="AM110"/>
  <c r="AL48"/>
  <c r="AP48"/>
  <c r="AT48" s="1"/>
  <c r="BB48" s="1"/>
  <c r="AK52"/>
  <c r="AM53"/>
  <c r="AL54"/>
  <c r="AP54"/>
  <c r="AP55"/>
  <c r="AJ56"/>
  <c r="AO56"/>
  <c r="AL61"/>
  <c r="AM62"/>
  <c r="AP66"/>
  <c r="AJ67"/>
  <c r="AR67" s="1"/>
  <c r="AZ67" s="1"/>
  <c r="AO67"/>
  <c r="AM116"/>
  <c r="AL117"/>
  <c r="AM72"/>
  <c r="AS72" s="1"/>
  <c r="BA72" s="1"/>
  <c r="AP76"/>
  <c r="AJ77"/>
  <c r="AR77" s="1"/>
  <c r="AZ77" s="1"/>
  <c r="AO77"/>
  <c r="AM80"/>
  <c r="AS80" s="1"/>
  <c r="BA80" s="1"/>
  <c r="AL121"/>
  <c r="AM122"/>
  <c r="AS122"/>
  <c r="BA122" s="1"/>
  <c r="AP88"/>
  <c r="AJ89"/>
  <c r="AR89"/>
  <c r="AZ89" s="1"/>
  <c r="AO89"/>
  <c r="AM92"/>
  <c r="AL93"/>
  <c r="AT94"/>
  <c r="BB94" s="1"/>
  <c r="AM95"/>
  <c r="AS95" s="1"/>
  <c r="BA95" s="1"/>
  <c r="AP126"/>
  <c r="AT126" s="1"/>
  <c r="BB126" s="1"/>
  <c r="AJ99"/>
  <c r="AO99"/>
  <c r="AM41"/>
  <c r="AL42"/>
  <c r="AM48"/>
  <c r="AS48" s="1"/>
  <c r="BA48" s="1"/>
  <c r="AM54"/>
  <c r="AL113"/>
  <c r="AL73"/>
  <c r="AL83"/>
  <c r="AS123"/>
  <c r="BA123" s="1"/>
  <c r="AR95"/>
  <c r="AZ95" s="1"/>
  <c r="AL124"/>
  <c r="AT100"/>
  <c r="BB100" s="1"/>
  <c r="AM55"/>
  <c r="AL56"/>
  <c r="AP56"/>
  <c r="AT56" s="1"/>
  <c r="BB56" s="1"/>
  <c r="AK57"/>
  <c r="AO57"/>
  <c r="AK61"/>
  <c r="AM112"/>
  <c r="AS112" s="1"/>
  <c r="BA112" s="1"/>
  <c r="AL62"/>
  <c r="AP62"/>
  <c r="AK113"/>
  <c r="AS113" s="1"/>
  <c r="BA113" s="1"/>
  <c r="AO113"/>
  <c r="AK65"/>
  <c r="AM66"/>
  <c r="AS66" s="1"/>
  <c r="BA66" s="1"/>
  <c r="AL67"/>
  <c r="AP67"/>
  <c r="AK68"/>
  <c r="AO68"/>
  <c r="AR69"/>
  <c r="AZ69" s="1"/>
  <c r="AK117"/>
  <c r="AM71"/>
  <c r="AL72"/>
  <c r="AP72"/>
  <c r="AK73"/>
  <c r="AO73"/>
  <c r="AR75"/>
  <c r="AZ75" s="1"/>
  <c r="AK119"/>
  <c r="AM76"/>
  <c r="AL77"/>
  <c r="AP77"/>
  <c r="AT77" s="1"/>
  <c r="BB77" s="1"/>
  <c r="AK78"/>
  <c r="AS78" s="1"/>
  <c r="BA78" s="1"/>
  <c r="AO78"/>
  <c r="AK121"/>
  <c r="AM82"/>
  <c r="AS82" s="1"/>
  <c r="BA82" s="1"/>
  <c r="AL122"/>
  <c r="AP122"/>
  <c r="AK83"/>
  <c r="AO83"/>
  <c r="AR86"/>
  <c r="AZ86" s="1"/>
  <c r="AK87"/>
  <c r="AS87" s="1"/>
  <c r="BA87" s="1"/>
  <c r="AM88"/>
  <c r="AS88" s="1"/>
  <c r="BA88" s="1"/>
  <c r="AL89"/>
  <c r="AP89"/>
  <c r="AK90"/>
  <c r="AS90" s="1"/>
  <c r="BA90" s="1"/>
  <c r="AO90"/>
  <c r="AK93"/>
  <c r="AS93" s="1"/>
  <c r="BA93" s="1"/>
  <c r="AM94"/>
  <c r="AL95"/>
  <c r="AP95"/>
  <c r="AK124"/>
  <c r="AK125"/>
  <c r="AM126"/>
  <c r="AL99"/>
  <c r="AP99"/>
  <c r="AT99" s="1"/>
  <c r="BB99" s="1"/>
  <c r="AK100"/>
  <c r="AS100" s="1"/>
  <c r="BA100" s="1"/>
  <c r="AO100"/>
  <c r="AJ55"/>
  <c r="AR55" s="1"/>
  <c r="AZ55" s="1"/>
  <c r="AI56"/>
  <c r="AH57"/>
  <c r="AM59"/>
  <c r="AS59" s="1"/>
  <c r="BA59" s="1"/>
  <c r="AL60"/>
  <c r="AN61"/>
  <c r="AJ112"/>
  <c r="AI62"/>
  <c r="AH113"/>
  <c r="AM63"/>
  <c r="AL64"/>
  <c r="AN65"/>
  <c r="AT65" s="1"/>
  <c r="BB65" s="1"/>
  <c r="AJ66"/>
  <c r="AR66" s="1"/>
  <c r="AZ66" s="1"/>
  <c r="AI67"/>
  <c r="AH68"/>
  <c r="AR68" s="1"/>
  <c r="AZ68" s="1"/>
  <c r="AM69"/>
  <c r="AS69" s="1"/>
  <c r="BA69" s="1"/>
  <c r="AL70"/>
  <c r="AN117"/>
  <c r="AT117" s="1"/>
  <c r="BB117" s="1"/>
  <c r="AJ71"/>
  <c r="AR71"/>
  <c r="AZ71" s="1"/>
  <c r="AI72"/>
  <c r="AH73"/>
  <c r="AR73" s="1"/>
  <c r="AZ73" s="1"/>
  <c r="AM75"/>
  <c r="AS75"/>
  <c r="BA75" s="1"/>
  <c r="AN119"/>
  <c r="AJ76"/>
  <c r="AR76" s="1"/>
  <c r="AZ76" s="1"/>
  <c r="AI77"/>
  <c r="AH78"/>
  <c r="AM120"/>
  <c r="AL81"/>
  <c r="AN121"/>
  <c r="AT121" s="1"/>
  <c r="BB121" s="1"/>
  <c r="AJ82"/>
  <c r="AI122"/>
  <c r="AH83"/>
  <c r="AM86"/>
  <c r="AN87"/>
  <c r="AJ88"/>
  <c r="AR88" s="1"/>
  <c r="AZ88" s="1"/>
  <c r="AI89"/>
  <c r="AH90"/>
  <c r="AR90" s="1"/>
  <c r="AZ90" s="1"/>
  <c r="AL123"/>
  <c r="AN93"/>
  <c r="AT93" s="1"/>
  <c r="BB93" s="1"/>
  <c r="AJ94"/>
  <c r="AR94" s="1"/>
  <c r="AZ94" s="1"/>
  <c r="AI95"/>
  <c r="AH124"/>
  <c r="AL98"/>
  <c r="AN125"/>
  <c r="AT125" s="1"/>
  <c r="BB125" s="1"/>
  <c r="AJ126"/>
  <c r="AI99"/>
  <c r="AH100"/>
  <c r="F4" i="96"/>
  <c r="E4"/>
  <c r="N82" i="95"/>
  <c r="X82" s="1"/>
  <c r="J82"/>
  <c r="U82" s="1"/>
  <c r="F82"/>
  <c r="N12"/>
  <c r="X12" s="1"/>
  <c r="J12"/>
  <c r="U12" s="1"/>
  <c r="F12"/>
  <c r="R12" s="1"/>
  <c r="N81"/>
  <c r="X81" s="1"/>
  <c r="J81"/>
  <c r="U81" s="1"/>
  <c r="F81"/>
  <c r="R81" s="1"/>
  <c r="N99"/>
  <c r="X99" s="1"/>
  <c r="J99"/>
  <c r="U99" s="1"/>
  <c r="F99"/>
  <c r="R99" s="1"/>
  <c r="N83"/>
  <c r="X83" s="1"/>
  <c r="J83"/>
  <c r="U83" s="1"/>
  <c r="F83"/>
  <c r="N33"/>
  <c r="X33" s="1"/>
  <c r="J33"/>
  <c r="U33" s="1"/>
  <c r="F33"/>
  <c r="N14"/>
  <c r="J14"/>
  <c r="U14" s="1"/>
  <c r="F14"/>
  <c r="R14" s="1"/>
  <c r="N44"/>
  <c r="J44"/>
  <c r="U44" s="1"/>
  <c r="F44"/>
  <c r="R44" s="1"/>
  <c r="N25"/>
  <c r="X25" s="1"/>
  <c r="J25"/>
  <c r="F25"/>
  <c r="R25" s="1"/>
  <c r="N7"/>
  <c r="J7"/>
  <c r="F7"/>
  <c r="R7" s="1"/>
  <c r="W125"/>
  <c r="V125"/>
  <c r="W124"/>
  <c r="V124"/>
  <c r="W123"/>
  <c r="V123"/>
  <c r="W122"/>
  <c r="V122"/>
  <c r="W121"/>
  <c r="V121"/>
  <c r="W120"/>
  <c r="V120"/>
  <c r="W119"/>
  <c r="V119"/>
  <c r="W118"/>
  <c r="V118"/>
  <c r="W117"/>
  <c r="V117"/>
  <c r="W116"/>
  <c r="V116"/>
  <c r="W115"/>
  <c r="V115"/>
  <c r="W114"/>
  <c r="V114"/>
  <c r="W113"/>
  <c r="V113"/>
  <c r="W112"/>
  <c r="V112"/>
  <c r="W111"/>
  <c r="V111"/>
  <c r="W110"/>
  <c r="V110"/>
  <c r="W109"/>
  <c r="V109"/>
  <c r="W108"/>
  <c r="V108"/>
  <c r="W107"/>
  <c r="V107"/>
  <c r="W106"/>
  <c r="V106"/>
  <c r="W105"/>
  <c r="V105"/>
  <c r="W104"/>
  <c r="V104"/>
  <c r="W103"/>
  <c r="V103"/>
  <c r="W102"/>
  <c r="V102"/>
  <c r="W101"/>
  <c r="V101"/>
  <c r="W100"/>
  <c r="V100"/>
  <c r="W99"/>
  <c r="V99"/>
  <c r="W98"/>
  <c r="V98"/>
  <c r="W97"/>
  <c r="V97"/>
  <c r="W96"/>
  <c r="V96"/>
  <c r="W95"/>
  <c r="V95"/>
  <c r="W94"/>
  <c r="V94"/>
  <c r="W93"/>
  <c r="V93"/>
  <c r="W92"/>
  <c r="V92"/>
  <c r="W91"/>
  <c r="V91"/>
  <c r="W90"/>
  <c r="V90"/>
  <c r="W89"/>
  <c r="V89"/>
  <c r="W88"/>
  <c r="V88"/>
  <c r="W87"/>
  <c r="V87"/>
  <c r="W86"/>
  <c r="V86"/>
  <c r="W85"/>
  <c r="V85"/>
  <c r="W84"/>
  <c r="V84"/>
  <c r="W83"/>
  <c r="V83"/>
  <c r="W82"/>
  <c r="V82"/>
  <c r="W81"/>
  <c r="V81"/>
  <c r="W80"/>
  <c r="V80"/>
  <c r="W79"/>
  <c r="V79"/>
  <c r="W78"/>
  <c r="V78"/>
  <c r="W77"/>
  <c r="V77"/>
  <c r="W76"/>
  <c r="V76"/>
  <c r="W75"/>
  <c r="V75"/>
  <c r="W74"/>
  <c r="V74"/>
  <c r="W73"/>
  <c r="V73"/>
  <c r="W72"/>
  <c r="V72"/>
  <c r="W71"/>
  <c r="V71"/>
  <c r="W70"/>
  <c r="V70"/>
  <c r="W69"/>
  <c r="V69"/>
  <c r="W68"/>
  <c r="V68"/>
  <c r="W67"/>
  <c r="V67"/>
  <c r="W66"/>
  <c r="V66"/>
  <c r="W65"/>
  <c r="V65"/>
  <c r="W64"/>
  <c r="V64"/>
  <c r="W63"/>
  <c r="V63"/>
  <c r="W62"/>
  <c r="V62"/>
  <c r="W61"/>
  <c r="V61"/>
  <c r="W60"/>
  <c r="V60"/>
  <c r="W59"/>
  <c r="V59"/>
  <c r="W58"/>
  <c r="V58"/>
  <c r="W57"/>
  <c r="V57"/>
  <c r="W56"/>
  <c r="V56"/>
  <c r="W55"/>
  <c r="V55"/>
  <c r="W54"/>
  <c r="V54"/>
  <c r="W53"/>
  <c r="V53"/>
  <c r="W52"/>
  <c r="V52"/>
  <c r="W51"/>
  <c r="V51"/>
  <c r="W50"/>
  <c r="V50"/>
  <c r="W49"/>
  <c r="V49"/>
  <c r="W48"/>
  <c r="V48"/>
  <c r="W47"/>
  <c r="V47"/>
  <c r="W46"/>
  <c r="V46"/>
  <c r="W45"/>
  <c r="V45"/>
  <c r="W44"/>
  <c r="V44"/>
  <c r="W43"/>
  <c r="V43"/>
  <c r="W42"/>
  <c r="V42"/>
  <c r="W41"/>
  <c r="V41"/>
  <c r="W40"/>
  <c r="V40"/>
  <c r="W39"/>
  <c r="V39"/>
  <c r="W38"/>
  <c r="V38"/>
  <c r="W37"/>
  <c r="V37"/>
  <c r="W36"/>
  <c r="V36"/>
  <c r="W35"/>
  <c r="V35"/>
  <c r="W34"/>
  <c r="V34"/>
  <c r="W33"/>
  <c r="V33"/>
  <c r="W32"/>
  <c r="V32"/>
  <c r="W31"/>
  <c r="V31"/>
  <c r="W30"/>
  <c r="V30"/>
  <c r="W29"/>
  <c r="V29"/>
  <c r="W28"/>
  <c r="V28"/>
  <c r="W27"/>
  <c r="V27"/>
  <c r="W26"/>
  <c r="V26"/>
  <c r="W25"/>
  <c r="V25"/>
  <c r="W24"/>
  <c r="V24"/>
  <c r="W23"/>
  <c r="V23"/>
  <c r="W22"/>
  <c r="V22"/>
  <c r="W21"/>
  <c r="V21"/>
  <c r="W20"/>
  <c r="V20"/>
  <c r="W19"/>
  <c r="V19"/>
  <c r="W18"/>
  <c r="V18"/>
  <c r="W17"/>
  <c r="V17"/>
  <c r="W16"/>
  <c r="V16"/>
  <c r="W15"/>
  <c r="V15"/>
  <c r="W14"/>
  <c r="V14"/>
  <c r="W13"/>
  <c r="V13"/>
  <c r="W12"/>
  <c r="V12"/>
  <c r="W11"/>
  <c r="V11"/>
  <c r="W10"/>
  <c r="V10"/>
  <c r="W9"/>
  <c r="V9"/>
  <c r="W8"/>
  <c r="V8"/>
  <c r="W7"/>
  <c r="V7"/>
  <c r="W6"/>
  <c r="V6"/>
  <c r="W5"/>
  <c r="V5"/>
  <c r="T125"/>
  <c r="S125"/>
  <c r="T124"/>
  <c r="S124"/>
  <c r="T123"/>
  <c r="S123"/>
  <c r="T122"/>
  <c r="S122"/>
  <c r="T121"/>
  <c r="S121"/>
  <c r="T120"/>
  <c r="S120"/>
  <c r="T119"/>
  <c r="S119"/>
  <c r="T118"/>
  <c r="S118"/>
  <c r="T117"/>
  <c r="S117"/>
  <c r="T116"/>
  <c r="S116"/>
  <c r="T115"/>
  <c r="S115"/>
  <c r="T114"/>
  <c r="S114"/>
  <c r="T113"/>
  <c r="S113"/>
  <c r="T112"/>
  <c r="S112"/>
  <c r="T111"/>
  <c r="S111"/>
  <c r="T110"/>
  <c r="S110"/>
  <c r="T109"/>
  <c r="S109"/>
  <c r="T108"/>
  <c r="S108"/>
  <c r="T107"/>
  <c r="S107"/>
  <c r="T106"/>
  <c r="S106"/>
  <c r="T105"/>
  <c r="S105"/>
  <c r="T104"/>
  <c r="S104"/>
  <c r="T103"/>
  <c r="S103"/>
  <c r="T102"/>
  <c r="S102"/>
  <c r="T101"/>
  <c r="S101"/>
  <c r="T100"/>
  <c r="S100"/>
  <c r="T99"/>
  <c r="S99"/>
  <c r="T98"/>
  <c r="S98"/>
  <c r="T97"/>
  <c r="S97"/>
  <c r="T96"/>
  <c r="S96"/>
  <c r="T95"/>
  <c r="S95"/>
  <c r="T94"/>
  <c r="S94"/>
  <c r="T93"/>
  <c r="S93"/>
  <c r="T92"/>
  <c r="S92"/>
  <c r="T91"/>
  <c r="S91"/>
  <c r="T90"/>
  <c r="S90"/>
  <c r="T89"/>
  <c r="S89"/>
  <c r="T88"/>
  <c r="S88"/>
  <c r="T87"/>
  <c r="S87"/>
  <c r="T86"/>
  <c r="S86"/>
  <c r="T85"/>
  <c r="S85"/>
  <c r="T84"/>
  <c r="S84"/>
  <c r="T83"/>
  <c r="S83"/>
  <c r="T82"/>
  <c r="S82"/>
  <c r="T81"/>
  <c r="S81"/>
  <c r="T80"/>
  <c r="S80"/>
  <c r="T79"/>
  <c r="S79"/>
  <c r="T78"/>
  <c r="S78"/>
  <c r="T77"/>
  <c r="S77"/>
  <c r="T76"/>
  <c r="S76"/>
  <c r="T75"/>
  <c r="S75"/>
  <c r="T74"/>
  <c r="S74"/>
  <c r="T73"/>
  <c r="S73"/>
  <c r="T72"/>
  <c r="S72"/>
  <c r="T71"/>
  <c r="S71"/>
  <c r="T70"/>
  <c r="S70"/>
  <c r="T69"/>
  <c r="S69"/>
  <c r="T68"/>
  <c r="S68"/>
  <c r="T67"/>
  <c r="S67"/>
  <c r="T66"/>
  <c r="S66"/>
  <c r="T65"/>
  <c r="S65"/>
  <c r="T64"/>
  <c r="S64"/>
  <c r="T63"/>
  <c r="S63"/>
  <c r="T62"/>
  <c r="S62"/>
  <c r="T61"/>
  <c r="S61"/>
  <c r="T60"/>
  <c r="S60"/>
  <c r="T59"/>
  <c r="S59"/>
  <c r="T58"/>
  <c r="S58"/>
  <c r="T57"/>
  <c r="S57"/>
  <c r="T56"/>
  <c r="S56"/>
  <c r="T55"/>
  <c r="S55"/>
  <c r="T54"/>
  <c r="S54"/>
  <c r="T53"/>
  <c r="S53"/>
  <c r="T52"/>
  <c r="S52"/>
  <c r="T51"/>
  <c r="S51"/>
  <c r="T50"/>
  <c r="S50"/>
  <c r="T49"/>
  <c r="S49"/>
  <c r="T48"/>
  <c r="S48"/>
  <c r="T47"/>
  <c r="S47"/>
  <c r="T46"/>
  <c r="S46"/>
  <c r="T45"/>
  <c r="S45"/>
  <c r="T44"/>
  <c r="S44"/>
  <c r="T43"/>
  <c r="S43"/>
  <c r="T42"/>
  <c r="S42"/>
  <c r="T41"/>
  <c r="S41"/>
  <c r="T40"/>
  <c r="S40"/>
  <c r="T39"/>
  <c r="S39"/>
  <c r="T38"/>
  <c r="S38"/>
  <c r="T37"/>
  <c r="S37"/>
  <c r="T36"/>
  <c r="S36"/>
  <c r="T35"/>
  <c r="S35"/>
  <c r="T34"/>
  <c r="S34"/>
  <c r="T33"/>
  <c r="S33"/>
  <c r="T32"/>
  <c r="S32"/>
  <c r="T31"/>
  <c r="S31"/>
  <c r="T30"/>
  <c r="S30"/>
  <c r="T29"/>
  <c r="S29"/>
  <c r="T28"/>
  <c r="S28"/>
  <c r="T27"/>
  <c r="S27"/>
  <c r="T26"/>
  <c r="S26"/>
  <c r="T25"/>
  <c r="S25"/>
  <c r="T24"/>
  <c r="S24"/>
  <c r="T23"/>
  <c r="S23"/>
  <c r="T22"/>
  <c r="S22"/>
  <c r="T21"/>
  <c r="S21"/>
  <c r="T20"/>
  <c r="S20"/>
  <c r="T19"/>
  <c r="S19"/>
  <c r="T18"/>
  <c r="S18"/>
  <c r="T17"/>
  <c r="S17"/>
  <c r="T16"/>
  <c r="S16"/>
  <c r="T15"/>
  <c r="S15"/>
  <c r="T14"/>
  <c r="S14"/>
  <c r="T13"/>
  <c r="S13"/>
  <c r="T12"/>
  <c r="S12"/>
  <c r="T11"/>
  <c r="S11"/>
  <c r="T10"/>
  <c r="S10"/>
  <c r="T9"/>
  <c r="S9"/>
  <c r="T8"/>
  <c r="S8"/>
  <c r="U7"/>
  <c r="T7"/>
  <c r="S7"/>
  <c r="T6"/>
  <c r="S6"/>
  <c r="T5"/>
  <c r="S5"/>
  <c r="Q125"/>
  <c r="P125"/>
  <c r="Q124"/>
  <c r="P124"/>
  <c r="Q123"/>
  <c r="P123"/>
  <c r="Q122"/>
  <c r="P122"/>
  <c r="Q121"/>
  <c r="P121"/>
  <c r="Q120"/>
  <c r="P120"/>
  <c r="Q119"/>
  <c r="P119"/>
  <c r="Q118"/>
  <c r="P118"/>
  <c r="Q117"/>
  <c r="P117"/>
  <c r="Q116"/>
  <c r="P116"/>
  <c r="Q115"/>
  <c r="P115"/>
  <c r="Q114"/>
  <c r="P114"/>
  <c r="Q113"/>
  <c r="P113"/>
  <c r="Q112"/>
  <c r="P112"/>
  <c r="Q111"/>
  <c r="P111"/>
  <c r="Q110"/>
  <c r="P110"/>
  <c r="Q109"/>
  <c r="P109"/>
  <c r="Q108"/>
  <c r="P108"/>
  <c r="Q107"/>
  <c r="P107"/>
  <c r="Q106"/>
  <c r="P106"/>
  <c r="Q105"/>
  <c r="P105"/>
  <c r="Q104"/>
  <c r="P104"/>
  <c r="Q103"/>
  <c r="P103"/>
  <c r="Q102"/>
  <c r="P102"/>
  <c r="Q101"/>
  <c r="P101"/>
  <c r="Q100"/>
  <c r="P100"/>
  <c r="Q99"/>
  <c r="P99"/>
  <c r="Q98"/>
  <c r="P98"/>
  <c r="Q97"/>
  <c r="P97"/>
  <c r="Q96"/>
  <c r="P96"/>
  <c r="Q95"/>
  <c r="P95"/>
  <c r="Q94"/>
  <c r="P94"/>
  <c r="Q93"/>
  <c r="P93"/>
  <c r="Q92"/>
  <c r="P92"/>
  <c r="Q91"/>
  <c r="P91"/>
  <c r="Q90"/>
  <c r="P90"/>
  <c r="Q89"/>
  <c r="P89"/>
  <c r="Q88"/>
  <c r="P88"/>
  <c r="Q87"/>
  <c r="P87"/>
  <c r="Q86"/>
  <c r="P86"/>
  <c r="Q85"/>
  <c r="P85"/>
  <c r="Q84"/>
  <c r="P84"/>
  <c r="Q83"/>
  <c r="P83"/>
  <c r="Q82"/>
  <c r="P82"/>
  <c r="Q81"/>
  <c r="P81"/>
  <c r="Q80"/>
  <c r="P80"/>
  <c r="Q79"/>
  <c r="P79"/>
  <c r="Q78"/>
  <c r="P78"/>
  <c r="Q77"/>
  <c r="P77"/>
  <c r="Q76"/>
  <c r="P76"/>
  <c r="Q75"/>
  <c r="P75"/>
  <c r="Q74"/>
  <c r="P74"/>
  <c r="Q73"/>
  <c r="P73"/>
  <c r="Q72"/>
  <c r="P72"/>
  <c r="Q71"/>
  <c r="P71"/>
  <c r="Q70"/>
  <c r="P70"/>
  <c r="Q69"/>
  <c r="P69"/>
  <c r="Q68"/>
  <c r="P68"/>
  <c r="Q67"/>
  <c r="P67"/>
  <c r="Q66"/>
  <c r="P66"/>
  <c r="Q65"/>
  <c r="P65"/>
  <c r="Q64"/>
  <c r="P64"/>
  <c r="Q63"/>
  <c r="P63"/>
  <c r="Q62"/>
  <c r="P62"/>
  <c r="Q61"/>
  <c r="P61"/>
  <c r="Q60"/>
  <c r="P60"/>
  <c r="Q59"/>
  <c r="P59"/>
  <c r="Q58"/>
  <c r="P58"/>
  <c r="Q57"/>
  <c r="P57"/>
  <c r="Q56"/>
  <c r="P56"/>
  <c r="Q55"/>
  <c r="P55"/>
  <c r="Q54"/>
  <c r="P54"/>
  <c r="Q53"/>
  <c r="P53"/>
  <c r="Q52"/>
  <c r="P52"/>
  <c r="Q51"/>
  <c r="P51"/>
  <c r="Q50"/>
  <c r="P50"/>
  <c r="Q49"/>
  <c r="P49"/>
  <c r="Q48"/>
  <c r="P48"/>
  <c r="Q47"/>
  <c r="P47"/>
  <c r="Q46"/>
  <c r="P46"/>
  <c r="Q45"/>
  <c r="P45"/>
  <c r="Q44"/>
  <c r="P44"/>
  <c r="Q43"/>
  <c r="P43"/>
  <c r="Q42"/>
  <c r="P42"/>
  <c r="Q41"/>
  <c r="P41"/>
  <c r="Q40"/>
  <c r="P40"/>
  <c r="Q39"/>
  <c r="P39"/>
  <c r="Q38"/>
  <c r="P38"/>
  <c r="Q37"/>
  <c r="P37"/>
  <c r="Q36"/>
  <c r="P36"/>
  <c r="Q35"/>
  <c r="P35"/>
  <c r="Q34"/>
  <c r="P34"/>
  <c r="Q33"/>
  <c r="P33"/>
  <c r="Q32"/>
  <c r="P32"/>
  <c r="Q31"/>
  <c r="P31"/>
  <c r="Q30"/>
  <c r="P30"/>
  <c r="Q29"/>
  <c r="P29"/>
  <c r="Q28"/>
  <c r="P28"/>
  <c r="Q27"/>
  <c r="P27"/>
  <c r="Q26"/>
  <c r="P26"/>
  <c r="Q25"/>
  <c r="P25"/>
  <c r="Q24"/>
  <c r="P24"/>
  <c r="Q23"/>
  <c r="P23"/>
  <c r="Q22"/>
  <c r="P22"/>
  <c r="Q21"/>
  <c r="P21"/>
  <c r="Q20"/>
  <c r="P20"/>
  <c r="Q19"/>
  <c r="P19"/>
  <c r="Q18"/>
  <c r="P18"/>
  <c r="Q17"/>
  <c r="P17"/>
  <c r="Q16"/>
  <c r="P16"/>
  <c r="Q15"/>
  <c r="P15"/>
  <c r="Q14"/>
  <c r="P14"/>
  <c r="Q13"/>
  <c r="P13"/>
  <c r="Q12"/>
  <c r="P12"/>
  <c r="Q11"/>
  <c r="P11"/>
  <c r="Q10"/>
  <c r="P10"/>
  <c r="Q9"/>
  <c r="P9"/>
  <c r="Q8"/>
  <c r="P8"/>
  <c r="Q7"/>
  <c r="P7"/>
  <c r="Q6"/>
  <c r="P6"/>
  <c r="Q5"/>
  <c r="P5"/>
  <c r="M4"/>
  <c r="L4"/>
  <c r="K4"/>
  <c r="I4"/>
  <c r="T4" s="1"/>
  <c r="H4"/>
  <c r="G4"/>
  <c r="E4"/>
  <c r="D4"/>
  <c r="P4" s="1"/>
  <c r="C4"/>
  <c r="N125"/>
  <c r="X125" s="1"/>
  <c r="N124"/>
  <c r="X124" s="1"/>
  <c r="N123"/>
  <c r="X123" s="1"/>
  <c r="N122"/>
  <c r="X122" s="1"/>
  <c r="N121"/>
  <c r="X121" s="1"/>
  <c r="N120"/>
  <c r="X120" s="1"/>
  <c r="N119"/>
  <c r="X119" s="1"/>
  <c r="N118"/>
  <c r="X118" s="1"/>
  <c r="N117"/>
  <c r="X117" s="1"/>
  <c r="N116"/>
  <c r="X116" s="1"/>
  <c r="N115"/>
  <c r="X115" s="1"/>
  <c r="N114"/>
  <c r="X114" s="1"/>
  <c r="N113"/>
  <c r="X113" s="1"/>
  <c r="N112"/>
  <c r="X112" s="1"/>
  <c r="N111"/>
  <c r="X111" s="1"/>
  <c r="N110"/>
  <c r="X110" s="1"/>
  <c r="N109"/>
  <c r="X109" s="1"/>
  <c r="N108"/>
  <c r="X108" s="1"/>
  <c r="N107"/>
  <c r="X107" s="1"/>
  <c r="N106"/>
  <c r="X106" s="1"/>
  <c r="N105"/>
  <c r="X105" s="1"/>
  <c r="N104"/>
  <c r="X104" s="1"/>
  <c r="N103"/>
  <c r="X103" s="1"/>
  <c r="N102"/>
  <c r="X102" s="1"/>
  <c r="N101"/>
  <c r="X101" s="1"/>
  <c r="N100"/>
  <c r="X100" s="1"/>
  <c r="N98"/>
  <c r="X98" s="1"/>
  <c r="N97"/>
  <c r="X97" s="1"/>
  <c r="N96"/>
  <c r="X96" s="1"/>
  <c r="N95"/>
  <c r="X95" s="1"/>
  <c r="N94"/>
  <c r="X94" s="1"/>
  <c r="N93"/>
  <c r="X93" s="1"/>
  <c r="N92"/>
  <c r="X92" s="1"/>
  <c r="N91"/>
  <c r="X91" s="1"/>
  <c r="N90"/>
  <c r="X90" s="1"/>
  <c r="N89"/>
  <c r="X89" s="1"/>
  <c r="N88"/>
  <c r="X88" s="1"/>
  <c r="N87"/>
  <c r="X87" s="1"/>
  <c r="N86"/>
  <c r="X86" s="1"/>
  <c r="N85"/>
  <c r="X85" s="1"/>
  <c r="N84"/>
  <c r="X84" s="1"/>
  <c r="N80"/>
  <c r="X80" s="1"/>
  <c r="N79"/>
  <c r="X79" s="1"/>
  <c r="N78"/>
  <c r="X78" s="1"/>
  <c r="N77"/>
  <c r="X77" s="1"/>
  <c r="N76"/>
  <c r="X76" s="1"/>
  <c r="N75"/>
  <c r="X75" s="1"/>
  <c r="N74"/>
  <c r="X74" s="1"/>
  <c r="N73"/>
  <c r="X73" s="1"/>
  <c r="N72"/>
  <c r="X72" s="1"/>
  <c r="N71"/>
  <c r="X71" s="1"/>
  <c r="N70"/>
  <c r="X70" s="1"/>
  <c r="N69"/>
  <c r="X69" s="1"/>
  <c r="N68"/>
  <c r="X68" s="1"/>
  <c r="N67"/>
  <c r="X67" s="1"/>
  <c r="N66"/>
  <c r="X66" s="1"/>
  <c r="N65"/>
  <c r="X65" s="1"/>
  <c r="N64"/>
  <c r="X64" s="1"/>
  <c r="N63"/>
  <c r="X63" s="1"/>
  <c r="N62"/>
  <c r="X62" s="1"/>
  <c r="N61"/>
  <c r="X61" s="1"/>
  <c r="N60"/>
  <c r="X60" s="1"/>
  <c r="N59"/>
  <c r="X59" s="1"/>
  <c r="N58"/>
  <c r="X58" s="1"/>
  <c r="N57"/>
  <c r="X57" s="1"/>
  <c r="N56"/>
  <c r="X56" s="1"/>
  <c r="N55"/>
  <c r="X55" s="1"/>
  <c r="N54"/>
  <c r="X54" s="1"/>
  <c r="N53"/>
  <c r="X53" s="1"/>
  <c r="N52"/>
  <c r="X52" s="1"/>
  <c r="N51"/>
  <c r="X51" s="1"/>
  <c r="N50"/>
  <c r="X50" s="1"/>
  <c r="N49"/>
  <c r="X49" s="1"/>
  <c r="N48"/>
  <c r="X48" s="1"/>
  <c r="N47"/>
  <c r="X47" s="1"/>
  <c r="N46"/>
  <c r="X46" s="1"/>
  <c r="N45"/>
  <c r="X45" s="1"/>
  <c r="X44"/>
  <c r="N43"/>
  <c r="X43" s="1"/>
  <c r="N42"/>
  <c r="X42" s="1"/>
  <c r="N41"/>
  <c r="X41" s="1"/>
  <c r="N40"/>
  <c r="X40" s="1"/>
  <c r="N39"/>
  <c r="X39"/>
  <c r="N38"/>
  <c r="X38" s="1"/>
  <c r="N37"/>
  <c r="X37" s="1"/>
  <c r="N36"/>
  <c r="X36" s="1"/>
  <c r="N35"/>
  <c r="X35" s="1"/>
  <c r="N34"/>
  <c r="X34" s="1"/>
  <c r="N32"/>
  <c r="X32"/>
  <c r="N31"/>
  <c r="X31" s="1"/>
  <c r="N30"/>
  <c r="X30" s="1"/>
  <c r="N29"/>
  <c r="X29" s="1"/>
  <c r="N28"/>
  <c r="X28" s="1"/>
  <c r="N27"/>
  <c r="X27" s="1"/>
  <c r="N26"/>
  <c r="X26" s="1"/>
  <c r="N24"/>
  <c r="X24" s="1"/>
  <c r="N23"/>
  <c r="X23" s="1"/>
  <c r="N22"/>
  <c r="X22" s="1"/>
  <c r="N21"/>
  <c r="X21" s="1"/>
  <c r="N20"/>
  <c r="X20" s="1"/>
  <c r="N19"/>
  <c r="X19" s="1"/>
  <c r="N18"/>
  <c r="X18" s="1"/>
  <c r="N17"/>
  <c r="X17" s="1"/>
  <c r="N16"/>
  <c r="X16" s="1"/>
  <c r="N15"/>
  <c r="X15" s="1"/>
  <c r="X14"/>
  <c r="N13"/>
  <c r="X13" s="1"/>
  <c r="N11"/>
  <c r="X11" s="1"/>
  <c r="N10"/>
  <c r="X10" s="1"/>
  <c r="N9"/>
  <c r="X9" s="1"/>
  <c r="N8"/>
  <c r="X8" s="1"/>
  <c r="N6"/>
  <c r="X6" s="1"/>
  <c r="N5"/>
  <c r="X5" s="1"/>
  <c r="J125"/>
  <c r="U125" s="1"/>
  <c r="J124"/>
  <c r="U124" s="1"/>
  <c r="J123"/>
  <c r="U123" s="1"/>
  <c r="J122"/>
  <c r="U122" s="1"/>
  <c r="J121"/>
  <c r="U121" s="1"/>
  <c r="J120"/>
  <c r="U120" s="1"/>
  <c r="J119"/>
  <c r="U119" s="1"/>
  <c r="J118"/>
  <c r="U118" s="1"/>
  <c r="J117"/>
  <c r="U117" s="1"/>
  <c r="J116"/>
  <c r="U116" s="1"/>
  <c r="J115"/>
  <c r="U115" s="1"/>
  <c r="J114"/>
  <c r="U114"/>
  <c r="J113"/>
  <c r="U113" s="1"/>
  <c r="J112"/>
  <c r="U112"/>
  <c r="J111"/>
  <c r="U111" s="1"/>
  <c r="J110"/>
  <c r="U110" s="1"/>
  <c r="J109"/>
  <c r="U109" s="1"/>
  <c r="J108"/>
  <c r="U108" s="1"/>
  <c r="J107"/>
  <c r="U107" s="1"/>
  <c r="J106"/>
  <c r="U106" s="1"/>
  <c r="J105"/>
  <c r="U105" s="1"/>
  <c r="J104"/>
  <c r="U104" s="1"/>
  <c r="J103"/>
  <c r="U103" s="1"/>
  <c r="J102"/>
  <c r="U102" s="1"/>
  <c r="J101"/>
  <c r="U101" s="1"/>
  <c r="J100"/>
  <c r="U100" s="1"/>
  <c r="J98"/>
  <c r="U98" s="1"/>
  <c r="J97"/>
  <c r="U97" s="1"/>
  <c r="J96"/>
  <c r="U96" s="1"/>
  <c r="J95"/>
  <c r="U95" s="1"/>
  <c r="J94"/>
  <c r="U94" s="1"/>
  <c r="J93"/>
  <c r="U93" s="1"/>
  <c r="J92"/>
  <c r="U92" s="1"/>
  <c r="J91"/>
  <c r="U91" s="1"/>
  <c r="J90"/>
  <c r="U90" s="1"/>
  <c r="J89"/>
  <c r="U89" s="1"/>
  <c r="J88"/>
  <c r="U88" s="1"/>
  <c r="J87"/>
  <c r="U87" s="1"/>
  <c r="J86"/>
  <c r="U86" s="1"/>
  <c r="J85"/>
  <c r="U85" s="1"/>
  <c r="J84"/>
  <c r="U84" s="1"/>
  <c r="J80"/>
  <c r="U80" s="1"/>
  <c r="J79"/>
  <c r="U79" s="1"/>
  <c r="J78"/>
  <c r="U78" s="1"/>
  <c r="J77"/>
  <c r="U77" s="1"/>
  <c r="J76"/>
  <c r="U76" s="1"/>
  <c r="J75"/>
  <c r="U75" s="1"/>
  <c r="J74"/>
  <c r="U74" s="1"/>
  <c r="J73"/>
  <c r="U73" s="1"/>
  <c r="J72"/>
  <c r="U72" s="1"/>
  <c r="J71"/>
  <c r="U71" s="1"/>
  <c r="J70"/>
  <c r="U70" s="1"/>
  <c r="J69"/>
  <c r="U69" s="1"/>
  <c r="J68"/>
  <c r="U68" s="1"/>
  <c r="J67"/>
  <c r="U67"/>
  <c r="J66"/>
  <c r="U66" s="1"/>
  <c r="J65"/>
  <c r="U65" s="1"/>
  <c r="J64"/>
  <c r="U64" s="1"/>
  <c r="J63"/>
  <c r="U63" s="1"/>
  <c r="J62"/>
  <c r="U62" s="1"/>
  <c r="J61"/>
  <c r="U61"/>
  <c r="J60"/>
  <c r="U60" s="1"/>
  <c r="J59"/>
  <c r="U59" s="1"/>
  <c r="J58"/>
  <c r="U58" s="1"/>
  <c r="J57"/>
  <c r="U57" s="1"/>
  <c r="J56"/>
  <c r="U56" s="1"/>
  <c r="J55"/>
  <c r="U55" s="1"/>
  <c r="J54"/>
  <c r="U54" s="1"/>
  <c r="J53"/>
  <c r="U53" s="1"/>
  <c r="J52"/>
  <c r="U52" s="1"/>
  <c r="J51"/>
  <c r="U51" s="1"/>
  <c r="J50"/>
  <c r="U50" s="1"/>
  <c r="J49"/>
  <c r="U49" s="1"/>
  <c r="J48"/>
  <c r="U48" s="1"/>
  <c r="J47"/>
  <c r="U47" s="1"/>
  <c r="J46"/>
  <c r="U46" s="1"/>
  <c r="J45"/>
  <c r="U45" s="1"/>
  <c r="J43"/>
  <c r="U43" s="1"/>
  <c r="J42"/>
  <c r="U42" s="1"/>
  <c r="J41"/>
  <c r="U41" s="1"/>
  <c r="J40"/>
  <c r="U40" s="1"/>
  <c r="J39"/>
  <c r="U39" s="1"/>
  <c r="J38"/>
  <c r="U38" s="1"/>
  <c r="J37"/>
  <c r="U37" s="1"/>
  <c r="J36"/>
  <c r="U36"/>
  <c r="J35"/>
  <c r="U35" s="1"/>
  <c r="J34"/>
  <c r="U34" s="1"/>
  <c r="J32"/>
  <c r="U32" s="1"/>
  <c r="J31"/>
  <c r="U31" s="1"/>
  <c r="J30"/>
  <c r="U30" s="1"/>
  <c r="J29"/>
  <c r="U29" s="1"/>
  <c r="J28"/>
  <c r="U28" s="1"/>
  <c r="J27"/>
  <c r="U27" s="1"/>
  <c r="J26"/>
  <c r="U26" s="1"/>
  <c r="U25"/>
  <c r="J24"/>
  <c r="U24" s="1"/>
  <c r="J23"/>
  <c r="U23" s="1"/>
  <c r="J22"/>
  <c r="U22" s="1"/>
  <c r="J21"/>
  <c r="U21" s="1"/>
  <c r="J20"/>
  <c r="U20" s="1"/>
  <c r="J19"/>
  <c r="U19" s="1"/>
  <c r="J18"/>
  <c r="U18" s="1"/>
  <c r="J17"/>
  <c r="U17" s="1"/>
  <c r="J16"/>
  <c r="U16" s="1"/>
  <c r="J15"/>
  <c r="U15" s="1"/>
  <c r="J13"/>
  <c r="U13" s="1"/>
  <c r="J11"/>
  <c r="U11" s="1"/>
  <c r="J10"/>
  <c r="U10" s="1"/>
  <c r="J9"/>
  <c r="U9" s="1"/>
  <c r="J8"/>
  <c r="U8" s="1"/>
  <c r="J6"/>
  <c r="U6" s="1"/>
  <c r="J5"/>
  <c r="U5" s="1"/>
  <c r="F125"/>
  <c r="R125" s="1"/>
  <c r="F124"/>
  <c r="R124" s="1"/>
  <c r="F123"/>
  <c r="R123" s="1"/>
  <c r="F122"/>
  <c r="R122" s="1"/>
  <c r="F121"/>
  <c r="R121" s="1"/>
  <c r="F120"/>
  <c r="R120" s="1"/>
  <c r="F119"/>
  <c r="R119" s="1"/>
  <c r="F118"/>
  <c r="R118" s="1"/>
  <c r="F117"/>
  <c r="R117" s="1"/>
  <c r="F116"/>
  <c r="R116" s="1"/>
  <c r="F115"/>
  <c r="R115" s="1"/>
  <c r="F114"/>
  <c r="R114" s="1"/>
  <c r="F113"/>
  <c r="R113" s="1"/>
  <c r="F112"/>
  <c r="R112" s="1"/>
  <c r="F111"/>
  <c r="R111" s="1"/>
  <c r="F110"/>
  <c r="R110" s="1"/>
  <c r="F109"/>
  <c r="R109" s="1"/>
  <c r="F108"/>
  <c r="R108" s="1"/>
  <c r="F107"/>
  <c r="R107"/>
  <c r="F106"/>
  <c r="R106" s="1"/>
  <c r="F105"/>
  <c r="R105"/>
  <c r="F104"/>
  <c r="R104" s="1"/>
  <c r="F103"/>
  <c r="R103" s="1"/>
  <c r="F102"/>
  <c r="R102" s="1"/>
  <c r="F101"/>
  <c r="R101" s="1"/>
  <c r="F100"/>
  <c r="R100" s="1"/>
  <c r="F98"/>
  <c r="R98" s="1"/>
  <c r="F97"/>
  <c r="R97" s="1"/>
  <c r="F96"/>
  <c r="R96" s="1"/>
  <c r="F95"/>
  <c r="R95" s="1"/>
  <c r="F94"/>
  <c r="R94" s="1"/>
  <c r="F93"/>
  <c r="R93" s="1"/>
  <c r="F92"/>
  <c r="R92" s="1"/>
  <c r="F91"/>
  <c r="R91" s="1"/>
  <c r="F90"/>
  <c r="R90" s="1"/>
  <c r="F89"/>
  <c r="R89" s="1"/>
  <c r="F88"/>
  <c r="R88" s="1"/>
  <c r="F87"/>
  <c r="R87" s="1"/>
  <c r="F86"/>
  <c r="R86" s="1"/>
  <c r="F85"/>
  <c r="R85" s="1"/>
  <c r="F84"/>
  <c r="R84" s="1"/>
  <c r="R83"/>
  <c r="R82"/>
  <c r="F80"/>
  <c r="R80" s="1"/>
  <c r="F79"/>
  <c r="R79" s="1"/>
  <c r="F78"/>
  <c r="R78" s="1"/>
  <c r="F77"/>
  <c r="R77" s="1"/>
  <c r="F76"/>
  <c r="R76" s="1"/>
  <c r="F75"/>
  <c r="R75" s="1"/>
  <c r="F74"/>
  <c r="R74" s="1"/>
  <c r="F73"/>
  <c r="R73" s="1"/>
  <c r="F72"/>
  <c r="R72" s="1"/>
  <c r="F71"/>
  <c r="R71" s="1"/>
  <c r="F70"/>
  <c r="R70" s="1"/>
  <c r="F69"/>
  <c r="R69" s="1"/>
  <c r="F68"/>
  <c r="R68" s="1"/>
  <c r="F67"/>
  <c r="R67" s="1"/>
  <c r="F66"/>
  <c r="R66" s="1"/>
  <c r="F65"/>
  <c r="R65" s="1"/>
  <c r="F64"/>
  <c r="R64" s="1"/>
  <c r="F63"/>
  <c r="R63" s="1"/>
  <c r="F62"/>
  <c r="R62" s="1"/>
  <c r="F61"/>
  <c r="R61" s="1"/>
  <c r="F60"/>
  <c r="R60" s="1"/>
  <c r="F59"/>
  <c r="R59" s="1"/>
  <c r="F58"/>
  <c r="R58" s="1"/>
  <c r="F57"/>
  <c r="R57" s="1"/>
  <c r="F56"/>
  <c r="R56" s="1"/>
  <c r="F55"/>
  <c r="R55" s="1"/>
  <c r="F54"/>
  <c r="R54" s="1"/>
  <c r="F53"/>
  <c r="R53" s="1"/>
  <c r="F52"/>
  <c r="R52" s="1"/>
  <c r="F51"/>
  <c r="R51" s="1"/>
  <c r="F50"/>
  <c r="R50" s="1"/>
  <c r="F49"/>
  <c r="R49" s="1"/>
  <c r="F48"/>
  <c r="R48" s="1"/>
  <c r="F47"/>
  <c r="R47" s="1"/>
  <c r="F46"/>
  <c r="R46" s="1"/>
  <c r="F45"/>
  <c r="R45" s="1"/>
  <c r="F43"/>
  <c r="R43" s="1"/>
  <c r="F42"/>
  <c r="R42" s="1"/>
  <c r="F41"/>
  <c r="R41"/>
  <c r="F40"/>
  <c r="R40" s="1"/>
  <c r="F39"/>
  <c r="R39" s="1"/>
  <c r="F38"/>
  <c r="R38" s="1"/>
  <c r="F37"/>
  <c r="R37" s="1"/>
  <c r="F36"/>
  <c r="R36" s="1"/>
  <c r="F35"/>
  <c r="R35"/>
  <c r="F34"/>
  <c r="R34" s="1"/>
  <c r="R33"/>
  <c r="F32"/>
  <c r="R32"/>
  <c r="F31"/>
  <c r="R31" s="1"/>
  <c r="F30"/>
  <c r="R30" s="1"/>
  <c r="F29"/>
  <c r="R29" s="1"/>
  <c r="F28"/>
  <c r="R28" s="1"/>
  <c r="F27"/>
  <c r="R27" s="1"/>
  <c r="F26"/>
  <c r="R26" s="1"/>
  <c r="F24"/>
  <c r="R24" s="1"/>
  <c r="F23"/>
  <c r="R23" s="1"/>
  <c r="F22"/>
  <c r="R22" s="1"/>
  <c r="F21"/>
  <c r="R21" s="1"/>
  <c r="F20"/>
  <c r="F19"/>
  <c r="R19" s="1"/>
  <c r="F18"/>
  <c r="R18" s="1"/>
  <c r="F17"/>
  <c r="R17" s="1"/>
  <c r="F16"/>
  <c r="R16" s="1"/>
  <c r="F15"/>
  <c r="R15" s="1"/>
  <c r="F13"/>
  <c r="R13" s="1"/>
  <c r="F11"/>
  <c r="R11" s="1"/>
  <c r="F10"/>
  <c r="R10" s="1"/>
  <c r="F9"/>
  <c r="R9" s="1"/>
  <c r="F8"/>
  <c r="R8" s="1"/>
  <c r="F6"/>
  <c r="R6" s="1"/>
  <c r="F5"/>
  <c r="R5" s="1"/>
  <c r="G4" i="94"/>
  <c r="F4"/>
  <c r="E4"/>
  <c r="D4"/>
  <c r="H5" i="90"/>
  <c r="I5"/>
  <c r="J5"/>
  <c r="G5"/>
  <c r="F5"/>
  <c r="E5"/>
  <c r="D5"/>
  <c r="I5" i="91"/>
  <c r="H5"/>
  <c r="F5"/>
  <c r="E5"/>
  <c r="D5"/>
  <c r="G4" i="63"/>
  <c r="F4"/>
  <c r="E4"/>
  <c r="D4"/>
  <c r="N133" i="72"/>
  <c r="M133"/>
  <c r="N132"/>
  <c r="M132"/>
  <c r="N131"/>
  <c r="M131"/>
  <c r="N130"/>
  <c r="S130" s="1"/>
  <c r="M130"/>
  <c r="N129"/>
  <c r="M129"/>
  <c r="K133"/>
  <c r="J133"/>
  <c r="K132"/>
  <c r="J132"/>
  <c r="K131"/>
  <c r="R131" s="1"/>
  <c r="J131"/>
  <c r="K130"/>
  <c r="R130" s="1"/>
  <c r="J130"/>
  <c r="K129"/>
  <c r="J129"/>
  <c r="H133"/>
  <c r="G133"/>
  <c r="H132"/>
  <c r="G132"/>
  <c r="Q132" s="1"/>
  <c r="H131"/>
  <c r="Q131" s="1"/>
  <c r="G131"/>
  <c r="H130"/>
  <c r="G130"/>
  <c r="H129"/>
  <c r="G129"/>
  <c r="E133"/>
  <c r="E132"/>
  <c r="E131"/>
  <c r="E130"/>
  <c r="P130" s="1"/>
  <c r="E129"/>
  <c r="D133"/>
  <c r="D132"/>
  <c r="D131"/>
  <c r="D130"/>
  <c r="D129"/>
  <c r="F124" i="57"/>
  <c r="E125" i="118" s="1"/>
  <c r="M125" i="79" s="1"/>
  <c r="Q125" s="1"/>
  <c r="E124" i="57"/>
  <c r="F123"/>
  <c r="E124" i="118" s="1"/>
  <c r="M124" i="79" s="1"/>
  <c r="Q124" s="1"/>
  <c r="E123" i="57"/>
  <c r="D124" i="118" s="1"/>
  <c r="L124" i="79" s="1"/>
  <c r="P124" s="1"/>
  <c r="F122" i="57"/>
  <c r="E123" i="118" s="1"/>
  <c r="M123" i="79" s="1"/>
  <c r="Q123" s="1"/>
  <c r="E122" i="57"/>
  <c r="F121"/>
  <c r="E122" i="118" s="1"/>
  <c r="M122" i="79" s="1"/>
  <c r="Q122" s="1"/>
  <c r="E121" i="57"/>
  <c r="D122" i="118" s="1"/>
  <c r="L122" i="79" s="1"/>
  <c r="P122" s="1"/>
  <c r="F120" i="57"/>
  <c r="E121" i="118" s="1"/>
  <c r="M121" i="79" s="1"/>
  <c r="Q121" s="1"/>
  <c r="E120" i="57"/>
  <c r="F119"/>
  <c r="E120" i="118" s="1"/>
  <c r="M120" i="79" s="1"/>
  <c r="Q120" s="1"/>
  <c r="E119" i="57"/>
  <c r="D120" i="118" s="1"/>
  <c r="L120" i="79" s="1"/>
  <c r="P120" s="1"/>
  <c r="F118" i="57"/>
  <c r="E119" i="118" s="1"/>
  <c r="M119" i="79" s="1"/>
  <c r="Q119" s="1"/>
  <c r="E118" i="57"/>
  <c r="F117"/>
  <c r="E118" i="118" s="1"/>
  <c r="M118" i="79" s="1"/>
  <c r="Q118" s="1"/>
  <c r="E117" i="57"/>
  <c r="D118" i="118" s="1"/>
  <c r="L118" i="79" s="1"/>
  <c r="P118" s="1"/>
  <c r="F116" i="57"/>
  <c r="E117" i="118" s="1"/>
  <c r="M117" i="79" s="1"/>
  <c r="Q117" s="1"/>
  <c r="E116" i="57"/>
  <c r="F115"/>
  <c r="E116" i="118" s="1"/>
  <c r="M116" i="79" s="1"/>
  <c r="Q116" s="1"/>
  <c r="E115" i="57"/>
  <c r="D116" i="118" s="1"/>
  <c r="L116" i="79" s="1"/>
  <c r="P116" s="1"/>
  <c r="F114" i="57"/>
  <c r="E115" i="118" s="1"/>
  <c r="M115" i="79" s="1"/>
  <c r="Q115" s="1"/>
  <c r="E114" i="57"/>
  <c r="F113"/>
  <c r="E114" i="118" s="1"/>
  <c r="M114" i="79" s="1"/>
  <c r="Q114" s="1"/>
  <c r="E113" i="57"/>
  <c r="D114" i="118" s="1"/>
  <c r="L114" i="79" s="1"/>
  <c r="P114" s="1"/>
  <c r="F112" i="57"/>
  <c r="E113" i="118" s="1"/>
  <c r="M113" i="79" s="1"/>
  <c r="Q113" s="1"/>
  <c r="E112" i="57"/>
  <c r="F111"/>
  <c r="E112" i="118" s="1"/>
  <c r="M112" i="79" s="1"/>
  <c r="Q112" s="1"/>
  <c r="E111" i="57"/>
  <c r="D112" i="118" s="1"/>
  <c r="L112" i="79" s="1"/>
  <c r="P112" s="1"/>
  <c r="F110" i="57"/>
  <c r="E111" i="118" s="1"/>
  <c r="M111" i="79" s="1"/>
  <c r="Q111" s="1"/>
  <c r="E110" i="57"/>
  <c r="F109"/>
  <c r="E110" i="118" s="1"/>
  <c r="M110" i="79" s="1"/>
  <c r="Q110" s="1"/>
  <c r="E109" i="57"/>
  <c r="D110" i="118" s="1"/>
  <c r="L110" i="79" s="1"/>
  <c r="P110" s="1"/>
  <c r="F108" i="57"/>
  <c r="E109" i="118" s="1"/>
  <c r="M109" i="79" s="1"/>
  <c r="Q109" s="1"/>
  <c r="E108" i="57"/>
  <c r="F107"/>
  <c r="E108" i="118" s="1"/>
  <c r="M108" i="79" s="1"/>
  <c r="Q108" s="1"/>
  <c r="E107" i="57"/>
  <c r="D108" i="118" s="1"/>
  <c r="L108" i="79" s="1"/>
  <c r="P108" s="1"/>
  <c r="F106" i="57"/>
  <c r="E107" i="118" s="1"/>
  <c r="M107" i="79" s="1"/>
  <c r="Q107" s="1"/>
  <c r="E106" i="57"/>
  <c r="F105"/>
  <c r="E106" i="118" s="1"/>
  <c r="M106" i="79" s="1"/>
  <c r="Q106" s="1"/>
  <c r="E105" i="57"/>
  <c r="D106" i="118" s="1"/>
  <c r="L106" i="79" s="1"/>
  <c r="P106" s="1"/>
  <c r="F104" i="57"/>
  <c r="E105" i="118" s="1"/>
  <c r="M105" i="79" s="1"/>
  <c r="Q105" s="1"/>
  <c r="E104" i="57"/>
  <c r="F103"/>
  <c r="E104" i="118" s="1"/>
  <c r="M104" i="79" s="1"/>
  <c r="Q104" s="1"/>
  <c r="E103" i="57"/>
  <c r="D104" i="118" s="1"/>
  <c r="L104" i="79" s="1"/>
  <c r="P104" s="1"/>
  <c r="F102" i="57"/>
  <c r="E103" i="118" s="1"/>
  <c r="M103" i="79" s="1"/>
  <c r="Q103" s="1"/>
  <c r="E102" i="57"/>
  <c r="F101"/>
  <c r="E102" i="118" s="1"/>
  <c r="M102" i="79" s="1"/>
  <c r="Q102" s="1"/>
  <c r="E101" i="57"/>
  <c r="D102" i="118" s="1"/>
  <c r="L102" i="79" s="1"/>
  <c r="P102" s="1"/>
  <c r="F100" i="57"/>
  <c r="E101" i="118" s="1"/>
  <c r="M101" i="79" s="1"/>
  <c r="Q101" s="1"/>
  <c r="E100" i="57"/>
  <c r="F99"/>
  <c r="E100" i="118" s="1"/>
  <c r="M100" i="79" s="1"/>
  <c r="Q100" s="1"/>
  <c r="E99" i="57"/>
  <c r="D100" i="118" s="1"/>
  <c r="L100" i="79" s="1"/>
  <c r="P100" s="1"/>
  <c r="F98" i="57"/>
  <c r="E99" i="118" s="1"/>
  <c r="M99" i="79" s="1"/>
  <c r="Q99" s="1"/>
  <c r="E98" i="57"/>
  <c r="F97"/>
  <c r="E98" i="118" s="1"/>
  <c r="M98" i="79" s="1"/>
  <c r="Q98" s="1"/>
  <c r="E97" i="57"/>
  <c r="D98" i="118" s="1"/>
  <c r="L98" i="79" s="1"/>
  <c r="P98" s="1"/>
  <c r="F96" i="57"/>
  <c r="E97" i="118" s="1"/>
  <c r="M97" i="79" s="1"/>
  <c r="Q97" s="1"/>
  <c r="E96" i="57"/>
  <c r="F95"/>
  <c r="E96" i="118" s="1"/>
  <c r="M96" i="79" s="1"/>
  <c r="Q96" s="1"/>
  <c r="E95" i="57"/>
  <c r="D96" i="118" s="1"/>
  <c r="L96" i="79" s="1"/>
  <c r="P96" s="1"/>
  <c r="F94" i="57"/>
  <c r="E95" i="118" s="1"/>
  <c r="M95" i="79" s="1"/>
  <c r="Q95" s="1"/>
  <c r="E94" i="57"/>
  <c r="F93"/>
  <c r="E94" i="118" s="1"/>
  <c r="M94" i="79" s="1"/>
  <c r="Q94" s="1"/>
  <c r="E93" i="57"/>
  <c r="D94" i="118" s="1"/>
  <c r="L94" i="79" s="1"/>
  <c r="P94" s="1"/>
  <c r="F92" i="57"/>
  <c r="E93" i="118" s="1"/>
  <c r="M93" i="79" s="1"/>
  <c r="Q93" s="1"/>
  <c r="E92" i="57"/>
  <c r="F91"/>
  <c r="E92" i="118" s="1"/>
  <c r="M92" i="79" s="1"/>
  <c r="Q92" s="1"/>
  <c r="E91" i="57"/>
  <c r="D92" i="118" s="1"/>
  <c r="L92" i="79" s="1"/>
  <c r="P92" s="1"/>
  <c r="F90" i="57"/>
  <c r="E91" i="118" s="1"/>
  <c r="M91" i="79" s="1"/>
  <c r="Q91" s="1"/>
  <c r="E90" i="57"/>
  <c r="F89"/>
  <c r="E90" i="118" s="1"/>
  <c r="M90" i="79" s="1"/>
  <c r="Q90" s="1"/>
  <c r="E89" i="57"/>
  <c r="D90" i="118" s="1"/>
  <c r="L90" i="79" s="1"/>
  <c r="P90" s="1"/>
  <c r="F88" i="57"/>
  <c r="E89" i="118" s="1"/>
  <c r="M89" i="79" s="1"/>
  <c r="Q89" s="1"/>
  <c r="E88" i="57"/>
  <c r="F87"/>
  <c r="E88" i="118" s="1"/>
  <c r="M88" i="79" s="1"/>
  <c r="Q88" s="1"/>
  <c r="E87" i="57"/>
  <c r="D88" i="118" s="1"/>
  <c r="L88" i="79" s="1"/>
  <c r="P88" s="1"/>
  <c r="F86" i="57"/>
  <c r="E87" i="118" s="1"/>
  <c r="M87" i="79" s="1"/>
  <c r="Q87" s="1"/>
  <c r="E86" i="57"/>
  <c r="F85"/>
  <c r="E86" i="118" s="1"/>
  <c r="M86" i="79" s="1"/>
  <c r="Q86" s="1"/>
  <c r="E85" i="57"/>
  <c r="D86" i="118" s="1"/>
  <c r="L86" i="79" s="1"/>
  <c r="P86" s="1"/>
  <c r="F84" i="57"/>
  <c r="E85" i="118" s="1"/>
  <c r="M85" i="79" s="1"/>
  <c r="Q85" s="1"/>
  <c r="E84" i="57"/>
  <c r="F83"/>
  <c r="E84" i="118" s="1"/>
  <c r="M84" i="79" s="1"/>
  <c r="Q84" s="1"/>
  <c r="E83" i="57"/>
  <c r="D84" i="118" s="1"/>
  <c r="L84" i="79" s="1"/>
  <c r="P84" s="1"/>
  <c r="F82" i="57"/>
  <c r="E83" i="118" s="1"/>
  <c r="M83" i="79" s="1"/>
  <c r="Q83" s="1"/>
  <c r="E82" i="57"/>
  <c r="F81"/>
  <c r="E82" i="118" s="1"/>
  <c r="M82" i="79" s="1"/>
  <c r="Q82" s="1"/>
  <c r="E81" i="57"/>
  <c r="D82" i="118" s="1"/>
  <c r="L82" i="79" s="1"/>
  <c r="P82" s="1"/>
  <c r="F80" i="57"/>
  <c r="E81" i="118" s="1"/>
  <c r="M81" i="79" s="1"/>
  <c r="Q81" s="1"/>
  <c r="E80" i="57"/>
  <c r="F79"/>
  <c r="E80" i="118" s="1"/>
  <c r="M80" i="79" s="1"/>
  <c r="Q80" s="1"/>
  <c r="E79" i="57"/>
  <c r="D80" i="118" s="1"/>
  <c r="L80" i="79" s="1"/>
  <c r="P80" s="1"/>
  <c r="F78" i="57"/>
  <c r="E79" i="118" s="1"/>
  <c r="M79" i="79" s="1"/>
  <c r="Q79" s="1"/>
  <c r="E78" i="57"/>
  <c r="F77"/>
  <c r="E78" i="118" s="1"/>
  <c r="M78" i="79" s="1"/>
  <c r="Q78" s="1"/>
  <c r="E77" i="57"/>
  <c r="D78" i="118" s="1"/>
  <c r="L78" i="79" s="1"/>
  <c r="P78" s="1"/>
  <c r="F76" i="57"/>
  <c r="E77" i="118" s="1"/>
  <c r="M77" i="79" s="1"/>
  <c r="Q77" s="1"/>
  <c r="E76" i="57"/>
  <c r="F75"/>
  <c r="E76" i="118" s="1"/>
  <c r="M76" i="79" s="1"/>
  <c r="Q76" s="1"/>
  <c r="E75" i="57"/>
  <c r="D76" i="118" s="1"/>
  <c r="L76" i="79" s="1"/>
  <c r="P76" s="1"/>
  <c r="F74" i="57"/>
  <c r="E75" i="118" s="1"/>
  <c r="M75" i="79" s="1"/>
  <c r="Q75" s="1"/>
  <c r="E74" i="57"/>
  <c r="F73"/>
  <c r="E74" i="118" s="1"/>
  <c r="M74" i="79" s="1"/>
  <c r="Q74" s="1"/>
  <c r="E73" i="57"/>
  <c r="D74" i="118" s="1"/>
  <c r="L74" i="79" s="1"/>
  <c r="P74" s="1"/>
  <c r="F72" i="57"/>
  <c r="E73" i="118" s="1"/>
  <c r="M73" i="79" s="1"/>
  <c r="Q73" s="1"/>
  <c r="E72" i="57"/>
  <c r="F71"/>
  <c r="E72" i="118" s="1"/>
  <c r="M72" i="79" s="1"/>
  <c r="Q72" s="1"/>
  <c r="E71" i="57"/>
  <c r="D72" i="118" s="1"/>
  <c r="L72" i="79" s="1"/>
  <c r="P72" s="1"/>
  <c r="F70" i="57"/>
  <c r="E71" i="118" s="1"/>
  <c r="M71" i="79" s="1"/>
  <c r="Q71" s="1"/>
  <c r="E70" i="57"/>
  <c r="F69"/>
  <c r="E70" i="118" s="1"/>
  <c r="M70" i="79" s="1"/>
  <c r="Q70" s="1"/>
  <c r="E69" i="57"/>
  <c r="D70" i="118" s="1"/>
  <c r="L70" i="79" s="1"/>
  <c r="P70" s="1"/>
  <c r="F68" i="57"/>
  <c r="E69" i="118" s="1"/>
  <c r="M69" i="79" s="1"/>
  <c r="Q69" s="1"/>
  <c r="E68" i="57"/>
  <c r="F67"/>
  <c r="E68" i="118" s="1"/>
  <c r="M68" i="79" s="1"/>
  <c r="Q68" s="1"/>
  <c r="E67" i="57"/>
  <c r="D68" i="118" s="1"/>
  <c r="L68" i="79" s="1"/>
  <c r="P68" s="1"/>
  <c r="F66" i="57"/>
  <c r="E67" i="118" s="1"/>
  <c r="M67" i="79" s="1"/>
  <c r="Q67" s="1"/>
  <c r="E66" i="57"/>
  <c r="F65"/>
  <c r="E66" i="118" s="1"/>
  <c r="M66" i="79" s="1"/>
  <c r="Q66" s="1"/>
  <c r="E65" i="57"/>
  <c r="D66" i="118" s="1"/>
  <c r="L66" i="79" s="1"/>
  <c r="P66" s="1"/>
  <c r="F64" i="57"/>
  <c r="E65" i="118" s="1"/>
  <c r="M65" i="79" s="1"/>
  <c r="Q65" s="1"/>
  <c r="E64" i="57"/>
  <c r="F63"/>
  <c r="E64" i="118" s="1"/>
  <c r="M64" i="79" s="1"/>
  <c r="Q64" s="1"/>
  <c r="E63" i="57"/>
  <c r="D64" i="118" s="1"/>
  <c r="L64" i="79" s="1"/>
  <c r="P64" s="1"/>
  <c r="F62" i="57"/>
  <c r="E63" i="118" s="1"/>
  <c r="M63" i="79" s="1"/>
  <c r="Q63" s="1"/>
  <c r="E62" i="57"/>
  <c r="F61"/>
  <c r="E62" i="118" s="1"/>
  <c r="M62" i="79" s="1"/>
  <c r="Q62" s="1"/>
  <c r="E61" i="57"/>
  <c r="D62" i="118" s="1"/>
  <c r="L62" i="79" s="1"/>
  <c r="P62" s="1"/>
  <c r="F60" i="57"/>
  <c r="E61" i="118" s="1"/>
  <c r="M61" i="79" s="1"/>
  <c r="Q61" s="1"/>
  <c r="E60" i="57"/>
  <c r="F59"/>
  <c r="E60" i="118" s="1"/>
  <c r="M60" i="79" s="1"/>
  <c r="Q60" s="1"/>
  <c r="E59" i="57"/>
  <c r="D60" i="118" s="1"/>
  <c r="L60" i="79" s="1"/>
  <c r="P60" s="1"/>
  <c r="F58" i="57"/>
  <c r="E59" i="118" s="1"/>
  <c r="M59" i="79" s="1"/>
  <c r="Q59" s="1"/>
  <c r="E58" i="57"/>
  <c r="F57"/>
  <c r="E58" i="118" s="1"/>
  <c r="M58" i="79" s="1"/>
  <c r="Q58" s="1"/>
  <c r="E57" i="57"/>
  <c r="D58" i="118" s="1"/>
  <c r="L58" i="79" s="1"/>
  <c r="P58" s="1"/>
  <c r="F56" i="57"/>
  <c r="E57" i="118" s="1"/>
  <c r="M57" i="79" s="1"/>
  <c r="Q57" s="1"/>
  <c r="E56" i="57"/>
  <c r="F55"/>
  <c r="E56" i="118" s="1"/>
  <c r="M56" i="79" s="1"/>
  <c r="Q56" s="1"/>
  <c r="E55" i="57"/>
  <c r="D56" i="118" s="1"/>
  <c r="L56" i="79" s="1"/>
  <c r="P56" s="1"/>
  <c r="F54" i="57"/>
  <c r="E55" i="118" s="1"/>
  <c r="M55" i="79" s="1"/>
  <c r="Q55" s="1"/>
  <c r="E54" i="57"/>
  <c r="F53"/>
  <c r="E54" i="118" s="1"/>
  <c r="M54" i="79" s="1"/>
  <c r="Q54" s="1"/>
  <c r="E53" i="57"/>
  <c r="D54" i="118" s="1"/>
  <c r="L54" i="79" s="1"/>
  <c r="P54" s="1"/>
  <c r="F52" i="57"/>
  <c r="E53" i="118" s="1"/>
  <c r="M53" i="79" s="1"/>
  <c r="Q53" s="1"/>
  <c r="E52" i="57"/>
  <c r="F51"/>
  <c r="E52" i="118" s="1"/>
  <c r="M52" i="79" s="1"/>
  <c r="Q52" s="1"/>
  <c r="E51" i="57"/>
  <c r="D52" i="118" s="1"/>
  <c r="L52" i="79" s="1"/>
  <c r="P52" s="1"/>
  <c r="F50" i="57"/>
  <c r="E51" i="118" s="1"/>
  <c r="M51" i="79" s="1"/>
  <c r="Q51" s="1"/>
  <c r="E50" i="57"/>
  <c r="F49"/>
  <c r="E50" i="118" s="1"/>
  <c r="M50" i="79" s="1"/>
  <c r="Q50" s="1"/>
  <c r="E49" i="57"/>
  <c r="D50" i="118" s="1"/>
  <c r="L50" i="79" s="1"/>
  <c r="P50" s="1"/>
  <c r="F48" i="57"/>
  <c r="E49" i="118" s="1"/>
  <c r="M49" i="79" s="1"/>
  <c r="Q49" s="1"/>
  <c r="E48" i="57"/>
  <c r="F47"/>
  <c r="E48" i="118" s="1"/>
  <c r="M48" i="79" s="1"/>
  <c r="Q48" s="1"/>
  <c r="E47" i="57"/>
  <c r="D48" i="118" s="1"/>
  <c r="L48" i="79" s="1"/>
  <c r="P48" s="1"/>
  <c r="F46" i="57"/>
  <c r="E47" i="118" s="1"/>
  <c r="M47" i="79" s="1"/>
  <c r="Q47" s="1"/>
  <c r="E46" i="57"/>
  <c r="F45"/>
  <c r="E46" i="118" s="1"/>
  <c r="M46" i="79" s="1"/>
  <c r="Q46" s="1"/>
  <c r="E45" i="57"/>
  <c r="D46" i="118" s="1"/>
  <c r="L46" i="79" s="1"/>
  <c r="P46" s="1"/>
  <c r="F44" i="57"/>
  <c r="E45" i="118" s="1"/>
  <c r="M45" i="79" s="1"/>
  <c r="Q45" s="1"/>
  <c r="E44" i="57"/>
  <c r="F43"/>
  <c r="E44" i="118" s="1"/>
  <c r="M44" i="79" s="1"/>
  <c r="Q44" s="1"/>
  <c r="E43" i="57"/>
  <c r="D44" i="118" s="1"/>
  <c r="L44" i="79" s="1"/>
  <c r="P44" s="1"/>
  <c r="F42" i="57"/>
  <c r="E43" i="118" s="1"/>
  <c r="M43" i="79" s="1"/>
  <c r="Q43" s="1"/>
  <c r="E42" i="57"/>
  <c r="F41"/>
  <c r="E42" i="118" s="1"/>
  <c r="M42" i="79" s="1"/>
  <c r="Q42" s="1"/>
  <c r="E41" i="57"/>
  <c r="D42" i="118" s="1"/>
  <c r="L42" i="79" s="1"/>
  <c r="P42" s="1"/>
  <c r="F40" i="57"/>
  <c r="E41" i="118" s="1"/>
  <c r="M41" i="79" s="1"/>
  <c r="Q41" s="1"/>
  <c r="E40" i="57"/>
  <c r="F39"/>
  <c r="E40" i="118" s="1"/>
  <c r="M40" i="79" s="1"/>
  <c r="Q40" s="1"/>
  <c r="E39" i="57"/>
  <c r="D40" i="118" s="1"/>
  <c r="L40" i="79" s="1"/>
  <c r="P40" s="1"/>
  <c r="F38" i="57"/>
  <c r="E39" i="118" s="1"/>
  <c r="M39" i="79" s="1"/>
  <c r="Q39" s="1"/>
  <c r="E38" i="57"/>
  <c r="F37"/>
  <c r="E38" i="118" s="1"/>
  <c r="M38" i="79" s="1"/>
  <c r="Q38" s="1"/>
  <c r="E37" i="57"/>
  <c r="D38" i="118" s="1"/>
  <c r="L38" i="79" s="1"/>
  <c r="P38" s="1"/>
  <c r="F36" i="57"/>
  <c r="E37" i="118" s="1"/>
  <c r="M37" i="79" s="1"/>
  <c r="Q37" s="1"/>
  <c r="E36" i="57"/>
  <c r="F35"/>
  <c r="E36" i="118" s="1"/>
  <c r="M36" i="79" s="1"/>
  <c r="Q36" s="1"/>
  <c r="E35" i="57"/>
  <c r="D36" i="118" s="1"/>
  <c r="L36" i="79" s="1"/>
  <c r="P36" s="1"/>
  <c r="F34" i="57"/>
  <c r="E35" i="118" s="1"/>
  <c r="M35" i="79" s="1"/>
  <c r="Q35" s="1"/>
  <c r="E34" i="57"/>
  <c r="F33"/>
  <c r="E34" i="118" s="1"/>
  <c r="M34" i="79" s="1"/>
  <c r="Q34" s="1"/>
  <c r="E33" i="57"/>
  <c r="D34" i="118" s="1"/>
  <c r="L34" i="79" s="1"/>
  <c r="P34" s="1"/>
  <c r="F32" i="57"/>
  <c r="E33" i="118" s="1"/>
  <c r="M33" i="79" s="1"/>
  <c r="Q33" s="1"/>
  <c r="E32" i="57"/>
  <c r="F31"/>
  <c r="E32" i="118" s="1"/>
  <c r="M32" i="79" s="1"/>
  <c r="Q32" s="1"/>
  <c r="E31" i="57"/>
  <c r="D32" i="118" s="1"/>
  <c r="L32" i="79" s="1"/>
  <c r="P32" s="1"/>
  <c r="F30" i="57"/>
  <c r="E31" i="118" s="1"/>
  <c r="M31" i="79" s="1"/>
  <c r="Q31" s="1"/>
  <c r="E30" i="57"/>
  <c r="F29"/>
  <c r="E30" i="118" s="1"/>
  <c r="M30" i="79" s="1"/>
  <c r="Q30" s="1"/>
  <c r="E29" i="57"/>
  <c r="D30" i="118" s="1"/>
  <c r="L30" i="79" s="1"/>
  <c r="P30" s="1"/>
  <c r="F28" i="57"/>
  <c r="E29" i="118" s="1"/>
  <c r="M29" i="79" s="1"/>
  <c r="Q29" s="1"/>
  <c r="E28" i="57"/>
  <c r="F27"/>
  <c r="E28" i="118" s="1"/>
  <c r="M28" i="79" s="1"/>
  <c r="Q28" s="1"/>
  <c r="E27" i="57"/>
  <c r="D28" i="118" s="1"/>
  <c r="L28" i="79" s="1"/>
  <c r="P28" s="1"/>
  <c r="F26" i="57"/>
  <c r="E27" i="118" s="1"/>
  <c r="M27" i="79" s="1"/>
  <c r="Q27" s="1"/>
  <c r="E26" i="57"/>
  <c r="F25"/>
  <c r="E26" i="118" s="1"/>
  <c r="M26" i="79" s="1"/>
  <c r="Q26" s="1"/>
  <c r="E25" i="57"/>
  <c r="D26" i="118" s="1"/>
  <c r="L26" i="79" s="1"/>
  <c r="P26" s="1"/>
  <c r="F24" i="57"/>
  <c r="E25" i="118" s="1"/>
  <c r="M25" i="79" s="1"/>
  <c r="Q25" s="1"/>
  <c r="E24" i="57"/>
  <c r="F23"/>
  <c r="E24" i="118" s="1"/>
  <c r="M24" i="79" s="1"/>
  <c r="Q24" s="1"/>
  <c r="E23" i="57"/>
  <c r="D24" i="118" s="1"/>
  <c r="L24" i="79" s="1"/>
  <c r="P24" s="1"/>
  <c r="F22" i="57"/>
  <c r="E23" i="118" s="1"/>
  <c r="M23" i="79" s="1"/>
  <c r="Q23" s="1"/>
  <c r="E22" i="57"/>
  <c r="F21"/>
  <c r="E22" i="118" s="1"/>
  <c r="M22" i="79" s="1"/>
  <c r="Q22" s="1"/>
  <c r="E21" i="57"/>
  <c r="D22" i="118" s="1"/>
  <c r="L22" i="79" s="1"/>
  <c r="P22" s="1"/>
  <c r="F20" i="57"/>
  <c r="E21" i="118" s="1"/>
  <c r="M21" i="79" s="1"/>
  <c r="Q21" s="1"/>
  <c r="E20" i="57"/>
  <c r="F19"/>
  <c r="E20" i="118" s="1"/>
  <c r="M20" i="79" s="1"/>
  <c r="Q20" s="1"/>
  <c r="E19" i="57"/>
  <c r="D20" i="118" s="1"/>
  <c r="L20" i="79" s="1"/>
  <c r="P20" s="1"/>
  <c r="F18" i="57"/>
  <c r="E19" i="118" s="1"/>
  <c r="M19" i="79" s="1"/>
  <c r="Q19" s="1"/>
  <c r="E18" i="57"/>
  <c r="F17"/>
  <c r="E18" i="118" s="1"/>
  <c r="M18" i="79" s="1"/>
  <c r="Q18" s="1"/>
  <c r="E17" i="57"/>
  <c r="D18" i="118" s="1"/>
  <c r="L18" i="79" s="1"/>
  <c r="P18" s="1"/>
  <c r="F16" i="57"/>
  <c r="E17" i="118" s="1"/>
  <c r="M17" i="79" s="1"/>
  <c r="Q17" s="1"/>
  <c r="E16" i="57"/>
  <c r="F15"/>
  <c r="E16" i="118" s="1"/>
  <c r="M16" i="79" s="1"/>
  <c r="Q16" s="1"/>
  <c r="E15" i="57"/>
  <c r="D16" i="118" s="1"/>
  <c r="L16" i="79" s="1"/>
  <c r="P16" s="1"/>
  <c r="F14" i="57"/>
  <c r="E15" i="118" s="1"/>
  <c r="M15" i="79" s="1"/>
  <c r="Q15" s="1"/>
  <c r="E14" i="57"/>
  <c r="F13"/>
  <c r="E14" i="118" s="1"/>
  <c r="M14" i="79" s="1"/>
  <c r="Q14" s="1"/>
  <c r="E13" i="57"/>
  <c r="D14" i="118" s="1"/>
  <c r="L14" i="79" s="1"/>
  <c r="P14" s="1"/>
  <c r="F12" i="57"/>
  <c r="E13" i="118" s="1"/>
  <c r="M13" i="79" s="1"/>
  <c r="Q13" s="1"/>
  <c r="E12" i="57"/>
  <c r="F11"/>
  <c r="E12" i="118" s="1"/>
  <c r="M12" i="79" s="1"/>
  <c r="Q12" s="1"/>
  <c r="E11" i="57"/>
  <c r="D12" i="118" s="1"/>
  <c r="L12" i="79" s="1"/>
  <c r="P12" s="1"/>
  <c r="F10" i="57"/>
  <c r="E11" i="118" s="1"/>
  <c r="M11" i="79" s="1"/>
  <c r="Q11" s="1"/>
  <c r="E10" i="57"/>
  <c r="F9"/>
  <c r="E10" i="118" s="1"/>
  <c r="M10" i="79" s="1"/>
  <c r="Q10" s="1"/>
  <c r="E9" i="57"/>
  <c r="D10" i="118" s="1"/>
  <c r="L10" i="79" s="1"/>
  <c r="P10" s="1"/>
  <c r="F8" i="57"/>
  <c r="E9" i="118" s="1"/>
  <c r="M9" i="79" s="1"/>
  <c r="Q9" s="1"/>
  <c r="E8" i="57"/>
  <c r="F7"/>
  <c r="E8" i="118" s="1"/>
  <c r="M8" i="79" s="1"/>
  <c r="Q8" s="1"/>
  <c r="E7" i="57"/>
  <c r="D8" i="118" s="1"/>
  <c r="L8" i="79" s="1"/>
  <c r="P8" s="1"/>
  <c r="F6" i="57"/>
  <c r="E7" i="118" s="1"/>
  <c r="M7" i="79" s="1"/>
  <c r="Q7" s="1"/>
  <c r="E6" i="57"/>
  <c r="F5"/>
  <c r="E6" i="118" s="1"/>
  <c r="E5" i="57"/>
  <c r="D6" i="118" s="1"/>
  <c r="D2" i="4"/>
  <c r="E2" s="1"/>
  <c r="N133" i="75"/>
  <c r="M133"/>
  <c r="L133"/>
  <c r="G133"/>
  <c r="F133"/>
  <c r="E133"/>
  <c r="N132"/>
  <c r="M132"/>
  <c r="L132"/>
  <c r="G132"/>
  <c r="F132"/>
  <c r="E132"/>
  <c r="N131"/>
  <c r="M131"/>
  <c r="L131"/>
  <c r="G131"/>
  <c r="F131"/>
  <c r="E131"/>
  <c r="N130"/>
  <c r="M130"/>
  <c r="L130"/>
  <c r="G130"/>
  <c r="F130"/>
  <c r="E130"/>
  <c r="N129"/>
  <c r="M129"/>
  <c r="L129"/>
  <c r="G129"/>
  <c r="F129"/>
  <c r="E129"/>
  <c r="Q126"/>
  <c r="P126"/>
  <c r="J126"/>
  <c r="I126"/>
  <c r="Q125"/>
  <c r="P125"/>
  <c r="J125"/>
  <c r="I125"/>
  <c r="Q124"/>
  <c r="P124"/>
  <c r="J124"/>
  <c r="I124"/>
  <c r="Q123"/>
  <c r="P123"/>
  <c r="J123"/>
  <c r="I123"/>
  <c r="Q122"/>
  <c r="P122"/>
  <c r="J122"/>
  <c r="I122"/>
  <c r="Q121"/>
  <c r="P121"/>
  <c r="J121"/>
  <c r="I121"/>
  <c r="Q120"/>
  <c r="P120"/>
  <c r="J120"/>
  <c r="I120"/>
  <c r="Q119"/>
  <c r="P119"/>
  <c r="J119"/>
  <c r="I119"/>
  <c r="Q118"/>
  <c r="P118"/>
  <c r="J118"/>
  <c r="I118"/>
  <c r="Q117"/>
  <c r="P117"/>
  <c r="J117"/>
  <c r="I117"/>
  <c r="Q116"/>
  <c r="P116"/>
  <c r="J116"/>
  <c r="I116"/>
  <c r="Q115"/>
  <c r="P115"/>
  <c r="J115"/>
  <c r="I115"/>
  <c r="Q114"/>
  <c r="P114"/>
  <c r="J114"/>
  <c r="I114"/>
  <c r="Q113"/>
  <c r="P113"/>
  <c r="J113"/>
  <c r="I113"/>
  <c r="Q112"/>
  <c r="P112"/>
  <c r="J112"/>
  <c r="I112"/>
  <c r="Q111"/>
  <c r="P111"/>
  <c r="J111"/>
  <c r="I111"/>
  <c r="Q110"/>
  <c r="P110"/>
  <c r="J110"/>
  <c r="I110"/>
  <c r="Q109"/>
  <c r="P109"/>
  <c r="J109"/>
  <c r="I109"/>
  <c r="Q108"/>
  <c r="P108"/>
  <c r="J108"/>
  <c r="I108"/>
  <c r="Q107"/>
  <c r="P107"/>
  <c r="J107"/>
  <c r="I107"/>
  <c r="Q106"/>
  <c r="P106"/>
  <c r="J106"/>
  <c r="I106"/>
  <c r="Q105"/>
  <c r="P105"/>
  <c r="J105"/>
  <c r="I105"/>
  <c r="Q104"/>
  <c r="P104"/>
  <c r="J104"/>
  <c r="I104"/>
  <c r="Q103"/>
  <c r="P103"/>
  <c r="J103"/>
  <c r="I103"/>
  <c r="Q102"/>
  <c r="P102"/>
  <c r="J102"/>
  <c r="I102"/>
  <c r="Q101"/>
  <c r="P101"/>
  <c r="J101"/>
  <c r="I101"/>
  <c r="Q100"/>
  <c r="P100"/>
  <c r="J100"/>
  <c r="I100"/>
  <c r="Q99"/>
  <c r="P99"/>
  <c r="J99"/>
  <c r="I99"/>
  <c r="Q98"/>
  <c r="P98"/>
  <c r="J98"/>
  <c r="I98"/>
  <c r="Q97"/>
  <c r="P97"/>
  <c r="J97"/>
  <c r="I97"/>
  <c r="Q96"/>
  <c r="P96"/>
  <c r="J96"/>
  <c r="I96"/>
  <c r="Q95"/>
  <c r="P95"/>
  <c r="J95"/>
  <c r="I95"/>
  <c r="Q94"/>
  <c r="P94"/>
  <c r="J94"/>
  <c r="I94"/>
  <c r="Q93"/>
  <c r="P93"/>
  <c r="J93"/>
  <c r="I93"/>
  <c r="Q92"/>
  <c r="P92"/>
  <c r="J92"/>
  <c r="I92"/>
  <c r="Q91"/>
  <c r="P91"/>
  <c r="J91"/>
  <c r="I91"/>
  <c r="Q90"/>
  <c r="P90"/>
  <c r="J90"/>
  <c r="I90"/>
  <c r="Q89"/>
  <c r="P89"/>
  <c r="J89"/>
  <c r="I89"/>
  <c r="Q88"/>
  <c r="P88"/>
  <c r="J88"/>
  <c r="I88"/>
  <c r="Q87"/>
  <c r="P87"/>
  <c r="J87"/>
  <c r="I87"/>
  <c r="Q86"/>
  <c r="P86"/>
  <c r="J86"/>
  <c r="I86"/>
  <c r="Q85"/>
  <c r="P85"/>
  <c r="J85"/>
  <c r="I85"/>
  <c r="Q84"/>
  <c r="P84"/>
  <c r="J84"/>
  <c r="I84"/>
  <c r="Q83"/>
  <c r="P83"/>
  <c r="J83"/>
  <c r="I83"/>
  <c r="Q82"/>
  <c r="P82"/>
  <c r="J82"/>
  <c r="I82"/>
  <c r="Q81"/>
  <c r="P81"/>
  <c r="J81"/>
  <c r="I81"/>
  <c r="Q80"/>
  <c r="P80"/>
  <c r="J80"/>
  <c r="I80"/>
  <c r="Q79"/>
  <c r="P79"/>
  <c r="J79"/>
  <c r="I79"/>
  <c r="Q78"/>
  <c r="P78"/>
  <c r="J78"/>
  <c r="I78"/>
  <c r="Q77"/>
  <c r="P77"/>
  <c r="J77"/>
  <c r="I77"/>
  <c r="Q76"/>
  <c r="P76"/>
  <c r="J76"/>
  <c r="I76"/>
  <c r="Q75"/>
  <c r="P75"/>
  <c r="J75"/>
  <c r="I75"/>
  <c r="Q74"/>
  <c r="P74"/>
  <c r="J74"/>
  <c r="I74"/>
  <c r="Q73"/>
  <c r="P73"/>
  <c r="J73"/>
  <c r="I73"/>
  <c r="Q72"/>
  <c r="P72"/>
  <c r="J72"/>
  <c r="I72"/>
  <c r="Q71"/>
  <c r="P71"/>
  <c r="J71"/>
  <c r="I71"/>
  <c r="Q70"/>
  <c r="P70"/>
  <c r="J70"/>
  <c r="I70"/>
  <c r="Q69"/>
  <c r="P69"/>
  <c r="J69"/>
  <c r="I69"/>
  <c r="Q68"/>
  <c r="P68"/>
  <c r="J68"/>
  <c r="I68"/>
  <c r="Q67"/>
  <c r="P67"/>
  <c r="J67"/>
  <c r="I67"/>
  <c r="Q66"/>
  <c r="P66"/>
  <c r="J66"/>
  <c r="I66"/>
  <c r="Q65"/>
  <c r="P65"/>
  <c r="J65"/>
  <c r="I65"/>
  <c r="Q64"/>
  <c r="P64"/>
  <c r="J64"/>
  <c r="I64"/>
  <c r="Q63"/>
  <c r="P63"/>
  <c r="J63"/>
  <c r="I63"/>
  <c r="Q62"/>
  <c r="P62"/>
  <c r="J62"/>
  <c r="I62"/>
  <c r="Q61"/>
  <c r="P61"/>
  <c r="J61"/>
  <c r="I61"/>
  <c r="Q60"/>
  <c r="P60"/>
  <c r="J60"/>
  <c r="I60"/>
  <c r="Q59"/>
  <c r="P59"/>
  <c r="J59"/>
  <c r="I59"/>
  <c r="Q58"/>
  <c r="P58"/>
  <c r="J58"/>
  <c r="I58"/>
  <c r="Q57"/>
  <c r="P57"/>
  <c r="J57"/>
  <c r="I57"/>
  <c r="Q56"/>
  <c r="P56"/>
  <c r="J56"/>
  <c r="I56"/>
  <c r="Q55"/>
  <c r="P55"/>
  <c r="J55"/>
  <c r="I55"/>
  <c r="Q54"/>
  <c r="P54"/>
  <c r="J54"/>
  <c r="I54"/>
  <c r="Q53"/>
  <c r="P53"/>
  <c r="J53"/>
  <c r="I53"/>
  <c r="Q52"/>
  <c r="P52"/>
  <c r="J52"/>
  <c r="I52"/>
  <c r="Q51"/>
  <c r="P51"/>
  <c r="J51"/>
  <c r="I51"/>
  <c r="Q50"/>
  <c r="P50"/>
  <c r="J50"/>
  <c r="I50"/>
  <c r="Q49"/>
  <c r="P49"/>
  <c r="J49"/>
  <c r="I49"/>
  <c r="Q48"/>
  <c r="P48"/>
  <c r="J48"/>
  <c r="I48"/>
  <c r="Q47"/>
  <c r="P47"/>
  <c r="J47"/>
  <c r="I47"/>
  <c r="Q46"/>
  <c r="P46"/>
  <c r="J46"/>
  <c r="I46"/>
  <c r="Q45"/>
  <c r="P45"/>
  <c r="J45"/>
  <c r="I45"/>
  <c r="Q44"/>
  <c r="P44"/>
  <c r="J44"/>
  <c r="I44"/>
  <c r="Q43"/>
  <c r="P43"/>
  <c r="J43"/>
  <c r="I43"/>
  <c r="Q42"/>
  <c r="P42"/>
  <c r="J42"/>
  <c r="I42"/>
  <c r="Q41"/>
  <c r="P41"/>
  <c r="J41"/>
  <c r="I41"/>
  <c r="Q40"/>
  <c r="P40"/>
  <c r="J40"/>
  <c r="I40"/>
  <c r="Q39"/>
  <c r="P39"/>
  <c r="J39"/>
  <c r="I39"/>
  <c r="Q38"/>
  <c r="P38"/>
  <c r="J38"/>
  <c r="I38"/>
  <c r="Q37"/>
  <c r="P37"/>
  <c r="J37"/>
  <c r="I37"/>
  <c r="Q36"/>
  <c r="P36"/>
  <c r="J36"/>
  <c r="I36"/>
  <c r="Q35"/>
  <c r="P35"/>
  <c r="J35"/>
  <c r="I35"/>
  <c r="Q34"/>
  <c r="P34"/>
  <c r="J34"/>
  <c r="I34"/>
  <c r="Q33"/>
  <c r="P33"/>
  <c r="J33"/>
  <c r="I33"/>
  <c r="Q32"/>
  <c r="P32"/>
  <c r="J32"/>
  <c r="I32"/>
  <c r="Q31"/>
  <c r="P31"/>
  <c r="J31"/>
  <c r="I31"/>
  <c r="Q30"/>
  <c r="P30"/>
  <c r="J30"/>
  <c r="I30"/>
  <c r="Q29"/>
  <c r="P29"/>
  <c r="J29"/>
  <c r="I29"/>
  <c r="Q28"/>
  <c r="P28"/>
  <c r="J28"/>
  <c r="I28"/>
  <c r="Q27"/>
  <c r="P27"/>
  <c r="J27"/>
  <c r="I27"/>
  <c r="Q26"/>
  <c r="P26"/>
  <c r="J26"/>
  <c r="I26"/>
  <c r="Q25"/>
  <c r="P25"/>
  <c r="J25"/>
  <c r="I25"/>
  <c r="Q24"/>
  <c r="P24"/>
  <c r="J24"/>
  <c r="I24"/>
  <c r="Q23"/>
  <c r="P23"/>
  <c r="J23"/>
  <c r="I23"/>
  <c r="Q22"/>
  <c r="P22"/>
  <c r="J22"/>
  <c r="I22"/>
  <c r="Q21"/>
  <c r="P21"/>
  <c r="J21"/>
  <c r="I21"/>
  <c r="Q20"/>
  <c r="P20"/>
  <c r="J20"/>
  <c r="I20"/>
  <c r="Q19"/>
  <c r="P19"/>
  <c r="J19"/>
  <c r="I19"/>
  <c r="Q18"/>
  <c r="P18"/>
  <c r="J18"/>
  <c r="I18"/>
  <c r="Q17"/>
  <c r="P17"/>
  <c r="J17"/>
  <c r="I17"/>
  <c r="Q16"/>
  <c r="P16"/>
  <c r="J16"/>
  <c r="I16"/>
  <c r="Q15"/>
  <c r="P15"/>
  <c r="J15"/>
  <c r="I15"/>
  <c r="Q14"/>
  <c r="P14"/>
  <c r="J14"/>
  <c r="I14"/>
  <c r="Q13"/>
  <c r="P13"/>
  <c r="J13"/>
  <c r="I13"/>
  <c r="Q12"/>
  <c r="P12"/>
  <c r="J12"/>
  <c r="I12"/>
  <c r="Q11"/>
  <c r="P11"/>
  <c r="J11"/>
  <c r="I11"/>
  <c r="Q10"/>
  <c r="P10"/>
  <c r="J10"/>
  <c r="I10"/>
  <c r="Q9"/>
  <c r="P9"/>
  <c r="J9"/>
  <c r="I9"/>
  <c r="Q8"/>
  <c r="P8"/>
  <c r="J8"/>
  <c r="I8"/>
  <c r="Q7"/>
  <c r="P7"/>
  <c r="J7"/>
  <c r="I7"/>
  <c r="Q6"/>
  <c r="P6"/>
  <c r="J6"/>
  <c r="I6"/>
  <c r="L132" i="73"/>
  <c r="M131"/>
  <c r="L131"/>
  <c r="M130"/>
  <c r="L130"/>
  <c r="M129"/>
  <c r="L129"/>
  <c r="M128"/>
  <c r="L128"/>
  <c r="O126"/>
  <c r="N126"/>
  <c r="M126"/>
  <c r="L126"/>
  <c r="O125"/>
  <c r="N125"/>
  <c r="M125"/>
  <c r="L125"/>
  <c r="O124"/>
  <c r="N124"/>
  <c r="M124"/>
  <c r="L124"/>
  <c r="O123"/>
  <c r="N123"/>
  <c r="M123"/>
  <c r="L123"/>
  <c r="O122"/>
  <c r="N122"/>
  <c r="M122"/>
  <c r="L122"/>
  <c r="O121"/>
  <c r="N121"/>
  <c r="M121"/>
  <c r="L121"/>
  <c r="O120"/>
  <c r="N120"/>
  <c r="M120"/>
  <c r="L120"/>
  <c r="O119"/>
  <c r="N119"/>
  <c r="M119"/>
  <c r="L119"/>
  <c r="O118"/>
  <c r="N118"/>
  <c r="M118"/>
  <c r="L118"/>
  <c r="O117"/>
  <c r="N117"/>
  <c r="M117"/>
  <c r="L117"/>
  <c r="O116"/>
  <c r="N116"/>
  <c r="M116"/>
  <c r="L116"/>
  <c r="O115"/>
  <c r="N115"/>
  <c r="M115"/>
  <c r="L115"/>
  <c r="O114"/>
  <c r="N114"/>
  <c r="M114"/>
  <c r="L114"/>
  <c r="O113"/>
  <c r="N113"/>
  <c r="M113"/>
  <c r="L113"/>
  <c r="O112"/>
  <c r="N112"/>
  <c r="M112"/>
  <c r="L112"/>
  <c r="O111"/>
  <c r="N111"/>
  <c r="M111"/>
  <c r="L111"/>
  <c r="O110"/>
  <c r="N110"/>
  <c r="M110"/>
  <c r="L110"/>
  <c r="O109"/>
  <c r="N109"/>
  <c r="M109"/>
  <c r="L109"/>
  <c r="O108"/>
  <c r="N108"/>
  <c r="M108"/>
  <c r="L108"/>
  <c r="O107"/>
  <c r="N107"/>
  <c r="M107"/>
  <c r="L107"/>
  <c r="O106"/>
  <c r="N106"/>
  <c r="M106"/>
  <c r="L106"/>
  <c r="O105"/>
  <c r="N105"/>
  <c r="M105"/>
  <c r="L105"/>
  <c r="O104"/>
  <c r="N104"/>
  <c r="M104"/>
  <c r="L104"/>
  <c r="O103"/>
  <c r="N103"/>
  <c r="M103"/>
  <c r="L103"/>
  <c r="O102"/>
  <c r="N102"/>
  <c r="M102"/>
  <c r="L102"/>
  <c r="O101"/>
  <c r="N101"/>
  <c r="M101"/>
  <c r="L101"/>
  <c r="O100"/>
  <c r="N100"/>
  <c r="M100"/>
  <c r="L100"/>
  <c r="O99"/>
  <c r="N99"/>
  <c r="M99"/>
  <c r="L99"/>
  <c r="O98"/>
  <c r="N98"/>
  <c r="M98"/>
  <c r="L98"/>
  <c r="O97"/>
  <c r="N97"/>
  <c r="M97"/>
  <c r="L97"/>
  <c r="O96"/>
  <c r="N96"/>
  <c r="M96"/>
  <c r="L96"/>
  <c r="O95"/>
  <c r="N95"/>
  <c r="M95"/>
  <c r="L95"/>
  <c r="O94"/>
  <c r="N94"/>
  <c r="M94"/>
  <c r="L94"/>
  <c r="O93"/>
  <c r="N93"/>
  <c r="M93"/>
  <c r="L93"/>
  <c r="O92"/>
  <c r="N92"/>
  <c r="M92"/>
  <c r="L92"/>
  <c r="O91"/>
  <c r="N91"/>
  <c r="M91"/>
  <c r="L91"/>
  <c r="O90"/>
  <c r="N90"/>
  <c r="M90"/>
  <c r="L90"/>
  <c r="O89"/>
  <c r="N89"/>
  <c r="M89"/>
  <c r="L89"/>
  <c r="O88"/>
  <c r="N88"/>
  <c r="M88"/>
  <c r="L88"/>
  <c r="O87"/>
  <c r="N87"/>
  <c r="M87"/>
  <c r="L87"/>
  <c r="O86"/>
  <c r="N86"/>
  <c r="M86"/>
  <c r="L86"/>
  <c r="O85"/>
  <c r="N85"/>
  <c r="M85"/>
  <c r="L85"/>
  <c r="O84"/>
  <c r="N84"/>
  <c r="M84"/>
  <c r="L84"/>
  <c r="O83"/>
  <c r="N83"/>
  <c r="M83"/>
  <c r="L83"/>
  <c r="O82"/>
  <c r="N82"/>
  <c r="M82"/>
  <c r="L82"/>
  <c r="O81"/>
  <c r="N81"/>
  <c r="M81"/>
  <c r="L81"/>
  <c r="O80"/>
  <c r="N80"/>
  <c r="M80"/>
  <c r="L80"/>
  <c r="O79"/>
  <c r="N79"/>
  <c r="M79"/>
  <c r="L79"/>
  <c r="O78"/>
  <c r="N78"/>
  <c r="M78"/>
  <c r="L78"/>
  <c r="O77"/>
  <c r="N77"/>
  <c r="M77"/>
  <c r="L77"/>
  <c r="O76"/>
  <c r="N76"/>
  <c r="M76"/>
  <c r="L76"/>
  <c r="O75"/>
  <c r="N75"/>
  <c r="M75"/>
  <c r="L75"/>
  <c r="O74"/>
  <c r="N74"/>
  <c r="M74"/>
  <c r="L74"/>
  <c r="O73"/>
  <c r="N73"/>
  <c r="M73"/>
  <c r="L73"/>
  <c r="O72"/>
  <c r="N72"/>
  <c r="M72"/>
  <c r="L72"/>
  <c r="O71"/>
  <c r="N71"/>
  <c r="M71"/>
  <c r="L71"/>
  <c r="O70"/>
  <c r="N70"/>
  <c r="M70"/>
  <c r="L70"/>
  <c r="O69"/>
  <c r="N69"/>
  <c r="M69"/>
  <c r="L69"/>
  <c r="O68"/>
  <c r="N68"/>
  <c r="M68"/>
  <c r="L68"/>
  <c r="O67"/>
  <c r="N67"/>
  <c r="M67"/>
  <c r="L67"/>
  <c r="O66"/>
  <c r="N66"/>
  <c r="M66"/>
  <c r="L66"/>
  <c r="O65"/>
  <c r="N65"/>
  <c r="M65"/>
  <c r="L65"/>
  <c r="O64"/>
  <c r="N64"/>
  <c r="M64"/>
  <c r="L64"/>
  <c r="O63"/>
  <c r="N63"/>
  <c r="M63"/>
  <c r="L63"/>
  <c r="O62"/>
  <c r="N62"/>
  <c r="M62"/>
  <c r="L62"/>
  <c r="O61"/>
  <c r="N61"/>
  <c r="M61"/>
  <c r="L61"/>
  <c r="O60"/>
  <c r="N60"/>
  <c r="M60"/>
  <c r="L60"/>
  <c r="O59"/>
  <c r="N59"/>
  <c r="M59"/>
  <c r="L59"/>
  <c r="O58"/>
  <c r="N58"/>
  <c r="M58"/>
  <c r="L58"/>
  <c r="O57"/>
  <c r="N57"/>
  <c r="M57"/>
  <c r="L57"/>
  <c r="O56"/>
  <c r="N56"/>
  <c r="M56"/>
  <c r="L56"/>
  <c r="O55"/>
  <c r="N55"/>
  <c r="M55"/>
  <c r="L55"/>
  <c r="O54"/>
  <c r="N54"/>
  <c r="M54"/>
  <c r="L54"/>
  <c r="O53"/>
  <c r="N53"/>
  <c r="M53"/>
  <c r="L53"/>
  <c r="O52"/>
  <c r="N52"/>
  <c r="M52"/>
  <c r="L52"/>
  <c r="O51"/>
  <c r="N51"/>
  <c r="M51"/>
  <c r="L51"/>
  <c r="O50"/>
  <c r="N50"/>
  <c r="M50"/>
  <c r="L50"/>
  <c r="O49"/>
  <c r="N49"/>
  <c r="M49"/>
  <c r="L49"/>
  <c r="O48"/>
  <c r="N48"/>
  <c r="M48"/>
  <c r="L48"/>
  <c r="O47"/>
  <c r="N47"/>
  <c r="M47"/>
  <c r="L47"/>
  <c r="O46"/>
  <c r="N46"/>
  <c r="M46"/>
  <c r="L46"/>
  <c r="O45"/>
  <c r="N45"/>
  <c r="M45"/>
  <c r="L45"/>
  <c r="O44"/>
  <c r="N44"/>
  <c r="M44"/>
  <c r="L44"/>
  <c r="O43"/>
  <c r="N43"/>
  <c r="M43"/>
  <c r="L43"/>
  <c r="O42"/>
  <c r="N42"/>
  <c r="M42"/>
  <c r="L42"/>
  <c r="O41"/>
  <c r="N41"/>
  <c r="M41"/>
  <c r="L41"/>
  <c r="O40"/>
  <c r="N40"/>
  <c r="M40"/>
  <c r="L40"/>
  <c r="O39"/>
  <c r="N39"/>
  <c r="M39"/>
  <c r="L39"/>
  <c r="O38"/>
  <c r="N38"/>
  <c r="M38"/>
  <c r="L38"/>
  <c r="O37"/>
  <c r="N37"/>
  <c r="M37"/>
  <c r="L37"/>
  <c r="O36"/>
  <c r="N36"/>
  <c r="M36"/>
  <c r="L36"/>
  <c r="O35"/>
  <c r="N35"/>
  <c r="M35"/>
  <c r="L35"/>
  <c r="O34"/>
  <c r="N34"/>
  <c r="M34"/>
  <c r="L34"/>
  <c r="O33"/>
  <c r="N33"/>
  <c r="M33"/>
  <c r="L33"/>
  <c r="O32"/>
  <c r="N32"/>
  <c r="M32"/>
  <c r="L32"/>
  <c r="O31"/>
  <c r="N31"/>
  <c r="M31"/>
  <c r="L31"/>
  <c r="O30"/>
  <c r="N30"/>
  <c r="M30"/>
  <c r="L30"/>
  <c r="O29"/>
  <c r="N29"/>
  <c r="M29"/>
  <c r="L29"/>
  <c r="O28"/>
  <c r="N28"/>
  <c r="M28"/>
  <c r="L28"/>
  <c r="O27"/>
  <c r="N27"/>
  <c r="M27"/>
  <c r="L27"/>
  <c r="O26"/>
  <c r="N26"/>
  <c r="M26"/>
  <c r="L26"/>
  <c r="O25"/>
  <c r="N25"/>
  <c r="M25"/>
  <c r="L25"/>
  <c r="O24"/>
  <c r="N24"/>
  <c r="M24"/>
  <c r="L24"/>
  <c r="O23"/>
  <c r="N23"/>
  <c r="M23"/>
  <c r="L23"/>
  <c r="O22"/>
  <c r="N22"/>
  <c r="M22"/>
  <c r="L22"/>
  <c r="O21"/>
  <c r="N21"/>
  <c r="M21"/>
  <c r="L21"/>
  <c r="O20"/>
  <c r="N20"/>
  <c r="M20"/>
  <c r="L20"/>
  <c r="O19"/>
  <c r="N19"/>
  <c r="M19"/>
  <c r="L19"/>
  <c r="O18"/>
  <c r="N18"/>
  <c r="M18"/>
  <c r="L18"/>
  <c r="O17"/>
  <c r="N17"/>
  <c r="M17"/>
  <c r="L17"/>
  <c r="O16"/>
  <c r="N16"/>
  <c r="M16"/>
  <c r="L16"/>
  <c r="O15"/>
  <c r="N15"/>
  <c r="M15"/>
  <c r="L15"/>
  <c r="O14"/>
  <c r="N14"/>
  <c r="M14"/>
  <c r="L14"/>
  <c r="O13"/>
  <c r="N13"/>
  <c r="M13"/>
  <c r="L13"/>
  <c r="O12"/>
  <c r="N12"/>
  <c r="M12"/>
  <c r="L12"/>
  <c r="O11"/>
  <c r="N11"/>
  <c r="M11"/>
  <c r="L11"/>
  <c r="O10"/>
  <c r="N10"/>
  <c r="M10"/>
  <c r="L10"/>
  <c r="O9"/>
  <c r="N9"/>
  <c r="M9"/>
  <c r="L9"/>
  <c r="O8"/>
  <c r="N8"/>
  <c r="M8"/>
  <c r="L8"/>
  <c r="O7"/>
  <c r="N7"/>
  <c r="M7"/>
  <c r="L7"/>
  <c r="O6"/>
  <c r="F63" i="1" s="1"/>
  <c r="N6" i="73"/>
  <c r="F62" i="1" s="1"/>
  <c r="M6" i="73"/>
  <c r="F61" i="1" s="1"/>
  <c r="L6" i="73"/>
  <c r="F60" i="1" s="1"/>
  <c r="S126" i="72"/>
  <c r="R126"/>
  <c r="Q126"/>
  <c r="P126"/>
  <c r="S125"/>
  <c r="R125"/>
  <c r="Q125"/>
  <c r="P125"/>
  <c r="S124"/>
  <c r="R124"/>
  <c r="Q124"/>
  <c r="P124"/>
  <c r="S123"/>
  <c r="R123"/>
  <c r="Q123"/>
  <c r="P123"/>
  <c r="S122"/>
  <c r="R122"/>
  <c r="Q122"/>
  <c r="P122"/>
  <c r="S121"/>
  <c r="R121"/>
  <c r="Q121"/>
  <c r="P121"/>
  <c r="S120"/>
  <c r="R120"/>
  <c r="Q120"/>
  <c r="P120"/>
  <c r="S119"/>
  <c r="R119"/>
  <c r="Q119"/>
  <c r="P119"/>
  <c r="S118"/>
  <c r="R118"/>
  <c r="Q118"/>
  <c r="P118"/>
  <c r="S117"/>
  <c r="R117"/>
  <c r="Q117"/>
  <c r="P117"/>
  <c r="S116"/>
  <c r="R116"/>
  <c r="Q116"/>
  <c r="P116"/>
  <c r="S115"/>
  <c r="R115"/>
  <c r="Q115"/>
  <c r="P115"/>
  <c r="S114"/>
  <c r="R114"/>
  <c r="Q114"/>
  <c r="P114"/>
  <c r="S113"/>
  <c r="R113"/>
  <c r="Q113"/>
  <c r="P113"/>
  <c r="S112"/>
  <c r="R112"/>
  <c r="Q112"/>
  <c r="P112"/>
  <c r="S111"/>
  <c r="R111"/>
  <c r="Q111"/>
  <c r="P111"/>
  <c r="S110"/>
  <c r="R110"/>
  <c r="Q110"/>
  <c r="P110"/>
  <c r="S109"/>
  <c r="R109"/>
  <c r="Q109"/>
  <c r="P109"/>
  <c r="S108"/>
  <c r="R108"/>
  <c r="Q108"/>
  <c r="P108"/>
  <c r="S107"/>
  <c r="R107"/>
  <c r="Q107"/>
  <c r="P107"/>
  <c r="S106"/>
  <c r="R106"/>
  <c r="Q106"/>
  <c r="P106"/>
  <c r="S105"/>
  <c r="R105"/>
  <c r="Q105"/>
  <c r="P105"/>
  <c r="S104"/>
  <c r="R104"/>
  <c r="Q104"/>
  <c r="P104"/>
  <c r="S103"/>
  <c r="R103"/>
  <c r="Q103"/>
  <c r="P103"/>
  <c r="S102"/>
  <c r="R102"/>
  <c r="Q102"/>
  <c r="P102"/>
  <c r="S101"/>
  <c r="R101"/>
  <c r="Q101"/>
  <c r="P101"/>
  <c r="S100"/>
  <c r="R100"/>
  <c r="Q100"/>
  <c r="P100"/>
  <c r="S99"/>
  <c r="R99"/>
  <c r="Q99"/>
  <c r="P99"/>
  <c r="S98"/>
  <c r="R98"/>
  <c r="Q98"/>
  <c r="P98"/>
  <c r="S97"/>
  <c r="R97"/>
  <c r="Q97"/>
  <c r="P97"/>
  <c r="S96"/>
  <c r="R96"/>
  <c r="Q96"/>
  <c r="P96"/>
  <c r="S95"/>
  <c r="R95"/>
  <c r="Q95"/>
  <c r="P95"/>
  <c r="S94"/>
  <c r="R94"/>
  <c r="Q94"/>
  <c r="P94"/>
  <c r="S93"/>
  <c r="R93"/>
  <c r="Q93"/>
  <c r="P93"/>
  <c r="S92"/>
  <c r="R92"/>
  <c r="Q92"/>
  <c r="P92"/>
  <c r="S91"/>
  <c r="R91"/>
  <c r="Q91"/>
  <c r="P91"/>
  <c r="S90"/>
  <c r="R90"/>
  <c r="Q90"/>
  <c r="P90"/>
  <c r="S89"/>
  <c r="R89"/>
  <c r="Q89"/>
  <c r="P89"/>
  <c r="S88"/>
  <c r="R88"/>
  <c r="Q88"/>
  <c r="P88"/>
  <c r="S87"/>
  <c r="R87"/>
  <c r="Q87"/>
  <c r="P87"/>
  <c r="S86"/>
  <c r="R86"/>
  <c r="Q86"/>
  <c r="P86"/>
  <c r="S85"/>
  <c r="R85"/>
  <c r="Q85"/>
  <c r="P85"/>
  <c r="S84"/>
  <c r="R84"/>
  <c r="Q84"/>
  <c r="P84"/>
  <c r="S83"/>
  <c r="R83"/>
  <c r="Q83"/>
  <c r="P83"/>
  <c r="S82"/>
  <c r="R82"/>
  <c r="Q82"/>
  <c r="P82"/>
  <c r="S81"/>
  <c r="R81"/>
  <c r="Q81"/>
  <c r="P81"/>
  <c r="S80"/>
  <c r="R80"/>
  <c r="Q80"/>
  <c r="P80"/>
  <c r="S79"/>
  <c r="R79"/>
  <c r="Q79"/>
  <c r="P79"/>
  <c r="S78"/>
  <c r="R78"/>
  <c r="Q78"/>
  <c r="P78"/>
  <c r="S77"/>
  <c r="R77"/>
  <c r="Q77"/>
  <c r="P77"/>
  <c r="S76"/>
  <c r="R76"/>
  <c r="Q76"/>
  <c r="P76"/>
  <c r="S75"/>
  <c r="R75"/>
  <c r="Q75"/>
  <c r="P75"/>
  <c r="S74"/>
  <c r="R74"/>
  <c r="Q74"/>
  <c r="P74"/>
  <c r="S73"/>
  <c r="R73"/>
  <c r="Q73"/>
  <c r="P73"/>
  <c r="S72"/>
  <c r="R72"/>
  <c r="Q72"/>
  <c r="P72"/>
  <c r="S71"/>
  <c r="R71"/>
  <c r="Q71"/>
  <c r="P71"/>
  <c r="S70"/>
  <c r="R70"/>
  <c r="Q70"/>
  <c r="P70"/>
  <c r="S69"/>
  <c r="R69"/>
  <c r="Q69"/>
  <c r="P69"/>
  <c r="S68"/>
  <c r="R68"/>
  <c r="Q68"/>
  <c r="P68"/>
  <c r="S67"/>
  <c r="R67"/>
  <c r="Q67"/>
  <c r="P67"/>
  <c r="S66"/>
  <c r="R66"/>
  <c r="Q66"/>
  <c r="P66"/>
  <c r="S65"/>
  <c r="R65"/>
  <c r="Q65"/>
  <c r="P65"/>
  <c r="S64"/>
  <c r="R64"/>
  <c r="Q64"/>
  <c r="P64"/>
  <c r="S63"/>
  <c r="R63"/>
  <c r="Q63"/>
  <c r="P63"/>
  <c r="S62"/>
  <c r="R62"/>
  <c r="Q62"/>
  <c r="P62"/>
  <c r="S61"/>
  <c r="R61"/>
  <c r="Q61"/>
  <c r="P61"/>
  <c r="S60"/>
  <c r="R60"/>
  <c r="Q60"/>
  <c r="P60"/>
  <c r="S59"/>
  <c r="R59"/>
  <c r="Q59"/>
  <c r="P59"/>
  <c r="S58"/>
  <c r="R58"/>
  <c r="Q58"/>
  <c r="P58"/>
  <c r="S57"/>
  <c r="R57"/>
  <c r="Q57"/>
  <c r="P57"/>
  <c r="S56"/>
  <c r="R56"/>
  <c r="Q56"/>
  <c r="P56"/>
  <c r="S55"/>
  <c r="R55"/>
  <c r="Q55"/>
  <c r="P55"/>
  <c r="S54"/>
  <c r="R54"/>
  <c r="Q54"/>
  <c r="P54"/>
  <c r="S53"/>
  <c r="R53"/>
  <c r="Q53"/>
  <c r="P53"/>
  <c r="S52"/>
  <c r="R52"/>
  <c r="Q52"/>
  <c r="P52"/>
  <c r="S51"/>
  <c r="R51"/>
  <c r="Q51"/>
  <c r="P51"/>
  <c r="S50"/>
  <c r="R50"/>
  <c r="Q50"/>
  <c r="P50"/>
  <c r="S49"/>
  <c r="R49"/>
  <c r="Q49"/>
  <c r="P49"/>
  <c r="S48"/>
  <c r="R48"/>
  <c r="Q48"/>
  <c r="P48"/>
  <c r="S47"/>
  <c r="R47"/>
  <c r="Q47"/>
  <c r="P47"/>
  <c r="S46"/>
  <c r="R46"/>
  <c r="Q46"/>
  <c r="P46"/>
  <c r="S45"/>
  <c r="R45"/>
  <c r="Q45"/>
  <c r="P45"/>
  <c r="S44"/>
  <c r="R44"/>
  <c r="Q44"/>
  <c r="P44"/>
  <c r="S43"/>
  <c r="R43"/>
  <c r="Q43"/>
  <c r="P43"/>
  <c r="S42"/>
  <c r="R42"/>
  <c r="Q42"/>
  <c r="P42"/>
  <c r="S41"/>
  <c r="R41"/>
  <c r="Q41"/>
  <c r="P41"/>
  <c r="S40"/>
  <c r="R40"/>
  <c r="Q40"/>
  <c r="P40"/>
  <c r="S39"/>
  <c r="R39"/>
  <c r="Q39"/>
  <c r="P39"/>
  <c r="S38"/>
  <c r="R38"/>
  <c r="Q38"/>
  <c r="P38"/>
  <c r="S37"/>
  <c r="R37"/>
  <c r="Q37"/>
  <c r="P37"/>
  <c r="S36"/>
  <c r="R36"/>
  <c r="Q36"/>
  <c r="P36"/>
  <c r="S35"/>
  <c r="R35"/>
  <c r="Q35"/>
  <c r="P35"/>
  <c r="S34"/>
  <c r="R34"/>
  <c r="Q34"/>
  <c r="P34"/>
  <c r="S33"/>
  <c r="R33"/>
  <c r="Q33"/>
  <c r="P33"/>
  <c r="S32"/>
  <c r="R32"/>
  <c r="Q32"/>
  <c r="P32"/>
  <c r="S31"/>
  <c r="R31"/>
  <c r="Q31"/>
  <c r="P31"/>
  <c r="S30"/>
  <c r="R30"/>
  <c r="Q30"/>
  <c r="P30"/>
  <c r="S29"/>
  <c r="R29"/>
  <c r="Q29"/>
  <c r="P29"/>
  <c r="S28"/>
  <c r="R28"/>
  <c r="Q28"/>
  <c r="P28"/>
  <c r="S27"/>
  <c r="R27"/>
  <c r="Q27"/>
  <c r="P27"/>
  <c r="S26"/>
  <c r="R26"/>
  <c r="Q26"/>
  <c r="P26"/>
  <c r="S25"/>
  <c r="R25"/>
  <c r="Q25"/>
  <c r="P25"/>
  <c r="S24"/>
  <c r="R24"/>
  <c r="Q24"/>
  <c r="P24"/>
  <c r="S23"/>
  <c r="R23"/>
  <c r="Q23"/>
  <c r="P23"/>
  <c r="S22"/>
  <c r="R22"/>
  <c r="Q22"/>
  <c r="P22"/>
  <c r="S21"/>
  <c r="R21"/>
  <c r="Q21"/>
  <c r="P21"/>
  <c r="S20"/>
  <c r="R20"/>
  <c r="Q20"/>
  <c r="P20"/>
  <c r="S19"/>
  <c r="R19"/>
  <c r="Q19"/>
  <c r="P19"/>
  <c r="S18"/>
  <c r="R18"/>
  <c r="Q18"/>
  <c r="P18"/>
  <c r="S17"/>
  <c r="R17"/>
  <c r="Q17"/>
  <c r="P17"/>
  <c r="S16"/>
  <c r="R16"/>
  <c r="Q16"/>
  <c r="P16"/>
  <c r="S15"/>
  <c r="R15"/>
  <c r="Q15"/>
  <c r="P15"/>
  <c r="S14"/>
  <c r="R14"/>
  <c r="Q14"/>
  <c r="P14"/>
  <c r="S13"/>
  <c r="R13"/>
  <c r="Q13"/>
  <c r="P13"/>
  <c r="S12"/>
  <c r="R12"/>
  <c r="Q12"/>
  <c r="P12"/>
  <c r="S11"/>
  <c r="R11"/>
  <c r="Q11"/>
  <c r="P11"/>
  <c r="S10"/>
  <c r="R10"/>
  <c r="Q10"/>
  <c r="P10"/>
  <c r="S9"/>
  <c r="R9"/>
  <c r="Q9"/>
  <c r="P9"/>
  <c r="S8"/>
  <c r="R8"/>
  <c r="Q8"/>
  <c r="P8"/>
  <c r="S7"/>
  <c r="R7"/>
  <c r="Q7"/>
  <c r="P7"/>
  <c r="S6"/>
  <c r="R6"/>
  <c r="Q6"/>
  <c r="P6"/>
  <c r="O126" i="85"/>
  <c r="K126"/>
  <c r="G126"/>
  <c r="O125"/>
  <c r="K125"/>
  <c r="G125"/>
  <c r="O124"/>
  <c r="K124"/>
  <c r="G124"/>
  <c r="O123"/>
  <c r="K123"/>
  <c r="G123"/>
  <c r="O122"/>
  <c r="K122"/>
  <c r="G122"/>
  <c r="O121"/>
  <c r="K121"/>
  <c r="G121"/>
  <c r="O120"/>
  <c r="K120"/>
  <c r="G120"/>
  <c r="O119"/>
  <c r="K119"/>
  <c r="G119"/>
  <c r="O118"/>
  <c r="K118"/>
  <c r="G118"/>
  <c r="O117"/>
  <c r="K117"/>
  <c r="G117"/>
  <c r="O116"/>
  <c r="K116"/>
  <c r="G116"/>
  <c r="O115"/>
  <c r="K115"/>
  <c r="G115"/>
  <c r="O114"/>
  <c r="K114"/>
  <c r="G114"/>
  <c r="O113"/>
  <c r="K113"/>
  <c r="G113"/>
  <c r="O112"/>
  <c r="K112"/>
  <c r="G112"/>
  <c r="O111"/>
  <c r="K111"/>
  <c r="G111"/>
  <c r="T111" s="1"/>
  <c r="O110"/>
  <c r="K110"/>
  <c r="G110"/>
  <c r="O109"/>
  <c r="K109"/>
  <c r="G109"/>
  <c r="O108"/>
  <c r="K108"/>
  <c r="G108"/>
  <c r="O107"/>
  <c r="K107"/>
  <c r="G107"/>
  <c r="O106"/>
  <c r="K106"/>
  <c r="G106"/>
  <c r="O105"/>
  <c r="K105"/>
  <c r="G105"/>
  <c r="O104"/>
  <c r="K104"/>
  <c r="G104"/>
  <c r="O103"/>
  <c r="K103"/>
  <c r="G103"/>
  <c r="O102"/>
  <c r="K102"/>
  <c r="G102"/>
  <c r="O101"/>
  <c r="K101"/>
  <c r="G101"/>
  <c r="O100"/>
  <c r="K100"/>
  <c r="G100"/>
  <c r="O99"/>
  <c r="K99"/>
  <c r="G99"/>
  <c r="O98"/>
  <c r="K98"/>
  <c r="G98"/>
  <c r="O97"/>
  <c r="K97"/>
  <c r="G97"/>
  <c r="O96"/>
  <c r="K96"/>
  <c r="G96"/>
  <c r="O95"/>
  <c r="K95"/>
  <c r="G95"/>
  <c r="O94"/>
  <c r="K94"/>
  <c r="G94"/>
  <c r="O93"/>
  <c r="K93"/>
  <c r="G93"/>
  <c r="O92"/>
  <c r="K92"/>
  <c r="G92"/>
  <c r="O91"/>
  <c r="K91"/>
  <c r="G91"/>
  <c r="O90"/>
  <c r="K90"/>
  <c r="G90"/>
  <c r="O89"/>
  <c r="K89"/>
  <c r="G89"/>
  <c r="O88"/>
  <c r="K88"/>
  <c r="G88"/>
  <c r="O87"/>
  <c r="K87"/>
  <c r="G87"/>
  <c r="O86"/>
  <c r="K86"/>
  <c r="G86"/>
  <c r="O85"/>
  <c r="K85"/>
  <c r="G85"/>
  <c r="O84"/>
  <c r="K84"/>
  <c r="G84"/>
  <c r="O83"/>
  <c r="K83"/>
  <c r="G83"/>
  <c r="O82"/>
  <c r="K82"/>
  <c r="G82"/>
  <c r="O81"/>
  <c r="K81"/>
  <c r="G81"/>
  <c r="O80"/>
  <c r="K80"/>
  <c r="G80"/>
  <c r="O79"/>
  <c r="K79"/>
  <c r="G79"/>
  <c r="O78"/>
  <c r="K78"/>
  <c r="G78"/>
  <c r="O77"/>
  <c r="K77"/>
  <c r="G77"/>
  <c r="O76"/>
  <c r="K76"/>
  <c r="G76"/>
  <c r="O75"/>
  <c r="K75"/>
  <c r="G75"/>
  <c r="O74"/>
  <c r="K74"/>
  <c r="G74"/>
  <c r="O73"/>
  <c r="K73"/>
  <c r="G73"/>
  <c r="O72"/>
  <c r="K72"/>
  <c r="G72"/>
  <c r="O71"/>
  <c r="K71"/>
  <c r="G71"/>
  <c r="O70"/>
  <c r="K70"/>
  <c r="G70"/>
  <c r="O69"/>
  <c r="K69"/>
  <c r="G69"/>
  <c r="O68"/>
  <c r="K68"/>
  <c r="G68"/>
  <c r="O67"/>
  <c r="K67"/>
  <c r="G67"/>
  <c r="O66"/>
  <c r="K66"/>
  <c r="G66"/>
  <c r="O65"/>
  <c r="K65"/>
  <c r="G65"/>
  <c r="O64"/>
  <c r="K64"/>
  <c r="G64"/>
  <c r="O63"/>
  <c r="K63"/>
  <c r="G63"/>
  <c r="P63" s="1"/>
  <c r="O62"/>
  <c r="K62"/>
  <c r="G62"/>
  <c r="O61"/>
  <c r="K61"/>
  <c r="G61"/>
  <c r="O60"/>
  <c r="K60"/>
  <c r="T60" s="1"/>
  <c r="G60"/>
  <c r="O59"/>
  <c r="K59"/>
  <c r="G59"/>
  <c r="O58"/>
  <c r="K58"/>
  <c r="G58"/>
  <c r="O57"/>
  <c r="K57"/>
  <c r="G57"/>
  <c r="O56"/>
  <c r="K56"/>
  <c r="G56"/>
  <c r="O55"/>
  <c r="K55"/>
  <c r="G55"/>
  <c r="O54"/>
  <c r="K54"/>
  <c r="G54"/>
  <c r="O53"/>
  <c r="K53"/>
  <c r="G53"/>
  <c r="O52"/>
  <c r="K52"/>
  <c r="G52"/>
  <c r="O51"/>
  <c r="K51"/>
  <c r="G51"/>
  <c r="O50"/>
  <c r="K50"/>
  <c r="G50"/>
  <c r="O49"/>
  <c r="K49"/>
  <c r="G49"/>
  <c r="O48"/>
  <c r="K48"/>
  <c r="G48"/>
  <c r="O47"/>
  <c r="K47"/>
  <c r="G47"/>
  <c r="O46"/>
  <c r="K46"/>
  <c r="G46"/>
  <c r="O45"/>
  <c r="K45"/>
  <c r="G45"/>
  <c r="O44"/>
  <c r="K44"/>
  <c r="G44"/>
  <c r="O43"/>
  <c r="K43"/>
  <c r="G43"/>
  <c r="O42"/>
  <c r="K42"/>
  <c r="G42"/>
  <c r="O41"/>
  <c r="K41"/>
  <c r="G41"/>
  <c r="O40"/>
  <c r="K40"/>
  <c r="G40"/>
  <c r="O39"/>
  <c r="K39"/>
  <c r="G39"/>
  <c r="O38"/>
  <c r="K38"/>
  <c r="G38"/>
  <c r="O37"/>
  <c r="K37"/>
  <c r="G37"/>
  <c r="O36"/>
  <c r="K36"/>
  <c r="G36"/>
  <c r="O35"/>
  <c r="K35"/>
  <c r="G35"/>
  <c r="O34"/>
  <c r="K34"/>
  <c r="G34"/>
  <c r="O33"/>
  <c r="K33"/>
  <c r="G33"/>
  <c r="O32"/>
  <c r="K32"/>
  <c r="G32"/>
  <c r="O31"/>
  <c r="K31"/>
  <c r="G31"/>
  <c r="O30"/>
  <c r="K30"/>
  <c r="G30"/>
  <c r="O29"/>
  <c r="K29"/>
  <c r="G29"/>
  <c r="O28"/>
  <c r="K28"/>
  <c r="G28"/>
  <c r="O27"/>
  <c r="K27"/>
  <c r="G27"/>
  <c r="O26"/>
  <c r="K26"/>
  <c r="G26"/>
  <c r="O25"/>
  <c r="K25"/>
  <c r="G25"/>
  <c r="O24"/>
  <c r="K24"/>
  <c r="G24"/>
  <c r="O23"/>
  <c r="K23"/>
  <c r="G23"/>
  <c r="O22"/>
  <c r="K22"/>
  <c r="G22"/>
  <c r="O21"/>
  <c r="K21"/>
  <c r="G21"/>
  <c r="O20"/>
  <c r="K20"/>
  <c r="G20"/>
  <c r="O19"/>
  <c r="K19"/>
  <c r="G19"/>
  <c r="O18"/>
  <c r="K18"/>
  <c r="G18"/>
  <c r="O17"/>
  <c r="K17"/>
  <c r="G17"/>
  <c r="O16"/>
  <c r="K16"/>
  <c r="G16"/>
  <c r="O15"/>
  <c r="K15"/>
  <c r="G15"/>
  <c r="O14"/>
  <c r="K14"/>
  <c r="G14"/>
  <c r="O13"/>
  <c r="K13"/>
  <c r="G13"/>
  <c r="O12"/>
  <c r="K12"/>
  <c r="G12"/>
  <c r="O11"/>
  <c r="K11"/>
  <c r="G11"/>
  <c r="O10"/>
  <c r="K10"/>
  <c r="G10"/>
  <c r="O9"/>
  <c r="K9"/>
  <c r="G9"/>
  <c r="O8"/>
  <c r="K8"/>
  <c r="G8"/>
  <c r="O7"/>
  <c r="K7"/>
  <c r="G7"/>
  <c r="N6"/>
  <c r="M6"/>
  <c r="L6"/>
  <c r="J6"/>
  <c r="I6"/>
  <c r="H6"/>
  <c r="F6"/>
  <c r="E6"/>
  <c r="D6"/>
  <c r="D125" i="46"/>
  <c r="C123"/>
  <c r="F122"/>
  <c r="E122"/>
  <c r="D122"/>
  <c r="F121"/>
  <c r="E121"/>
  <c r="D121"/>
  <c r="F120"/>
  <c r="E120"/>
  <c r="D120"/>
  <c r="F119"/>
  <c r="E119"/>
  <c r="D119"/>
  <c r="F118"/>
  <c r="E118"/>
  <c r="D118"/>
  <c r="F117"/>
  <c r="E117"/>
  <c r="D117"/>
  <c r="F116"/>
  <c r="E116"/>
  <c r="D116"/>
  <c r="F115"/>
  <c r="E115"/>
  <c r="D115"/>
  <c r="F114"/>
  <c r="E114"/>
  <c r="D114"/>
  <c r="F113"/>
  <c r="E113"/>
  <c r="D113"/>
  <c r="F112"/>
  <c r="E112"/>
  <c r="D112"/>
  <c r="F111"/>
  <c r="E111"/>
  <c r="D111"/>
  <c r="F110"/>
  <c r="E110"/>
  <c r="D110"/>
  <c r="F109"/>
  <c r="E109"/>
  <c r="D109"/>
  <c r="F108"/>
  <c r="E108"/>
  <c r="D108"/>
  <c r="F107"/>
  <c r="E107"/>
  <c r="D107"/>
  <c r="F106"/>
  <c r="E106"/>
  <c r="D106"/>
  <c r="F105"/>
  <c r="E105"/>
  <c r="D105"/>
  <c r="F104"/>
  <c r="E104"/>
  <c r="D104"/>
  <c r="F103"/>
  <c r="E103"/>
  <c r="D103"/>
  <c r="F102"/>
  <c r="E102"/>
  <c r="D102"/>
  <c r="F101"/>
  <c r="E101"/>
  <c r="D101"/>
  <c r="F100"/>
  <c r="E100"/>
  <c r="D100"/>
  <c r="F99"/>
  <c r="E99"/>
  <c r="D99"/>
  <c r="F98"/>
  <c r="E98"/>
  <c r="D98"/>
  <c r="F97"/>
  <c r="E97"/>
  <c r="D97"/>
  <c r="F96"/>
  <c r="E96"/>
  <c r="D96"/>
  <c r="F95"/>
  <c r="E95"/>
  <c r="D95"/>
  <c r="F94"/>
  <c r="E94"/>
  <c r="D94"/>
  <c r="F93"/>
  <c r="E93"/>
  <c r="D93"/>
  <c r="F92"/>
  <c r="E92"/>
  <c r="D92"/>
  <c r="F91"/>
  <c r="E91"/>
  <c r="D91"/>
  <c r="F90"/>
  <c r="E90"/>
  <c r="D90"/>
  <c r="F89"/>
  <c r="E89"/>
  <c r="D89"/>
  <c r="F88"/>
  <c r="E88"/>
  <c r="D88"/>
  <c r="F87"/>
  <c r="E87"/>
  <c r="D87"/>
  <c r="F86"/>
  <c r="E86"/>
  <c r="D86"/>
  <c r="F85"/>
  <c r="E85"/>
  <c r="D85"/>
  <c r="F84"/>
  <c r="E84"/>
  <c r="D84"/>
  <c r="F83"/>
  <c r="E83"/>
  <c r="D83"/>
  <c r="F82"/>
  <c r="E82"/>
  <c r="D82"/>
  <c r="F81"/>
  <c r="E81"/>
  <c r="D81"/>
  <c r="F80"/>
  <c r="E80"/>
  <c r="D80"/>
  <c r="F79"/>
  <c r="E79"/>
  <c r="D79"/>
  <c r="F78"/>
  <c r="E78"/>
  <c r="D78"/>
  <c r="F77"/>
  <c r="E77"/>
  <c r="D77"/>
  <c r="F76"/>
  <c r="E76"/>
  <c r="D76"/>
  <c r="F75"/>
  <c r="E75"/>
  <c r="D75"/>
  <c r="F74"/>
  <c r="E74"/>
  <c r="D74"/>
  <c r="F73"/>
  <c r="E73"/>
  <c r="D73"/>
  <c r="F72"/>
  <c r="E72"/>
  <c r="D72"/>
  <c r="F71"/>
  <c r="E71"/>
  <c r="D71"/>
  <c r="F70"/>
  <c r="E70"/>
  <c r="D70"/>
  <c r="F69"/>
  <c r="E69"/>
  <c r="D69"/>
  <c r="F68"/>
  <c r="E68"/>
  <c r="D68"/>
  <c r="F67"/>
  <c r="E67"/>
  <c r="D67"/>
  <c r="F66"/>
  <c r="E66"/>
  <c r="D66"/>
  <c r="F65"/>
  <c r="E65"/>
  <c r="D65"/>
  <c r="F64"/>
  <c r="E64"/>
  <c r="D64"/>
  <c r="F63"/>
  <c r="E63"/>
  <c r="D63"/>
  <c r="F62"/>
  <c r="E62"/>
  <c r="D62"/>
  <c r="F61"/>
  <c r="E61"/>
  <c r="D61"/>
  <c r="F60"/>
  <c r="E60"/>
  <c r="D60"/>
  <c r="F59"/>
  <c r="E59"/>
  <c r="D59"/>
  <c r="F58"/>
  <c r="E58"/>
  <c r="D58"/>
  <c r="F57"/>
  <c r="E57"/>
  <c r="D57"/>
  <c r="F56"/>
  <c r="E56"/>
  <c r="D56"/>
  <c r="F55"/>
  <c r="E55"/>
  <c r="D55"/>
  <c r="F54"/>
  <c r="E54"/>
  <c r="D54"/>
  <c r="F53"/>
  <c r="E53"/>
  <c r="D53"/>
  <c r="F52"/>
  <c r="E52"/>
  <c r="D52"/>
  <c r="F51"/>
  <c r="E51"/>
  <c r="D51"/>
  <c r="F50"/>
  <c r="E50"/>
  <c r="D50"/>
  <c r="F49"/>
  <c r="E49"/>
  <c r="D49"/>
  <c r="F48"/>
  <c r="E48"/>
  <c r="D48"/>
  <c r="F47"/>
  <c r="E47"/>
  <c r="D47"/>
  <c r="F46"/>
  <c r="E46"/>
  <c r="D46"/>
  <c r="F45"/>
  <c r="E45"/>
  <c r="D45"/>
  <c r="F44"/>
  <c r="E44"/>
  <c r="D44"/>
  <c r="F43"/>
  <c r="E43"/>
  <c r="D43"/>
  <c r="F42"/>
  <c r="E42"/>
  <c r="D42"/>
  <c r="F41"/>
  <c r="E41"/>
  <c r="D41"/>
  <c r="F40"/>
  <c r="E40"/>
  <c r="D40"/>
  <c r="F39"/>
  <c r="E39"/>
  <c r="D39"/>
  <c r="F38"/>
  <c r="E38"/>
  <c r="D38"/>
  <c r="F37"/>
  <c r="E37"/>
  <c r="D37"/>
  <c r="F36"/>
  <c r="E36"/>
  <c r="D36"/>
  <c r="F35"/>
  <c r="E35"/>
  <c r="D35"/>
  <c r="F34"/>
  <c r="E34"/>
  <c r="D34"/>
  <c r="F33"/>
  <c r="E33"/>
  <c r="D33"/>
  <c r="F32"/>
  <c r="E32"/>
  <c r="D32"/>
  <c r="F31"/>
  <c r="E31"/>
  <c r="D31"/>
  <c r="F30"/>
  <c r="E30"/>
  <c r="D30"/>
  <c r="F29"/>
  <c r="E29"/>
  <c r="D29"/>
  <c r="F28"/>
  <c r="E28"/>
  <c r="D28"/>
  <c r="F27"/>
  <c r="E27"/>
  <c r="D27"/>
  <c r="F26"/>
  <c r="E26"/>
  <c r="D26"/>
  <c r="F25"/>
  <c r="E25"/>
  <c r="D25"/>
  <c r="F24"/>
  <c r="E24"/>
  <c r="D24"/>
  <c r="F23"/>
  <c r="E23"/>
  <c r="D23"/>
  <c r="F22"/>
  <c r="E22"/>
  <c r="D22"/>
  <c r="F21"/>
  <c r="E21"/>
  <c r="D21"/>
  <c r="F20"/>
  <c r="E20"/>
  <c r="D20"/>
  <c r="F19"/>
  <c r="E19"/>
  <c r="D19"/>
  <c r="F18"/>
  <c r="E18"/>
  <c r="D18"/>
  <c r="F17"/>
  <c r="E17"/>
  <c r="D17"/>
  <c r="F16"/>
  <c r="E16"/>
  <c r="D16"/>
  <c r="F15"/>
  <c r="E15"/>
  <c r="D15"/>
  <c r="F14"/>
  <c r="E14"/>
  <c r="D14"/>
  <c r="F13"/>
  <c r="E13"/>
  <c r="D13"/>
  <c r="F12"/>
  <c r="E12"/>
  <c r="D12"/>
  <c r="F11"/>
  <c r="E11"/>
  <c r="D11"/>
  <c r="F10"/>
  <c r="E10"/>
  <c r="D10"/>
  <c r="F9"/>
  <c r="E9"/>
  <c r="D9"/>
  <c r="F8"/>
  <c r="E8"/>
  <c r="D8"/>
  <c r="F7"/>
  <c r="E7"/>
  <c r="D7"/>
  <c r="F6"/>
  <c r="E6"/>
  <c r="D6"/>
  <c r="F5"/>
  <c r="E5"/>
  <c r="D5"/>
  <c r="F4"/>
  <c r="E4"/>
  <c r="D4"/>
  <c r="F3"/>
  <c r="F123" s="1"/>
  <c r="E3"/>
  <c r="E123" s="1"/>
  <c r="D3"/>
  <c r="D123" s="1"/>
  <c r="AL4" i="62"/>
  <c r="AK4"/>
  <c r="AJ4"/>
  <c r="AI4"/>
  <c r="AH4"/>
  <c r="AF4"/>
  <c r="AE4"/>
  <c r="AD4"/>
  <c r="AC4"/>
  <c r="AB4"/>
  <c r="N4"/>
  <c r="M4"/>
  <c r="L4"/>
  <c r="K4"/>
  <c r="J4"/>
  <c r="E4" i="59"/>
  <c r="D4"/>
  <c r="AL4" i="60"/>
  <c r="AK4"/>
  <c r="AJ4"/>
  <c r="AI4"/>
  <c r="AH4"/>
  <c r="AD4"/>
  <c r="AC4"/>
  <c r="AB4"/>
  <c r="AA4"/>
  <c r="Z4"/>
  <c r="V4"/>
  <c r="U4"/>
  <c r="T4"/>
  <c r="S4"/>
  <c r="R4"/>
  <c r="N4"/>
  <c r="M4"/>
  <c r="L4"/>
  <c r="K4"/>
  <c r="J4"/>
  <c r="E4" i="58"/>
  <c r="D4"/>
  <c r="M4" i="57"/>
  <c r="L4"/>
  <c r="K4"/>
  <c r="J4"/>
  <c r="I4"/>
  <c r="H4"/>
  <c r="DZ5" i="56"/>
  <c r="DY5"/>
  <c r="DX5"/>
  <c r="DW5"/>
  <c r="DV5"/>
  <c r="DT5"/>
  <c r="DS5"/>
  <c r="DR5"/>
  <c r="DQ5"/>
  <c r="DP5"/>
  <c r="DH5"/>
  <c r="DG5"/>
  <c r="DF5"/>
  <c r="DE5"/>
  <c r="DD5"/>
  <c r="DB5"/>
  <c r="DA5"/>
  <c r="CZ5"/>
  <c r="CY5"/>
  <c r="CX5"/>
  <c r="CV5"/>
  <c r="CU5"/>
  <c r="CT5"/>
  <c r="CS5"/>
  <c r="CR5"/>
  <c r="CP5"/>
  <c r="CO5"/>
  <c r="CN5"/>
  <c r="CM5"/>
  <c r="CL5"/>
  <c r="CJ5"/>
  <c r="CI5"/>
  <c r="CH5"/>
  <c r="CG5"/>
  <c r="CF5"/>
  <c r="CD5"/>
  <c r="CC5"/>
  <c r="CB5"/>
  <c r="CA5"/>
  <c r="BZ5"/>
  <c r="BX5"/>
  <c r="BW5"/>
  <c r="BV5"/>
  <c r="BU5"/>
  <c r="BT5"/>
  <c r="BR5"/>
  <c r="BQ5"/>
  <c r="BP5"/>
  <c r="BO5"/>
  <c r="BN5"/>
  <c r="BL5"/>
  <c r="BK5"/>
  <c r="BJ5"/>
  <c r="BI5"/>
  <c r="BH5"/>
  <c r="BF5"/>
  <c r="BE5"/>
  <c r="BD5"/>
  <c r="BC5"/>
  <c r="BB5"/>
  <c r="AZ5"/>
  <c r="AY5"/>
  <c r="AX5"/>
  <c r="AW5"/>
  <c r="AV5"/>
  <c r="AT5"/>
  <c r="AS5"/>
  <c r="AR5"/>
  <c r="AQ5"/>
  <c r="AP5"/>
  <c r="AN5"/>
  <c r="AM5"/>
  <c r="AL5"/>
  <c r="AK5"/>
  <c r="AJ5"/>
  <c r="AH5"/>
  <c r="AG5"/>
  <c r="AF5"/>
  <c r="AE5"/>
  <c r="AD5"/>
  <c r="V5"/>
  <c r="U5"/>
  <c r="T5"/>
  <c r="S5"/>
  <c r="R5"/>
  <c r="P5"/>
  <c r="O5"/>
  <c r="N5"/>
  <c r="M5"/>
  <c r="L5"/>
  <c r="U4" i="55"/>
  <c r="T4"/>
  <c r="S4"/>
  <c r="R4"/>
  <c r="Q4"/>
  <c r="N4"/>
  <c r="M4"/>
  <c r="L4"/>
  <c r="U4" i="53"/>
  <c r="T4"/>
  <c r="S4"/>
  <c r="R4"/>
  <c r="N4"/>
  <c r="M4"/>
  <c r="L4"/>
  <c r="X125" i="36"/>
  <c r="W125"/>
  <c r="V125"/>
  <c r="U125"/>
  <c r="T125"/>
  <c r="S125"/>
  <c r="R125"/>
  <c r="Q125"/>
  <c r="N125"/>
  <c r="M125"/>
  <c r="L125"/>
  <c r="K125"/>
  <c r="J125"/>
  <c r="I125"/>
  <c r="H125"/>
  <c r="G125"/>
  <c r="F125"/>
  <c r="E125"/>
  <c r="O124"/>
  <c r="O123"/>
  <c r="O122"/>
  <c r="O121"/>
  <c r="O120"/>
  <c r="O119"/>
  <c r="O118"/>
  <c r="O117"/>
  <c r="O116"/>
  <c r="O115"/>
  <c r="O114"/>
  <c r="O113"/>
  <c r="O112"/>
  <c r="O111"/>
  <c r="O110"/>
  <c r="O109"/>
  <c r="O108"/>
  <c r="O107"/>
  <c r="O106"/>
  <c r="O105"/>
  <c r="O104"/>
  <c r="O103"/>
  <c r="O102"/>
  <c r="O101"/>
  <c r="O100"/>
  <c r="O99"/>
  <c r="O98"/>
  <c r="O97"/>
  <c r="O96"/>
  <c r="O95"/>
  <c r="O94"/>
  <c r="O93"/>
  <c r="O92"/>
  <c r="O91"/>
  <c r="O90"/>
  <c r="O89"/>
  <c r="O88"/>
  <c r="O87"/>
  <c r="O86"/>
  <c r="O85"/>
  <c r="O84"/>
  <c r="O83"/>
  <c r="O82"/>
  <c r="O81"/>
  <c r="O80"/>
  <c r="O79"/>
  <c r="O78"/>
  <c r="O77"/>
  <c r="O76"/>
  <c r="O75"/>
  <c r="O74"/>
  <c r="O73"/>
  <c r="O72"/>
  <c r="O71"/>
  <c r="O70"/>
  <c r="O69"/>
  <c r="O68"/>
  <c r="O67"/>
  <c r="O66"/>
  <c r="O65"/>
  <c r="O64"/>
  <c r="O63"/>
  <c r="O62"/>
  <c r="O61"/>
  <c r="O60"/>
  <c r="O59"/>
  <c r="O58"/>
  <c r="O57"/>
  <c r="O56"/>
  <c r="O55"/>
  <c r="O54"/>
  <c r="O53"/>
  <c r="O52"/>
  <c r="O51"/>
  <c r="O50"/>
  <c r="O49"/>
  <c r="O48"/>
  <c r="O47"/>
  <c r="O46"/>
  <c r="O45"/>
  <c r="O44"/>
  <c r="O43"/>
  <c r="O42"/>
  <c r="O41"/>
  <c r="O40"/>
  <c r="O39"/>
  <c r="O38"/>
  <c r="O37"/>
  <c r="O36"/>
  <c r="O35"/>
  <c r="O34"/>
  <c r="O33"/>
  <c r="O32"/>
  <c r="O31"/>
  <c r="O30"/>
  <c r="O29"/>
  <c r="O28"/>
  <c r="O27"/>
  <c r="O26"/>
  <c r="O25"/>
  <c r="O24"/>
  <c r="O23"/>
  <c r="O22"/>
  <c r="O21"/>
  <c r="O20"/>
  <c r="O19"/>
  <c r="O18"/>
  <c r="O17"/>
  <c r="O16"/>
  <c r="O15"/>
  <c r="O14"/>
  <c r="O13"/>
  <c r="O12"/>
  <c r="O11"/>
  <c r="O10"/>
  <c r="O9"/>
  <c r="O8"/>
  <c r="O7"/>
  <c r="O6"/>
  <c r="O5"/>
  <c r="C1"/>
  <c r="D1" s="1"/>
  <c r="E1" s="1"/>
  <c r="F1" s="1"/>
  <c r="G1" s="1"/>
  <c r="H1" s="1"/>
  <c r="I1" s="1"/>
  <c r="J1" s="1"/>
  <c r="K1" s="1"/>
  <c r="L1" s="1"/>
  <c r="M1" s="1"/>
  <c r="N1" s="1"/>
  <c r="O1" s="1"/>
  <c r="E122" i="38"/>
  <c r="E123" s="1"/>
  <c r="D122"/>
  <c r="D123" s="1"/>
  <c r="C122"/>
  <c r="C123" s="1"/>
  <c r="F121"/>
  <c r="F120"/>
  <c r="F119"/>
  <c r="F118"/>
  <c r="F117"/>
  <c r="F116"/>
  <c r="F115"/>
  <c r="F114"/>
  <c r="F113"/>
  <c r="F112"/>
  <c r="F111"/>
  <c r="F110"/>
  <c r="F109"/>
  <c r="F108"/>
  <c r="F107"/>
  <c r="F106"/>
  <c r="F105"/>
  <c r="F104"/>
  <c r="F103"/>
  <c r="F102"/>
  <c r="F101"/>
  <c r="F100"/>
  <c r="F99"/>
  <c r="F98"/>
  <c r="F97"/>
  <c r="F96"/>
  <c r="F95"/>
  <c r="F94"/>
  <c r="F93"/>
  <c r="F92"/>
  <c r="F91"/>
  <c r="F90"/>
  <c r="F89"/>
  <c r="F88"/>
  <c r="F87"/>
  <c r="F86"/>
  <c r="F85"/>
  <c r="F84"/>
  <c r="F83"/>
  <c r="F82"/>
  <c r="F81"/>
  <c r="F80"/>
  <c r="F79"/>
  <c r="F78"/>
  <c r="F77"/>
  <c r="F76"/>
  <c r="F75"/>
  <c r="F74"/>
  <c r="F73"/>
  <c r="F72"/>
  <c r="F71"/>
  <c r="F70"/>
  <c r="F69"/>
  <c r="F68"/>
  <c r="F67"/>
  <c r="F66"/>
  <c r="F65"/>
  <c r="F64"/>
  <c r="F63"/>
  <c r="F62"/>
  <c r="F61"/>
  <c r="F60"/>
  <c r="F59"/>
  <c r="F58"/>
  <c r="F57"/>
  <c r="F56"/>
  <c r="F55"/>
  <c r="F54"/>
  <c r="F53"/>
  <c r="F52"/>
  <c r="F51"/>
  <c r="F50"/>
  <c r="F49"/>
  <c r="F48"/>
  <c r="F47"/>
  <c r="F46"/>
  <c r="F45"/>
  <c r="F44"/>
  <c r="F43"/>
  <c r="F42"/>
  <c r="F41"/>
  <c r="F40"/>
  <c r="F39"/>
  <c r="F38"/>
  <c r="F37"/>
  <c r="F36"/>
  <c r="F35"/>
  <c r="F34"/>
  <c r="F33"/>
  <c r="F32"/>
  <c r="F31"/>
  <c r="F30"/>
  <c r="F29"/>
  <c r="F28"/>
  <c r="F27"/>
  <c r="F26"/>
  <c r="F25"/>
  <c r="F24"/>
  <c r="F23"/>
  <c r="F22"/>
  <c r="F21"/>
  <c r="F20"/>
  <c r="F19"/>
  <c r="F18"/>
  <c r="F17"/>
  <c r="F16"/>
  <c r="F15"/>
  <c r="F14"/>
  <c r="F13"/>
  <c r="F12"/>
  <c r="F11"/>
  <c r="F10"/>
  <c r="F9"/>
  <c r="F8"/>
  <c r="F7"/>
  <c r="F6"/>
  <c r="F5"/>
  <c r="F4"/>
  <c r="F3"/>
  <c r="F2"/>
  <c r="X123" i="41"/>
  <c r="W123"/>
  <c r="T123"/>
  <c r="S123"/>
  <c r="P123"/>
  <c r="L123"/>
  <c r="K123"/>
  <c r="H123"/>
  <c r="G123"/>
  <c r="D123"/>
  <c r="C123"/>
  <c r="X122"/>
  <c r="W122"/>
  <c r="T122"/>
  <c r="S122"/>
  <c r="P122"/>
  <c r="L122"/>
  <c r="K122"/>
  <c r="H122"/>
  <c r="G122"/>
  <c r="D122"/>
  <c r="C122"/>
  <c r="X121"/>
  <c r="W121"/>
  <c r="T121"/>
  <c r="S121"/>
  <c r="P121"/>
  <c r="L121"/>
  <c r="K121"/>
  <c r="H121"/>
  <c r="G121"/>
  <c r="D121"/>
  <c r="C121"/>
  <c r="X120"/>
  <c r="W120"/>
  <c r="T120"/>
  <c r="S120"/>
  <c r="P120"/>
  <c r="L120"/>
  <c r="K120"/>
  <c r="H120"/>
  <c r="G120"/>
  <c r="D120"/>
  <c r="C120"/>
  <c r="X119"/>
  <c r="W119"/>
  <c r="T119"/>
  <c r="S119"/>
  <c r="P119"/>
  <c r="L119"/>
  <c r="K119"/>
  <c r="H119"/>
  <c r="G119"/>
  <c r="D119"/>
  <c r="C119"/>
  <c r="X118"/>
  <c r="W118"/>
  <c r="T118"/>
  <c r="S118"/>
  <c r="P118"/>
  <c r="L118"/>
  <c r="K118"/>
  <c r="H118"/>
  <c r="G118"/>
  <c r="D118"/>
  <c r="C118"/>
  <c r="X117"/>
  <c r="W117"/>
  <c r="T117"/>
  <c r="S117"/>
  <c r="P117"/>
  <c r="L117"/>
  <c r="K117"/>
  <c r="H117"/>
  <c r="G117"/>
  <c r="D117"/>
  <c r="C117"/>
  <c r="X116"/>
  <c r="W116"/>
  <c r="T116"/>
  <c r="S116"/>
  <c r="P116"/>
  <c r="L116"/>
  <c r="K116"/>
  <c r="H116"/>
  <c r="G116"/>
  <c r="D116"/>
  <c r="C116"/>
  <c r="X115"/>
  <c r="W115"/>
  <c r="T115"/>
  <c r="S115"/>
  <c r="P115"/>
  <c r="L115"/>
  <c r="K115"/>
  <c r="H115"/>
  <c r="G115"/>
  <c r="D115"/>
  <c r="C115"/>
  <c r="X114"/>
  <c r="W114"/>
  <c r="T114"/>
  <c r="S114"/>
  <c r="P114"/>
  <c r="L114"/>
  <c r="K114"/>
  <c r="H114"/>
  <c r="G114"/>
  <c r="D114"/>
  <c r="C114"/>
  <c r="X113"/>
  <c r="W113"/>
  <c r="T113"/>
  <c r="S113"/>
  <c r="P113"/>
  <c r="L113"/>
  <c r="K113"/>
  <c r="H113"/>
  <c r="G113"/>
  <c r="D113"/>
  <c r="C113"/>
  <c r="X112"/>
  <c r="W112"/>
  <c r="T112"/>
  <c r="S112"/>
  <c r="P112"/>
  <c r="L112"/>
  <c r="K112"/>
  <c r="H112"/>
  <c r="G112"/>
  <c r="D112"/>
  <c r="C112"/>
  <c r="X111"/>
  <c r="W111"/>
  <c r="T111"/>
  <c r="S111"/>
  <c r="P111"/>
  <c r="L111"/>
  <c r="K111"/>
  <c r="H111"/>
  <c r="G111"/>
  <c r="D111"/>
  <c r="C111"/>
  <c r="X110"/>
  <c r="W110"/>
  <c r="T110"/>
  <c r="S110"/>
  <c r="P110"/>
  <c r="L110"/>
  <c r="K110"/>
  <c r="H110"/>
  <c r="G110"/>
  <c r="D110"/>
  <c r="C110"/>
  <c r="X109"/>
  <c r="W109"/>
  <c r="T109"/>
  <c r="S109"/>
  <c r="P109"/>
  <c r="L109"/>
  <c r="K109"/>
  <c r="H109"/>
  <c r="G109"/>
  <c r="D109"/>
  <c r="C109"/>
  <c r="X108"/>
  <c r="W108"/>
  <c r="T108"/>
  <c r="S108"/>
  <c r="P108"/>
  <c r="L108"/>
  <c r="K108"/>
  <c r="H108"/>
  <c r="G108"/>
  <c r="D108"/>
  <c r="C108"/>
  <c r="X107"/>
  <c r="W107"/>
  <c r="T107"/>
  <c r="S107"/>
  <c r="P107"/>
  <c r="L107"/>
  <c r="K107"/>
  <c r="H107"/>
  <c r="G107"/>
  <c r="D107"/>
  <c r="C107"/>
  <c r="X106"/>
  <c r="W106"/>
  <c r="T106"/>
  <c r="S106"/>
  <c r="P106"/>
  <c r="L106"/>
  <c r="K106"/>
  <c r="H106"/>
  <c r="G106"/>
  <c r="D106"/>
  <c r="C106"/>
  <c r="X105"/>
  <c r="W105"/>
  <c r="T105"/>
  <c r="S105"/>
  <c r="P105"/>
  <c r="L105"/>
  <c r="K105"/>
  <c r="H105"/>
  <c r="G105"/>
  <c r="D105"/>
  <c r="C105"/>
  <c r="X104"/>
  <c r="W104"/>
  <c r="T104"/>
  <c r="S104"/>
  <c r="P104"/>
  <c r="L104"/>
  <c r="K104"/>
  <c r="H104"/>
  <c r="G104"/>
  <c r="D104"/>
  <c r="C104"/>
  <c r="X103"/>
  <c r="W103"/>
  <c r="T103"/>
  <c r="S103"/>
  <c r="P103"/>
  <c r="L103"/>
  <c r="K103"/>
  <c r="H103"/>
  <c r="G103"/>
  <c r="D103"/>
  <c r="C103"/>
  <c r="X102"/>
  <c r="W102"/>
  <c r="T102"/>
  <c r="S102"/>
  <c r="P102"/>
  <c r="L102"/>
  <c r="K102"/>
  <c r="H102"/>
  <c r="G102"/>
  <c r="D102"/>
  <c r="C102"/>
  <c r="X101"/>
  <c r="W101"/>
  <c r="T101"/>
  <c r="S101"/>
  <c r="P101"/>
  <c r="L101"/>
  <c r="K101"/>
  <c r="H101"/>
  <c r="G101"/>
  <c r="D101"/>
  <c r="C101"/>
  <c r="X100"/>
  <c r="W100"/>
  <c r="T100"/>
  <c r="S100"/>
  <c r="P100"/>
  <c r="L100"/>
  <c r="K100"/>
  <c r="H100"/>
  <c r="G100"/>
  <c r="D100"/>
  <c r="C100"/>
  <c r="X99"/>
  <c r="W99"/>
  <c r="T99"/>
  <c r="S99"/>
  <c r="P99"/>
  <c r="L99"/>
  <c r="K99"/>
  <c r="H99"/>
  <c r="G99"/>
  <c r="D99"/>
  <c r="C99"/>
  <c r="X98"/>
  <c r="W98"/>
  <c r="T98"/>
  <c r="S98"/>
  <c r="P98"/>
  <c r="L98"/>
  <c r="K98"/>
  <c r="H98"/>
  <c r="G98"/>
  <c r="D98"/>
  <c r="C98"/>
  <c r="X97"/>
  <c r="W97"/>
  <c r="T97"/>
  <c r="S97"/>
  <c r="P97"/>
  <c r="L97"/>
  <c r="K97"/>
  <c r="H97"/>
  <c r="G97"/>
  <c r="D97"/>
  <c r="C97"/>
  <c r="X96"/>
  <c r="W96"/>
  <c r="T96"/>
  <c r="S96"/>
  <c r="P96"/>
  <c r="L96"/>
  <c r="K96"/>
  <c r="H96"/>
  <c r="G96"/>
  <c r="D96"/>
  <c r="C96"/>
  <c r="X95"/>
  <c r="W95"/>
  <c r="T95"/>
  <c r="S95"/>
  <c r="P95"/>
  <c r="L95"/>
  <c r="K95"/>
  <c r="H95"/>
  <c r="G95"/>
  <c r="D95"/>
  <c r="C95"/>
  <c r="X94"/>
  <c r="W94"/>
  <c r="T94"/>
  <c r="S94"/>
  <c r="P94"/>
  <c r="L94"/>
  <c r="K94"/>
  <c r="H94"/>
  <c r="G94"/>
  <c r="D94"/>
  <c r="C94"/>
  <c r="X93"/>
  <c r="W93"/>
  <c r="T93"/>
  <c r="S93"/>
  <c r="P93"/>
  <c r="L93"/>
  <c r="K93"/>
  <c r="H93"/>
  <c r="G93"/>
  <c r="D93"/>
  <c r="C93"/>
  <c r="X92"/>
  <c r="W92"/>
  <c r="T92"/>
  <c r="S92"/>
  <c r="P92"/>
  <c r="L92"/>
  <c r="K92"/>
  <c r="H92"/>
  <c r="G92"/>
  <c r="D92"/>
  <c r="C92"/>
  <c r="X91"/>
  <c r="W91"/>
  <c r="T91"/>
  <c r="S91"/>
  <c r="P91"/>
  <c r="L91"/>
  <c r="K91"/>
  <c r="H91"/>
  <c r="G91"/>
  <c r="D91"/>
  <c r="C91"/>
  <c r="X90"/>
  <c r="W90"/>
  <c r="T90"/>
  <c r="S90"/>
  <c r="P90"/>
  <c r="L90"/>
  <c r="K90"/>
  <c r="H90"/>
  <c r="G90"/>
  <c r="D90"/>
  <c r="C90"/>
  <c r="X89"/>
  <c r="W89"/>
  <c r="T89"/>
  <c r="S89"/>
  <c r="P89"/>
  <c r="L89"/>
  <c r="K89"/>
  <c r="H89"/>
  <c r="G89"/>
  <c r="D89"/>
  <c r="C89"/>
  <c r="X88"/>
  <c r="W88"/>
  <c r="T88"/>
  <c r="S88"/>
  <c r="P88"/>
  <c r="L88"/>
  <c r="K88"/>
  <c r="H88"/>
  <c r="G88"/>
  <c r="D88"/>
  <c r="C88"/>
  <c r="X87"/>
  <c r="W87"/>
  <c r="T87"/>
  <c r="S87"/>
  <c r="P87"/>
  <c r="L87"/>
  <c r="K87"/>
  <c r="H87"/>
  <c r="G87"/>
  <c r="D87"/>
  <c r="C87"/>
  <c r="X86"/>
  <c r="W86"/>
  <c r="T86"/>
  <c r="S86"/>
  <c r="P86"/>
  <c r="L86"/>
  <c r="K86"/>
  <c r="H86"/>
  <c r="G86"/>
  <c r="D86"/>
  <c r="C86"/>
  <c r="X85"/>
  <c r="W85"/>
  <c r="T85"/>
  <c r="S85"/>
  <c r="P85"/>
  <c r="L85"/>
  <c r="K85"/>
  <c r="H85"/>
  <c r="G85"/>
  <c r="D85"/>
  <c r="C85"/>
  <c r="X84"/>
  <c r="W84"/>
  <c r="T84"/>
  <c r="S84"/>
  <c r="P84"/>
  <c r="L84"/>
  <c r="K84"/>
  <c r="H84"/>
  <c r="G84"/>
  <c r="D84"/>
  <c r="C84"/>
  <c r="X83"/>
  <c r="W83"/>
  <c r="T83"/>
  <c r="S83"/>
  <c r="P83"/>
  <c r="L83"/>
  <c r="K83"/>
  <c r="H83"/>
  <c r="G83"/>
  <c r="D83"/>
  <c r="C83"/>
  <c r="X82"/>
  <c r="W82"/>
  <c r="T82"/>
  <c r="S82"/>
  <c r="P82"/>
  <c r="L82"/>
  <c r="K82"/>
  <c r="H82"/>
  <c r="G82"/>
  <c r="D82"/>
  <c r="C82"/>
  <c r="X81"/>
  <c r="W81"/>
  <c r="T81"/>
  <c r="S81"/>
  <c r="P81"/>
  <c r="L81"/>
  <c r="K81"/>
  <c r="H81"/>
  <c r="G81"/>
  <c r="D81"/>
  <c r="C81"/>
  <c r="X80"/>
  <c r="W80"/>
  <c r="T80"/>
  <c r="S80"/>
  <c r="P80"/>
  <c r="L80"/>
  <c r="K80"/>
  <c r="H80"/>
  <c r="G80"/>
  <c r="D80"/>
  <c r="C80"/>
  <c r="X79"/>
  <c r="W79"/>
  <c r="T79"/>
  <c r="S79"/>
  <c r="P79"/>
  <c r="L79"/>
  <c r="K79"/>
  <c r="H79"/>
  <c r="G79"/>
  <c r="D79"/>
  <c r="C79"/>
  <c r="X78"/>
  <c r="W78"/>
  <c r="T78"/>
  <c r="S78"/>
  <c r="P78"/>
  <c r="L78"/>
  <c r="K78"/>
  <c r="H78"/>
  <c r="G78"/>
  <c r="D78"/>
  <c r="C78"/>
  <c r="X77"/>
  <c r="W77"/>
  <c r="T77"/>
  <c r="S77"/>
  <c r="P77"/>
  <c r="L77"/>
  <c r="K77"/>
  <c r="H77"/>
  <c r="G77"/>
  <c r="D77"/>
  <c r="C77"/>
  <c r="X76"/>
  <c r="W76"/>
  <c r="T76"/>
  <c r="S76"/>
  <c r="P76"/>
  <c r="L76"/>
  <c r="K76"/>
  <c r="H76"/>
  <c r="G76"/>
  <c r="D76"/>
  <c r="C76"/>
  <c r="X75"/>
  <c r="W75"/>
  <c r="T75"/>
  <c r="S75"/>
  <c r="P75"/>
  <c r="L75"/>
  <c r="K75"/>
  <c r="H75"/>
  <c r="G75"/>
  <c r="D75"/>
  <c r="C75"/>
  <c r="X74"/>
  <c r="W74"/>
  <c r="T74"/>
  <c r="S74"/>
  <c r="P74"/>
  <c r="L74"/>
  <c r="K74"/>
  <c r="H74"/>
  <c r="G74"/>
  <c r="D74"/>
  <c r="C74"/>
  <c r="X73"/>
  <c r="W73"/>
  <c r="T73"/>
  <c r="S73"/>
  <c r="P73"/>
  <c r="L73"/>
  <c r="K73"/>
  <c r="H73"/>
  <c r="G73"/>
  <c r="D73"/>
  <c r="C73"/>
  <c r="X72"/>
  <c r="W72"/>
  <c r="T72"/>
  <c r="S72"/>
  <c r="P72"/>
  <c r="L72"/>
  <c r="K72"/>
  <c r="H72"/>
  <c r="G72"/>
  <c r="D72"/>
  <c r="C72"/>
  <c r="X71"/>
  <c r="W71"/>
  <c r="T71"/>
  <c r="S71"/>
  <c r="P71"/>
  <c r="L71"/>
  <c r="K71"/>
  <c r="H71"/>
  <c r="G71"/>
  <c r="D71"/>
  <c r="C71"/>
  <c r="X70"/>
  <c r="W70"/>
  <c r="T70"/>
  <c r="S70"/>
  <c r="P70"/>
  <c r="L70"/>
  <c r="K70"/>
  <c r="H70"/>
  <c r="G70"/>
  <c r="D70"/>
  <c r="C70"/>
  <c r="X69"/>
  <c r="W69"/>
  <c r="T69"/>
  <c r="S69"/>
  <c r="P69"/>
  <c r="L69"/>
  <c r="K69"/>
  <c r="H69"/>
  <c r="G69"/>
  <c r="D69"/>
  <c r="C69"/>
  <c r="X68"/>
  <c r="W68"/>
  <c r="T68"/>
  <c r="S68"/>
  <c r="P68"/>
  <c r="L68"/>
  <c r="K68"/>
  <c r="H68"/>
  <c r="G68"/>
  <c r="D68"/>
  <c r="C68"/>
  <c r="X67"/>
  <c r="W67"/>
  <c r="T67"/>
  <c r="S67"/>
  <c r="P67"/>
  <c r="L67"/>
  <c r="K67"/>
  <c r="H67"/>
  <c r="G67"/>
  <c r="D67"/>
  <c r="C67"/>
  <c r="X66"/>
  <c r="W66"/>
  <c r="T66"/>
  <c r="S66"/>
  <c r="P66"/>
  <c r="L66"/>
  <c r="K66"/>
  <c r="H66"/>
  <c r="G66"/>
  <c r="D66"/>
  <c r="C66"/>
  <c r="X65"/>
  <c r="W65"/>
  <c r="T65"/>
  <c r="S65"/>
  <c r="P65"/>
  <c r="L65"/>
  <c r="K65"/>
  <c r="H65"/>
  <c r="G65"/>
  <c r="D65"/>
  <c r="C65"/>
  <c r="X64"/>
  <c r="W64"/>
  <c r="T64"/>
  <c r="S64"/>
  <c r="P64"/>
  <c r="L64"/>
  <c r="K64"/>
  <c r="H64"/>
  <c r="G64"/>
  <c r="D64"/>
  <c r="C64"/>
  <c r="X63"/>
  <c r="W63"/>
  <c r="T63"/>
  <c r="S63"/>
  <c r="P63"/>
  <c r="L63"/>
  <c r="K63"/>
  <c r="H63"/>
  <c r="G63"/>
  <c r="D63"/>
  <c r="C63"/>
  <c r="X62"/>
  <c r="W62"/>
  <c r="T62"/>
  <c r="S62"/>
  <c r="P62"/>
  <c r="L62"/>
  <c r="K62"/>
  <c r="H62"/>
  <c r="G62"/>
  <c r="D62"/>
  <c r="C62"/>
  <c r="X61"/>
  <c r="W61"/>
  <c r="T61"/>
  <c r="S61"/>
  <c r="P61"/>
  <c r="L61"/>
  <c r="K61"/>
  <c r="H61"/>
  <c r="G61"/>
  <c r="D61"/>
  <c r="C61"/>
  <c r="X60"/>
  <c r="W60"/>
  <c r="T60"/>
  <c r="S60"/>
  <c r="P60"/>
  <c r="L60"/>
  <c r="K60"/>
  <c r="H60"/>
  <c r="G60"/>
  <c r="D60"/>
  <c r="C60"/>
  <c r="X59"/>
  <c r="W59"/>
  <c r="T59"/>
  <c r="S59"/>
  <c r="P59"/>
  <c r="L59"/>
  <c r="K59"/>
  <c r="H59"/>
  <c r="G59"/>
  <c r="D59"/>
  <c r="C59"/>
  <c r="X58"/>
  <c r="W58"/>
  <c r="T58"/>
  <c r="S58"/>
  <c r="P58"/>
  <c r="L58"/>
  <c r="K58"/>
  <c r="H58"/>
  <c r="G58"/>
  <c r="D58"/>
  <c r="C58"/>
  <c r="X57"/>
  <c r="W57"/>
  <c r="T57"/>
  <c r="S57"/>
  <c r="P57"/>
  <c r="L57"/>
  <c r="K57"/>
  <c r="H57"/>
  <c r="G57"/>
  <c r="D57"/>
  <c r="C57"/>
  <c r="X56"/>
  <c r="W56"/>
  <c r="T56"/>
  <c r="S56"/>
  <c r="P56"/>
  <c r="L56"/>
  <c r="K56"/>
  <c r="H56"/>
  <c r="G56"/>
  <c r="D56"/>
  <c r="C56"/>
  <c r="X55"/>
  <c r="W55"/>
  <c r="T55"/>
  <c r="S55"/>
  <c r="P55"/>
  <c r="L55"/>
  <c r="K55"/>
  <c r="H55"/>
  <c r="G55"/>
  <c r="D55"/>
  <c r="C55"/>
  <c r="X54"/>
  <c r="W54"/>
  <c r="T54"/>
  <c r="S54"/>
  <c r="P54"/>
  <c r="L54"/>
  <c r="K54"/>
  <c r="H54"/>
  <c r="G54"/>
  <c r="D54"/>
  <c r="C54"/>
  <c r="X53"/>
  <c r="W53"/>
  <c r="T53"/>
  <c r="S53"/>
  <c r="P53"/>
  <c r="L53"/>
  <c r="K53"/>
  <c r="H53"/>
  <c r="G53"/>
  <c r="D53"/>
  <c r="C53"/>
  <c r="X52"/>
  <c r="W52"/>
  <c r="T52"/>
  <c r="S52"/>
  <c r="P52"/>
  <c r="L52"/>
  <c r="K52"/>
  <c r="H52"/>
  <c r="G52"/>
  <c r="D52"/>
  <c r="C52"/>
  <c r="X51"/>
  <c r="W51"/>
  <c r="T51"/>
  <c r="S51"/>
  <c r="P51"/>
  <c r="L51"/>
  <c r="K51"/>
  <c r="H51"/>
  <c r="G51"/>
  <c r="D51"/>
  <c r="C51"/>
  <c r="X50"/>
  <c r="W50"/>
  <c r="T50"/>
  <c r="S50"/>
  <c r="P50"/>
  <c r="L50"/>
  <c r="K50"/>
  <c r="H50"/>
  <c r="G50"/>
  <c r="D50"/>
  <c r="C50"/>
  <c r="X49"/>
  <c r="W49"/>
  <c r="T49"/>
  <c r="S49"/>
  <c r="P49"/>
  <c r="L49"/>
  <c r="K49"/>
  <c r="H49"/>
  <c r="G49"/>
  <c r="D49"/>
  <c r="C49"/>
  <c r="X48"/>
  <c r="W48"/>
  <c r="T48"/>
  <c r="S48"/>
  <c r="P48"/>
  <c r="L48"/>
  <c r="K48"/>
  <c r="H48"/>
  <c r="G48"/>
  <c r="D48"/>
  <c r="C48"/>
  <c r="X47"/>
  <c r="W47"/>
  <c r="T47"/>
  <c r="S47"/>
  <c r="P47"/>
  <c r="L47"/>
  <c r="K47"/>
  <c r="H47"/>
  <c r="G47"/>
  <c r="D47"/>
  <c r="C47"/>
  <c r="X46"/>
  <c r="W46"/>
  <c r="T46"/>
  <c r="S46"/>
  <c r="P46"/>
  <c r="L46"/>
  <c r="K46"/>
  <c r="H46"/>
  <c r="G46"/>
  <c r="D46"/>
  <c r="C46"/>
  <c r="X45"/>
  <c r="W45"/>
  <c r="T45"/>
  <c r="S45"/>
  <c r="P45"/>
  <c r="L45"/>
  <c r="K45"/>
  <c r="H45"/>
  <c r="G45"/>
  <c r="D45"/>
  <c r="C45"/>
  <c r="X44"/>
  <c r="W44"/>
  <c r="T44"/>
  <c r="S44"/>
  <c r="P44"/>
  <c r="L44"/>
  <c r="K44"/>
  <c r="H44"/>
  <c r="G44"/>
  <c r="D44"/>
  <c r="C44"/>
  <c r="X43"/>
  <c r="W43"/>
  <c r="T43"/>
  <c r="S43"/>
  <c r="P43"/>
  <c r="L43"/>
  <c r="K43"/>
  <c r="H43"/>
  <c r="G43"/>
  <c r="D43"/>
  <c r="C43"/>
  <c r="X42"/>
  <c r="W42"/>
  <c r="T42"/>
  <c r="S42"/>
  <c r="P42"/>
  <c r="L42"/>
  <c r="K42"/>
  <c r="H42"/>
  <c r="G42"/>
  <c r="D42"/>
  <c r="C42"/>
  <c r="X41"/>
  <c r="W41"/>
  <c r="T41"/>
  <c r="S41"/>
  <c r="P41"/>
  <c r="L41"/>
  <c r="K41"/>
  <c r="H41"/>
  <c r="G41"/>
  <c r="D41"/>
  <c r="C41"/>
  <c r="X40"/>
  <c r="W40"/>
  <c r="T40"/>
  <c r="S40"/>
  <c r="P40"/>
  <c r="L40"/>
  <c r="K40"/>
  <c r="H40"/>
  <c r="G40"/>
  <c r="D40"/>
  <c r="C40"/>
  <c r="X39"/>
  <c r="W39"/>
  <c r="T39"/>
  <c r="S39"/>
  <c r="P39"/>
  <c r="L39"/>
  <c r="K39"/>
  <c r="H39"/>
  <c r="G39"/>
  <c r="D39"/>
  <c r="C39"/>
  <c r="X38"/>
  <c r="W38"/>
  <c r="T38"/>
  <c r="S38"/>
  <c r="P38"/>
  <c r="L38"/>
  <c r="K38"/>
  <c r="H38"/>
  <c r="G38"/>
  <c r="D38"/>
  <c r="C38"/>
  <c r="X37"/>
  <c r="W37"/>
  <c r="T37"/>
  <c r="S37"/>
  <c r="P37"/>
  <c r="L37"/>
  <c r="K37"/>
  <c r="H37"/>
  <c r="G37"/>
  <c r="D37"/>
  <c r="C37"/>
  <c r="X36"/>
  <c r="W36"/>
  <c r="T36"/>
  <c r="S36"/>
  <c r="P36"/>
  <c r="L36"/>
  <c r="K36"/>
  <c r="H36"/>
  <c r="G36"/>
  <c r="D36"/>
  <c r="C36"/>
  <c r="X35"/>
  <c r="W35"/>
  <c r="T35"/>
  <c r="S35"/>
  <c r="P35"/>
  <c r="L35"/>
  <c r="K35"/>
  <c r="H35"/>
  <c r="G35"/>
  <c r="D35"/>
  <c r="C35"/>
  <c r="X34"/>
  <c r="W34"/>
  <c r="T34"/>
  <c r="S34"/>
  <c r="P34"/>
  <c r="L34"/>
  <c r="K34"/>
  <c r="H34"/>
  <c r="G34"/>
  <c r="D34"/>
  <c r="C34"/>
  <c r="X33"/>
  <c r="W33"/>
  <c r="T33"/>
  <c r="S33"/>
  <c r="P33"/>
  <c r="L33"/>
  <c r="K33"/>
  <c r="H33"/>
  <c r="G33"/>
  <c r="D33"/>
  <c r="C33"/>
  <c r="X32"/>
  <c r="W32"/>
  <c r="T32"/>
  <c r="S32"/>
  <c r="P32"/>
  <c r="L32"/>
  <c r="K32"/>
  <c r="H32"/>
  <c r="G32"/>
  <c r="D32"/>
  <c r="C32"/>
  <c r="X31"/>
  <c r="W31"/>
  <c r="T31"/>
  <c r="S31"/>
  <c r="P31"/>
  <c r="L31"/>
  <c r="K31"/>
  <c r="H31"/>
  <c r="G31"/>
  <c r="D31"/>
  <c r="C31"/>
  <c r="X30"/>
  <c r="W30"/>
  <c r="T30"/>
  <c r="S30"/>
  <c r="P30"/>
  <c r="L30"/>
  <c r="K30"/>
  <c r="H30"/>
  <c r="G30"/>
  <c r="D30"/>
  <c r="C30"/>
  <c r="X29"/>
  <c r="W29"/>
  <c r="T29"/>
  <c r="S29"/>
  <c r="P29"/>
  <c r="L29"/>
  <c r="K29"/>
  <c r="H29"/>
  <c r="G29"/>
  <c r="D29"/>
  <c r="C29"/>
  <c r="X28"/>
  <c r="W28"/>
  <c r="T28"/>
  <c r="S28"/>
  <c r="P28"/>
  <c r="L28"/>
  <c r="K28"/>
  <c r="H28"/>
  <c r="G28"/>
  <c r="D28"/>
  <c r="C28"/>
  <c r="X27"/>
  <c r="W27"/>
  <c r="T27"/>
  <c r="S27"/>
  <c r="P27"/>
  <c r="L27"/>
  <c r="K27"/>
  <c r="H27"/>
  <c r="G27"/>
  <c r="D27"/>
  <c r="C27"/>
  <c r="X26"/>
  <c r="W26"/>
  <c r="T26"/>
  <c r="S26"/>
  <c r="P26"/>
  <c r="L26"/>
  <c r="K26"/>
  <c r="H26"/>
  <c r="G26"/>
  <c r="D26"/>
  <c r="C26"/>
  <c r="X25"/>
  <c r="W25"/>
  <c r="T25"/>
  <c r="S25"/>
  <c r="P25"/>
  <c r="L25"/>
  <c r="K25"/>
  <c r="H25"/>
  <c r="G25"/>
  <c r="D25"/>
  <c r="C25"/>
  <c r="X24"/>
  <c r="W24"/>
  <c r="T24"/>
  <c r="S24"/>
  <c r="P24"/>
  <c r="L24"/>
  <c r="K24"/>
  <c r="H24"/>
  <c r="G24"/>
  <c r="D24"/>
  <c r="C24"/>
  <c r="X23"/>
  <c r="W23"/>
  <c r="T23"/>
  <c r="S23"/>
  <c r="P23"/>
  <c r="L23"/>
  <c r="K23"/>
  <c r="H23"/>
  <c r="G23"/>
  <c r="D23"/>
  <c r="C23"/>
  <c r="X22"/>
  <c r="W22"/>
  <c r="T22"/>
  <c r="S22"/>
  <c r="P22"/>
  <c r="L22"/>
  <c r="K22"/>
  <c r="H22"/>
  <c r="G22"/>
  <c r="D22"/>
  <c r="C22"/>
  <c r="X21"/>
  <c r="W21"/>
  <c r="T21"/>
  <c r="S21"/>
  <c r="P21"/>
  <c r="L21"/>
  <c r="K21"/>
  <c r="H21"/>
  <c r="G21"/>
  <c r="D21"/>
  <c r="C21"/>
  <c r="X20"/>
  <c r="W20"/>
  <c r="T20"/>
  <c r="S20"/>
  <c r="P20"/>
  <c r="L20"/>
  <c r="K20"/>
  <c r="H20"/>
  <c r="G20"/>
  <c r="D20"/>
  <c r="C20"/>
  <c r="X19"/>
  <c r="W19"/>
  <c r="T19"/>
  <c r="S19"/>
  <c r="P19"/>
  <c r="L19"/>
  <c r="K19"/>
  <c r="H19"/>
  <c r="G19"/>
  <c r="D19"/>
  <c r="C19"/>
  <c r="X18"/>
  <c r="W18"/>
  <c r="T18"/>
  <c r="S18"/>
  <c r="P18"/>
  <c r="L18"/>
  <c r="K18"/>
  <c r="H18"/>
  <c r="G18"/>
  <c r="D18"/>
  <c r="C18"/>
  <c r="X17"/>
  <c r="W17"/>
  <c r="T17"/>
  <c r="S17"/>
  <c r="P17"/>
  <c r="L17"/>
  <c r="K17"/>
  <c r="H17"/>
  <c r="G17"/>
  <c r="D17"/>
  <c r="C17"/>
  <c r="X16"/>
  <c r="W16"/>
  <c r="T16"/>
  <c r="S16"/>
  <c r="P16"/>
  <c r="L16"/>
  <c r="K16"/>
  <c r="H16"/>
  <c r="G16"/>
  <c r="D16"/>
  <c r="C16"/>
  <c r="X15"/>
  <c r="W15"/>
  <c r="T15"/>
  <c r="S15"/>
  <c r="P15"/>
  <c r="L15"/>
  <c r="K15"/>
  <c r="H15"/>
  <c r="G15"/>
  <c r="D15"/>
  <c r="C15"/>
  <c r="X14"/>
  <c r="W14"/>
  <c r="T14"/>
  <c r="S14"/>
  <c r="P14"/>
  <c r="L14"/>
  <c r="K14"/>
  <c r="H14"/>
  <c r="G14"/>
  <c r="D14"/>
  <c r="C14"/>
  <c r="X13"/>
  <c r="W13"/>
  <c r="T13"/>
  <c r="S13"/>
  <c r="P13"/>
  <c r="L13"/>
  <c r="K13"/>
  <c r="H13"/>
  <c r="G13"/>
  <c r="D13"/>
  <c r="C13"/>
  <c r="X12"/>
  <c r="W12"/>
  <c r="T12"/>
  <c r="S12"/>
  <c r="P12"/>
  <c r="L12"/>
  <c r="K12"/>
  <c r="H12"/>
  <c r="G12"/>
  <c r="D12"/>
  <c r="C12"/>
  <c r="X11"/>
  <c r="W11"/>
  <c r="T11"/>
  <c r="S11"/>
  <c r="P11"/>
  <c r="L11"/>
  <c r="K11"/>
  <c r="H11"/>
  <c r="G11"/>
  <c r="D11"/>
  <c r="C11"/>
  <c r="X10"/>
  <c r="W10"/>
  <c r="T10"/>
  <c r="S10"/>
  <c r="P10"/>
  <c r="L10"/>
  <c r="K10"/>
  <c r="H10"/>
  <c r="G10"/>
  <c r="D10"/>
  <c r="C10"/>
  <c r="X9"/>
  <c r="W9"/>
  <c r="T9"/>
  <c r="S9"/>
  <c r="P9"/>
  <c r="L9"/>
  <c r="K9"/>
  <c r="H9"/>
  <c r="G9"/>
  <c r="D9"/>
  <c r="C9"/>
  <c r="X8"/>
  <c r="W8"/>
  <c r="T8"/>
  <c r="S8"/>
  <c r="P8"/>
  <c r="L8"/>
  <c r="K8"/>
  <c r="H8"/>
  <c r="G8"/>
  <c r="D8"/>
  <c r="C8"/>
  <c r="X7"/>
  <c r="W7"/>
  <c r="T7"/>
  <c r="S7"/>
  <c r="P7"/>
  <c r="L7"/>
  <c r="K7"/>
  <c r="H7"/>
  <c r="G7"/>
  <c r="D7"/>
  <c r="C7"/>
  <c r="X6"/>
  <c r="W6"/>
  <c r="T6"/>
  <c r="S6"/>
  <c r="P6"/>
  <c r="L6"/>
  <c r="K6"/>
  <c r="H6"/>
  <c r="G6"/>
  <c r="D6"/>
  <c r="C6"/>
  <c r="X5"/>
  <c r="W5"/>
  <c r="T5"/>
  <c r="S5"/>
  <c r="P5"/>
  <c r="L5"/>
  <c r="K5"/>
  <c r="H5"/>
  <c r="G5"/>
  <c r="D5"/>
  <c r="C5"/>
  <c r="X4"/>
  <c r="W4"/>
  <c r="T4"/>
  <c r="S4"/>
  <c r="P4"/>
  <c r="L4"/>
  <c r="K4"/>
  <c r="H4"/>
  <c r="G4"/>
  <c r="D4"/>
  <c r="C4"/>
  <c r="X123" i="40"/>
  <c r="W123"/>
  <c r="T123"/>
  <c r="S123"/>
  <c r="P123"/>
  <c r="O123"/>
  <c r="L123"/>
  <c r="K123"/>
  <c r="H123"/>
  <c r="G123"/>
  <c r="D123"/>
  <c r="X122"/>
  <c r="W122"/>
  <c r="T122"/>
  <c r="S122"/>
  <c r="P122"/>
  <c r="O122"/>
  <c r="L122"/>
  <c r="K122"/>
  <c r="H122"/>
  <c r="D122"/>
  <c r="C122"/>
  <c r="X121"/>
  <c r="W121"/>
  <c r="T121"/>
  <c r="S121"/>
  <c r="P121"/>
  <c r="O121"/>
  <c r="L121"/>
  <c r="K121"/>
  <c r="H121"/>
  <c r="D121"/>
  <c r="C121"/>
  <c r="X120"/>
  <c r="W120"/>
  <c r="T120"/>
  <c r="S120"/>
  <c r="P120"/>
  <c r="O120"/>
  <c r="L120"/>
  <c r="K120"/>
  <c r="H120"/>
  <c r="D120"/>
  <c r="C120"/>
  <c r="X119"/>
  <c r="W119"/>
  <c r="T119"/>
  <c r="S119"/>
  <c r="P119"/>
  <c r="O119"/>
  <c r="L119"/>
  <c r="K119"/>
  <c r="H119"/>
  <c r="G119"/>
  <c r="D119"/>
  <c r="X118"/>
  <c r="W118"/>
  <c r="T118"/>
  <c r="S118"/>
  <c r="P118"/>
  <c r="O118"/>
  <c r="L118"/>
  <c r="K118"/>
  <c r="H118"/>
  <c r="D118"/>
  <c r="C118"/>
  <c r="X117"/>
  <c r="W117"/>
  <c r="T117"/>
  <c r="S117"/>
  <c r="P117"/>
  <c r="O117"/>
  <c r="L117"/>
  <c r="K117"/>
  <c r="H117"/>
  <c r="G117"/>
  <c r="D117"/>
  <c r="X116"/>
  <c r="W116"/>
  <c r="T116"/>
  <c r="S116"/>
  <c r="P116"/>
  <c r="O116"/>
  <c r="L116"/>
  <c r="K116"/>
  <c r="H116"/>
  <c r="D116"/>
  <c r="C116"/>
  <c r="X115"/>
  <c r="W115"/>
  <c r="T115"/>
  <c r="S115"/>
  <c r="P115"/>
  <c r="O115"/>
  <c r="L115"/>
  <c r="K115"/>
  <c r="H115"/>
  <c r="G115"/>
  <c r="D115"/>
  <c r="X114"/>
  <c r="W114"/>
  <c r="T114"/>
  <c r="S114"/>
  <c r="P114"/>
  <c r="O114"/>
  <c r="L114"/>
  <c r="K114"/>
  <c r="H114"/>
  <c r="D114"/>
  <c r="C114"/>
  <c r="X113"/>
  <c r="W113"/>
  <c r="T113"/>
  <c r="S113"/>
  <c r="P113"/>
  <c r="O113"/>
  <c r="L113"/>
  <c r="K113"/>
  <c r="H113"/>
  <c r="G113"/>
  <c r="D113"/>
  <c r="C113"/>
  <c r="X112"/>
  <c r="W112"/>
  <c r="T112"/>
  <c r="S112"/>
  <c r="P112"/>
  <c r="O112"/>
  <c r="L112"/>
  <c r="K112"/>
  <c r="H112"/>
  <c r="D112"/>
  <c r="C112"/>
  <c r="X111"/>
  <c r="W111"/>
  <c r="T111"/>
  <c r="S111"/>
  <c r="P111"/>
  <c r="O111"/>
  <c r="L111"/>
  <c r="K111"/>
  <c r="H111"/>
  <c r="G111"/>
  <c r="D111"/>
  <c r="X110"/>
  <c r="W110"/>
  <c r="T110"/>
  <c r="S110"/>
  <c r="P110"/>
  <c r="O110"/>
  <c r="L110"/>
  <c r="K110"/>
  <c r="H110"/>
  <c r="D110"/>
  <c r="C110"/>
  <c r="X109"/>
  <c r="W109"/>
  <c r="T109"/>
  <c r="S109"/>
  <c r="P109"/>
  <c r="O109"/>
  <c r="L109"/>
  <c r="K109"/>
  <c r="H109"/>
  <c r="G109"/>
  <c r="D109"/>
  <c r="C109"/>
  <c r="X108"/>
  <c r="W108"/>
  <c r="T108"/>
  <c r="S108"/>
  <c r="P108"/>
  <c r="O108"/>
  <c r="L108"/>
  <c r="K108"/>
  <c r="H108"/>
  <c r="G108"/>
  <c r="D108"/>
  <c r="C108"/>
  <c r="X107"/>
  <c r="W107"/>
  <c r="T107"/>
  <c r="S107"/>
  <c r="P107"/>
  <c r="O107"/>
  <c r="L107"/>
  <c r="K107"/>
  <c r="H107"/>
  <c r="G107"/>
  <c r="D107"/>
  <c r="C107"/>
  <c r="X106"/>
  <c r="W106"/>
  <c r="T106"/>
  <c r="S106"/>
  <c r="P106"/>
  <c r="O106"/>
  <c r="L106"/>
  <c r="K106"/>
  <c r="H106"/>
  <c r="G106"/>
  <c r="D106"/>
  <c r="C106"/>
  <c r="X105"/>
  <c r="W105"/>
  <c r="T105"/>
  <c r="S105"/>
  <c r="P105"/>
  <c r="O105"/>
  <c r="L105"/>
  <c r="K105"/>
  <c r="H105"/>
  <c r="G105"/>
  <c r="D105"/>
  <c r="X104"/>
  <c r="W104"/>
  <c r="T104"/>
  <c r="S104"/>
  <c r="P104"/>
  <c r="O104"/>
  <c r="L104"/>
  <c r="K104"/>
  <c r="H104"/>
  <c r="G104"/>
  <c r="D104"/>
  <c r="C104"/>
  <c r="X103"/>
  <c r="W103"/>
  <c r="T103"/>
  <c r="S103"/>
  <c r="P103"/>
  <c r="O103"/>
  <c r="L103"/>
  <c r="K103"/>
  <c r="H103"/>
  <c r="G103"/>
  <c r="D103"/>
  <c r="C103"/>
  <c r="X102"/>
  <c r="W102"/>
  <c r="T102"/>
  <c r="S102"/>
  <c r="P102"/>
  <c r="O102"/>
  <c r="L102"/>
  <c r="K102"/>
  <c r="H102"/>
  <c r="D102"/>
  <c r="C102"/>
  <c r="X101"/>
  <c r="W101"/>
  <c r="T101"/>
  <c r="S101"/>
  <c r="P101"/>
  <c r="O101"/>
  <c r="L101"/>
  <c r="K101"/>
  <c r="H101"/>
  <c r="G101"/>
  <c r="D101"/>
  <c r="C101"/>
  <c r="X100"/>
  <c r="W100"/>
  <c r="T100"/>
  <c r="S100"/>
  <c r="P100"/>
  <c r="O100"/>
  <c r="L100"/>
  <c r="K100"/>
  <c r="H100"/>
  <c r="G100"/>
  <c r="D100"/>
  <c r="C100"/>
  <c r="X99"/>
  <c r="W99"/>
  <c r="T99"/>
  <c r="S99"/>
  <c r="P99"/>
  <c r="O99"/>
  <c r="L99"/>
  <c r="K99"/>
  <c r="H99"/>
  <c r="G99"/>
  <c r="D99"/>
  <c r="C99"/>
  <c r="X98"/>
  <c r="W98"/>
  <c r="T98"/>
  <c r="S98"/>
  <c r="P98"/>
  <c r="O98"/>
  <c r="L98"/>
  <c r="K98"/>
  <c r="H98"/>
  <c r="D98"/>
  <c r="C98"/>
  <c r="X97"/>
  <c r="W97"/>
  <c r="T97"/>
  <c r="S97"/>
  <c r="P97"/>
  <c r="O97"/>
  <c r="L97"/>
  <c r="K97"/>
  <c r="H97"/>
  <c r="G97"/>
  <c r="D97"/>
  <c r="C97"/>
  <c r="X96"/>
  <c r="W96"/>
  <c r="T96"/>
  <c r="S96"/>
  <c r="P96"/>
  <c r="O96"/>
  <c r="L96"/>
  <c r="K96"/>
  <c r="H96"/>
  <c r="G96"/>
  <c r="D96"/>
  <c r="C96"/>
  <c r="X95"/>
  <c r="W95"/>
  <c r="T95"/>
  <c r="S95"/>
  <c r="P95"/>
  <c r="O95"/>
  <c r="L95"/>
  <c r="K95"/>
  <c r="H95"/>
  <c r="G95"/>
  <c r="D95"/>
  <c r="C95"/>
  <c r="X94"/>
  <c r="W94"/>
  <c r="T94"/>
  <c r="S94"/>
  <c r="P94"/>
  <c r="O94"/>
  <c r="L94"/>
  <c r="K94"/>
  <c r="H94"/>
  <c r="G94"/>
  <c r="D94"/>
  <c r="C94"/>
  <c r="X93"/>
  <c r="W93"/>
  <c r="T93"/>
  <c r="S93"/>
  <c r="P93"/>
  <c r="O93"/>
  <c r="L93"/>
  <c r="K93"/>
  <c r="H93"/>
  <c r="G93"/>
  <c r="D93"/>
  <c r="C93"/>
  <c r="X92"/>
  <c r="W92"/>
  <c r="T92"/>
  <c r="S92"/>
  <c r="P92"/>
  <c r="O92"/>
  <c r="L92"/>
  <c r="K92"/>
  <c r="H92"/>
  <c r="G92"/>
  <c r="D92"/>
  <c r="C92"/>
  <c r="X91"/>
  <c r="W91"/>
  <c r="T91"/>
  <c r="S91"/>
  <c r="P91"/>
  <c r="O91"/>
  <c r="L91"/>
  <c r="K91"/>
  <c r="H91"/>
  <c r="G91"/>
  <c r="D91"/>
  <c r="C91"/>
  <c r="X90"/>
  <c r="W90"/>
  <c r="T90"/>
  <c r="S90"/>
  <c r="P90"/>
  <c r="O90"/>
  <c r="L90"/>
  <c r="K90"/>
  <c r="H90"/>
  <c r="G90"/>
  <c r="D90"/>
  <c r="C90"/>
  <c r="X89"/>
  <c r="W89"/>
  <c r="T89"/>
  <c r="S89"/>
  <c r="P89"/>
  <c r="O89"/>
  <c r="L89"/>
  <c r="K89"/>
  <c r="H89"/>
  <c r="G89"/>
  <c r="D89"/>
  <c r="C89"/>
  <c r="X88"/>
  <c r="W88"/>
  <c r="T88"/>
  <c r="S88"/>
  <c r="P88"/>
  <c r="O88"/>
  <c r="L88"/>
  <c r="K88"/>
  <c r="H88"/>
  <c r="G88"/>
  <c r="D88"/>
  <c r="C88"/>
  <c r="X87"/>
  <c r="W87"/>
  <c r="T87"/>
  <c r="S87"/>
  <c r="P87"/>
  <c r="O87"/>
  <c r="L87"/>
  <c r="K87"/>
  <c r="H87"/>
  <c r="G87"/>
  <c r="D87"/>
  <c r="C87"/>
  <c r="X86"/>
  <c r="W86"/>
  <c r="T86"/>
  <c r="S86"/>
  <c r="P86"/>
  <c r="O86"/>
  <c r="L86"/>
  <c r="K86"/>
  <c r="H86"/>
  <c r="D86"/>
  <c r="C86"/>
  <c r="X85"/>
  <c r="W85"/>
  <c r="T85"/>
  <c r="S85"/>
  <c r="P85"/>
  <c r="O85"/>
  <c r="L85"/>
  <c r="K85"/>
  <c r="H85"/>
  <c r="G85"/>
  <c r="D85"/>
  <c r="C85"/>
  <c r="X84"/>
  <c r="W84"/>
  <c r="T84"/>
  <c r="S84"/>
  <c r="P84"/>
  <c r="O84"/>
  <c r="L84"/>
  <c r="K84"/>
  <c r="H84"/>
  <c r="G84"/>
  <c r="D84"/>
  <c r="C84"/>
  <c r="X83"/>
  <c r="W83"/>
  <c r="T83"/>
  <c r="S83"/>
  <c r="P83"/>
  <c r="O83"/>
  <c r="L83"/>
  <c r="K83"/>
  <c r="H83"/>
  <c r="G83"/>
  <c r="D83"/>
  <c r="X82"/>
  <c r="W82"/>
  <c r="T82"/>
  <c r="S82"/>
  <c r="P82"/>
  <c r="O82"/>
  <c r="L82"/>
  <c r="K82"/>
  <c r="H82"/>
  <c r="D82"/>
  <c r="C82"/>
  <c r="X81"/>
  <c r="W81"/>
  <c r="T81"/>
  <c r="S81"/>
  <c r="P81"/>
  <c r="O81"/>
  <c r="L81"/>
  <c r="K81"/>
  <c r="H81"/>
  <c r="G81"/>
  <c r="D81"/>
  <c r="C81"/>
  <c r="X80"/>
  <c r="W80"/>
  <c r="T80"/>
  <c r="S80"/>
  <c r="P80"/>
  <c r="O80"/>
  <c r="L80"/>
  <c r="K80"/>
  <c r="H80"/>
  <c r="G80"/>
  <c r="D80"/>
  <c r="C80"/>
  <c r="X79"/>
  <c r="W79"/>
  <c r="T79"/>
  <c r="S79"/>
  <c r="P79"/>
  <c r="O79"/>
  <c r="L79"/>
  <c r="K79"/>
  <c r="H79"/>
  <c r="D79"/>
  <c r="C79"/>
  <c r="X78"/>
  <c r="W78"/>
  <c r="T78"/>
  <c r="S78"/>
  <c r="P78"/>
  <c r="O78"/>
  <c r="L78"/>
  <c r="K78"/>
  <c r="H78"/>
  <c r="G78"/>
  <c r="D78"/>
  <c r="C78"/>
  <c r="X77"/>
  <c r="W77"/>
  <c r="T77"/>
  <c r="S77"/>
  <c r="P77"/>
  <c r="O77"/>
  <c r="L77"/>
  <c r="K77"/>
  <c r="H77"/>
  <c r="D77"/>
  <c r="C77"/>
  <c r="X76"/>
  <c r="W76"/>
  <c r="T76"/>
  <c r="S76"/>
  <c r="P76"/>
  <c r="O76"/>
  <c r="L76"/>
  <c r="K76"/>
  <c r="H76"/>
  <c r="G76"/>
  <c r="D76"/>
  <c r="C76"/>
  <c r="X75"/>
  <c r="W75"/>
  <c r="T75"/>
  <c r="S75"/>
  <c r="P75"/>
  <c r="O75"/>
  <c r="L75"/>
  <c r="K75"/>
  <c r="H75"/>
  <c r="G75"/>
  <c r="D75"/>
  <c r="C75"/>
  <c r="X74"/>
  <c r="W74"/>
  <c r="T74"/>
  <c r="S74"/>
  <c r="P74"/>
  <c r="O74"/>
  <c r="L74"/>
  <c r="K74"/>
  <c r="H74"/>
  <c r="G74"/>
  <c r="D74"/>
  <c r="C74"/>
  <c r="X73"/>
  <c r="W73"/>
  <c r="T73"/>
  <c r="S73"/>
  <c r="P73"/>
  <c r="O73"/>
  <c r="L73"/>
  <c r="K73"/>
  <c r="H73"/>
  <c r="D73"/>
  <c r="C73"/>
  <c r="X72"/>
  <c r="W72"/>
  <c r="T72"/>
  <c r="S72"/>
  <c r="P72"/>
  <c r="O72"/>
  <c r="L72"/>
  <c r="K72"/>
  <c r="H72"/>
  <c r="G72"/>
  <c r="D72"/>
  <c r="C72"/>
  <c r="X71"/>
  <c r="W71"/>
  <c r="T71"/>
  <c r="S71"/>
  <c r="P71"/>
  <c r="O71"/>
  <c r="L71"/>
  <c r="K71"/>
  <c r="H71"/>
  <c r="D71"/>
  <c r="C71"/>
  <c r="X70"/>
  <c r="W70"/>
  <c r="T70"/>
  <c r="S70"/>
  <c r="P70"/>
  <c r="O70"/>
  <c r="L70"/>
  <c r="K70"/>
  <c r="H70"/>
  <c r="G70"/>
  <c r="D70"/>
  <c r="C70"/>
  <c r="X69"/>
  <c r="W69"/>
  <c r="T69"/>
  <c r="S69"/>
  <c r="P69"/>
  <c r="O69"/>
  <c r="L69"/>
  <c r="K69"/>
  <c r="H69"/>
  <c r="G69"/>
  <c r="D69"/>
  <c r="C69"/>
  <c r="X68"/>
  <c r="W68"/>
  <c r="T68"/>
  <c r="S68"/>
  <c r="P68"/>
  <c r="O68"/>
  <c r="L68"/>
  <c r="K68"/>
  <c r="H68"/>
  <c r="G68"/>
  <c r="D68"/>
  <c r="X67"/>
  <c r="W67"/>
  <c r="T67"/>
  <c r="S67"/>
  <c r="P67"/>
  <c r="O67"/>
  <c r="L67"/>
  <c r="K67"/>
  <c r="H67"/>
  <c r="G67"/>
  <c r="D67"/>
  <c r="C67"/>
  <c r="X66"/>
  <c r="W66"/>
  <c r="T66"/>
  <c r="S66"/>
  <c r="P66"/>
  <c r="O66"/>
  <c r="L66"/>
  <c r="K66"/>
  <c r="H66"/>
  <c r="G66"/>
  <c r="D66"/>
  <c r="C66"/>
  <c r="X65"/>
  <c r="W65"/>
  <c r="T65"/>
  <c r="S65"/>
  <c r="P65"/>
  <c r="O65"/>
  <c r="L65"/>
  <c r="K65"/>
  <c r="H65"/>
  <c r="G65"/>
  <c r="D65"/>
  <c r="C65"/>
  <c r="X64"/>
  <c r="W64"/>
  <c r="T64"/>
  <c r="S64"/>
  <c r="P64"/>
  <c r="O64"/>
  <c r="L64"/>
  <c r="K64"/>
  <c r="H64"/>
  <c r="G64"/>
  <c r="D64"/>
  <c r="C64"/>
  <c r="X63"/>
  <c r="W63"/>
  <c r="T63"/>
  <c r="S63"/>
  <c r="P63"/>
  <c r="O63"/>
  <c r="L63"/>
  <c r="K63"/>
  <c r="H63"/>
  <c r="G63"/>
  <c r="D63"/>
  <c r="X62"/>
  <c r="W62"/>
  <c r="T62"/>
  <c r="S62"/>
  <c r="P62"/>
  <c r="O62"/>
  <c r="L62"/>
  <c r="K62"/>
  <c r="H62"/>
  <c r="D62"/>
  <c r="C62"/>
  <c r="X61"/>
  <c r="W61"/>
  <c r="T61"/>
  <c r="S61"/>
  <c r="P61"/>
  <c r="O61"/>
  <c r="L61"/>
  <c r="K61"/>
  <c r="H61"/>
  <c r="G61"/>
  <c r="D61"/>
  <c r="C61"/>
  <c r="X60"/>
  <c r="W60"/>
  <c r="T60"/>
  <c r="S60"/>
  <c r="P60"/>
  <c r="O60"/>
  <c r="L60"/>
  <c r="K60"/>
  <c r="H60"/>
  <c r="G60"/>
  <c r="D60"/>
  <c r="C60"/>
  <c r="X59"/>
  <c r="W59"/>
  <c r="T59"/>
  <c r="S59"/>
  <c r="P59"/>
  <c r="O59"/>
  <c r="L59"/>
  <c r="K59"/>
  <c r="H59"/>
  <c r="G59"/>
  <c r="D59"/>
  <c r="C59"/>
  <c r="X58"/>
  <c r="W58"/>
  <c r="T58"/>
  <c r="S58"/>
  <c r="P58"/>
  <c r="O58"/>
  <c r="L58"/>
  <c r="K58"/>
  <c r="H58"/>
  <c r="G58"/>
  <c r="D58"/>
  <c r="X57"/>
  <c r="W57"/>
  <c r="T57"/>
  <c r="S57"/>
  <c r="P57"/>
  <c r="O57"/>
  <c r="L57"/>
  <c r="K57"/>
  <c r="H57"/>
  <c r="D57"/>
  <c r="C57"/>
  <c r="X56"/>
  <c r="W56"/>
  <c r="T56"/>
  <c r="S56"/>
  <c r="P56"/>
  <c r="O56"/>
  <c r="L56"/>
  <c r="K56"/>
  <c r="H56"/>
  <c r="G56"/>
  <c r="D56"/>
  <c r="C56"/>
  <c r="X55"/>
  <c r="W55"/>
  <c r="T55"/>
  <c r="S55"/>
  <c r="P55"/>
  <c r="O55"/>
  <c r="L55"/>
  <c r="K55"/>
  <c r="H55"/>
  <c r="G55"/>
  <c r="D55"/>
  <c r="C55"/>
  <c r="X54"/>
  <c r="W54"/>
  <c r="T54"/>
  <c r="S54"/>
  <c r="P54"/>
  <c r="O54"/>
  <c r="L54"/>
  <c r="K54"/>
  <c r="H54"/>
  <c r="G54"/>
  <c r="D54"/>
  <c r="C54"/>
  <c r="X53"/>
  <c r="W53"/>
  <c r="T53"/>
  <c r="S53"/>
  <c r="P53"/>
  <c r="O53"/>
  <c r="L53"/>
  <c r="K53"/>
  <c r="H53"/>
  <c r="D53"/>
  <c r="C53"/>
  <c r="X52"/>
  <c r="W52"/>
  <c r="T52"/>
  <c r="S52"/>
  <c r="P52"/>
  <c r="O52"/>
  <c r="L52"/>
  <c r="K52"/>
  <c r="H52"/>
  <c r="G52"/>
  <c r="D52"/>
  <c r="C52"/>
  <c r="X51"/>
  <c r="W51"/>
  <c r="T51"/>
  <c r="S51"/>
  <c r="P51"/>
  <c r="O51"/>
  <c r="L51"/>
  <c r="K51"/>
  <c r="H51"/>
  <c r="G51"/>
  <c r="D51"/>
  <c r="C51"/>
  <c r="X50"/>
  <c r="W50"/>
  <c r="T50"/>
  <c r="S50"/>
  <c r="P50"/>
  <c r="O50"/>
  <c r="L50"/>
  <c r="K50"/>
  <c r="H50"/>
  <c r="G50"/>
  <c r="D50"/>
  <c r="X49"/>
  <c r="W49"/>
  <c r="T49"/>
  <c r="S49"/>
  <c r="P49"/>
  <c r="O49"/>
  <c r="L49"/>
  <c r="K49"/>
  <c r="H49"/>
  <c r="D49"/>
  <c r="C49"/>
  <c r="X48"/>
  <c r="W48"/>
  <c r="T48"/>
  <c r="S48"/>
  <c r="P48"/>
  <c r="O48"/>
  <c r="L48"/>
  <c r="K48"/>
  <c r="H48"/>
  <c r="G48"/>
  <c r="D48"/>
  <c r="C48"/>
  <c r="X47"/>
  <c r="W47"/>
  <c r="T47"/>
  <c r="S47"/>
  <c r="P47"/>
  <c r="O47"/>
  <c r="L47"/>
  <c r="K47"/>
  <c r="H47"/>
  <c r="G47"/>
  <c r="D47"/>
  <c r="X46"/>
  <c r="W46"/>
  <c r="T46"/>
  <c r="S46"/>
  <c r="P46"/>
  <c r="O46"/>
  <c r="L46"/>
  <c r="K46"/>
  <c r="H46"/>
  <c r="D46"/>
  <c r="C46"/>
  <c r="X45"/>
  <c r="W45"/>
  <c r="T45"/>
  <c r="S45"/>
  <c r="P45"/>
  <c r="O45"/>
  <c r="L45"/>
  <c r="K45"/>
  <c r="H45"/>
  <c r="G45"/>
  <c r="D45"/>
  <c r="C45"/>
  <c r="X44"/>
  <c r="W44"/>
  <c r="T44"/>
  <c r="S44"/>
  <c r="P44"/>
  <c r="O44"/>
  <c r="L44"/>
  <c r="K44"/>
  <c r="H44"/>
  <c r="G44"/>
  <c r="D44"/>
  <c r="X43"/>
  <c r="W43"/>
  <c r="T43"/>
  <c r="S43"/>
  <c r="P43"/>
  <c r="O43"/>
  <c r="L43"/>
  <c r="K43"/>
  <c r="H43"/>
  <c r="D43"/>
  <c r="C43"/>
  <c r="X42"/>
  <c r="W42"/>
  <c r="T42"/>
  <c r="S42"/>
  <c r="P42"/>
  <c r="O42"/>
  <c r="L42"/>
  <c r="K42"/>
  <c r="H42"/>
  <c r="G42"/>
  <c r="D42"/>
  <c r="C42"/>
  <c r="X41"/>
  <c r="W41"/>
  <c r="T41"/>
  <c r="S41"/>
  <c r="P41"/>
  <c r="O41"/>
  <c r="L41"/>
  <c r="K41"/>
  <c r="H41"/>
  <c r="G41"/>
  <c r="D41"/>
  <c r="C41"/>
  <c r="X40"/>
  <c r="W40"/>
  <c r="T40"/>
  <c r="S40"/>
  <c r="P40"/>
  <c r="O40"/>
  <c r="L40"/>
  <c r="K40"/>
  <c r="H40"/>
  <c r="G40"/>
  <c r="D40"/>
  <c r="C40"/>
  <c r="X39"/>
  <c r="W39"/>
  <c r="T39"/>
  <c r="S39"/>
  <c r="P39"/>
  <c r="O39"/>
  <c r="L39"/>
  <c r="K39"/>
  <c r="H39"/>
  <c r="D39"/>
  <c r="C39"/>
  <c r="X38"/>
  <c r="W38"/>
  <c r="T38"/>
  <c r="S38"/>
  <c r="P38"/>
  <c r="O38"/>
  <c r="L38"/>
  <c r="K38"/>
  <c r="H38"/>
  <c r="G38"/>
  <c r="D38"/>
  <c r="C38"/>
  <c r="X37"/>
  <c r="W37"/>
  <c r="T37"/>
  <c r="S37"/>
  <c r="P37"/>
  <c r="O37"/>
  <c r="L37"/>
  <c r="K37"/>
  <c r="H37"/>
  <c r="D37"/>
  <c r="C37"/>
  <c r="X36"/>
  <c r="W36"/>
  <c r="T36"/>
  <c r="S36"/>
  <c r="P36"/>
  <c r="O36"/>
  <c r="L36"/>
  <c r="K36"/>
  <c r="H36"/>
  <c r="G36"/>
  <c r="D36"/>
  <c r="C36"/>
  <c r="X35"/>
  <c r="W35"/>
  <c r="T35"/>
  <c r="S35"/>
  <c r="P35"/>
  <c r="O35"/>
  <c r="L35"/>
  <c r="K35"/>
  <c r="H35"/>
  <c r="G35"/>
  <c r="D35"/>
  <c r="X34"/>
  <c r="W34"/>
  <c r="T34"/>
  <c r="S34"/>
  <c r="P34"/>
  <c r="O34"/>
  <c r="L34"/>
  <c r="K34"/>
  <c r="H34"/>
  <c r="D34"/>
  <c r="C34"/>
  <c r="X33"/>
  <c r="W33"/>
  <c r="T33"/>
  <c r="S33"/>
  <c r="P33"/>
  <c r="O33"/>
  <c r="L33"/>
  <c r="K33"/>
  <c r="H33"/>
  <c r="G33"/>
  <c r="D33"/>
  <c r="C33"/>
  <c r="X32"/>
  <c r="W32"/>
  <c r="T32"/>
  <c r="S32"/>
  <c r="P32"/>
  <c r="O32"/>
  <c r="L32"/>
  <c r="K32"/>
  <c r="H32"/>
  <c r="G32"/>
  <c r="D32"/>
  <c r="C32"/>
  <c r="X31"/>
  <c r="W31"/>
  <c r="T31"/>
  <c r="S31"/>
  <c r="P31"/>
  <c r="O31"/>
  <c r="L31"/>
  <c r="K31"/>
  <c r="H31"/>
  <c r="G31"/>
  <c r="D31"/>
  <c r="X30"/>
  <c r="W30"/>
  <c r="T30"/>
  <c r="S30"/>
  <c r="P30"/>
  <c r="O30"/>
  <c r="L30"/>
  <c r="K30"/>
  <c r="H30"/>
  <c r="D30"/>
  <c r="C30"/>
  <c r="X29"/>
  <c r="W29"/>
  <c r="T29"/>
  <c r="S29"/>
  <c r="P29"/>
  <c r="O29"/>
  <c r="L29"/>
  <c r="K29"/>
  <c r="H29"/>
  <c r="G29"/>
  <c r="D29"/>
  <c r="C29"/>
  <c r="X28"/>
  <c r="W28"/>
  <c r="T28"/>
  <c r="S28"/>
  <c r="P28"/>
  <c r="O28"/>
  <c r="L28"/>
  <c r="K28"/>
  <c r="H28"/>
  <c r="G28"/>
  <c r="D28"/>
  <c r="C28"/>
  <c r="X27"/>
  <c r="W27"/>
  <c r="T27"/>
  <c r="S27"/>
  <c r="P27"/>
  <c r="O27"/>
  <c r="L27"/>
  <c r="K27"/>
  <c r="H27"/>
  <c r="D27"/>
  <c r="C27"/>
  <c r="X26"/>
  <c r="W26"/>
  <c r="T26"/>
  <c r="S26"/>
  <c r="P26"/>
  <c r="O26"/>
  <c r="L26"/>
  <c r="K26"/>
  <c r="H26"/>
  <c r="G26"/>
  <c r="D26"/>
  <c r="C26"/>
  <c r="X25"/>
  <c r="W25"/>
  <c r="T25"/>
  <c r="S25"/>
  <c r="P25"/>
  <c r="O25"/>
  <c r="L25"/>
  <c r="K25"/>
  <c r="H25"/>
  <c r="G25"/>
  <c r="D25"/>
  <c r="C25"/>
  <c r="X24"/>
  <c r="W24"/>
  <c r="T24"/>
  <c r="S24"/>
  <c r="P24"/>
  <c r="O24"/>
  <c r="L24"/>
  <c r="K24"/>
  <c r="H24"/>
  <c r="G24"/>
  <c r="D24"/>
  <c r="X23"/>
  <c r="W23"/>
  <c r="T23"/>
  <c r="S23"/>
  <c r="P23"/>
  <c r="O23"/>
  <c r="L23"/>
  <c r="K23"/>
  <c r="H23"/>
  <c r="G23"/>
  <c r="D23"/>
  <c r="C23"/>
  <c r="X22"/>
  <c r="W22"/>
  <c r="T22"/>
  <c r="S22"/>
  <c r="P22"/>
  <c r="O22"/>
  <c r="L22"/>
  <c r="K22"/>
  <c r="H22"/>
  <c r="G22"/>
  <c r="D22"/>
  <c r="X21"/>
  <c r="W21"/>
  <c r="T21"/>
  <c r="S21"/>
  <c r="P21"/>
  <c r="O21"/>
  <c r="L21"/>
  <c r="K21"/>
  <c r="H21"/>
  <c r="D21"/>
  <c r="C21"/>
  <c r="X20"/>
  <c r="W20"/>
  <c r="T20"/>
  <c r="S20"/>
  <c r="P20"/>
  <c r="O20"/>
  <c r="L20"/>
  <c r="K20"/>
  <c r="H20"/>
  <c r="G20"/>
  <c r="D20"/>
  <c r="C20"/>
  <c r="X19"/>
  <c r="W19"/>
  <c r="T19"/>
  <c r="S19"/>
  <c r="P19"/>
  <c r="O19"/>
  <c r="L19"/>
  <c r="K19"/>
  <c r="H19"/>
  <c r="G19"/>
  <c r="D19"/>
  <c r="C19"/>
  <c r="X18"/>
  <c r="W18"/>
  <c r="T18"/>
  <c r="S18"/>
  <c r="P18"/>
  <c r="O18"/>
  <c r="L18"/>
  <c r="K18"/>
  <c r="H18"/>
  <c r="G18"/>
  <c r="D18"/>
  <c r="X17"/>
  <c r="W17"/>
  <c r="T17"/>
  <c r="S17"/>
  <c r="P17"/>
  <c r="O17"/>
  <c r="L17"/>
  <c r="K17"/>
  <c r="H17"/>
  <c r="D17"/>
  <c r="C17"/>
  <c r="X16"/>
  <c r="W16"/>
  <c r="T16"/>
  <c r="S16"/>
  <c r="P16"/>
  <c r="O16"/>
  <c r="L16"/>
  <c r="K16"/>
  <c r="H16"/>
  <c r="G16"/>
  <c r="D16"/>
  <c r="C16"/>
  <c r="X15"/>
  <c r="W15"/>
  <c r="T15"/>
  <c r="S15"/>
  <c r="P15"/>
  <c r="O15"/>
  <c r="L15"/>
  <c r="K15"/>
  <c r="H15"/>
  <c r="G15"/>
  <c r="D15"/>
  <c r="X14"/>
  <c r="W14"/>
  <c r="T14"/>
  <c r="S14"/>
  <c r="P14"/>
  <c r="O14"/>
  <c r="L14"/>
  <c r="K14"/>
  <c r="H14"/>
  <c r="D14"/>
  <c r="C14"/>
  <c r="X13"/>
  <c r="W13"/>
  <c r="T13"/>
  <c r="S13"/>
  <c r="P13"/>
  <c r="O13"/>
  <c r="L13"/>
  <c r="K13"/>
  <c r="H13"/>
  <c r="G13"/>
  <c r="D13"/>
  <c r="C13"/>
  <c r="X12"/>
  <c r="W12"/>
  <c r="T12"/>
  <c r="S12"/>
  <c r="P12"/>
  <c r="O12"/>
  <c r="L12"/>
  <c r="K12"/>
  <c r="H12"/>
  <c r="G12"/>
  <c r="D12"/>
  <c r="C12"/>
  <c r="X11"/>
  <c r="W11"/>
  <c r="T11"/>
  <c r="S11"/>
  <c r="P11"/>
  <c r="O11"/>
  <c r="L11"/>
  <c r="K11"/>
  <c r="H11"/>
  <c r="G11"/>
  <c r="D11"/>
  <c r="C11"/>
  <c r="X10"/>
  <c r="W10"/>
  <c r="T10"/>
  <c r="S10"/>
  <c r="P10"/>
  <c r="O10"/>
  <c r="L10"/>
  <c r="K10"/>
  <c r="H10"/>
  <c r="D10"/>
  <c r="C10"/>
  <c r="X9"/>
  <c r="W9"/>
  <c r="T9"/>
  <c r="S9"/>
  <c r="P9"/>
  <c r="O9"/>
  <c r="L9"/>
  <c r="K9"/>
  <c r="H9"/>
  <c r="G9"/>
  <c r="D9"/>
  <c r="C9"/>
  <c r="X8"/>
  <c r="W8"/>
  <c r="T8"/>
  <c r="S8"/>
  <c r="P8"/>
  <c r="O8"/>
  <c r="L8"/>
  <c r="K8"/>
  <c r="H8"/>
  <c r="G8"/>
  <c r="D8"/>
  <c r="C8"/>
  <c r="X7"/>
  <c r="W7"/>
  <c r="T7"/>
  <c r="S7"/>
  <c r="P7"/>
  <c r="O7"/>
  <c r="L7"/>
  <c r="K7"/>
  <c r="H7"/>
  <c r="G7"/>
  <c r="D7"/>
  <c r="X6"/>
  <c r="W6"/>
  <c r="T6"/>
  <c r="S6"/>
  <c r="P6"/>
  <c r="O6"/>
  <c r="L6"/>
  <c r="K6"/>
  <c r="H6"/>
  <c r="D6"/>
  <c r="C6"/>
  <c r="X5"/>
  <c r="W5"/>
  <c r="T5"/>
  <c r="S5"/>
  <c r="P5"/>
  <c r="O5"/>
  <c r="L5"/>
  <c r="K5"/>
  <c r="H5"/>
  <c r="G5"/>
  <c r="D5"/>
  <c r="C5"/>
  <c r="X4"/>
  <c r="W4"/>
  <c r="T4"/>
  <c r="S4"/>
  <c r="P4"/>
  <c r="O4"/>
  <c r="L4"/>
  <c r="K4"/>
  <c r="H4"/>
  <c r="G4"/>
  <c r="D4"/>
  <c r="X123" i="39"/>
  <c r="W123"/>
  <c r="T123"/>
  <c r="S123"/>
  <c r="P123"/>
  <c r="O123"/>
  <c r="L123"/>
  <c r="K123"/>
  <c r="H123"/>
  <c r="G123"/>
  <c r="D123"/>
  <c r="C123"/>
  <c r="X122"/>
  <c r="W122"/>
  <c r="T122"/>
  <c r="S122"/>
  <c r="P122"/>
  <c r="O122"/>
  <c r="L122"/>
  <c r="K122"/>
  <c r="H122"/>
  <c r="G122"/>
  <c r="D122"/>
  <c r="C122"/>
  <c r="X121"/>
  <c r="W121"/>
  <c r="T121"/>
  <c r="S121"/>
  <c r="P121"/>
  <c r="O121"/>
  <c r="L121"/>
  <c r="K121"/>
  <c r="H121"/>
  <c r="G121"/>
  <c r="D121"/>
  <c r="C121"/>
  <c r="X120"/>
  <c r="W120"/>
  <c r="T120"/>
  <c r="S120"/>
  <c r="P120"/>
  <c r="O120"/>
  <c r="L120"/>
  <c r="K120"/>
  <c r="H120"/>
  <c r="G120"/>
  <c r="D120"/>
  <c r="C120"/>
  <c r="X119"/>
  <c r="W119"/>
  <c r="T119"/>
  <c r="S119"/>
  <c r="P119"/>
  <c r="O119"/>
  <c r="L119"/>
  <c r="K119"/>
  <c r="H119"/>
  <c r="G119"/>
  <c r="D119"/>
  <c r="C119"/>
  <c r="X118"/>
  <c r="W118"/>
  <c r="T118"/>
  <c r="S118"/>
  <c r="P118"/>
  <c r="O118"/>
  <c r="L118"/>
  <c r="K118"/>
  <c r="H118"/>
  <c r="G118"/>
  <c r="D118"/>
  <c r="C118"/>
  <c r="X117"/>
  <c r="W117"/>
  <c r="T117"/>
  <c r="S117"/>
  <c r="P117"/>
  <c r="O117"/>
  <c r="L117"/>
  <c r="K117"/>
  <c r="H117"/>
  <c r="G117"/>
  <c r="D117"/>
  <c r="C117"/>
  <c r="X116"/>
  <c r="W116"/>
  <c r="T116"/>
  <c r="S116"/>
  <c r="P116"/>
  <c r="O116"/>
  <c r="L116"/>
  <c r="K116"/>
  <c r="H116"/>
  <c r="G116"/>
  <c r="D116"/>
  <c r="C116"/>
  <c r="X115"/>
  <c r="W115"/>
  <c r="T115"/>
  <c r="S115"/>
  <c r="P115"/>
  <c r="O115"/>
  <c r="L115"/>
  <c r="K115"/>
  <c r="H115"/>
  <c r="G115"/>
  <c r="D115"/>
  <c r="C115"/>
  <c r="X114"/>
  <c r="W114"/>
  <c r="T114"/>
  <c r="S114"/>
  <c r="P114"/>
  <c r="O114"/>
  <c r="L114"/>
  <c r="K114"/>
  <c r="H114"/>
  <c r="G114"/>
  <c r="D114"/>
  <c r="C114"/>
  <c r="X113"/>
  <c r="W113"/>
  <c r="T113"/>
  <c r="S113"/>
  <c r="P113"/>
  <c r="O113"/>
  <c r="L113"/>
  <c r="K113"/>
  <c r="H113"/>
  <c r="G113"/>
  <c r="D113"/>
  <c r="C113"/>
  <c r="X112"/>
  <c r="W112"/>
  <c r="T112"/>
  <c r="S112"/>
  <c r="P112"/>
  <c r="O112"/>
  <c r="L112"/>
  <c r="K112"/>
  <c r="H112"/>
  <c r="G112"/>
  <c r="D112"/>
  <c r="C112"/>
  <c r="X111"/>
  <c r="W111"/>
  <c r="T111"/>
  <c r="S111"/>
  <c r="P111"/>
  <c r="O111"/>
  <c r="L111"/>
  <c r="K111"/>
  <c r="H111"/>
  <c r="G111"/>
  <c r="D111"/>
  <c r="C111"/>
  <c r="X110"/>
  <c r="W110"/>
  <c r="T110"/>
  <c r="S110"/>
  <c r="P110"/>
  <c r="O110"/>
  <c r="L110"/>
  <c r="K110"/>
  <c r="H110"/>
  <c r="G110"/>
  <c r="D110"/>
  <c r="C110"/>
  <c r="X109"/>
  <c r="W109"/>
  <c r="T109"/>
  <c r="S109"/>
  <c r="P109"/>
  <c r="O109"/>
  <c r="L109"/>
  <c r="K109"/>
  <c r="H109"/>
  <c r="G109"/>
  <c r="D109"/>
  <c r="C109"/>
  <c r="X108"/>
  <c r="W108"/>
  <c r="T108"/>
  <c r="S108"/>
  <c r="P108"/>
  <c r="O108"/>
  <c r="L108"/>
  <c r="K108"/>
  <c r="H108"/>
  <c r="G108"/>
  <c r="D108"/>
  <c r="C108"/>
  <c r="X107"/>
  <c r="W107"/>
  <c r="T107"/>
  <c r="S107"/>
  <c r="P107"/>
  <c r="O107"/>
  <c r="L107"/>
  <c r="K107"/>
  <c r="H107"/>
  <c r="G107"/>
  <c r="D107"/>
  <c r="C107"/>
  <c r="X106"/>
  <c r="W106"/>
  <c r="T106"/>
  <c r="S106"/>
  <c r="P106"/>
  <c r="O106"/>
  <c r="L106"/>
  <c r="K106"/>
  <c r="H106"/>
  <c r="G106"/>
  <c r="D106"/>
  <c r="C106"/>
  <c r="X105"/>
  <c r="W105"/>
  <c r="T105"/>
  <c r="S105"/>
  <c r="P105"/>
  <c r="O105"/>
  <c r="L105"/>
  <c r="K105"/>
  <c r="H105"/>
  <c r="G105"/>
  <c r="D105"/>
  <c r="C105"/>
  <c r="X104"/>
  <c r="W104"/>
  <c r="T104"/>
  <c r="S104"/>
  <c r="P104"/>
  <c r="O104"/>
  <c r="L104"/>
  <c r="K104"/>
  <c r="H104"/>
  <c r="G104"/>
  <c r="D104"/>
  <c r="C104"/>
  <c r="X103"/>
  <c r="W103"/>
  <c r="T103"/>
  <c r="S103"/>
  <c r="P103"/>
  <c r="O103"/>
  <c r="L103"/>
  <c r="K103"/>
  <c r="H103"/>
  <c r="G103"/>
  <c r="D103"/>
  <c r="C103"/>
  <c r="X102"/>
  <c r="W102"/>
  <c r="T102"/>
  <c r="S102"/>
  <c r="P102"/>
  <c r="O102"/>
  <c r="L102"/>
  <c r="K102"/>
  <c r="H102"/>
  <c r="G102"/>
  <c r="D102"/>
  <c r="C102"/>
  <c r="X101"/>
  <c r="W101"/>
  <c r="T101"/>
  <c r="S101"/>
  <c r="P101"/>
  <c r="O101"/>
  <c r="L101"/>
  <c r="K101"/>
  <c r="H101"/>
  <c r="G101"/>
  <c r="D101"/>
  <c r="C101"/>
  <c r="X100"/>
  <c r="W100"/>
  <c r="T100"/>
  <c r="S100"/>
  <c r="P100"/>
  <c r="O100"/>
  <c r="L100"/>
  <c r="K100"/>
  <c r="H100"/>
  <c r="G100"/>
  <c r="D100"/>
  <c r="C100"/>
  <c r="X99"/>
  <c r="W99"/>
  <c r="T99"/>
  <c r="S99"/>
  <c r="P99"/>
  <c r="O99"/>
  <c r="L99"/>
  <c r="K99"/>
  <c r="H99"/>
  <c r="G99"/>
  <c r="D99"/>
  <c r="C99"/>
  <c r="X98"/>
  <c r="W98"/>
  <c r="T98"/>
  <c r="S98"/>
  <c r="P98"/>
  <c r="O98"/>
  <c r="L98"/>
  <c r="K98"/>
  <c r="H98"/>
  <c r="G98"/>
  <c r="D98"/>
  <c r="C98"/>
  <c r="X97"/>
  <c r="W97"/>
  <c r="T97"/>
  <c r="S97"/>
  <c r="P97"/>
  <c r="O97"/>
  <c r="L97"/>
  <c r="K97"/>
  <c r="H97"/>
  <c r="G97"/>
  <c r="D97"/>
  <c r="C97"/>
  <c r="X96"/>
  <c r="W96"/>
  <c r="T96"/>
  <c r="S96"/>
  <c r="P96"/>
  <c r="O96"/>
  <c r="L96"/>
  <c r="K96"/>
  <c r="H96"/>
  <c r="G96"/>
  <c r="D96"/>
  <c r="C96"/>
  <c r="X95"/>
  <c r="W95"/>
  <c r="T95"/>
  <c r="S95"/>
  <c r="P95"/>
  <c r="O95"/>
  <c r="L95"/>
  <c r="K95"/>
  <c r="H95"/>
  <c r="G95"/>
  <c r="D95"/>
  <c r="C95"/>
  <c r="X94"/>
  <c r="W94"/>
  <c r="T94"/>
  <c r="S94"/>
  <c r="P94"/>
  <c r="O94"/>
  <c r="L94"/>
  <c r="K94"/>
  <c r="H94"/>
  <c r="G94"/>
  <c r="D94"/>
  <c r="C94"/>
  <c r="X93"/>
  <c r="W93"/>
  <c r="T93"/>
  <c r="S93"/>
  <c r="P93"/>
  <c r="O93"/>
  <c r="L93"/>
  <c r="K93"/>
  <c r="H93"/>
  <c r="G93"/>
  <c r="D93"/>
  <c r="C93"/>
  <c r="X92"/>
  <c r="W92"/>
  <c r="T92"/>
  <c r="S92"/>
  <c r="P92"/>
  <c r="O92"/>
  <c r="L92"/>
  <c r="K92"/>
  <c r="H92"/>
  <c r="G92"/>
  <c r="D92"/>
  <c r="C92"/>
  <c r="X91"/>
  <c r="W91"/>
  <c r="T91"/>
  <c r="S91"/>
  <c r="P91"/>
  <c r="O91"/>
  <c r="L91"/>
  <c r="K91"/>
  <c r="H91"/>
  <c r="G91"/>
  <c r="D91"/>
  <c r="C91"/>
  <c r="X90"/>
  <c r="W90"/>
  <c r="T90"/>
  <c r="S90"/>
  <c r="P90"/>
  <c r="O90"/>
  <c r="L90"/>
  <c r="K90"/>
  <c r="H90"/>
  <c r="G90"/>
  <c r="D90"/>
  <c r="C90"/>
  <c r="X89"/>
  <c r="W89"/>
  <c r="T89"/>
  <c r="S89"/>
  <c r="P89"/>
  <c r="O89"/>
  <c r="L89"/>
  <c r="K89"/>
  <c r="H89"/>
  <c r="G89"/>
  <c r="D89"/>
  <c r="C89"/>
  <c r="X88"/>
  <c r="W88"/>
  <c r="T88"/>
  <c r="S88"/>
  <c r="P88"/>
  <c r="O88"/>
  <c r="L88"/>
  <c r="K88"/>
  <c r="H88"/>
  <c r="G88"/>
  <c r="D88"/>
  <c r="C88"/>
  <c r="X87"/>
  <c r="W87"/>
  <c r="T87"/>
  <c r="S87"/>
  <c r="P87"/>
  <c r="O87"/>
  <c r="L87"/>
  <c r="K87"/>
  <c r="H87"/>
  <c r="G87"/>
  <c r="D87"/>
  <c r="C87"/>
  <c r="X86"/>
  <c r="W86"/>
  <c r="T86"/>
  <c r="S86"/>
  <c r="P86"/>
  <c r="O86"/>
  <c r="L86"/>
  <c r="K86"/>
  <c r="H86"/>
  <c r="G86"/>
  <c r="D86"/>
  <c r="C86"/>
  <c r="X85"/>
  <c r="W85"/>
  <c r="T85"/>
  <c r="S85"/>
  <c r="P85"/>
  <c r="O85"/>
  <c r="L85"/>
  <c r="K85"/>
  <c r="H85"/>
  <c r="G85"/>
  <c r="D85"/>
  <c r="C85"/>
  <c r="X84"/>
  <c r="W84"/>
  <c r="T84"/>
  <c r="S84"/>
  <c r="P84"/>
  <c r="O84"/>
  <c r="L84"/>
  <c r="K84"/>
  <c r="H84"/>
  <c r="G84"/>
  <c r="D84"/>
  <c r="C84"/>
  <c r="X83"/>
  <c r="W83"/>
  <c r="T83"/>
  <c r="S83"/>
  <c r="P83"/>
  <c r="O83"/>
  <c r="L83"/>
  <c r="K83"/>
  <c r="H83"/>
  <c r="G83"/>
  <c r="D83"/>
  <c r="C83"/>
  <c r="X82"/>
  <c r="W82"/>
  <c r="T82"/>
  <c r="S82"/>
  <c r="P82"/>
  <c r="O82"/>
  <c r="L82"/>
  <c r="K82"/>
  <c r="H82"/>
  <c r="G82"/>
  <c r="D82"/>
  <c r="C82"/>
  <c r="X81"/>
  <c r="W81"/>
  <c r="T81"/>
  <c r="S81"/>
  <c r="P81"/>
  <c r="O81"/>
  <c r="L81"/>
  <c r="K81"/>
  <c r="H81"/>
  <c r="G81"/>
  <c r="D81"/>
  <c r="C81"/>
  <c r="X80"/>
  <c r="W80"/>
  <c r="T80"/>
  <c r="S80"/>
  <c r="P80"/>
  <c r="O80"/>
  <c r="L80"/>
  <c r="K80"/>
  <c r="H80"/>
  <c r="G80"/>
  <c r="D80"/>
  <c r="C80"/>
  <c r="X79"/>
  <c r="W79"/>
  <c r="T79"/>
  <c r="S79"/>
  <c r="P79"/>
  <c r="O79"/>
  <c r="L79"/>
  <c r="K79"/>
  <c r="H79"/>
  <c r="G79"/>
  <c r="D79"/>
  <c r="C79"/>
  <c r="X78"/>
  <c r="W78"/>
  <c r="T78"/>
  <c r="S78"/>
  <c r="P78"/>
  <c r="O78"/>
  <c r="L78"/>
  <c r="K78"/>
  <c r="H78"/>
  <c r="G78"/>
  <c r="D78"/>
  <c r="C78"/>
  <c r="X77"/>
  <c r="W77"/>
  <c r="T77"/>
  <c r="S77"/>
  <c r="P77"/>
  <c r="O77"/>
  <c r="L77"/>
  <c r="K77"/>
  <c r="H77"/>
  <c r="G77"/>
  <c r="D77"/>
  <c r="C77"/>
  <c r="X76"/>
  <c r="W76"/>
  <c r="T76"/>
  <c r="S76"/>
  <c r="P76"/>
  <c r="O76"/>
  <c r="L76"/>
  <c r="K76"/>
  <c r="H76"/>
  <c r="G76"/>
  <c r="D76"/>
  <c r="C76"/>
  <c r="X75"/>
  <c r="W75"/>
  <c r="T75"/>
  <c r="S75"/>
  <c r="P75"/>
  <c r="O75"/>
  <c r="L75"/>
  <c r="K75"/>
  <c r="H75"/>
  <c r="G75"/>
  <c r="D75"/>
  <c r="C75"/>
  <c r="X74"/>
  <c r="W74"/>
  <c r="T74"/>
  <c r="S74"/>
  <c r="P74"/>
  <c r="O74"/>
  <c r="L74"/>
  <c r="K74"/>
  <c r="H74"/>
  <c r="G74"/>
  <c r="D74"/>
  <c r="C74"/>
  <c r="X73"/>
  <c r="W73"/>
  <c r="T73"/>
  <c r="S73"/>
  <c r="P73"/>
  <c r="O73"/>
  <c r="L73"/>
  <c r="K73"/>
  <c r="H73"/>
  <c r="G73"/>
  <c r="D73"/>
  <c r="C73"/>
  <c r="X72"/>
  <c r="W72"/>
  <c r="T72"/>
  <c r="S72"/>
  <c r="P72"/>
  <c r="O72"/>
  <c r="L72"/>
  <c r="K72"/>
  <c r="H72"/>
  <c r="G72"/>
  <c r="D72"/>
  <c r="C72"/>
  <c r="X71"/>
  <c r="W71"/>
  <c r="T71"/>
  <c r="S71"/>
  <c r="P71"/>
  <c r="O71"/>
  <c r="L71"/>
  <c r="K71"/>
  <c r="H71"/>
  <c r="G71"/>
  <c r="D71"/>
  <c r="C71"/>
  <c r="X70"/>
  <c r="W70"/>
  <c r="T70"/>
  <c r="S70"/>
  <c r="P70"/>
  <c r="O70"/>
  <c r="L70"/>
  <c r="K70"/>
  <c r="H70"/>
  <c r="G70"/>
  <c r="D70"/>
  <c r="C70"/>
  <c r="X69"/>
  <c r="W69"/>
  <c r="T69"/>
  <c r="S69"/>
  <c r="P69"/>
  <c r="O69"/>
  <c r="L69"/>
  <c r="K69"/>
  <c r="H69"/>
  <c r="G69"/>
  <c r="D69"/>
  <c r="C69"/>
  <c r="X68"/>
  <c r="W68"/>
  <c r="T68"/>
  <c r="S68"/>
  <c r="P68"/>
  <c r="O68"/>
  <c r="L68"/>
  <c r="K68"/>
  <c r="H68"/>
  <c r="G68"/>
  <c r="D68"/>
  <c r="C68"/>
  <c r="X67"/>
  <c r="W67"/>
  <c r="T67"/>
  <c r="S67"/>
  <c r="P67"/>
  <c r="O67"/>
  <c r="L67"/>
  <c r="K67"/>
  <c r="H67"/>
  <c r="G67"/>
  <c r="D67"/>
  <c r="C67"/>
  <c r="X66"/>
  <c r="W66"/>
  <c r="T66"/>
  <c r="S66"/>
  <c r="P66"/>
  <c r="O66"/>
  <c r="L66"/>
  <c r="K66"/>
  <c r="H66"/>
  <c r="G66"/>
  <c r="D66"/>
  <c r="C66"/>
  <c r="X65"/>
  <c r="W65"/>
  <c r="T65"/>
  <c r="S65"/>
  <c r="P65"/>
  <c r="O65"/>
  <c r="L65"/>
  <c r="K65"/>
  <c r="H65"/>
  <c r="G65"/>
  <c r="D65"/>
  <c r="C65"/>
  <c r="X64"/>
  <c r="W64"/>
  <c r="T64"/>
  <c r="S64"/>
  <c r="P64"/>
  <c r="O64"/>
  <c r="L64"/>
  <c r="K64"/>
  <c r="H64"/>
  <c r="G64"/>
  <c r="D64"/>
  <c r="C64"/>
  <c r="X63"/>
  <c r="W63"/>
  <c r="T63"/>
  <c r="S63"/>
  <c r="P63"/>
  <c r="O63"/>
  <c r="L63"/>
  <c r="K63"/>
  <c r="H63"/>
  <c r="G63"/>
  <c r="D63"/>
  <c r="C63"/>
  <c r="X62"/>
  <c r="W62"/>
  <c r="T62"/>
  <c r="S62"/>
  <c r="P62"/>
  <c r="O62"/>
  <c r="L62"/>
  <c r="K62"/>
  <c r="H62"/>
  <c r="G62"/>
  <c r="D62"/>
  <c r="C62"/>
  <c r="X61"/>
  <c r="W61"/>
  <c r="T61"/>
  <c r="S61"/>
  <c r="P61"/>
  <c r="O61"/>
  <c r="L61"/>
  <c r="K61"/>
  <c r="H61"/>
  <c r="G61"/>
  <c r="D61"/>
  <c r="C61"/>
  <c r="X60"/>
  <c r="W60"/>
  <c r="T60"/>
  <c r="S60"/>
  <c r="P60"/>
  <c r="O60"/>
  <c r="L60"/>
  <c r="K60"/>
  <c r="H60"/>
  <c r="G60"/>
  <c r="D60"/>
  <c r="C60"/>
  <c r="X59"/>
  <c r="W59"/>
  <c r="T59"/>
  <c r="S59"/>
  <c r="P59"/>
  <c r="O59"/>
  <c r="L59"/>
  <c r="K59"/>
  <c r="H59"/>
  <c r="G59"/>
  <c r="D59"/>
  <c r="C59"/>
  <c r="X58"/>
  <c r="W58"/>
  <c r="T58"/>
  <c r="S58"/>
  <c r="P58"/>
  <c r="O58"/>
  <c r="L58"/>
  <c r="K58"/>
  <c r="H58"/>
  <c r="G58"/>
  <c r="D58"/>
  <c r="C58"/>
  <c r="X57"/>
  <c r="W57"/>
  <c r="T57"/>
  <c r="S57"/>
  <c r="P57"/>
  <c r="O57"/>
  <c r="L57"/>
  <c r="K57"/>
  <c r="H57"/>
  <c r="G57"/>
  <c r="D57"/>
  <c r="C57"/>
  <c r="X56"/>
  <c r="W56"/>
  <c r="T56"/>
  <c r="S56"/>
  <c r="P56"/>
  <c r="O56"/>
  <c r="L56"/>
  <c r="K56"/>
  <c r="H56"/>
  <c r="G56"/>
  <c r="D56"/>
  <c r="C56"/>
  <c r="X55"/>
  <c r="W55"/>
  <c r="T55"/>
  <c r="S55"/>
  <c r="P55"/>
  <c r="O55"/>
  <c r="L55"/>
  <c r="K55"/>
  <c r="H55"/>
  <c r="G55"/>
  <c r="D55"/>
  <c r="C55"/>
  <c r="X54"/>
  <c r="W54"/>
  <c r="T54"/>
  <c r="S54"/>
  <c r="P54"/>
  <c r="O54"/>
  <c r="L54"/>
  <c r="K54"/>
  <c r="H54"/>
  <c r="G54"/>
  <c r="D54"/>
  <c r="C54"/>
  <c r="X53"/>
  <c r="W53"/>
  <c r="T53"/>
  <c r="S53"/>
  <c r="P53"/>
  <c r="O53"/>
  <c r="L53"/>
  <c r="K53"/>
  <c r="H53"/>
  <c r="G53"/>
  <c r="D53"/>
  <c r="C53"/>
  <c r="X52"/>
  <c r="W52"/>
  <c r="T52"/>
  <c r="S52"/>
  <c r="P52"/>
  <c r="O52"/>
  <c r="L52"/>
  <c r="K52"/>
  <c r="H52"/>
  <c r="G52"/>
  <c r="D52"/>
  <c r="C52"/>
  <c r="X51"/>
  <c r="W51"/>
  <c r="T51"/>
  <c r="S51"/>
  <c r="P51"/>
  <c r="O51"/>
  <c r="L51"/>
  <c r="K51"/>
  <c r="H51"/>
  <c r="G51"/>
  <c r="D51"/>
  <c r="C51"/>
  <c r="X50"/>
  <c r="W50"/>
  <c r="T50"/>
  <c r="S50"/>
  <c r="P50"/>
  <c r="O50"/>
  <c r="L50"/>
  <c r="K50"/>
  <c r="H50"/>
  <c r="G50"/>
  <c r="D50"/>
  <c r="C50"/>
  <c r="X49"/>
  <c r="W49"/>
  <c r="T49"/>
  <c r="S49"/>
  <c r="P49"/>
  <c r="O49"/>
  <c r="L49"/>
  <c r="K49"/>
  <c r="H49"/>
  <c r="G49"/>
  <c r="D49"/>
  <c r="C49"/>
  <c r="X48"/>
  <c r="W48"/>
  <c r="T48"/>
  <c r="S48"/>
  <c r="P48"/>
  <c r="O48"/>
  <c r="L48"/>
  <c r="K48"/>
  <c r="H48"/>
  <c r="G48"/>
  <c r="D48"/>
  <c r="C48"/>
  <c r="X47"/>
  <c r="W47"/>
  <c r="T47"/>
  <c r="S47"/>
  <c r="P47"/>
  <c r="O47"/>
  <c r="L47"/>
  <c r="K47"/>
  <c r="H47"/>
  <c r="G47"/>
  <c r="D47"/>
  <c r="C47"/>
  <c r="X46"/>
  <c r="W46"/>
  <c r="T46"/>
  <c r="S46"/>
  <c r="P46"/>
  <c r="O46"/>
  <c r="L46"/>
  <c r="K46"/>
  <c r="H46"/>
  <c r="G46"/>
  <c r="D46"/>
  <c r="C46"/>
  <c r="X45"/>
  <c r="W45"/>
  <c r="T45"/>
  <c r="S45"/>
  <c r="P45"/>
  <c r="O45"/>
  <c r="L45"/>
  <c r="K45"/>
  <c r="H45"/>
  <c r="G45"/>
  <c r="D45"/>
  <c r="C45"/>
  <c r="X44"/>
  <c r="W44"/>
  <c r="T44"/>
  <c r="S44"/>
  <c r="P44"/>
  <c r="O44"/>
  <c r="L44"/>
  <c r="K44"/>
  <c r="H44"/>
  <c r="G44"/>
  <c r="D44"/>
  <c r="C44"/>
  <c r="X43"/>
  <c r="W43"/>
  <c r="T43"/>
  <c r="S43"/>
  <c r="P43"/>
  <c r="O43"/>
  <c r="L43"/>
  <c r="K43"/>
  <c r="H43"/>
  <c r="G43"/>
  <c r="D43"/>
  <c r="C43"/>
  <c r="X42"/>
  <c r="W42"/>
  <c r="T42"/>
  <c r="S42"/>
  <c r="P42"/>
  <c r="O42"/>
  <c r="L42"/>
  <c r="K42"/>
  <c r="H42"/>
  <c r="G42"/>
  <c r="D42"/>
  <c r="C42"/>
  <c r="X41"/>
  <c r="W41"/>
  <c r="T41"/>
  <c r="S41"/>
  <c r="P41"/>
  <c r="O41"/>
  <c r="L41"/>
  <c r="K41"/>
  <c r="H41"/>
  <c r="G41"/>
  <c r="D41"/>
  <c r="C41"/>
  <c r="X40"/>
  <c r="W40"/>
  <c r="T40"/>
  <c r="S40"/>
  <c r="P40"/>
  <c r="O40"/>
  <c r="L40"/>
  <c r="K40"/>
  <c r="H40"/>
  <c r="G40"/>
  <c r="D40"/>
  <c r="C40"/>
  <c r="X39"/>
  <c r="W39"/>
  <c r="T39"/>
  <c r="S39"/>
  <c r="P39"/>
  <c r="O39"/>
  <c r="L39"/>
  <c r="K39"/>
  <c r="H39"/>
  <c r="G39"/>
  <c r="D39"/>
  <c r="C39"/>
  <c r="X38"/>
  <c r="W38"/>
  <c r="T38"/>
  <c r="S38"/>
  <c r="P38"/>
  <c r="O38"/>
  <c r="L38"/>
  <c r="K38"/>
  <c r="H38"/>
  <c r="G38"/>
  <c r="D38"/>
  <c r="C38"/>
  <c r="X37"/>
  <c r="W37"/>
  <c r="T37"/>
  <c r="S37"/>
  <c r="P37"/>
  <c r="O37"/>
  <c r="L37"/>
  <c r="K37"/>
  <c r="H37"/>
  <c r="G37"/>
  <c r="D37"/>
  <c r="C37"/>
  <c r="X36"/>
  <c r="W36"/>
  <c r="T36"/>
  <c r="S36"/>
  <c r="P36"/>
  <c r="O36"/>
  <c r="L36"/>
  <c r="K36"/>
  <c r="H36"/>
  <c r="G36"/>
  <c r="D36"/>
  <c r="C36"/>
  <c r="X35"/>
  <c r="W35"/>
  <c r="T35"/>
  <c r="S35"/>
  <c r="P35"/>
  <c r="O35"/>
  <c r="L35"/>
  <c r="K35"/>
  <c r="H35"/>
  <c r="G35"/>
  <c r="D35"/>
  <c r="C35"/>
  <c r="X34"/>
  <c r="W34"/>
  <c r="T34"/>
  <c r="S34"/>
  <c r="P34"/>
  <c r="O34"/>
  <c r="L34"/>
  <c r="K34"/>
  <c r="H34"/>
  <c r="G34"/>
  <c r="D34"/>
  <c r="C34"/>
  <c r="X33"/>
  <c r="W33"/>
  <c r="T33"/>
  <c r="S33"/>
  <c r="P33"/>
  <c r="O33"/>
  <c r="L33"/>
  <c r="K33"/>
  <c r="H33"/>
  <c r="G33"/>
  <c r="D33"/>
  <c r="C33"/>
  <c r="X32"/>
  <c r="W32"/>
  <c r="T32"/>
  <c r="S32"/>
  <c r="P32"/>
  <c r="O32"/>
  <c r="L32"/>
  <c r="K32"/>
  <c r="H32"/>
  <c r="G32"/>
  <c r="D32"/>
  <c r="C32"/>
  <c r="X31"/>
  <c r="W31"/>
  <c r="T31"/>
  <c r="S31"/>
  <c r="P31"/>
  <c r="O31"/>
  <c r="L31"/>
  <c r="K31"/>
  <c r="H31"/>
  <c r="G31"/>
  <c r="D31"/>
  <c r="C31"/>
  <c r="X30"/>
  <c r="W30"/>
  <c r="T30"/>
  <c r="S30"/>
  <c r="P30"/>
  <c r="O30"/>
  <c r="L30"/>
  <c r="K30"/>
  <c r="H30"/>
  <c r="G30"/>
  <c r="D30"/>
  <c r="C30"/>
  <c r="X29"/>
  <c r="W29"/>
  <c r="T29"/>
  <c r="S29"/>
  <c r="P29"/>
  <c r="O29"/>
  <c r="L29"/>
  <c r="K29"/>
  <c r="H29"/>
  <c r="G29"/>
  <c r="D29"/>
  <c r="C29"/>
  <c r="X28"/>
  <c r="W28"/>
  <c r="T28"/>
  <c r="S28"/>
  <c r="P28"/>
  <c r="O28"/>
  <c r="L28"/>
  <c r="K28"/>
  <c r="H28"/>
  <c r="G28"/>
  <c r="D28"/>
  <c r="C28"/>
  <c r="X27"/>
  <c r="W27"/>
  <c r="T27"/>
  <c r="S27"/>
  <c r="P27"/>
  <c r="O27"/>
  <c r="L27"/>
  <c r="K27"/>
  <c r="H27"/>
  <c r="G27"/>
  <c r="D27"/>
  <c r="C27"/>
  <c r="X26"/>
  <c r="W26"/>
  <c r="T26"/>
  <c r="S26"/>
  <c r="P26"/>
  <c r="O26"/>
  <c r="L26"/>
  <c r="K26"/>
  <c r="H26"/>
  <c r="G26"/>
  <c r="D26"/>
  <c r="C26"/>
  <c r="X25"/>
  <c r="W25"/>
  <c r="T25"/>
  <c r="S25"/>
  <c r="P25"/>
  <c r="O25"/>
  <c r="L25"/>
  <c r="K25"/>
  <c r="H25"/>
  <c r="G25"/>
  <c r="D25"/>
  <c r="C25"/>
  <c r="X24"/>
  <c r="W24"/>
  <c r="T24"/>
  <c r="S24"/>
  <c r="P24"/>
  <c r="O24"/>
  <c r="L24"/>
  <c r="K24"/>
  <c r="H24"/>
  <c r="G24"/>
  <c r="D24"/>
  <c r="C24"/>
  <c r="X23"/>
  <c r="W23"/>
  <c r="T23"/>
  <c r="S23"/>
  <c r="P23"/>
  <c r="O23"/>
  <c r="L23"/>
  <c r="K23"/>
  <c r="H23"/>
  <c r="G23"/>
  <c r="D23"/>
  <c r="C23"/>
  <c r="X22"/>
  <c r="W22"/>
  <c r="T22"/>
  <c r="S22"/>
  <c r="P22"/>
  <c r="O22"/>
  <c r="L22"/>
  <c r="K22"/>
  <c r="H22"/>
  <c r="G22"/>
  <c r="D22"/>
  <c r="C22"/>
  <c r="X21"/>
  <c r="W21"/>
  <c r="T21"/>
  <c r="S21"/>
  <c r="P21"/>
  <c r="O21"/>
  <c r="L21"/>
  <c r="K21"/>
  <c r="H21"/>
  <c r="G21"/>
  <c r="D21"/>
  <c r="C21"/>
  <c r="X20"/>
  <c r="W20"/>
  <c r="T20"/>
  <c r="S20"/>
  <c r="P20"/>
  <c r="O20"/>
  <c r="L20"/>
  <c r="K20"/>
  <c r="H20"/>
  <c r="G20"/>
  <c r="D20"/>
  <c r="C20"/>
  <c r="X19"/>
  <c r="W19"/>
  <c r="T19"/>
  <c r="S19"/>
  <c r="P19"/>
  <c r="O19"/>
  <c r="L19"/>
  <c r="K19"/>
  <c r="H19"/>
  <c r="G19"/>
  <c r="D19"/>
  <c r="C19"/>
  <c r="X18"/>
  <c r="W18"/>
  <c r="T18"/>
  <c r="S18"/>
  <c r="P18"/>
  <c r="O18"/>
  <c r="L18"/>
  <c r="K18"/>
  <c r="H18"/>
  <c r="G18"/>
  <c r="D18"/>
  <c r="C18"/>
  <c r="X17"/>
  <c r="W17"/>
  <c r="T17"/>
  <c r="S17"/>
  <c r="P17"/>
  <c r="O17"/>
  <c r="L17"/>
  <c r="K17"/>
  <c r="H17"/>
  <c r="G17"/>
  <c r="D17"/>
  <c r="C17"/>
  <c r="X16"/>
  <c r="W16"/>
  <c r="T16"/>
  <c r="S16"/>
  <c r="P16"/>
  <c r="O16"/>
  <c r="L16"/>
  <c r="K16"/>
  <c r="H16"/>
  <c r="G16"/>
  <c r="D16"/>
  <c r="C16"/>
  <c r="X15"/>
  <c r="W15"/>
  <c r="T15"/>
  <c r="S15"/>
  <c r="P15"/>
  <c r="O15"/>
  <c r="L15"/>
  <c r="K15"/>
  <c r="H15"/>
  <c r="G15"/>
  <c r="D15"/>
  <c r="C15"/>
  <c r="X14"/>
  <c r="W14"/>
  <c r="T14"/>
  <c r="S14"/>
  <c r="P14"/>
  <c r="O14"/>
  <c r="L14"/>
  <c r="K14"/>
  <c r="H14"/>
  <c r="G14"/>
  <c r="D14"/>
  <c r="C14"/>
  <c r="X13"/>
  <c r="W13"/>
  <c r="T13"/>
  <c r="S13"/>
  <c r="P13"/>
  <c r="O13"/>
  <c r="L13"/>
  <c r="K13"/>
  <c r="H13"/>
  <c r="G13"/>
  <c r="D13"/>
  <c r="C13"/>
  <c r="X12"/>
  <c r="W12"/>
  <c r="T12"/>
  <c r="S12"/>
  <c r="P12"/>
  <c r="O12"/>
  <c r="L12"/>
  <c r="K12"/>
  <c r="H12"/>
  <c r="G12"/>
  <c r="D12"/>
  <c r="C12"/>
  <c r="X11"/>
  <c r="W11"/>
  <c r="T11"/>
  <c r="S11"/>
  <c r="P11"/>
  <c r="O11"/>
  <c r="L11"/>
  <c r="K11"/>
  <c r="H11"/>
  <c r="G11"/>
  <c r="D11"/>
  <c r="C11"/>
  <c r="X10"/>
  <c r="W10"/>
  <c r="T10"/>
  <c r="S10"/>
  <c r="P10"/>
  <c r="O10"/>
  <c r="L10"/>
  <c r="K10"/>
  <c r="H10"/>
  <c r="G10"/>
  <c r="D10"/>
  <c r="C10"/>
  <c r="X9"/>
  <c r="W9"/>
  <c r="T9"/>
  <c r="S9"/>
  <c r="P9"/>
  <c r="O9"/>
  <c r="L9"/>
  <c r="K9"/>
  <c r="H9"/>
  <c r="G9"/>
  <c r="D9"/>
  <c r="C9"/>
  <c r="X8"/>
  <c r="W8"/>
  <c r="T8"/>
  <c r="S8"/>
  <c r="P8"/>
  <c r="O8"/>
  <c r="L8"/>
  <c r="K8"/>
  <c r="H8"/>
  <c r="G8"/>
  <c r="D8"/>
  <c r="C8"/>
  <c r="X7"/>
  <c r="W7"/>
  <c r="T7"/>
  <c r="S7"/>
  <c r="P7"/>
  <c r="O7"/>
  <c r="L7"/>
  <c r="K7"/>
  <c r="H7"/>
  <c r="G7"/>
  <c r="D7"/>
  <c r="C7"/>
  <c r="X6"/>
  <c r="W6"/>
  <c r="T6"/>
  <c r="S6"/>
  <c r="P6"/>
  <c r="O6"/>
  <c r="L6"/>
  <c r="K6"/>
  <c r="H6"/>
  <c r="G6"/>
  <c r="D6"/>
  <c r="C6"/>
  <c r="X5"/>
  <c r="W5"/>
  <c r="T5"/>
  <c r="S5"/>
  <c r="P5"/>
  <c r="O5"/>
  <c r="L5"/>
  <c r="K5"/>
  <c r="H5"/>
  <c r="G5"/>
  <c r="D5"/>
  <c r="C5"/>
  <c r="X4"/>
  <c r="W4"/>
  <c r="T4"/>
  <c r="S4"/>
  <c r="P4"/>
  <c r="O4"/>
  <c r="L4"/>
  <c r="K4"/>
  <c r="H4"/>
  <c r="G4"/>
  <c r="D4"/>
  <c r="C4"/>
  <c r="C124" s="1"/>
  <c r="C125" s="1"/>
  <c r="K4" i="32"/>
  <c r="J4"/>
  <c r="H4"/>
  <c r="G4"/>
  <c r="F4"/>
  <c r="E4"/>
  <c r="D4"/>
  <c r="G4" i="31"/>
  <c r="F4"/>
  <c r="E4"/>
  <c r="D4"/>
  <c r="O122" i="41"/>
  <c r="O120"/>
  <c r="O118"/>
  <c r="O116"/>
  <c r="O114"/>
  <c r="O112"/>
  <c r="O110"/>
  <c r="O108"/>
  <c r="O106"/>
  <c r="O104"/>
  <c r="O102"/>
  <c r="O100"/>
  <c r="Q100" s="1"/>
  <c r="O98"/>
  <c r="O96"/>
  <c r="O94"/>
  <c r="O92"/>
  <c r="O90"/>
  <c r="O88"/>
  <c r="O86"/>
  <c r="O84"/>
  <c r="O82"/>
  <c r="O80"/>
  <c r="O78"/>
  <c r="O76"/>
  <c r="O74"/>
  <c r="O72"/>
  <c r="O70"/>
  <c r="O68"/>
  <c r="Q68" s="1"/>
  <c r="O66"/>
  <c r="O64"/>
  <c r="O62"/>
  <c r="O60"/>
  <c r="O58"/>
  <c r="O56"/>
  <c r="O54"/>
  <c r="O52"/>
  <c r="O50"/>
  <c r="O48"/>
  <c r="O46"/>
  <c r="O44"/>
  <c r="O42"/>
  <c r="O40"/>
  <c r="O38"/>
  <c r="O36"/>
  <c r="O34"/>
  <c r="O32"/>
  <c r="O30"/>
  <c r="O28"/>
  <c r="O26"/>
  <c r="O24"/>
  <c r="O22"/>
  <c r="O20"/>
  <c r="O18"/>
  <c r="O16"/>
  <c r="O14"/>
  <c r="O12"/>
  <c r="Q12" s="1"/>
  <c r="O10"/>
  <c r="O8"/>
  <c r="O6"/>
  <c r="AB4" i="86"/>
  <c r="AD87" i="84"/>
  <c r="AD81"/>
  <c r="AD71"/>
  <c r="AD68"/>
  <c r="AD49"/>
  <c r="AD34"/>
  <c r="AD32"/>
  <c r="AC13"/>
  <c r="D126" i="74"/>
  <c r="D125"/>
  <c r="D126" i="68"/>
  <c r="D125"/>
  <c r="D126" i="67"/>
  <c r="D125"/>
  <c r="E127" i="69"/>
  <c r="E126"/>
  <c r="E125"/>
  <c r="C42" i="1"/>
  <c r="C27"/>
  <c r="D11"/>
  <c r="I3"/>
  <c r="O5" i="41"/>
  <c r="O7"/>
  <c r="O9"/>
  <c r="O11"/>
  <c r="O57"/>
  <c r="O59"/>
  <c r="O83"/>
  <c r="O85"/>
  <c r="O87"/>
  <c r="O89"/>
  <c r="O91"/>
  <c r="O93"/>
  <c r="O95"/>
  <c r="O97"/>
  <c r="O99"/>
  <c r="O101"/>
  <c r="O103"/>
  <c r="O105"/>
  <c r="O107"/>
  <c r="O109"/>
  <c r="O111"/>
  <c r="O113"/>
  <c r="O115"/>
  <c r="O117"/>
  <c r="O119"/>
  <c r="O121"/>
  <c r="O123"/>
  <c r="O4"/>
  <c r="O13"/>
  <c r="O15"/>
  <c r="O17"/>
  <c r="O19"/>
  <c r="O21"/>
  <c r="O23"/>
  <c r="O25"/>
  <c r="O27"/>
  <c r="O29"/>
  <c r="O31"/>
  <c r="O33"/>
  <c r="O35"/>
  <c r="O37"/>
  <c r="O39"/>
  <c r="O41"/>
  <c r="O43"/>
  <c r="O45"/>
  <c r="O47"/>
  <c r="O49"/>
  <c r="O51"/>
  <c r="O53"/>
  <c r="O55"/>
  <c r="O61"/>
  <c r="O63"/>
  <c r="O65"/>
  <c r="O67"/>
  <c r="O69"/>
  <c r="O71"/>
  <c r="O73"/>
  <c r="O75"/>
  <c r="O77"/>
  <c r="O79"/>
  <c r="O81"/>
  <c r="Q132" i="75"/>
  <c r="AC64" i="84"/>
  <c r="AD41"/>
  <c r="AC28"/>
  <c r="AC52"/>
  <c r="AC40"/>
  <c r="AC50"/>
  <c r="AC61"/>
  <c r="AD104"/>
  <c r="AD84"/>
  <c r="AD78"/>
  <c r="AD95"/>
  <c r="AC109"/>
  <c r="AD86"/>
  <c r="AD89"/>
  <c r="AD99"/>
  <c r="G4" i="60"/>
  <c r="J4" i="55"/>
  <c r="T18" i="85"/>
  <c r="I131" i="75"/>
  <c r="AD101" i="84"/>
  <c r="AD13"/>
  <c r="AD109"/>
  <c r="AD38"/>
  <c r="AD90"/>
  <c r="AC91"/>
  <c r="AC34"/>
  <c r="AC32"/>
  <c r="AD117"/>
  <c r="AD46"/>
  <c r="AD10"/>
  <c r="AD123"/>
  <c r="AD23"/>
  <c r="AC48"/>
  <c r="AC105"/>
  <c r="AD105"/>
  <c r="AD50"/>
  <c r="AC83"/>
  <c r="AC47"/>
  <c r="AC124"/>
  <c r="AD69"/>
  <c r="AC63"/>
  <c r="AC35"/>
  <c r="AC38"/>
  <c r="AC12"/>
  <c r="AD7"/>
  <c r="AC59"/>
  <c r="AD59"/>
  <c r="AD28"/>
  <c r="AD122"/>
  <c r="AC97"/>
  <c r="AD98"/>
  <c r="AD97"/>
  <c r="AC81"/>
  <c r="AC71"/>
  <c r="AC87"/>
  <c r="AC90"/>
  <c r="AD70"/>
  <c r="AC14"/>
  <c r="AD64"/>
  <c r="AD42"/>
  <c r="AC22"/>
  <c r="AD36"/>
  <c r="AC54"/>
  <c r="AC37"/>
  <c r="AC98"/>
  <c r="AC78"/>
  <c r="AC101"/>
  <c r="AD79"/>
  <c r="AC73"/>
  <c r="AC94"/>
  <c r="AC79"/>
  <c r="AD61"/>
  <c r="AC68"/>
  <c r="AD116"/>
  <c r="AC66"/>
  <c r="AC123"/>
  <c r="AC103"/>
  <c r="AD88"/>
  <c r="AC86"/>
  <c r="AC122"/>
  <c r="AC95"/>
  <c r="AC88"/>
  <c r="AD121"/>
  <c r="AD94"/>
  <c r="AD72"/>
  <c r="AC70"/>
  <c r="AD103"/>
  <c r="AC65"/>
  <c r="AC58"/>
  <c r="AD54"/>
  <c r="AD14"/>
  <c r="AC16"/>
  <c r="AD37"/>
  <c r="AD12"/>
  <c r="AD55"/>
  <c r="AD53"/>
  <c r="AC53"/>
  <c r="AD43"/>
  <c r="AC25"/>
  <c r="AD25"/>
  <c r="AC27"/>
  <c r="AD27"/>
  <c r="AC89"/>
  <c r="AD85"/>
  <c r="AC125"/>
  <c r="AC85"/>
  <c r="AC55"/>
  <c r="AD62"/>
  <c r="AC62"/>
  <c r="AC49"/>
  <c r="AD125"/>
  <c r="AD114"/>
  <c r="AC99"/>
  <c r="AC93"/>
  <c r="AC72"/>
  <c r="AC114"/>
  <c r="AD83"/>
  <c r="AC121"/>
  <c r="AD66"/>
  <c r="AC29"/>
  <c r="AD24"/>
  <c r="AC7"/>
  <c r="AC116"/>
  <c r="AD65"/>
  <c r="AC42"/>
  <c r="AC23"/>
  <c r="AC31"/>
  <c r="AD31"/>
  <c r="AC44"/>
  <c r="AC117"/>
  <c r="AC46"/>
  <c r="AC10"/>
  <c r="G166" i="1" l="1"/>
  <c r="E167"/>
  <c r="F167"/>
  <c r="E166"/>
  <c r="F166"/>
  <c r="G167"/>
  <c r="T28" i="85"/>
  <c r="T68"/>
  <c r="T72"/>
  <c r="T76"/>
  <c r="T88"/>
  <c r="AR100" i="97"/>
  <c r="AZ100" s="1"/>
  <c r="AT67"/>
  <c r="BB67" s="1"/>
  <c r="AS41"/>
  <c r="BA41" s="1"/>
  <c r="AT88"/>
  <c r="BB88" s="1"/>
  <c r="AS79"/>
  <c r="BA79" s="1"/>
  <c r="AS120"/>
  <c r="BA120" s="1"/>
  <c r="BC120" s="1"/>
  <c r="AR126"/>
  <c r="AZ126" s="1"/>
  <c r="AT101"/>
  <c r="BB101" s="1"/>
  <c r="P131" i="75"/>
  <c r="AR99" i="97"/>
  <c r="AZ99" s="1"/>
  <c r="BC99" s="1"/>
  <c r="AT73"/>
  <c r="BB73" s="1"/>
  <c r="AT39"/>
  <c r="BB39" s="1"/>
  <c r="K6" i="101"/>
  <c r="H7" i="118" s="1"/>
  <c r="K12" i="101"/>
  <c r="H13" i="118" s="1"/>
  <c r="K18" i="101"/>
  <c r="H19" i="118" s="1"/>
  <c r="K20" i="101"/>
  <c r="H21" i="118" s="1"/>
  <c r="K26" i="101"/>
  <c r="H27" i="118" s="1"/>
  <c r="K28" i="101"/>
  <c r="H29" i="118" s="1"/>
  <c r="K36" i="101"/>
  <c r="H37" i="118" s="1"/>
  <c r="K44" i="101"/>
  <c r="H45" i="118" s="1"/>
  <c r="K57" i="101"/>
  <c r="H58" i="118" s="1"/>
  <c r="K67" i="101"/>
  <c r="H68" i="118" s="1"/>
  <c r="K69" i="101"/>
  <c r="H70" i="118" s="1"/>
  <c r="K81" i="101"/>
  <c r="H82" i="118" s="1"/>
  <c r="K87" i="101"/>
  <c r="H88" i="118" s="1"/>
  <c r="K95" i="101"/>
  <c r="H96" i="118" s="1"/>
  <c r="K97" i="101"/>
  <c r="H98" i="118" s="1"/>
  <c r="K99" i="101"/>
  <c r="H100" i="118" s="1"/>
  <c r="K101" i="101"/>
  <c r="H102" i="118" s="1"/>
  <c r="K105" i="101"/>
  <c r="H106" i="118" s="1"/>
  <c r="K117" i="101"/>
  <c r="H118" i="118" s="1"/>
  <c r="O6" i="85"/>
  <c r="P30"/>
  <c r="T61"/>
  <c r="T73"/>
  <c r="T85"/>
  <c r="Z93"/>
  <c r="P94"/>
  <c r="Z97"/>
  <c r="T98"/>
  <c r="Z101"/>
  <c r="T102"/>
  <c r="P106"/>
  <c r="Z109"/>
  <c r="P110"/>
  <c r="Z113"/>
  <c r="T117"/>
  <c r="P118"/>
  <c r="P122"/>
  <c r="T125"/>
  <c r="T126"/>
  <c r="Q129" i="75"/>
  <c r="Q130"/>
  <c r="Q131"/>
  <c r="D7" i="118"/>
  <c r="L7" i="79" s="1"/>
  <c r="P7" s="1"/>
  <c r="D9" i="118"/>
  <c r="L9" i="79" s="1"/>
  <c r="P9" s="1"/>
  <c r="D11" i="118"/>
  <c r="L11" i="79" s="1"/>
  <c r="P11" s="1"/>
  <c r="D13" i="118"/>
  <c r="L13" i="79" s="1"/>
  <c r="P13" s="1"/>
  <c r="D15" i="118"/>
  <c r="L15" i="79" s="1"/>
  <c r="P15" s="1"/>
  <c r="D17" i="118"/>
  <c r="L17" i="79" s="1"/>
  <c r="P17" s="1"/>
  <c r="D19" i="118"/>
  <c r="L19" i="79" s="1"/>
  <c r="P19" s="1"/>
  <c r="D21" i="118"/>
  <c r="L21" i="79" s="1"/>
  <c r="P21" s="1"/>
  <c r="D23" i="118"/>
  <c r="L23" i="79" s="1"/>
  <c r="P23" s="1"/>
  <c r="D25" i="118"/>
  <c r="L25" i="79" s="1"/>
  <c r="P25" s="1"/>
  <c r="D27" i="118"/>
  <c r="L27" i="79" s="1"/>
  <c r="P27" s="1"/>
  <c r="D29" i="118"/>
  <c r="L29" i="79" s="1"/>
  <c r="P29" s="1"/>
  <c r="D31" i="118"/>
  <c r="L31" i="79" s="1"/>
  <c r="P31" s="1"/>
  <c r="D33" i="118"/>
  <c r="L33" i="79" s="1"/>
  <c r="P33" s="1"/>
  <c r="D35" i="118"/>
  <c r="L35" i="79" s="1"/>
  <c r="P35" s="1"/>
  <c r="D37" i="118"/>
  <c r="L37" i="79" s="1"/>
  <c r="P37" s="1"/>
  <c r="D39" i="118"/>
  <c r="L39" i="79" s="1"/>
  <c r="P39" s="1"/>
  <c r="D41" i="118"/>
  <c r="L41" i="79" s="1"/>
  <c r="P41" s="1"/>
  <c r="D43" i="118"/>
  <c r="L43" i="79" s="1"/>
  <c r="P43" s="1"/>
  <c r="D45" i="118"/>
  <c r="L45" i="79" s="1"/>
  <c r="P45" s="1"/>
  <c r="D47" i="118"/>
  <c r="L47" i="79" s="1"/>
  <c r="P47" s="1"/>
  <c r="D49" i="118"/>
  <c r="L49" i="79" s="1"/>
  <c r="P49" s="1"/>
  <c r="S4" i="95"/>
  <c r="AR112" i="97"/>
  <c r="AZ112" s="1"/>
  <c r="BC112" s="1"/>
  <c r="AT122"/>
  <c r="BB122" s="1"/>
  <c r="AT76"/>
  <c r="BB76" s="1"/>
  <c r="AS116"/>
  <c r="BA116" s="1"/>
  <c r="AS52"/>
  <c r="BA52" s="1"/>
  <c r="AS119"/>
  <c r="BA119" s="1"/>
  <c r="AS28"/>
  <c r="BA28" s="1"/>
  <c r="AS54"/>
  <c r="BA54" s="1"/>
  <c r="AT42"/>
  <c r="BB42" s="1"/>
  <c r="BC42" s="1"/>
  <c r="AR32"/>
  <c r="AZ32" s="1"/>
  <c r="AT26"/>
  <c r="BB26" s="1"/>
  <c r="AR50"/>
  <c r="AZ50" s="1"/>
  <c r="AT112"/>
  <c r="BB112" s="1"/>
  <c r="AR72"/>
  <c r="AZ72" s="1"/>
  <c r="AT120"/>
  <c r="BB120" s="1"/>
  <c r="AT82"/>
  <c r="BB82" s="1"/>
  <c r="AT97"/>
  <c r="BB97" s="1"/>
  <c r="BC97" s="1"/>
  <c r="AT98"/>
  <c r="BB98" s="1"/>
  <c r="T106" i="85"/>
  <c r="W6"/>
  <c r="E170" i="1" s="1"/>
  <c r="P21" i="85"/>
  <c r="T49"/>
  <c r="T53"/>
  <c r="P65"/>
  <c r="P69"/>
  <c r="T77"/>
  <c r="P81"/>
  <c r="P85"/>
  <c r="P89"/>
  <c r="M6" i="79"/>
  <c r="Q6" s="1"/>
  <c r="Q5" s="1"/>
  <c r="E5" i="118"/>
  <c r="P132" i="72"/>
  <c r="AR83" i="97"/>
  <c r="AZ83" s="1"/>
  <c r="AR57"/>
  <c r="AZ57" s="1"/>
  <c r="AR56"/>
  <c r="AZ56" s="1"/>
  <c r="AT34"/>
  <c r="BB34" s="1"/>
  <c r="BC34" s="1"/>
  <c r="AR53"/>
  <c r="AZ53" s="1"/>
  <c r="BC53" s="1"/>
  <c r="AR12"/>
  <c r="AZ12" s="1"/>
  <c r="AS14"/>
  <c r="BA14" s="1"/>
  <c r="AR16"/>
  <c r="AZ16" s="1"/>
  <c r="AR26"/>
  <c r="AZ26" s="1"/>
  <c r="BC26" s="1"/>
  <c r="AT43"/>
  <c r="BB43" s="1"/>
  <c r="AR52"/>
  <c r="AZ52" s="1"/>
  <c r="AS58"/>
  <c r="BA58" s="1"/>
  <c r="AS60"/>
  <c r="BA60" s="1"/>
  <c r="BC60" s="1"/>
  <c r="AR115"/>
  <c r="AZ115" s="1"/>
  <c r="AS77"/>
  <c r="BA77" s="1"/>
  <c r="AS81"/>
  <c r="BA81" s="1"/>
  <c r="AR98"/>
  <c r="AZ98" s="1"/>
  <c r="CE5" i="56"/>
  <c r="G6" i="79"/>
  <c r="I4" i="53"/>
  <c r="G5" i="79" s="1"/>
  <c r="K9" i="101"/>
  <c r="H10" i="118" s="1"/>
  <c r="K11" i="101"/>
  <c r="H12" i="118" s="1"/>
  <c r="K15" i="101"/>
  <c r="H16" i="118" s="1"/>
  <c r="K19" i="101"/>
  <c r="H20" i="118" s="1"/>
  <c r="K21" i="101"/>
  <c r="H22" i="118" s="1"/>
  <c r="K25" i="101"/>
  <c r="H26" i="118" s="1"/>
  <c r="K29" i="101"/>
  <c r="H30" i="118" s="1"/>
  <c r="K31" i="101"/>
  <c r="H32" i="118" s="1"/>
  <c r="K33" i="101"/>
  <c r="H34" i="118" s="1"/>
  <c r="K35" i="101"/>
  <c r="H36" i="118" s="1"/>
  <c r="K39" i="101"/>
  <c r="H40" i="118" s="1"/>
  <c r="K41" i="101"/>
  <c r="H42" i="118" s="1"/>
  <c r="K43" i="101"/>
  <c r="H44" i="118" s="1"/>
  <c r="K45" i="101"/>
  <c r="H46" i="118" s="1"/>
  <c r="K47" i="101"/>
  <c r="H48" i="118" s="1"/>
  <c r="K52" i="101"/>
  <c r="H53" i="118" s="1"/>
  <c r="K56" i="101"/>
  <c r="H57" i="118" s="1"/>
  <c r="K58" i="101"/>
  <c r="H59" i="118" s="1"/>
  <c r="K60" i="101"/>
  <c r="H61" i="118" s="1"/>
  <c r="K62" i="101"/>
  <c r="H63" i="118" s="1"/>
  <c r="K64" i="101"/>
  <c r="H65" i="118" s="1"/>
  <c r="K66" i="101"/>
  <c r="H67" i="118" s="1"/>
  <c r="K68" i="101"/>
  <c r="H69" i="118" s="1"/>
  <c r="K72" i="101"/>
  <c r="H73" i="118" s="1"/>
  <c r="K74" i="101"/>
  <c r="H75" i="118" s="1"/>
  <c r="K76" i="101"/>
  <c r="H77" i="118" s="1"/>
  <c r="K78" i="101"/>
  <c r="H79" i="118" s="1"/>
  <c r="K80" i="101"/>
  <c r="H81" i="118" s="1"/>
  <c r="K82" i="101"/>
  <c r="H83" i="118" s="1"/>
  <c r="K84" i="101"/>
  <c r="H85" i="118" s="1"/>
  <c r="K86" i="101"/>
  <c r="H87" i="118" s="1"/>
  <c r="K88" i="101"/>
  <c r="H89" i="118" s="1"/>
  <c r="K90" i="101"/>
  <c r="H91" i="118" s="1"/>
  <c r="K92" i="101"/>
  <c r="H93" i="118" s="1"/>
  <c r="K94" i="101"/>
  <c r="H95" i="118" s="1"/>
  <c r="K96" i="101"/>
  <c r="H97" i="118" s="1"/>
  <c r="K98" i="101"/>
  <c r="H99" i="118" s="1"/>
  <c r="K100" i="101"/>
  <c r="H101" i="118" s="1"/>
  <c r="K102" i="101"/>
  <c r="H103" i="118" s="1"/>
  <c r="K104" i="101"/>
  <c r="H105" i="118" s="1"/>
  <c r="K106" i="101"/>
  <c r="H107" i="118" s="1"/>
  <c r="K108" i="101"/>
  <c r="H109" i="118" s="1"/>
  <c r="K110" i="101"/>
  <c r="H111" i="118" s="1"/>
  <c r="K112" i="101"/>
  <c r="H113" i="118" s="1"/>
  <c r="K116" i="101"/>
  <c r="H117" i="118" s="1"/>
  <c r="K118" i="101"/>
  <c r="H119" i="118" s="1"/>
  <c r="K120" i="101"/>
  <c r="H121" i="118" s="1"/>
  <c r="L6" i="79"/>
  <c r="P6" s="1"/>
  <c r="T92" i="85"/>
  <c r="T95"/>
  <c r="T103"/>
  <c r="T107"/>
  <c r="T115"/>
  <c r="T119"/>
  <c r="I132" i="75"/>
  <c r="D51" i="118"/>
  <c r="L51" i="79" s="1"/>
  <c r="P51" s="1"/>
  <c r="D53" i="118"/>
  <c r="L53" i="79" s="1"/>
  <c r="P53" s="1"/>
  <c r="D55" i="118"/>
  <c r="L55" i="79" s="1"/>
  <c r="P55" s="1"/>
  <c r="D57" i="118"/>
  <c r="L57" i="79" s="1"/>
  <c r="P57" s="1"/>
  <c r="D59" i="118"/>
  <c r="L59" i="79" s="1"/>
  <c r="P59" s="1"/>
  <c r="D61" i="118"/>
  <c r="L61" i="79" s="1"/>
  <c r="P61" s="1"/>
  <c r="D63" i="118"/>
  <c r="L63" i="79" s="1"/>
  <c r="P63" s="1"/>
  <c r="D65" i="118"/>
  <c r="L65" i="79" s="1"/>
  <c r="P65" s="1"/>
  <c r="D67" i="118"/>
  <c r="L67" i="79" s="1"/>
  <c r="P67" s="1"/>
  <c r="D69" i="118"/>
  <c r="L69" i="79" s="1"/>
  <c r="P69" s="1"/>
  <c r="D71" i="118"/>
  <c r="L71" i="79" s="1"/>
  <c r="P71" s="1"/>
  <c r="D73" i="118"/>
  <c r="L73" i="79" s="1"/>
  <c r="P73" s="1"/>
  <c r="D75" i="118"/>
  <c r="L75" i="79" s="1"/>
  <c r="P75" s="1"/>
  <c r="D77" i="118"/>
  <c r="L77" i="79" s="1"/>
  <c r="P77" s="1"/>
  <c r="D79" i="118"/>
  <c r="L79" i="79" s="1"/>
  <c r="P79" s="1"/>
  <c r="D81" i="118"/>
  <c r="L81" i="79" s="1"/>
  <c r="P81" s="1"/>
  <c r="D83" i="118"/>
  <c r="L83" i="79" s="1"/>
  <c r="P83" s="1"/>
  <c r="D85" i="118"/>
  <c r="L85" i="79" s="1"/>
  <c r="P85" s="1"/>
  <c r="D87" i="118"/>
  <c r="L87" i="79" s="1"/>
  <c r="P87" s="1"/>
  <c r="D89" i="118"/>
  <c r="L89" i="79" s="1"/>
  <c r="P89" s="1"/>
  <c r="D91" i="118"/>
  <c r="L91" i="79" s="1"/>
  <c r="P91" s="1"/>
  <c r="D93" i="118"/>
  <c r="L93" i="79" s="1"/>
  <c r="P93" s="1"/>
  <c r="D95" i="118"/>
  <c r="L95" i="79" s="1"/>
  <c r="P95" s="1"/>
  <c r="D97" i="118"/>
  <c r="L97" i="79" s="1"/>
  <c r="P97" s="1"/>
  <c r="D99" i="118"/>
  <c r="L99" i="79" s="1"/>
  <c r="P99" s="1"/>
  <c r="D101" i="118"/>
  <c r="L101" i="79" s="1"/>
  <c r="P101" s="1"/>
  <c r="D103" i="118"/>
  <c r="L103" i="79" s="1"/>
  <c r="P103" s="1"/>
  <c r="D105" i="118"/>
  <c r="L105" i="79" s="1"/>
  <c r="P105" s="1"/>
  <c r="D107" i="118"/>
  <c r="L107" i="79" s="1"/>
  <c r="P107" s="1"/>
  <c r="D109" i="118"/>
  <c r="L109" i="79" s="1"/>
  <c r="P109" s="1"/>
  <c r="D111" i="118"/>
  <c r="L111" i="79" s="1"/>
  <c r="P111" s="1"/>
  <c r="D113" i="118"/>
  <c r="L113" i="79" s="1"/>
  <c r="P113" s="1"/>
  <c r="D115" i="118"/>
  <c r="L115" i="79" s="1"/>
  <c r="P115" s="1"/>
  <c r="D117" i="118"/>
  <c r="L117" i="79" s="1"/>
  <c r="P117" s="1"/>
  <c r="D119" i="118"/>
  <c r="L119" i="79" s="1"/>
  <c r="P119" s="1"/>
  <c r="D121" i="118"/>
  <c r="L121" i="79" s="1"/>
  <c r="P121" s="1"/>
  <c r="D123" i="118"/>
  <c r="L123" i="79" s="1"/>
  <c r="P123" s="1"/>
  <c r="D125" i="118"/>
  <c r="L125" i="79" s="1"/>
  <c r="P125" s="1"/>
  <c r="AR124" i="97"/>
  <c r="AZ124" s="1"/>
  <c r="AT61"/>
  <c r="BB61" s="1"/>
  <c r="AS125"/>
  <c r="BA125" s="1"/>
  <c r="AS83"/>
  <c r="BA83" s="1"/>
  <c r="AS76"/>
  <c r="BA76" s="1"/>
  <c r="AS73"/>
  <c r="BA73" s="1"/>
  <c r="AS65"/>
  <c r="BA65" s="1"/>
  <c r="BC65" s="1"/>
  <c r="AT55"/>
  <c r="BB55" s="1"/>
  <c r="AT30"/>
  <c r="BB30" s="1"/>
  <c r="K10" i="101"/>
  <c r="H11" i="118" s="1"/>
  <c r="K34" i="101"/>
  <c r="H35" i="118" s="1"/>
  <c r="K42" i="101"/>
  <c r="H43" i="118" s="1"/>
  <c r="K61" i="101"/>
  <c r="H62" i="118" s="1"/>
  <c r="K63" i="101"/>
  <c r="H64" i="118" s="1"/>
  <c r="K79" i="101"/>
  <c r="H80" i="118" s="1"/>
  <c r="K93" i="101"/>
  <c r="H94" i="118" s="1"/>
  <c r="K107" i="101"/>
  <c r="H108" i="118" s="1"/>
  <c r="P51" i="85"/>
  <c r="T58"/>
  <c r="Z74"/>
  <c r="T78"/>
  <c r="T82"/>
  <c r="T86"/>
  <c r="T90"/>
  <c r="I129" i="75"/>
  <c r="J130"/>
  <c r="Q133"/>
  <c r="P131" i="72"/>
  <c r="Q129"/>
  <c r="AT87" i="97"/>
  <c r="BB87" s="1"/>
  <c r="AR113"/>
  <c r="AZ113" s="1"/>
  <c r="BC113" s="1"/>
  <c r="AS107"/>
  <c r="BA107" s="1"/>
  <c r="O5" i="6"/>
  <c r="M127" i="1"/>
  <c r="I127"/>
  <c r="J127"/>
  <c r="K127"/>
  <c r="L127"/>
  <c r="H127"/>
  <c r="E127"/>
  <c r="F127"/>
  <c r="G127"/>
  <c r="M5"/>
  <c r="L128"/>
  <c r="I128"/>
  <c r="J128"/>
  <c r="K128"/>
  <c r="M128"/>
  <c r="I86"/>
  <c r="M126"/>
  <c r="J126"/>
  <c r="E126"/>
  <c r="J120"/>
  <c r="K126"/>
  <c r="F126"/>
  <c r="L126"/>
  <c r="G126"/>
  <c r="I126"/>
  <c r="H126"/>
  <c r="G5" i="91"/>
  <c r="L146" i="1"/>
  <c r="L138"/>
  <c r="K148"/>
  <c r="L148"/>
  <c r="M148"/>
  <c r="M152"/>
  <c r="L153"/>
  <c r="L142"/>
  <c r="J153"/>
  <c r="J142"/>
  <c r="K153"/>
  <c r="K142"/>
  <c r="M153"/>
  <c r="M142"/>
  <c r="M143" s="1"/>
  <c r="DC5" i="56"/>
  <c r="CQ5"/>
  <c r="BA5"/>
  <c r="AO5"/>
  <c r="W5"/>
  <c r="BS5"/>
  <c r="DU5"/>
  <c r="H5"/>
  <c r="AI5"/>
  <c r="AU5"/>
  <c r="BG5"/>
  <c r="BM5"/>
  <c r="CK5"/>
  <c r="CW5"/>
  <c r="EA5"/>
  <c r="E5"/>
  <c r="I5" i="79" s="1"/>
  <c r="Q5" i="56"/>
  <c r="BY5"/>
  <c r="DI5"/>
  <c r="AG4" i="62"/>
  <c r="O4"/>
  <c r="AM4"/>
  <c r="D4"/>
  <c r="K8" i="101"/>
  <c r="H9" i="118" s="1"/>
  <c r="K16" i="101"/>
  <c r="H17" i="118" s="1"/>
  <c r="K24" i="101"/>
  <c r="H25" i="118" s="1"/>
  <c r="K30" i="101"/>
  <c r="H31" i="118" s="1"/>
  <c r="K38" i="101"/>
  <c r="H39" i="118" s="1"/>
  <c r="K46" i="101"/>
  <c r="H47" i="118" s="1"/>
  <c r="K55" i="101"/>
  <c r="H56" i="118" s="1"/>
  <c r="K71" i="101"/>
  <c r="H72" i="118" s="1"/>
  <c r="K75" i="101"/>
  <c r="H76" i="118" s="1"/>
  <c r="K83" i="101"/>
  <c r="H84" i="118" s="1"/>
  <c r="K91" i="101"/>
  <c r="H92" i="118" s="1"/>
  <c r="K103" i="101"/>
  <c r="H104" i="118" s="1"/>
  <c r="K109" i="101"/>
  <c r="H110" i="118" s="1"/>
  <c r="K115" i="101"/>
  <c r="H116" i="118" s="1"/>
  <c r="K119" i="101"/>
  <c r="H120" i="118" s="1"/>
  <c r="K124" i="101"/>
  <c r="H125" i="118" s="1"/>
  <c r="K14" i="101"/>
  <c r="H15" i="118" s="1"/>
  <c r="K22" i="101"/>
  <c r="H23" i="118" s="1"/>
  <c r="K32" i="101"/>
  <c r="H33" i="118" s="1"/>
  <c r="K40" i="101"/>
  <c r="H41" i="118" s="1"/>
  <c r="K48" i="101"/>
  <c r="H49" i="118" s="1"/>
  <c r="K53" i="101"/>
  <c r="H54" i="118" s="1"/>
  <c r="K59" i="101"/>
  <c r="H60" i="118" s="1"/>
  <c r="K65" i="101"/>
  <c r="H66" i="118" s="1"/>
  <c r="K73" i="101"/>
  <c r="H74" i="118" s="1"/>
  <c r="K77" i="101"/>
  <c r="H78" i="118" s="1"/>
  <c r="K85" i="101"/>
  <c r="H86" i="118" s="1"/>
  <c r="K89" i="101"/>
  <c r="H90" i="118" s="1"/>
  <c r="K113" i="101"/>
  <c r="H114" i="118" s="1"/>
  <c r="K121" i="101"/>
  <c r="H122" i="118" s="1"/>
  <c r="I4" i="101"/>
  <c r="K123"/>
  <c r="H124" i="118" s="1"/>
  <c r="K5" i="101"/>
  <c r="H6" i="118" s="1"/>
  <c r="J4" i="101"/>
  <c r="H4"/>
  <c r="J151" i="1"/>
  <c r="J150"/>
  <c r="K151"/>
  <c r="M151"/>
  <c r="M150"/>
  <c r="K150"/>
  <c r="L151"/>
  <c r="L150"/>
  <c r="AE4" i="60"/>
  <c r="W4"/>
  <c r="AM4"/>
  <c r="K149" i="1"/>
  <c r="J148"/>
  <c r="J149"/>
  <c r="L149"/>
  <c r="M149"/>
  <c r="J147"/>
  <c r="M147"/>
  <c r="J146"/>
  <c r="M146"/>
  <c r="E4" i="57"/>
  <c r="J139" i="1"/>
  <c r="L139"/>
  <c r="K139"/>
  <c r="M139"/>
  <c r="J138"/>
  <c r="J137" s="1"/>
  <c r="K138"/>
  <c r="M138"/>
  <c r="U64" i="79"/>
  <c r="W4" i="53"/>
  <c r="Q4"/>
  <c r="U4" i="39"/>
  <c r="M7"/>
  <c r="U13"/>
  <c r="E15"/>
  <c r="M15"/>
  <c r="E18"/>
  <c r="E19"/>
  <c r="M19"/>
  <c r="U21"/>
  <c r="U24"/>
  <c r="U26"/>
  <c r="E29"/>
  <c r="U31"/>
  <c r="U33"/>
  <c r="E34"/>
  <c r="M34"/>
  <c r="E35"/>
  <c r="U36"/>
  <c r="E38"/>
  <c r="U38"/>
  <c r="U40"/>
  <c r="M41"/>
  <c r="U41"/>
  <c r="E42"/>
  <c r="U42"/>
  <c r="U47"/>
  <c r="E48"/>
  <c r="M48"/>
  <c r="E50"/>
  <c r="U50"/>
  <c r="E51"/>
  <c r="E52"/>
  <c r="U52"/>
  <c r="E55"/>
  <c r="M55"/>
  <c r="U55"/>
  <c r="M57"/>
  <c r="U57"/>
  <c r="E58"/>
  <c r="U58"/>
  <c r="M59"/>
  <c r="U59"/>
  <c r="E60"/>
  <c r="J129" i="75"/>
  <c r="P130"/>
  <c r="J131"/>
  <c r="J132"/>
  <c r="Q133" i="72"/>
  <c r="R133"/>
  <c r="M61" i="39"/>
  <c r="E62"/>
  <c r="U62"/>
  <c r="E64"/>
  <c r="M64"/>
  <c r="U64"/>
  <c r="U66"/>
  <c r="E67"/>
  <c r="U67"/>
  <c r="M69"/>
  <c r="E70"/>
  <c r="E71"/>
  <c r="U72"/>
  <c r="E73"/>
  <c r="M73"/>
  <c r="U73"/>
  <c r="E75"/>
  <c r="U75"/>
  <c r="E77"/>
  <c r="M77"/>
  <c r="U78"/>
  <c r="M79"/>
  <c r="U80"/>
  <c r="E81"/>
  <c r="E82"/>
  <c r="M82"/>
  <c r="U82"/>
  <c r="E85"/>
  <c r="M86"/>
  <c r="U86"/>
  <c r="E89"/>
  <c r="U90"/>
  <c r="E91"/>
  <c r="U92"/>
  <c r="E94"/>
  <c r="M99"/>
  <c r="M100"/>
  <c r="U100"/>
  <c r="U101"/>
  <c r="E104"/>
  <c r="U104"/>
  <c r="E105"/>
  <c r="M105"/>
  <c r="E108"/>
  <c r="U108"/>
  <c r="U109"/>
  <c r="P129" i="75"/>
  <c r="S129" i="72"/>
  <c r="D4" i="53"/>
  <c r="P46" i="85"/>
  <c r="P74"/>
  <c r="P82"/>
  <c r="P95"/>
  <c r="P115"/>
  <c r="S133" i="72"/>
  <c r="AS11" i="97"/>
  <c r="BA11" s="1"/>
  <c r="AT16"/>
  <c r="BB16" s="1"/>
  <c r="AT17"/>
  <c r="BB17" s="1"/>
  <c r="AS18"/>
  <c r="BA18" s="1"/>
  <c r="AR22"/>
  <c r="AZ22" s="1"/>
  <c r="BC22" s="1"/>
  <c r="AR104"/>
  <c r="AZ104" s="1"/>
  <c r="AS39"/>
  <c r="BA39" s="1"/>
  <c r="AT72"/>
  <c r="BB72" s="1"/>
  <c r="AT119"/>
  <c r="BB119" s="1"/>
  <c r="BC119" s="1"/>
  <c r="AS89"/>
  <c r="BA89" s="1"/>
  <c r="E4" i="55"/>
  <c r="D4"/>
  <c r="P5" i="6"/>
  <c r="AR20" i="97"/>
  <c r="AZ20" s="1"/>
  <c r="AS42"/>
  <c r="BA42" s="1"/>
  <c r="AS53"/>
  <c r="BA53" s="1"/>
  <c r="AT62"/>
  <c r="BB62" s="1"/>
  <c r="AT89"/>
  <c r="BB89" s="1"/>
  <c r="AS94"/>
  <c r="BA94" s="1"/>
  <c r="BC94" s="1"/>
  <c r="Q4" i="95"/>
  <c r="AS26" i="97"/>
  <c r="BA26" s="1"/>
  <c r="BC100"/>
  <c r="AS24"/>
  <c r="BA24" s="1"/>
  <c r="AS106"/>
  <c r="BA106" s="1"/>
  <c r="AR44"/>
  <c r="AZ44" s="1"/>
  <c r="AC5" i="56"/>
  <c r="M4" i="92"/>
  <c r="I12" i="1"/>
  <c r="D39"/>
  <c r="D35"/>
  <c r="D31"/>
  <c r="C38"/>
  <c r="C34"/>
  <c r="C30"/>
  <c r="D30"/>
  <c r="I15"/>
  <c r="D40"/>
  <c r="D36"/>
  <c r="D32"/>
  <c r="C39"/>
  <c r="C35"/>
  <c r="C31"/>
  <c r="I18"/>
  <c r="D37"/>
  <c r="D33"/>
  <c r="C40"/>
  <c r="C36"/>
  <c r="C32"/>
  <c r="I21"/>
  <c r="D38"/>
  <c r="D34"/>
  <c r="C37"/>
  <c r="C33"/>
  <c r="I119"/>
  <c r="I120"/>
  <c r="H86"/>
  <c r="G119"/>
  <c r="H119"/>
  <c r="G120"/>
  <c r="H120"/>
  <c r="H85"/>
  <c r="M57"/>
  <c r="I4" i="41"/>
  <c r="I52"/>
  <c r="E58"/>
  <c r="M62"/>
  <c r="Y63"/>
  <c r="Y87"/>
  <c r="I88"/>
  <c r="U93"/>
  <c r="E94"/>
  <c r="M94"/>
  <c r="I100"/>
  <c r="E102"/>
  <c r="U105"/>
  <c r="E110"/>
  <c r="M110"/>
  <c r="Y111"/>
  <c r="U117"/>
  <c r="M118"/>
  <c r="I120"/>
  <c r="U121"/>
  <c r="U17"/>
  <c r="M18"/>
  <c r="Y19"/>
  <c r="E62"/>
  <c r="I80"/>
  <c r="U85"/>
  <c r="M98"/>
  <c r="E106"/>
  <c r="M114"/>
  <c r="E113" i="39"/>
  <c r="M114"/>
  <c r="U114"/>
  <c r="M115"/>
  <c r="U116"/>
  <c r="M118"/>
  <c r="U121"/>
  <c r="M122"/>
  <c r="U122"/>
  <c r="E123"/>
  <c r="U123"/>
  <c r="Q6" i="40"/>
  <c r="Y6"/>
  <c r="U12"/>
  <c r="E13"/>
  <c r="I15"/>
  <c r="Q15"/>
  <c r="Y15"/>
  <c r="I16"/>
  <c r="Q16"/>
  <c r="Y16"/>
  <c r="M18"/>
  <c r="I22"/>
  <c r="Q22"/>
  <c r="Y22"/>
  <c r="I23"/>
  <c r="Q23"/>
  <c r="Y23"/>
  <c r="U29"/>
  <c r="E30"/>
  <c r="I31"/>
  <c r="Q31"/>
  <c r="Y31"/>
  <c r="I32"/>
  <c r="Q32"/>
  <c r="Y32"/>
  <c r="I33"/>
  <c r="Q33"/>
  <c r="Y33"/>
  <c r="M35"/>
  <c r="Q39"/>
  <c r="Y39"/>
  <c r="I40"/>
  <c r="Q40"/>
  <c r="Y40"/>
  <c r="I41"/>
  <c r="Q41"/>
  <c r="Y41"/>
  <c r="I42"/>
  <c r="Q42"/>
  <c r="Y42"/>
  <c r="M45"/>
  <c r="I47"/>
  <c r="Q47"/>
  <c r="Y47"/>
  <c r="I48"/>
  <c r="Q48"/>
  <c r="Y48"/>
  <c r="U50"/>
  <c r="E51"/>
  <c r="U52"/>
  <c r="Q57"/>
  <c r="Y57"/>
  <c r="I68"/>
  <c r="Q68"/>
  <c r="I5" i="41"/>
  <c r="E7"/>
  <c r="I9"/>
  <c r="U10"/>
  <c r="M11"/>
  <c r="Y12"/>
  <c r="I13"/>
  <c r="U14"/>
  <c r="M15"/>
  <c r="Y16"/>
  <c r="I17"/>
  <c r="M19"/>
  <c r="Y20"/>
  <c r="M23"/>
  <c r="Y24"/>
  <c r="I29"/>
  <c r="M35"/>
  <c r="Y40"/>
  <c r="I41"/>
  <c r="I69"/>
  <c r="P40" i="85"/>
  <c r="P56"/>
  <c r="P80"/>
  <c r="P84"/>
  <c r="P105"/>
  <c r="T118"/>
  <c r="P11"/>
  <c r="P19"/>
  <c r="T23"/>
  <c r="P31"/>
  <c r="P33"/>
  <c r="P35"/>
  <c r="T39"/>
  <c r="P43"/>
  <c r="P47"/>
  <c r="P59"/>
  <c r="P79"/>
  <c r="P92"/>
  <c r="T96"/>
  <c r="P112"/>
  <c r="P124"/>
  <c r="T21"/>
  <c r="P25"/>
  <c r="T29"/>
  <c r="T37"/>
  <c r="T45"/>
  <c r="P61"/>
  <c r="T65"/>
  <c r="T101"/>
  <c r="P17"/>
  <c r="P86"/>
  <c r="P22"/>
  <c r="T97"/>
  <c r="P76"/>
  <c r="G6"/>
  <c r="T12"/>
  <c r="T105"/>
  <c r="T43"/>
  <c r="T51"/>
  <c r="T55"/>
  <c r="T59"/>
  <c r="T67"/>
  <c r="T71"/>
  <c r="T79"/>
  <c r="P83"/>
  <c r="P87"/>
  <c r="T91"/>
  <c r="P96"/>
  <c r="T100"/>
  <c r="P104"/>
  <c r="P108"/>
  <c r="T112"/>
  <c r="P116"/>
  <c r="T120"/>
  <c r="T124"/>
  <c r="P72"/>
  <c r="P119"/>
  <c r="T108"/>
  <c r="P98"/>
  <c r="T35"/>
  <c r="P78"/>
  <c r="T109"/>
  <c r="T113"/>
  <c r="X6"/>
  <c r="F170" i="1" s="1"/>
  <c r="S6" i="85"/>
  <c r="P16"/>
  <c r="P18"/>
  <c r="T19"/>
  <c r="T22"/>
  <c r="P23"/>
  <c r="P24"/>
  <c r="T26"/>
  <c r="T27"/>
  <c r="P28"/>
  <c r="T30"/>
  <c r="T31"/>
  <c r="P39"/>
  <c r="P41"/>
  <c r="P49"/>
  <c r="P53"/>
  <c r="P57"/>
  <c r="T63"/>
  <c r="P102"/>
  <c r="P114"/>
  <c r="P27"/>
  <c r="P68"/>
  <c r="P113"/>
  <c r="P117"/>
  <c r="T93"/>
  <c r="T74"/>
  <c r="P100"/>
  <c r="T89"/>
  <c r="T87"/>
  <c r="T80"/>
  <c r="P126"/>
  <c r="K6"/>
  <c r="T17"/>
  <c r="Z24"/>
  <c r="T32"/>
  <c r="Z49"/>
  <c r="Z53"/>
  <c r="P90"/>
  <c r="P99"/>
  <c r="P111"/>
  <c r="P8"/>
  <c r="P9"/>
  <c r="P13"/>
  <c r="P20"/>
  <c r="P29"/>
  <c r="P38"/>
  <c r="P42"/>
  <c r="P45"/>
  <c r="P50"/>
  <c r="P54"/>
  <c r="P62"/>
  <c r="T104"/>
  <c r="T13"/>
  <c r="T81"/>
  <c r="P120"/>
  <c r="T38"/>
  <c r="T42"/>
  <c r="T50"/>
  <c r="P58"/>
  <c r="T62"/>
  <c r="P75"/>
  <c r="Z79"/>
  <c r="T94"/>
  <c r="T9"/>
  <c r="Z19"/>
  <c r="T40"/>
  <c r="P44"/>
  <c r="T48"/>
  <c r="T52"/>
  <c r="T56"/>
  <c r="P60"/>
  <c r="P64"/>
  <c r="Z69"/>
  <c r="Z118"/>
  <c r="P48"/>
  <c r="P93"/>
  <c r="T24"/>
  <c r="T8"/>
  <c r="P26"/>
  <c r="P52"/>
  <c r="Y6"/>
  <c r="G170" i="1" s="1"/>
  <c r="P109" i="85"/>
  <c r="T46"/>
  <c r="T75"/>
  <c r="T121"/>
  <c r="P12"/>
  <c r="P32"/>
  <c r="P37"/>
  <c r="P121"/>
  <c r="P125"/>
  <c r="P97"/>
  <c r="P88"/>
  <c r="T44"/>
  <c r="H60" i="1"/>
  <c r="G60"/>
  <c r="H63"/>
  <c r="G63"/>
  <c r="H62"/>
  <c r="G62"/>
  <c r="H61"/>
  <c r="G61"/>
  <c r="B34" i="108"/>
  <c r="B30"/>
  <c r="B26"/>
  <c r="B22"/>
  <c r="B35"/>
  <c r="B27"/>
  <c r="B33"/>
  <c r="B29"/>
  <c r="B25"/>
  <c r="B21"/>
  <c r="B32"/>
  <c r="B28"/>
  <c r="B24"/>
  <c r="B31"/>
  <c r="B23"/>
  <c r="F120" i="1"/>
  <c r="F116"/>
  <c r="E117"/>
  <c r="D118"/>
  <c r="D117"/>
  <c r="D120"/>
  <c r="F119"/>
  <c r="E120"/>
  <c r="E116"/>
  <c r="F118"/>
  <c r="D116"/>
  <c r="F117"/>
  <c r="E118"/>
  <c r="D119"/>
  <c r="E119"/>
  <c r="U34" i="41"/>
  <c r="B15" i="108"/>
  <c r="B11"/>
  <c r="B7"/>
  <c r="B3"/>
  <c r="B14"/>
  <c r="B10"/>
  <c r="B6"/>
  <c r="B17"/>
  <c r="B13"/>
  <c r="B9"/>
  <c r="B5"/>
  <c r="B16"/>
  <c r="B12"/>
  <c r="B8"/>
  <c r="B4"/>
  <c r="D63" i="1"/>
  <c r="C63"/>
  <c r="D62"/>
  <c r="C62"/>
  <c r="D61"/>
  <c r="C61"/>
  <c r="D60"/>
  <c r="C60"/>
  <c r="Q100" i="40"/>
  <c r="U30" i="41"/>
  <c r="O132" i="73"/>
  <c r="O131"/>
  <c r="N129"/>
  <c r="N131"/>
  <c r="O128"/>
  <c r="O129"/>
  <c r="N128"/>
  <c r="N130"/>
  <c r="M132"/>
  <c r="O130"/>
  <c r="N132"/>
  <c r="Q91" i="41"/>
  <c r="U38"/>
  <c r="Q123"/>
  <c r="F5" i="56"/>
  <c r="D5"/>
  <c r="H5" i="79" s="1"/>
  <c r="P7" i="85"/>
  <c r="T7"/>
  <c r="Z10"/>
  <c r="P10"/>
  <c r="T10"/>
  <c r="Z14"/>
  <c r="P14"/>
  <c r="T14"/>
  <c r="P15"/>
  <c r="T15"/>
  <c r="Z34"/>
  <c r="T34"/>
  <c r="P34"/>
  <c r="T36"/>
  <c r="P36"/>
  <c r="T66"/>
  <c r="P66"/>
  <c r="T70"/>
  <c r="P70"/>
  <c r="P123"/>
  <c r="T123"/>
  <c r="F4" i="57"/>
  <c r="R20" i="95"/>
  <c r="F4"/>
  <c r="R4" s="1"/>
  <c r="G4" i="53"/>
  <c r="J4" s="1"/>
  <c r="E4"/>
  <c r="E5" i="79" s="1"/>
  <c r="K7" i="101"/>
  <c r="H8" i="118" s="1"/>
  <c r="K13" i="101"/>
  <c r="H14" i="118" s="1"/>
  <c r="K17" i="101"/>
  <c r="H18" i="118" s="1"/>
  <c r="K23" i="101"/>
  <c r="H24" i="118" s="1"/>
  <c r="K27" i="101"/>
  <c r="H28" i="118" s="1"/>
  <c r="K37" i="101"/>
  <c r="H38" i="118" s="1"/>
  <c r="K50" i="101"/>
  <c r="H51" i="118" s="1"/>
  <c r="K54" i="101"/>
  <c r="H55" i="118" s="1"/>
  <c r="K70" i="101"/>
  <c r="H71" i="118" s="1"/>
  <c r="K114" i="101"/>
  <c r="H115" i="118" s="1"/>
  <c r="K122" i="101"/>
  <c r="H123" i="118" s="1"/>
  <c r="E4" i="24"/>
  <c r="G4"/>
  <c r="F45" i="1" s="1"/>
  <c r="I4" i="24"/>
  <c r="F47" i="1" s="1"/>
  <c r="K4" i="24"/>
  <c r="F49" i="1" s="1"/>
  <c r="M4" i="24"/>
  <c r="F51" i="1" s="1"/>
  <c r="O4" i="24"/>
  <c r="F53" i="1" s="1"/>
  <c r="F122" i="38"/>
  <c r="Z114" i="85"/>
  <c r="T114"/>
  <c r="I133" i="75"/>
  <c r="J133"/>
  <c r="BC93" i="97"/>
  <c r="T16" i="85"/>
  <c r="Z20"/>
  <c r="T20"/>
  <c r="Z54"/>
  <c r="T54"/>
  <c r="AT75" i="97"/>
  <c r="BB75" s="1"/>
  <c r="BC75" s="1"/>
  <c r="W78" i="79"/>
  <c r="U16"/>
  <c r="J109" i="1"/>
  <c r="F109"/>
  <c r="K108"/>
  <c r="G108"/>
  <c r="L107"/>
  <c r="H107"/>
  <c r="D107"/>
  <c r="G106"/>
  <c r="I109"/>
  <c r="E109"/>
  <c r="J108"/>
  <c r="F108"/>
  <c r="K107"/>
  <c r="G107"/>
  <c r="F106"/>
  <c r="L109"/>
  <c r="H109"/>
  <c r="D109"/>
  <c r="I108"/>
  <c r="E108"/>
  <c r="J107"/>
  <c r="F107"/>
  <c r="K106"/>
  <c r="E106"/>
  <c r="K109"/>
  <c r="G109"/>
  <c r="L108"/>
  <c r="H108"/>
  <c r="D108"/>
  <c r="I107"/>
  <c r="E107"/>
  <c r="H106"/>
  <c r="D106"/>
  <c r="L106"/>
  <c r="Q88" i="39"/>
  <c r="U6" i="40"/>
  <c r="E23"/>
  <c r="Q27"/>
  <c r="U48"/>
  <c r="M70"/>
  <c r="M79"/>
  <c r="U79"/>
  <c r="I84"/>
  <c r="Y107"/>
  <c r="M111"/>
  <c r="M116"/>
  <c r="U116"/>
  <c r="E21" i="41"/>
  <c r="M21"/>
  <c r="Q22"/>
  <c r="Y22"/>
  <c r="I23"/>
  <c r="U24"/>
  <c r="E25"/>
  <c r="M25"/>
  <c r="Y26"/>
  <c r="I27"/>
  <c r="U28"/>
  <c r="E29"/>
  <c r="M29"/>
  <c r="Q30"/>
  <c r="Y30"/>
  <c r="I31"/>
  <c r="U32"/>
  <c r="E33"/>
  <c r="M33"/>
  <c r="Y34"/>
  <c r="I35"/>
  <c r="U36"/>
  <c r="E37"/>
  <c r="M37"/>
  <c r="Q38"/>
  <c r="Y38"/>
  <c r="I39"/>
  <c r="U40"/>
  <c r="E41"/>
  <c r="Y42"/>
  <c r="U44"/>
  <c r="E45"/>
  <c r="M45"/>
  <c r="Q46"/>
  <c r="I47"/>
  <c r="U48"/>
  <c r="M49"/>
  <c r="Y50"/>
  <c r="I51"/>
  <c r="E53"/>
  <c r="M53"/>
  <c r="Y54"/>
  <c r="I55"/>
  <c r="U56"/>
  <c r="M57"/>
  <c r="Y58"/>
  <c r="U60"/>
  <c r="E61"/>
  <c r="M61"/>
  <c r="Y62"/>
  <c r="I63"/>
  <c r="U64"/>
  <c r="E65"/>
  <c r="M65"/>
  <c r="Y66"/>
  <c r="I67"/>
  <c r="U68"/>
  <c r="E69"/>
  <c r="M69"/>
  <c r="Y70"/>
  <c r="I71"/>
  <c r="U72"/>
  <c r="M73"/>
  <c r="I75"/>
  <c r="U76"/>
  <c r="E77"/>
  <c r="M77"/>
  <c r="Q78"/>
  <c r="Y78"/>
  <c r="I79"/>
  <c r="E81"/>
  <c r="M81"/>
  <c r="Y82"/>
  <c r="I83"/>
  <c r="U84"/>
  <c r="E85"/>
  <c r="M85"/>
  <c r="Y86"/>
  <c r="I87"/>
  <c r="U88"/>
  <c r="E89"/>
  <c r="M89"/>
  <c r="Y90"/>
  <c r="U92"/>
  <c r="E93"/>
  <c r="M93"/>
  <c r="Y94"/>
  <c r="I95"/>
  <c r="U96"/>
  <c r="E97"/>
  <c r="M97"/>
  <c r="Y98"/>
  <c r="I99"/>
  <c r="U100"/>
  <c r="E101"/>
  <c r="M101"/>
  <c r="Y102"/>
  <c r="I103"/>
  <c r="U104"/>
  <c r="E105"/>
  <c r="M105"/>
  <c r="Y106"/>
  <c r="I107"/>
  <c r="U108"/>
  <c r="E109"/>
  <c r="M109"/>
  <c r="Q110"/>
  <c r="Y110"/>
  <c r="I111"/>
  <c r="U112"/>
  <c r="M113"/>
  <c r="Y114"/>
  <c r="U116"/>
  <c r="M117"/>
  <c r="Q118"/>
  <c r="Y118"/>
  <c r="I119"/>
  <c r="U120"/>
  <c r="M121"/>
  <c r="Y122"/>
  <c r="I123"/>
  <c r="Z9" i="85"/>
  <c r="Z27"/>
  <c r="Z39"/>
  <c r="Z40"/>
  <c r="Z48"/>
  <c r="Z52"/>
  <c r="Z58"/>
  <c r="Z62"/>
  <c r="Z68"/>
  <c r="Z78"/>
  <c r="T84"/>
  <c r="Z87"/>
  <c r="Z92"/>
  <c r="Z96"/>
  <c r="Z100"/>
  <c r="Z104"/>
  <c r="Z108"/>
  <c r="Z112"/>
  <c r="Z126"/>
  <c r="I130" i="75"/>
  <c r="P132"/>
  <c r="P133"/>
  <c r="R129" i="72"/>
  <c r="BC67" i="97"/>
  <c r="AS104"/>
  <c r="BA104" s="1"/>
  <c r="AS63"/>
  <c r="BA63" s="1"/>
  <c r="AR82"/>
  <c r="AZ82" s="1"/>
  <c r="BC82" s="1"/>
  <c r="AS86"/>
  <c r="BA86" s="1"/>
  <c r="BC86" s="1"/>
  <c r="AS126"/>
  <c r="BA126" s="1"/>
  <c r="Z12" i="85"/>
  <c r="Z17"/>
  <c r="Z22"/>
  <c r="Z26"/>
  <c r="Z31"/>
  <c r="Z32"/>
  <c r="Z37"/>
  <c r="Z38"/>
  <c r="T47"/>
  <c r="Z61"/>
  <c r="P67"/>
  <c r="Z72"/>
  <c r="P77"/>
  <c r="Z86"/>
  <c r="Z90"/>
  <c r="Z95"/>
  <c r="T99"/>
  <c r="Z107"/>
  <c r="Z120"/>
  <c r="Z125"/>
  <c r="BC122" i="97"/>
  <c r="BC72"/>
  <c r="AS25"/>
  <c r="BA25" s="1"/>
  <c r="BC25" s="1"/>
  <c r="Z15" i="85"/>
  <c r="Z16"/>
  <c r="Z21"/>
  <c r="Z25"/>
  <c r="Z29"/>
  <c r="Z30"/>
  <c r="Z42"/>
  <c r="Z50"/>
  <c r="Z56"/>
  <c r="Z60"/>
  <c r="Z70"/>
  <c r="Z80"/>
  <c r="Z85"/>
  <c r="Z89"/>
  <c r="Z102"/>
  <c r="Z106"/>
  <c r="Z115"/>
  <c r="Z119"/>
  <c r="P129" i="72"/>
  <c r="P133"/>
  <c r="Q130"/>
  <c r="S131"/>
  <c r="AS61" i="97"/>
  <c r="BA61" s="1"/>
  <c r="AS55"/>
  <c r="BA55" s="1"/>
  <c r="BC55" s="1"/>
  <c r="AS49"/>
  <c r="BA49" s="1"/>
  <c r="AR33"/>
  <c r="AZ33" s="1"/>
  <c r="AR43"/>
  <c r="AZ43" s="1"/>
  <c r="BC43" s="1"/>
  <c r="AS44"/>
  <c r="BA44" s="1"/>
  <c r="BC44" s="1"/>
  <c r="AR47"/>
  <c r="AZ47" s="1"/>
  <c r="AS50"/>
  <c r="BA50" s="1"/>
  <c r="AT54"/>
  <c r="BB54" s="1"/>
  <c r="AS114"/>
  <c r="BA114" s="1"/>
  <c r="BC114" s="1"/>
  <c r="AS64"/>
  <c r="BA64" s="1"/>
  <c r="AT68"/>
  <c r="BB68" s="1"/>
  <c r="AT118"/>
  <c r="BB118" s="1"/>
  <c r="AS84"/>
  <c r="BA84" s="1"/>
  <c r="AT90"/>
  <c r="BB90" s="1"/>
  <c r="BC90" s="1"/>
  <c r="AR91"/>
  <c r="AZ91" s="1"/>
  <c r="AT95"/>
  <c r="BB95" s="1"/>
  <c r="BC95" s="1"/>
  <c r="AS96"/>
  <c r="BA96" s="1"/>
  <c r="V4" i="95"/>
  <c r="AR78" i="97"/>
  <c r="AZ78" s="1"/>
  <c r="BC77"/>
  <c r="AS57"/>
  <c r="BA57" s="1"/>
  <c r="AT66"/>
  <c r="BB66" s="1"/>
  <c r="BC66" s="1"/>
  <c r="AS19"/>
  <c r="BA19" s="1"/>
  <c r="AS117"/>
  <c r="BA117" s="1"/>
  <c r="BC98"/>
  <c r="AS108"/>
  <c r="BA108" s="1"/>
  <c r="AT52"/>
  <c r="BB52" s="1"/>
  <c r="AR37"/>
  <c r="AZ37" s="1"/>
  <c r="AR31"/>
  <c r="AZ31" s="1"/>
  <c r="BC31" s="1"/>
  <c r="AS12"/>
  <c r="BA12" s="1"/>
  <c r="BC12" s="1"/>
  <c r="AT18"/>
  <c r="BB18" s="1"/>
  <c r="AR27"/>
  <c r="AZ27" s="1"/>
  <c r="AS6"/>
  <c r="BA6" s="1"/>
  <c r="BC6" s="1"/>
  <c r="AR7"/>
  <c r="AZ7" s="1"/>
  <c r="AT7"/>
  <c r="BB7" s="1"/>
  <c r="AS9"/>
  <c r="BA9" s="1"/>
  <c r="BC9" s="1"/>
  <c r="AR10"/>
  <c r="AZ10" s="1"/>
  <c r="AS13"/>
  <c r="BA13" s="1"/>
  <c r="AR14"/>
  <c r="AZ14" s="1"/>
  <c r="AT14"/>
  <c r="BB14" s="1"/>
  <c r="AR18"/>
  <c r="AZ18" s="1"/>
  <c r="BC18" s="1"/>
  <c r="AT103"/>
  <c r="BB103" s="1"/>
  <c r="AT20"/>
  <c r="BB20" s="1"/>
  <c r="AT21"/>
  <c r="BB21" s="1"/>
  <c r="AT23"/>
  <c r="BB23" s="1"/>
  <c r="AS27"/>
  <c r="BA27" s="1"/>
  <c r="AR28"/>
  <c r="AZ28" s="1"/>
  <c r="AT28"/>
  <c r="BB28" s="1"/>
  <c r="AR29"/>
  <c r="AZ29" s="1"/>
  <c r="AT29"/>
  <c r="BB29" s="1"/>
  <c r="AT106"/>
  <c r="BB106" s="1"/>
  <c r="AR40"/>
  <c r="AZ40" s="1"/>
  <c r="BC40" s="1"/>
  <c r="AR41"/>
  <c r="AZ41" s="1"/>
  <c r="AR42"/>
  <c r="AZ42" s="1"/>
  <c r="AR46"/>
  <c r="AZ46" s="1"/>
  <c r="AS46"/>
  <c r="BA46" s="1"/>
  <c r="AT47"/>
  <c r="BB47" s="1"/>
  <c r="AT50"/>
  <c r="BB50" s="1"/>
  <c r="BC50" s="1"/>
  <c r="AR111"/>
  <c r="AZ111" s="1"/>
  <c r="AT111"/>
  <c r="BB111" s="1"/>
  <c r="AR54"/>
  <c r="AZ54" s="1"/>
  <c r="AT58"/>
  <c r="BB58" s="1"/>
  <c r="BC58" s="1"/>
  <c r="AS62"/>
  <c r="BA62" s="1"/>
  <c r="BC62" s="1"/>
  <c r="AR64"/>
  <c r="AZ64" s="1"/>
  <c r="AR70"/>
  <c r="AZ70" s="1"/>
  <c r="AT74"/>
  <c r="BB74" s="1"/>
  <c r="AS118"/>
  <c r="BA118" s="1"/>
  <c r="AT79"/>
  <c r="BB79" s="1"/>
  <c r="BC79" s="1"/>
  <c r="AT81"/>
  <c r="BB81" s="1"/>
  <c r="AS124"/>
  <c r="BA124" s="1"/>
  <c r="BC124" s="1"/>
  <c r="AS121"/>
  <c r="BA121" s="1"/>
  <c r="AS68"/>
  <c r="BA68" s="1"/>
  <c r="AS110"/>
  <c r="BA110" s="1"/>
  <c r="AR15"/>
  <c r="AZ15" s="1"/>
  <c r="AR109"/>
  <c r="AZ109" s="1"/>
  <c r="AT35"/>
  <c r="BB35" s="1"/>
  <c r="AS56"/>
  <c r="BA56" s="1"/>
  <c r="AS30"/>
  <c r="BA30" s="1"/>
  <c r="AR8"/>
  <c r="AZ8" s="1"/>
  <c r="AS102"/>
  <c r="BA102" s="1"/>
  <c r="AT10"/>
  <c r="BB10" s="1"/>
  <c r="AT15"/>
  <c r="BB15" s="1"/>
  <c r="AS16"/>
  <c r="BA16" s="1"/>
  <c r="AR17"/>
  <c r="AZ17" s="1"/>
  <c r="AR19"/>
  <c r="AZ19" s="1"/>
  <c r="BC19" s="1"/>
  <c r="AR23"/>
  <c r="AZ23" s="1"/>
  <c r="AT25"/>
  <c r="BB25" s="1"/>
  <c r="AT104"/>
  <c r="BB104" s="1"/>
  <c r="AT105"/>
  <c r="BB105" s="1"/>
  <c r="AS105"/>
  <c r="BA105" s="1"/>
  <c r="AR30"/>
  <c r="AZ30" s="1"/>
  <c r="AS32"/>
  <c r="BA32" s="1"/>
  <c r="BC32" s="1"/>
  <c r="AS35"/>
  <c r="BA35" s="1"/>
  <c r="AS37"/>
  <c r="BA37" s="1"/>
  <c r="AR108"/>
  <c r="AZ108" s="1"/>
  <c r="AS109"/>
  <c r="BA109" s="1"/>
  <c r="AT41"/>
  <c r="BB41" s="1"/>
  <c r="AT45"/>
  <c r="BB45" s="1"/>
  <c r="AS45"/>
  <c r="BA45" s="1"/>
  <c r="AR110"/>
  <c r="AZ110" s="1"/>
  <c r="AT110"/>
  <c r="BB110" s="1"/>
  <c r="AR49"/>
  <c r="AZ49" s="1"/>
  <c r="BC49" s="1"/>
  <c r="AR51"/>
  <c r="AZ51" s="1"/>
  <c r="AT51"/>
  <c r="BB51" s="1"/>
  <c r="AS51"/>
  <c r="BA51" s="1"/>
  <c r="AT57"/>
  <c r="BB57" s="1"/>
  <c r="AT59"/>
  <c r="BB59" s="1"/>
  <c r="BC59" s="1"/>
  <c r="AR60"/>
  <c r="AZ60" s="1"/>
  <c r="AT64"/>
  <c r="BB64" s="1"/>
  <c r="AR117"/>
  <c r="AZ117" s="1"/>
  <c r="BC117" s="1"/>
  <c r="AT71"/>
  <c r="BB71" s="1"/>
  <c r="BC71" s="1"/>
  <c r="AS74"/>
  <c r="BA74" s="1"/>
  <c r="AR118"/>
  <c r="AZ118" s="1"/>
  <c r="AR79"/>
  <c r="AZ79" s="1"/>
  <c r="AR81"/>
  <c r="AZ81" s="1"/>
  <c r="AR121"/>
  <c r="AZ121" s="1"/>
  <c r="AT83"/>
  <c r="BB83" s="1"/>
  <c r="AR84"/>
  <c r="AZ84" s="1"/>
  <c r="AS85"/>
  <c r="BA85" s="1"/>
  <c r="AT85"/>
  <c r="BB85" s="1"/>
  <c r="AR92"/>
  <c r="AZ92" s="1"/>
  <c r="AR96"/>
  <c r="AZ96" s="1"/>
  <c r="AR125"/>
  <c r="AZ125" s="1"/>
  <c r="BC125" s="1"/>
  <c r="AR101"/>
  <c r="AZ101" s="1"/>
  <c r="BC101" s="1"/>
  <c r="L4" i="96"/>
  <c r="N4" i="92"/>
  <c r="O4"/>
  <c r="M5" i="6"/>
  <c r="Q55" i="41"/>
  <c r="Q15"/>
  <c r="Q59"/>
  <c r="Q50"/>
  <c r="Q58"/>
  <c r="Q82"/>
  <c r="Q98"/>
  <c r="Q106"/>
  <c r="Q114"/>
  <c r="Q122"/>
  <c r="U78"/>
  <c r="I120" i="40"/>
  <c r="I98"/>
  <c r="M41" i="41"/>
  <c r="U80"/>
  <c r="M4"/>
  <c r="Y5"/>
  <c r="I6"/>
  <c r="U7"/>
  <c r="E8"/>
  <c r="Q9"/>
  <c r="I10"/>
  <c r="U11"/>
  <c r="E12"/>
  <c r="M12"/>
  <c r="Y13"/>
  <c r="I14"/>
  <c r="U15"/>
  <c r="Q17"/>
  <c r="Y17"/>
  <c r="E20"/>
  <c r="Y21"/>
  <c r="I22"/>
  <c r="M24"/>
  <c r="Q25"/>
  <c r="U27"/>
  <c r="E28"/>
  <c r="M28"/>
  <c r="Q29"/>
  <c r="I30"/>
  <c r="U31"/>
  <c r="M32"/>
  <c r="Q33"/>
  <c r="Y33"/>
  <c r="I34"/>
  <c r="U35"/>
  <c r="Q37"/>
  <c r="Y37"/>
  <c r="U39"/>
  <c r="M40"/>
  <c r="Q41"/>
  <c r="Y41"/>
  <c r="I42"/>
  <c r="U43"/>
  <c r="I46"/>
  <c r="U47"/>
  <c r="E48"/>
  <c r="M48"/>
  <c r="Y49"/>
  <c r="I50"/>
  <c r="E52"/>
  <c r="Q53"/>
  <c r="Y53"/>
  <c r="I54"/>
  <c r="U55"/>
  <c r="E56"/>
  <c r="Q57"/>
  <c r="Y57"/>
  <c r="I58"/>
  <c r="U59"/>
  <c r="M60"/>
  <c r="Q61"/>
  <c r="Y61"/>
  <c r="I62"/>
  <c r="U63"/>
  <c r="E64"/>
  <c r="Y65"/>
  <c r="U67"/>
  <c r="E68"/>
  <c r="M68"/>
  <c r="Q69"/>
  <c r="Y69"/>
  <c r="I70"/>
  <c r="U71"/>
  <c r="E72"/>
  <c r="Y73"/>
  <c r="I74"/>
  <c r="U75"/>
  <c r="E76"/>
  <c r="Q77"/>
  <c r="I78"/>
  <c r="U79"/>
  <c r="E80"/>
  <c r="M80"/>
  <c r="Q81"/>
  <c r="I82"/>
  <c r="U83"/>
  <c r="E84"/>
  <c r="M84"/>
  <c r="Q85"/>
  <c r="Y85"/>
  <c r="I86"/>
  <c r="U87"/>
  <c r="M88"/>
  <c r="I90"/>
  <c r="U91"/>
  <c r="E92"/>
  <c r="M92"/>
  <c r="Q93"/>
  <c r="Y93"/>
  <c r="I94"/>
  <c r="U95"/>
  <c r="E96"/>
  <c r="M96"/>
  <c r="Y97"/>
  <c r="I98"/>
  <c r="U99"/>
  <c r="E100"/>
  <c r="M100"/>
  <c r="Q101"/>
  <c r="U103"/>
  <c r="E104"/>
  <c r="M104"/>
  <c r="Y105"/>
  <c r="I106"/>
  <c r="U107"/>
  <c r="E108"/>
  <c r="M108"/>
  <c r="Q109"/>
  <c r="Y109"/>
  <c r="I110"/>
  <c r="U111"/>
  <c r="E112"/>
  <c r="M112"/>
  <c r="Y113"/>
  <c r="I114"/>
  <c r="U115"/>
  <c r="M116"/>
  <c r="Q117"/>
  <c r="Y117"/>
  <c r="U119"/>
  <c r="E120"/>
  <c r="M120"/>
  <c r="I122"/>
  <c r="U123"/>
  <c r="U4" i="40"/>
  <c r="U5"/>
  <c r="M37"/>
  <c r="U37"/>
  <c r="E38"/>
  <c r="U110"/>
  <c r="U119"/>
  <c r="E120"/>
  <c r="M123"/>
  <c r="U123"/>
  <c r="Y95" i="41"/>
  <c r="Y123"/>
  <c r="Y27"/>
  <c r="E118"/>
  <c r="U23"/>
  <c r="Q54"/>
  <c r="Y29" i="39"/>
  <c r="Y46" i="41"/>
  <c r="U52"/>
  <c r="E57"/>
  <c r="I59"/>
  <c r="Y74"/>
  <c r="I91"/>
  <c r="E113"/>
  <c r="I115"/>
  <c r="E121"/>
  <c r="M16"/>
  <c r="I27" i="39"/>
  <c r="Q62" i="41"/>
  <c r="I11" i="39"/>
  <c r="Y22"/>
  <c r="Y25"/>
  <c r="I29"/>
  <c r="Y89"/>
  <c r="Y95"/>
  <c r="Y119"/>
  <c r="Q73" i="41"/>
  <c r="Q119"/>
  <c r="Q87"/>
  <c r="Q4"/>
  <c r="Y4"/>
  <c r="U5"/>
  <c r="M6"/>
  <c r="U6"/>
  <c r="M7"/>
  <c r="Q8"/>
  <c r="Y8"/>
  <c r="U9"/>
  <c r="E10"/>
  <c r="E11"/>
  <c r="Y11"/>
  <c r="E14"/>
  <c r="E15"/>
  <c r="Q16"/>
  <c r="U18"/>
  <c r="E19"/>
  <c r="Q24"/>
  <c r="Q32"/>
  <c r="Q40"/>
  <c r="Y43"/>
  <c r="Q48"/>
  <c r="Q56"/>
  <c r="Q64"/>
  <c r="Y67"/>
  <c r="Q72"/>
  <c r="U73"/>
  <c r="Q80"/>
  <c r="I84"/>
  <c r="Q88"/>
  <c r="Q96"/>
  <c r="E98"/>
  <c r="Y103"/>
  <c r="I104"/>
  <c r="Q112"/>
  <c r="E114"/>
  <c r="Q120"/>
  <c r="E122"/>
  <c r="M122"/>
  <c r="Q89"/>
  <c r="Q121"/>
  <c r="M20"/>
  <c r="I26"/>
  <c r="E36"/>
  <c r="E40"/>
  <c r="E44"/>
  <c r="M76"/>
  <c r="Y101"/>
  <c r="Q45"/>
  <c r="Q21"/>
  <c r="Y68" i="40"/>
  <c r="I69"/>
  <c r="Q69"/>
  <c r="Y69"/>
  <c r="I70"/>
  <c r="Q70"/>
  <c r="Y70"/>
  <c r="E75"/>
  <c r="U75"/>
  <c r="E76"/>
  <c r="Q79"/>
  <c r="Y79"/>
  <c r="I80"/>
  <c r="Q80"/>
  <c r="Y80"/>
  <c r="I81"/>
  <c r="Q81"/>
  <c r="Y81"/>
  <c r="E86"/>
  <c r="Q98"/>
  <c r="Y98"/>
  <c r="I99"/>
  <c r="Q99"/>
  <c r="Y99"/>
  <c r="I100"/>
  <c r="Y100"/>
  <c r="I101"/>
  <c r="Q101"/>
  <c r="Y101"/>
  <c r="M106"/>
  <c r="M107"/>
  <c r="I111"/>
  <c r="Q111"/>
  <c r="Y111"/>
  <c r="Q116"/>
  <c r="Y116"/>
  <c r="U118"/>
  <c r="Q120"/>
  <c r="Y120"/>
  <c r="M122"/>
  <c r="U122"/>
  <c r="Q5" i="41"/>
  <c r="Q13"/>
  <c r="E24"/>
  <c r="Y25"/>
  <c r="Q26"/>
  <c r="Q66"/>
  <c r="Q70"/>
  <c r="Q74"/>
  <c r="Q86"/>
  <c r="Q90"/>
  <c r="Q94"/>
  <c r="Q102"/>
  <c r="Q5" i="39"/>
  <c r="Q6"/>
  <c r="I20"/>
  <c r="Y20"/>
  <c r="I30"/>
  <c r="Q37"/>
  <c r="Y52"/>
  <c r="Y55"/>
  <c r="Y69"/>
  <c r="I85"/>
  <c r="Q89"/>
  <c r="I92"/>
  <c r="I93"/>
  <c r="Q98"/>
  <c r="Y100"/>
  <c r="I105"/>
  <c r="Y107"/>
  <c r="I108"/>
  <c r="I109"/>
  <c r="I111"/>
  <c r="Q113"/>
  <c r="I114"/>
  <c r="I115"/>
  <c r="Y118"/>
  <c r="U4" i="41"/>
  <c r="E5"/>
  <c r="M5"/>
  <c r="Q6"/>
  <c r="I7"/>
  <c r="U8"/>
  <c r="E9"/>
  <c r="M9"/>
  <c r="Y10"/>
  <c r="I11"/>
  <c r="U12"/>
  <c r="M13"/>
  <c r="Q14"/>
  <c r="Y14"/>
  <c r="I15"/>
  <c r="U16"/>
  <c r="E17"/>
  <c r="M17"/>
  <c r="Q18"/>
  <c r="Y18"/>
  <c r="I19"/>
  <c r="U21"/>
  <c r="E22"/>
  <c r="M22"/>
  <c r="Q23"/>
  <c r="Y23"/>
  <c r="I24"/>
  <c r="U25"/>
  <c r="E26"/>
  <c r="M26"/>
  <c r="I28"/>
  <c r="U29"/>
  <c r="E30"/>
  <c r="M30"/>
  <c r="Q31"/>
  <c r="Y31"/>
  <c r="I32"/>
  <c r="U33"/>
  <c r="E34"/>
  <c r="M34"/>
  <c r="Q35"/>
  <c r="Y35"/>
  <c r="I36"/>
  <c r="U37"/>
  <c r="E38"/>
  <c r="M38"/>
  <c r="Q39"/>
  <c r="Y39"/>
  <c r="I40"/>
  <c r="U41"/>
  <c r="E42"/>
  <c r="M42"/>
  <c r="Q43"/>
  <c r="I44"/>
  <c r="U45"/>
  <c r="E46"/>
  <c r="M46"/>
  <c r="Q47"/>
  <c r="Y47"/>
  <c r="I48"/>
  <c r="U49"/>
  <c r="E50"/>
  <c r="M50"/>
  <c r="Q51"/>
  <c r="Y51"/>
  <c r="U53"/>
  <c r="E54"/>
  <c r="M54"/>
  <c r="Y55"/>
  <c r="I56"/>
  <c r="U57"/>
  <c r="M58"/>
  <c r="Y59"/>
  <c r="I60"/>
  <c r="U61"/>
  <c r="Q63"/>
  <c r="I64"/>
  <c r="U65"/>
  <c r="E66"/>
  <c r="M66"/>
  <c r="Q67"/>
  <c r="I68"/>
  <c r="U69"/>
  <c r="E70"/>
  <c r="M70"/>
  <c r="Q71"/>
  <c r="Y71"/>
  <c r="I72"/>
  <c r="E74"/>
  <c r="M74"/>
  <c r="Q75"/>
  <c r="Y75"/>
  <c r="I76"/>
  <c r="U77"/>
  <c r="E78"/>
  <c r="M78"/>
  <c r="Y79"/>
  <c r="U81"/>
  <c r="E82"/>
  <c r="M82"/>
  <c r="Q83"/>
  <c r="Y83"/>
  <c r="E86"/>
  <c r="M86"/>
  <c r="U89"/>
  <c r="E90"/>
  <c r="M90"/>
  <c r="Y91"/>
  <c r="I92"/>
  <c r="Q95"/>
  <c r="I96"/>
  <c r="U97"/>
  <c r="Q99"/>
  <c r="Y99"/>
  <c r="U101"/>
  <c r="M102"/>
  <c r="Q103"/>
  <c r="M106"/>
  <c r="Q107"/>
  <c r="Y107"/>
  <c r="I108"/>
  <c r="U109"/>
  <c r="Q111"/>
  <c r="I112"/>
  <c r="U113"/>
  <c r="Q115"/>
  <c r="Y115"/>
  <c r="I116"/>
  <c r="Y119"/>
  <c r="E6"/>
  <c r="Y7"/>
  <c r="I8"/>
  <c r="M10"/>
  <c r="Q11"/>
  <c r="I12"/>
  <c r="U13"/>
  <c r="M14"/>
  <c r="Y15"/>
  <c r="I16"/>
  <c r="E18"/>
  <c r="I20"/>
  <c r="Q20"/>
  <c r="I21"/>
  <c r="U22"/>
  <c r="E23"/>
  <c r="I25"/>
  <c r="U26"/>
  <c r="E27"/>
  <c r="M27"/>
  <c r="Q28"/>
  <c r="Y28"/>
  <c r="E31"/>
  <c r="M31"/>
  <c r="Y32"/>
  <c r="I33"/>
  <c r="E35"/>
  <c r="Q36"/>
  <c r="Y36"/>
  <c r="I37"/>
  <c r="E39"/>
  <c r="M39"/>
  <c r="U42"/>
  <c r="E43"/>
  <c r="M43"/>
  <c r="Y44"/>
  <c r="I45"/>
  <c r="U46"/>
  <c r="E47"/>
  <c r="M47"/>
  <c r="Y48"/>
  <c r="I49"/>
  <c r="U50"/>
  <c r="E51"/>
  <c r="M51"/>
  <c r="Q52"/>
  <c r="Y52"/>
  <c r="I53"/>
  <c r="U54"/>
  <c r="E55"/>
  <c r="M55"/>
  <c r="Y56"/>
  <c r="I57"/>
  <c r="U58"/>
  <c r="E59"/>
  <c r="M59"/>
  <c r="Q60"/>
  <c r="Y60"/>
  <c r="I61"/>
  <c r="U62"/>
  <c r="E63"/>
  <c r="M63"/>
  <c r="Y64"/>
  <c r="U66"/>
  <c r="E67"/>
  <c r="M67"/>
  <c r="Y68"/>
  <c r="U70"/>
  <c r="E71"/>
  <c r="M71"/>
  <c r="Y72"/>
  <c r="I73"/>
  <c r="U74"/>
  <c r="E75"/>
  <c r="M75"/>
  <c r="Y76"/>
  <c r="I77"/>
  <c r="E79"/>
  <c r="M79"/>
  <c r="Y80"/>
  <c r="I81"/>
  <c r="U82"/>
  <c r="E83"/>
  <c r="M83"/>
  <c r="Y84"/>
  <c r="I85"/>
  <c r="U86"/>
  <c r="E87"/>
  <c r="M87"/>
  <c r="Y88"/>
  <c r="I89"/>
  <c r="U90"/>
  <c r="E91"/>
  <c r="M91"/>
  <c r="Q92"/>
  <c r="Y92"/>
  <c r="I93"/>
  <c r="U94"/>
  <c r="E95"/>
  <c r="M95"/>
  <c r="Y96"/>
  <c r="I97"/>
  <c r="U98"/>
  <c r="E99"/>
  <c r="M99"/>
  <c r="Y100"/>
  <c r="I101"/>
  <c r="U102"/>
  <c r="E103"/>
  <c r="M103"/>
  <c r="Y104"/>
  <c r="I105"/>
  <c r="U106"/>
  <c r="E107"/>
  <c r="M107"/>
  <c r="Y108"/>
  <c r="I109"/>
  <c r="U110"/>
  <c r="E111"/>
  <c r="M111"/>
  <c r="Y112"/>
  <c r="I113"/>
  <c r="U114"/>
  <c r="E115"/>
  <c r="M115"/>
  <c r="Q116"/>
  <c r="Y116"/>
  <c r="I117"/>
  <c r="U118"/>
  <c r="E119"/>
  <c r="M119"/>
  <c r="Y120"/>
  <c r="I121"/>
  <c r="U122"/>
  <c r="E123"/>
  <c r="M123"/>
  <c r="I30" i="40"/>
  <c r="I37"/>
  <c r="I110"/>
  <c r="I14"/>
  <c r="I21"/>
  <c r="I77"/>
  <c r="I4"/>
  <c r="Q4"/>
  <c r="Y4"/>
  <c r="I5"/>
  <c r="Q5"/>
  <c r="Y5"/>
  <c r="M8"/>
  <c r="Q14"/>
  <c r="Y14"/>
  <c r="Q21"/>
  <c r="Y21"/>
  <c r="E25"/>
  <c r="U26"/>
  <c r="Q30"/>
  <c r="Y30"/>
  <c r="Q37"/>
  <c r="Y37"/>
  <c r="I38"/>
  <c r="Q38"/>
  <c r="Y38"/>
  <c r="Q46"/>
  <c r="Y46"/>
  <c r="Q53"/>
  <c r="Y53"/>
  <c r="I54"/>
  <c r="Q54"/>
  <c r="Y54"/>
  <c r="I55"/>
  <c r="Q55"/>
  <c r="Y55"/>
  <c r="I56"/>
  <c r="Q56"/>
  <c r="Y56"/>
  <c r="E59"/>
  <c r="M59"/>
  <c r="I63"/>
  <c r="Q63"/>
  <c r="Y63"/>
  <c r="I64"/>
  <c r="Q64"/>
  <c r="Y64"/>
  <c r="I65"/>
  <c r="Q65"/>
  <c r="Y65"/>
  <c r="I66"/>
  <c r="Q66"/>
  <c r="Y66"/>
  <c r="I67"/>
  <c r="Q67"/>
  <c r="Y67"/>
  <c r="U72"/>
  <c r="Q77"/>
  <c r="Y77"/>
  <c r="I78"/>
  <c r="Q78"/>
  <c r="Y78"/>
  <c r="Q86"/>
  <c r="Y86"/>
  <c r="I87"/>
  <c r="Q87"/>
  <c r="Y87"/>
  <c r="I88"/>
  <c r="Q88"/>
  <c r="Y88"/>
  <c r="I89"/>
  <c r="Q89"/>
  <c r="Y89"/>
  <c r="I90"/>
  <c r="Q90"/>
  <c r="Y90"/>
  <c r="I91"/>
  <c r="Q91"/>
  <c r="Y91"/>
  <c r="I92"/>
  <c r="Q92"/>
  <c r="Y92"/>
  <c r="I93"/>
  <c r="Q93"/>
  <c r="Y93"/>
  <c r="I94"/>
  <c r="Q94"/>
  <c r="Y94"/>
  <c r="I95"/>
  <c r="Q95"/>
  <c r="Y95"/>
  <c r="I96"/>
  <c r="Q96"/>
  <c r="Y96"/>
  <c r="I97"/>
  <c r="Q97"/>
  <c r="Y97"/>
  <c r="U102"/>
  <c r="E103"/>
  <c r="E104"/>
  <c r="M104"/>
  <c r="Q110"/>
  <c r="Y110"/>
  <c r="I115"/>
  <c r="Q115"/>
  <c r="Y115"/>
  <c r="I119"/>
  <c r="Q119"/>
  <c r="Y119"/>
  <c r="I123"/>
  <c r="Q123"/>
  <c r="Y123"/>
  <c r="E15"/>
  <c r="Q7" i="41"/>
  <c r="E4" i="39"/>
  <c r="E16" i="41"/>
  <c r="I18"/>
  <c r="U19"/>
  <c r="U20"/>
  <c r="I27" i="40"/>
  <c r="I43"/>
  <c r="I49"/>
  <c r="I71"/>
  <c r="I4" i="39"/>
  <c r="Q4"/>
  <c r="Y4"/>
  <c r="I5"/>
  <c r="Y5"/>
  <c r="I6"/>
  <c r="Y6"/>
  <c r="I7"/>
  <c r="Q7"/>
  <c r="Y7"/>
  <c r="I8"/>
  <c r="Q8"/>
  <c r="Y8"/>
  <c r="I9"/>
  <c r="Q9"/>
  <c r="Y9"/>
  <c r="I10"/>
  <c r="Q10"/>
  <c r="Y10"/>
  <c r="Q11"/>
  <c r="Y11"/>
  <c r="I12"/>
  <c r="Q12"/>
  <c r="Y12"/>
  <c r="I13"/>
  <c r="Q13"/>
  <c r="Y13"/>
  <c r="I14"/>
  <c r="Q14"/>
  <c r="Y14"/>
  <c r="I15"/>
  <c r="Q15"/>
  <c r="Y15"/>
  <c r="I16"/>
  <c r="Q16"/>
  <c r="Y16"/>
  <c r="I17"/>
  <c r="Q17"/>
  <c r="Y17"/>
  <c r="I18"/>
  <c r="Q18"/>
  <c r="Y18"/>
  <c r="I19"/>
  <c r="Q19"/>
  <c r="Y19"/>
  <c r="Q20"/>
  <c r="I21"/>
  <c r="Q21"/>
  <c r="Y21"/>
  <c r="I22"/>
  <c r="Q22"/>
  <c r="I23"/>
  <c r="Q23"/>
  <c r="Y23"/>
  <c r="I24"/>
  <c r="Q24"/>
  <c r="Y24"/>
  <c r="I25"/>
  <c r="Q25"/>
  <c r="I26"/>
  <c r="Q26"/>
  <c r="Y26"/>
  <c r="Q27"/>
  <c r="Y27"/>
  <c r="I28"/>
  <c r="Q28"/>
  <c r="Y28"/>
  <c r="Q29"/>
  <c r="Q30"/>
  <c r="Y30"/>
  <c r="I31"/>
  <c r="Y31"/>
  <c r="I32"/>
  <c r="I34"/>
  <c r="Q35"/>
  <c r="I39"/>
  <c r="I41"/>
  <c r="Q41"/>
  <c r="Y42"/>
  <c r="Q43"/>
  <c r="I45"/>
  <c r="Y47"/>
  <c r="I48"/>
  <c r="Y48"/>
  <c r="Q51"/>
  <c r="I52"/>
  <c r="Y53"/>
  <c r="I54"/>
  <c r="Y54"/>
  <c r="Q55"/>
  <c r="Q56"/>
  <c r="I58"/>
  <c r="Q59"/>
  <c r="Q60"/>
  <c r="Y62"/>
  <c r="I65"/>
  <c r="Q68"/>
  <c r="Q69"/>
  <c r="Q74"/>
  <c r="Y74"/>
  <c r="Y76"/>
  <c r="Q79"/>
  <c r="I83"/>
  <c r="Y83"/>
  <c r="Y87"/>
  <c r="I88"/>
  <c r="Y88"/>
  <c r="I89"/>
  <c r="I90"/>
  <c r="Q90"/>
  <c r="Y90"/>
  <c r="I91"/>
  <c r="Q91"/>
  <c r="Y91"/>
  <c r="Q92"/>
  <c r="Y92"/>
  <c r="Q93"/>
  <c r="Y93"/>
  <c r="I94"/>
  <c r="Q94"/>
  <c r="Y94"/>
  <c r="I95"/>
  <c r="Q95"/>
  <c r="I96"/>
  <c r="Q96"/>
  <c r="Y96"/>
  <c r="I97"/>
  <c r="Q97"/>
  <c r="Y97"/>
  <c r="I98"/>
  <c r="Y98"/>
  <c r="I99"/>
  <c r="Q99"/>
  <c r="Y99"/>
  <c r="I100"/>
  <c r="Q100"/>
  <c r="I101"/>
  <c r="Q101"/>
  <c r="Y101"/>
  <c r="I102"/>
  <c r="Q102"/>
  <c r="Y102"/>
  <c r="I103"/>
  <c r="Q103"/>
  <c r="Y103"/>
  <c r="I104"/>
  <c r="Q104"/>
  <c r="Y104"/>
  <c r="I118" i="41"/>
  <c r="Q104"/>
  <c r="Q113"/>
  <c r="Q76"/>
  <c r="Q84"/>
  <c r="Q108"/>
  <c r="E8" i="39"/>
  <c r="M8"/>
  <c r="M9"/>
  <c r="E11"/>
  <c r="M12"/>
  <c r="U12"/>
  <c r="E13"/>
  <c r="U14"/>
  <c r="U18"/>
  <c r="E20"/>
  <c r="U23"/>
  <c r="E26"/>
  <c r="M28"/>
  <c r="U28"/>
  <c r="M30"/>
  <c r="M31"/>
  <c r="M32"/>
  <c r="M33"/>
  <c r="U34"/>
  <c r="M35"/>
  <c r="U35"/>
  <c r="E36"/>
  <c r="U37"/>
  <c r="E41"/>
  <c r="M42"/>
  <c r="E43"/>
  <c r="U43"/>
  <c r="E44"/>
  <c r="E45"/>
  <c r="M45"/>
  <c r="U45"/>
  <c r="E46"/>
  <c r="U48"/>
  <c r="E49"/>
  <c r="M49"/>
  <c r="U49"/>
  <c r="M50"/>
  <c r="M51"/>
  <c r="U51"/>
  <c r="M52"/>
  <c r="E53"/>
  <c r="M53"/>
  <c r="U54"/>
  <c r="E56"/>
  <c r="E57"/>
  <c r="E59"/>
  <c r="M60"/>
  <c r="U61"/>
  <c r="E63"/>
  <c r="M63"/>
  <c r="U63"/>
  <c r="M65"/>
  <c r="U65"/>
  <c r="E66"/>
  <c r="M66"/>
  <c r="M68"/>
  <c r="U68"/>
  <c r="U69"/>
  <c r="M70"/>
  <c r="U71"/>
  <c r="M72"/>
  <c r="E74"/>
  <c r="M75"/>
  <c r="M76"/>
  <c r="M78"/>
  <c r="E79"/>
  <c r="U79"/>
  <c r="E80"/>
  <c r="M81"/>
  <c r="U81"/>
  <c r="E83"/>
  <c r="M85"/>
  <c r="U85"/>
  <c r="E86"/>
  <c r="M87"/>
  <c r="E88"/>
  <c r="I65" i="41"/>
  <c r="U5" i="39"/>
  <c r="M6"/>
  <c r="U9"/>
  <c r="M11"/>
  <c r="E12"/>
  <c r="M14"/>
  <c r="M18"/>
  <c r="E21"/>
  <c r="E23"/>
  <c r="U29"/>
  <c r="E32"/>
  <c r="U32"/>
  <c r="E33"/>
  <c r="M36"/>
  <c r="E37"/>
  <c r="M37"/>
  <c r="M38"/>
  <c r="E39"/>
  <c r="M39"/>
  <c r="U39"/>
  <c r="E40"/>
  <c r="M40"/>
  <c r="M43"/>
  <c r="M44"/>
  <c r="U44"/>
  <c r="M46"/>
  <c r="U46"/>
  <c r="E47"/>
  <c r="M47"/>
  <c r="U53"/>
  <c r="E54"/>
  <c r="M54"/>
  <c r="M56"/>
  <c r="U56"/>
  <c r="M58"/>
  <c r="U60"/>
  <c r="E61"/>
  <c r="M62"/>
  <c r="E65"/>
  <c r="M67"/>
  <c r="E68"/>
  <c r="E69"/>
  <c r="U70"/>
  <c r="M71"/>
  <c r="E72"/>
  <c r="M74"/>
  <c r="U74"/>
  <c r="E76"/>
  <c r="U76"/>
  <c r="U77"/>
  <c r="E78"/>
  <c r="M80"/>
  <c r="M83"/>
  <c r="U83"/>
  <c r="E84"/>
  <c r="M84"/>
  <c r="U84"/>
  <c r="E87"/>
  <c r="U87"/>
  <c r="I6" i="40"/>
  <c r="I112"/>
  <c r="I82"/>
  <c r="I121"/>
  <c r="Q49" i="41"/>
  <c r="Q44"/>
  <c r="U88" i="39"/>
  <c r="M89"/>
  <c r="E90"/>
  <c r="U91"/>
  <c r="M93"/>
  <c r="U93"/>
  <c r="M94"/>
  <c r="E95"/>
  <c r="E96"/>
  <c r="M96"/>
  <c r="U96"/>
  <c r="M97"/>
  <c r="U97"/>
  <c r="E98"/>
  <c r="U98"/>
  <c r="U99"/>
  <c r="M101"/>
  <c r="E102"/>
  <c r="M102"/>
  <c r="U102"/>
  <c r="U103"/>
  <c r="U105"/>
  <c r="E106"/>
  <c r="U106"/>
  <c r="E107"/>
  <c r="M108"/>
  <c r="E109"/>
  <c r="M110"/>
  <c r="E111"/>
  <c r="M111"/>
  <c r="U111"/>
  <c r="M113"/>
  <c r="U113"/>
  <c r="E114"/>
  <c r="E117"/>
  <c r="M117"/>
  <c r="E118"/>
  <c r="E119"/>
  <c r="U119"/>
  <c r="M120"/>
  <c r="U120"/>
  <c r="M123"/>
  <c r="M72" i="41"/>
  <c r="E5" i="40"/>
  <c r="M5"/>
  <c r="E6"/>
  <c r="I7"/>
  <c r="Q7"/>
  <c r="Y7"/>
  <c r="I8"/>
  <c r="Q8"/>
  <c r="Y8"/>
  <c r="I9"/>
  <c r="Q9"/>
  <c r="Y9"/>
  <c r="M14"/>
  <c r="Q17"/>
  <c r="Y17"/>
  <c r="M21"/>
  <c r="U21"/>
  <c r="I24"/>
  <c r="Q24"/>
  <c r="Y24"/>
  <c r="I25"/>
  <c r="Q25"/>
  <c r="Y25"/>
  <c r="I26"/>
  <c r="Q26"/>
  <c r="Y26"/>
  <c r="U30"/>
  <c r="Q34"/>
  <c r="Y34"/>
  <c r="U38"/>
  <c r="E39"/>
  <c r="Q43"/>
  <c r="Y43"/>
  <c r="Q49"/>
  <c r="Y49"/>
  <c r="U54"/>
  <c r="I58"/>
  <c r="Q58"/>
  <c r="Y58"/>
  <c r="I59"/>
  <c r="Q59"/>
  <c r="Y59"/>
  <c r="I60"/>
  <c r="Q60"/>
  <c r="Y60"/>
  <c r="I61"/>
  <c r="Q61"/>
  <c r="Y61"/>
  <c r="M63"/>
  <c r="U65"/>
  <c r="E66"/>
  <c r="U67"/>
  <c r="Q71"/>
  <c r="Y71"/>
  <c r="I72"/>
  <c r="Q72"/>
  <c r="Y72"/>
  <c r="M77"/>
  <c r="E78"/>
  <c r="Q82"/>
  <c r="Y82"/>
  <c r="E91"/>
  <c r="U91"/>
  <c r="U94"/>
  <c r="M95"/>
  <c r="U97"/>
  <c r="Q102"/>
  <c r="Y102"/>
  <c r="I103"/>
  <c r="Q103"/>
  <c r="Y103"/>
  <c r="I104"/>
  <c r="Q104"/>
  <c r="Y104"/>
  <c r="Q112"/>
  <c r="Y112"/>
  <c r="I113"/>
  <c r="Q113"/>
  <c r="Y113"/>
  <c r="M115"/>
  <c r="U115"/>
  <c r="I117"/>
  <c r="Q117"/>
  <c r="Y117"/>
  <c r="M119"/>
  <c r="Q121"/>
  <c r="Y121"/>
  <c r="U51" i="41"/>
  <c r="M52"/>
  <c r="Y121"/>
  <c r="I10" i="40"/>
  <c r="E24"/>
  <c r="I34"/>
  <c r="I39"/>
  <c r="E47"/>
  <c r="I57"/>
  <c r="I62"/>
  <c r="I73"/>
  <c r="I79"/>
  <c r="I86"/>
  <c r="Q105" i="39"/>
  <c r="Y105"/>
  <c r="I106"/>
  <c r="Q106"/>
  <c r="Y106"/>
  <c r="I107"/>
  <c r="Q107"/>
  <c r="Q108"/>
  <c r="Y108"/>
  <c r="Q109"/>
  <c r="Y109"/>
  <c r="I110"/>
  <c r="Q110"/>
  <c r="Y110"/>
  <c r="Q111"/>
  <c r="Y111"/>
  <c r="I112"/>
  <c r="Q112"/>
  <c r="Y112"/>
  <c r="I113"/>
  <c r="Y113"/>
  <c r="Q114"/>
  <c r="Y114"/>
  <c r="Q115"/>
  <c r="Y115"/>
  <c r="I116"/>
  <c r="Q116"/>
  <c r="Y116"/>
  <c r="I117"/>
  <c r="Q117"/>
  <c r="Y117"/>
  <c r="I118"/>
  <c r="Q118"/>
  <c r="I119"/>
  <c r="Q119"/>
  <c r="I120"/>
  <c r="Q120"/>
  <c r="Y120"/>
  <c r="I121"/>
  <c r="Q121"/>
  <c r="Y121"/>
  <c r="I122"/>
  <c r="Q122"/>
  <c r="Y122"/>
  <c r="I123"/>
  <c r="Q123"/>
  <c r="Y123"/>
  <c r="Q10" i="40"/>
  <c r="Y10"/>
  <c r="I11"/>
  <c r="Q11"/>
  <c r="Y11"/>
  <c r="I12"/>
  <c r="Q12"/>
  <c r="Y12"/>
  <c r="I13"/>
  <c r="Q13"/>
  <c r="Y13"/>
  <c r="M16"/>
  <c r="I18"/>
  <c r="Q18"/>
  <c r="Y18"/>
  <c r="I19"/>
  <c r="Q19"/>
  <c r="Y19"/>
  <c r="I20"/>
  <c r="Q20"/>
  <c r="Y20"/>
  <c r="U23"/>
  <c r="Y27"/>
  <c r="I28"/>
  <c r="Q28"/>
  <c r="Y28"/>
  <c r="I29"/>
  <c r="Q29"/>
  <c r="Y29"/>
  <c r="M31"/>
  <c r="E32"/>
  <c r="E33"/>
  <c r="E34"/>
  <c r="I35"/>
  <c r="Q35"/>
  <c r="Y35"/>
  <c r="I36"/>
  <c r="Q36"/>
  <c r="Y36"/>
  <c r="M42"/>
  <c r="I44"/>
  <c r="Q44"/>
  <c r="Y44"/>
  <c r="I45"/>
  <c r="Q45"/>
  <c r="Y45"/>
  <c r="M47"/>
  <c r="E48"/>
  <c r="I50"/>
  <c r="Q50"/>
  <c r="Y50"/>
  <c r="I51"/>
  <c r="Q51"/>
  <c r="Y51"/>
  <c r="I52"/>
  <c r="Q52"/>
  <c r="Y52"/>
  <c r="M57"/>
  <c r="Q62"/>
  <c r="Y62"/>
  <c r="U70"/>
  <c r="Q73"/>
  <c r="Y73"/>
  <c r="I74"/>
  <c r="Q74"/>
  <c r="Y74"/>
  <c r="I75"/>
  <c r="Q75"/>
  <c r="Y75"/>
  <c r="I76"/>
  <c r="Q76"/>
  <c r="Y76"/>
  <c r="E81"/>
  <c r="I83"/>
  <c r="Q83"/>
  <c r="Y83"/>
  <c r="Q84"/>
  <c r="Y84"/>
  <c r="I85"/>
  <c r="Q85"/>
  <c r="Y85"/>
  <c r="U99"/>
  <c r="I105"/>
  <c r="Q105"/>
  <c r="Y105"/>
  <c r="I106"/>
  <c r="Q106"/>
  <c r="Y106"/>
  <c r="I107"/>
  <c r="Q107"/>
  <c r="I108"/>
  <c r="Q108"/>
  <c r="Y108"/>
  <c r="I109"/>
  <c r="Q109"/>
  <c r="Y109"/>
  <c r="U111"/>
  <c r="Q114"/>
  <c r="Y114"/>
  <c r="Q118"/>
  <c r="Y118"/>
  <c r="Q122"/>
  <c r="Y122"/>
  <c r="M44" i="41"/>
  <c r="Y45"/>
  <c r="E49"/>
  <c r="I17" i="40"/>
  <c r="I102"/>
  <c r="E105"/>
  <c r="I46"/>
  <c r="I53"/>
  <c r="I114"/>
  <c r="I116"/>
  <c r="I118"/>
  <c r="I122"/>
  <c r="U18"/>
  <c r="E19"/>
  <c r="M19"/>
  <c r="U19"/>
  <c r="M20"/>
  <c r="U20"/>
  <c r="E21"/>
  <c r="U35"/>
  <c r="M36"/>
  <c r="E37"/>
  <c r="M50"/>
  <c r="U51"/>
  <c r="E52"/>
  <c r="M52"/>
  <c r="U84"/>
  <c r="M85"/>
  <c r="U85"/>
  <c r="U105"/>
  <c r="E106"/>
  <c r="E107"/>
  <c r="E108"/>
  <c r="M108"/>
  <c r="U108"/>
  <c r="M109"/>
  <c r="U109"/>
  <c r="M118"/>
  <c r="U7"/>
  <c r="E8"/>
  <c r="U8"/>
  <c r="E9"/>
  <c r="M17"/>
  <c r="M24"/>
  <c r="E26"/>
  <c r="U34"/>
  <c r="U49"/>
  <c r="M71"/>
  <c r="U71"/>
  <c r="E72"/>
  <c r="M82"/>
  <c r="U82"/>
  <c r="U103"/>
  <c r="U104"/>
  <c r="M117"/>
  <c r="U117"/>
  <c r="E118"/>
  <c r="U62"/>
  <c r="U63"/>
  <c r="M64"/>
  <c r="U64"/>
  <c r="M66"/>
  <c r="E67"/>
  <c r="E68"/>
  <c r="U68"/>
  <c r="E69"/>
  <c r="U69"/>
  <c r="M81"/>
  <c r="U81"/>
  <c r="E117"/>
  <c r="E123"/>
  <c r="E4"/>
  <c r="E35"/>
  <c r="E22"/>
  <c r="E50"/>
  <c r="E111"/>
  <c r="E119"/>
  <c r="E7"/>
  <c r="E83"/>
  <c r="U14"/>
  <c r="U16"/>
  <c r="E17"/>
  <c r="M30"/>
  <c r="E31"/>
  <c r="U31"/>
  <c r="E44"/>
  <c r="U44"/>
  <c r="E45"/>
  <c r="U45"/>
  <c r="E58"/>
  <c r="M58"/>
  <c r="E60"/>
  <c r="E61"/>
  <c r="M61"/>
  <c r="U61"/>
  <c r="E62"/>
  <c r="E79"/>
  <c r="U98"/>
  <c r="E99"/>
  <c r="M100"/>
  <c r="U100"/>
  <c r="E101"/>
  <c r="U101"/>
  <c r="E102"/>
  <c r="M114"/>
  <c r="U114"/>
  <c r="E115"/>
  <c r="E116"/>
  <c r="M121"/>
  <c r="U121"/>
  <c r="E122"/>
  <c r="C124"/>
  <c r="C125" s="1"/>
  <c r="U10"/>
  <c r="E11"/>
  <c r="M11"/>
  <c r="U11"/>
  <c r="M12"/>
  <c r="U13"/>
  <c r="M27"/>
  <c r="U27"/>
  <c r="E28"/>
  <c r="U28"/>
  <c r="E29"/>
  <c r="M39"/>
  <c r="E40"/>
  <c r="U40"/>
  <c r="U41"/>
  <c r="U42"/>
  <c r="E43"/>
  <c r="U53"/>
  <c r="E54"/>
  <c r="E55"/>
  <c r="M55"/>
  <c r="E56"/>
  <c r="U56"/>
  <c r="E57"/>
  <c r="M73"/>
  <c r="M74"/>
  <c r="M75"/>
  <c r="M76"/>
  <c r="U76"/>
  <c r="E77"/>
  <c r="U86"/>
  <c r="M87"/>
  <c r="E88"/>
  <c r="M88"/>
  <c r="U88"/>
  <c r="U89"/>
  <c r="U90"/>
  <c r="E92"/>
  <c r="U92"/>
  <c r="E93"/>
  <c r="M93"/>
  <c r="E95"/>
  <c r="U95"/>
  <c r="E96"/>
  <c r="M96"/>
  <c r="U96"/>
  <c r="M97"/>
  <c r="E98"/>
  <c r="M112"/>
  <c r="U112"/>
  <c r="E113"/>
  <c r="M113"/>
  <c r="U113"/>
  <c r="E114"/>
  <c r="M120"/>
  <c r="U120"/>
  <c r="E121"/>
  <c r="M88" i="39"/>
  <c r="M90"/>
  <c r="M91"/>
  <c r="E92"/>
  <c r="M92"/>
  <c r="M95"/>
  <c r="U95"/>
  <c r="E97"/>
  <c r="E99"/>
  <c r="M103"/>
  <c r="M106"/>
  <c r="M107"/>
  <c r="M109"/>
  <c r="E110"/>
  <c r="E112"/>
  <c r="M112"/>
  <c r="E115"/>
  <c r="E116"/>
  <c r="M116"/>
  <c r="U118"/>
  <c r="E121"/>
  <c r="M121"/>
  <c r="M4" i="40"/>
  <c r="M6"/>
  <c r="U9"/>
  <c r="E10"/>
  <c r="M10"/>
  <c r="E14"/>
  <c r="U15"/>
  <c r="E16"/>
  <c r="U17"/>
  <c r="E18"/>
  <c r="M22"/>
  <c r="M23"/>
  <c r="M25"/>
  <c r="U25"/>
  <c r="E27"/>
  <c r="M28"/>
  <c r="M29"/>
  <c r="M33"/>
  <c r="U33"/>
  <c r="M34"/>
  <c r="E36"/>
  <c r="U36"/>
  <c r="U39"/>
  <c r="E41"/>
  <c r="M41"/>
  <c r="M44"/>
  <c r="E46"/>
  <c r="M46"/>
  <c r="E49"/>
  <c r="M51"/>
  <c r="U55"/>
  <c r="M56"/>
  <c r="U59"/>
  <c r="M60"/>
  <c r="U60"/>
  <c r="E63"/>
  <c r="U66"/>
  <c r="M67"/>
  <c r="M68"/>
  <c r="E71"/>
  <c r="M72"/>
  <c r="E74"/>
  <c r="M78"/>
  <c r="U78"/>
  <c r="U80"/>
  <c r="E82"/>
  <c r="M83"/>
  <c r="M84"/>
  <c r="M86"/>
  <c r="E87"/>
  <c r="E90"/>
  <c r="M90"/>
  <c r="M92"/>
  <c r="U93"/>
  <c r="E94"/>
  <c r="E97"/>
  <c r="E100"/>
  <c r="M101"/>
  <c r="M102"/>
  <c r="M105"/>
  <c r="U106"/>
  <c r="E109"/>
  <c r="E110"/>
  <c r="Q32" i="39"/>
  <c r="Y32"/>
  <c r="I33"/>
  <c r="Q33"/>
  <c r="Y33"/>
  <c r="Q34"/>
  <c r="Y34"/>
  <c r="I35"/>
  <c r="Y35"/>
  <c r="I36"/>
  <c r="Q36"/>
  <c r="Y36"/>
  <c r="I37"/>
  <c r="Y37"/>
  <c r="I38"/>
  <c r="Q38"/>
  <c r="Y38"/>
  <c r="Q39"/>
  <c r="Y39"/>
  <c r="I40"/>
  <c r="Q40"/>
  <c r="Y40"/>
  <c r="Y41"/>
  <c r="I42"/>
  <c r="Q42"/>
  <c r="I43"/>
  <c r="Y43"/>
  <c r="I44"/>
  <c r="Q44"/>
  <c r="Y44"/>
  <c r="Q45"/>
  <c r="Y45"/>
  <c r="I46"/>
  <c r="Q46"/>
  <c r="Y46"/>
  <c r="I47"/>
  <c r="Q47"/>
  <c r="Q48"/>
  <c r="I49"/>
  <c r="Q49"/>
  <c r="Y49"/>
  <c r="I50"/>
  <c r="Q50"/>
  <c r="Y50"/>
  <c r="I51"/>
  <c r="Y51"/>
  <c r="Q52"/>
  <c r="I53"/>
  <c r="Q53"/>
  <c r="Q54"/>
  <c r="I55"/>
  <c r="I56"/>
  <c r="Y56"/>
  <c r="I57"/>
  <c r="Q57"/>
  <c r="Y57"/>
  <c r="Q58"/>
  <c r="Y58"/>
  <c r="I59"/>
  <c r="Y59"/>
  <c r="I60"/>
  <c r="Y60"/>
  <c r="I61"/>
  <c r="Q61"/>
  <c r="Y61"/>
  <c r="I62"/>
  <c r="Q62"/>
  <c r="I63"/>
  <c r="Q63"/>
  <c r="Y63"/>
  <c r="I64"/>
  <c r="Q64"/>
  <c r="Y64"/>
  <c r="Q65"/>
  <c r="Y65"/>
  <c r="I66"/>
  <c r="Q66"/>
  <c r="Y66"/>
  <c r="I67"/>
  <c r="Q67"/>
  <c r="Y67"/>
  <c r="I68"/>
  <c r="Y68"/>
  <c r="I69"/>
  <c r="I70"/>
  <c r="Q70"/>
  <c r="Y70"/>
  <c r="I71"/>
  <c r="Q71"/>
  <c r="Y71"/>
  <c r="I72"/>
  <c r="Q72"/>
  <c r="Y72"/>
  <c r="I73"/>
  <c r="Q73"/>
  <c r="Y73"/>
  <c r="I74"/>
  <c r="I75"/>
  <c r="Q75"/>
  <c r="Y75"/>
  <c r="I76"/>
  <c r="Q76"/>
  <c r="I77"/>
  <c r="Q77"/>
  <c r="I78"/>
  <c r="Q78"/>
  <c r="Y78"/>
  <c r="I79"/>
  <c r="Y79"/>
  <c r="I80"/>
  <c r="Q80"/>
  <c r="Y80"/>
  <c r="I81"/>
  <c r="Q81"/>
  <c r="Y81"/>
  <c r="I82"/>
  <c r="Q82"/>
  <c r="Y82"/>
  <c r="Q83"/>
  <c r="I84"/>
  <c r="Q84"/>
  <c r="Y84"/>
  <c r="Q85"/>
  <c r="Y85"/>
  <c r="I86"/>
  <c r="Q86"/>
  <c r="Y86"/>
  <c r="I87"/>
  <c r="Q87"/>
  <c r="I38" i="41"/>
  <c r="I43"/>
  <c r="E117"/>
  <c r="U89" i="39"/>
  <c r="E93"/>
  <c r="U94"/>
  <c r="M98"/>
  <c r="E100"/>
  <c r="E101"/>
  <c r="E103"/>
  <c r="M104"/>
  <c r="U107"/>
  <c r="U110"/>
  <c r="U112"/>
  <c r="U115"/>
  <c r="U117"/>
  <c r="M119"/>
  <c r="E120"/>
  <c r="E122"/>
  <c r="M7" i="40"/>
  <c r="M9"/>
  <c r="E12"/>
  <c r="M13"/>
  <c r="M15"/>
  <c r="E20"/>
  <c r="U22"/>
  <c r="U24"/>
  <c r="M26"/>
  <c r="M32"/>
  <c r="U32"/>
  <c r="M38"/>
  <c r="M40"/>
  <c r="E42"/>
  <c r="M43"/>
  <c r="U43"/>
  <c r="U46"/>
  <c r="U47"/>
  <c r="M48"/>
  <c r="M49"/>
  <c r="E53"/>
  <c r="M53"/>
  <c r="M54"/>
  <c r="U57"/>
  <c r="U58"/>
  <c r="M62"/>
  <c r="E64"/>
  <c r="E65"/>
  <c r="M65"/>
  <c r="M69"/>
  <c r="E70"/>
  <c r="E73"/>
  <c r="U73"/>
  <c r="U74"/>
  <c r="U77"/>
  <c r="E80"/>
  <c r="M80"/>
  <c r="U83"/>
  <c r="E84"/>
  <c r="E85"/>
  <c r="U87"/>
  <c r="E89"/>
  <c r="M89"/>
  <c r="M91"/>
  <c r="M94"/>
  <c r="M98"/>
  <c r="M99"/>
  <c r="M103"/>
  <c r="U107"/>
  <c r="M110"/>
  <c r="E112"/>
  <c r="Y9" i="41"/>
  <c r="E13"/>
  <c r="I66"/>
  <c r="E4"/>
  <c r="Y6"/>
  <c r="E32"/>
  <c r="E60"/>
  <c r="E88"/>
  <c r="Y89"/>
  <c r="Q79"/>
  <c r="Q27"/>
  <c r="Q19"/>
  <c r="Q105"/>
  <c r="Q97"/>
  <c r="Q10"/>
  <c r="Q34"/>
  <c r="Q42"/>
  <c r="M4" i="39"/>
  <c r="E5"/>
  <c r="M5"/>
  <c r="E6"/>
  <c r="U6"/>
  <c r="E7"/>
  <c r="U7"/>
  <c r="U8"/>
  <c r="E9"/>
  <c r="E10"/>
  <c r="M10"/>
  <c r="U10"/>
  <c r="U11"/>
  <c r="M13"/>
  <c r="E14"/>
  <c r="U15"/>
  <c r="E16"/>
  <c r="M16"/>
  <c r="U16"/>
  <c r="E17"/>
  <c r="M17"/>
  <c r="U17"/>
  <c r="U19"/>
  <c r="M20"/>
  <c r="U20"/>
  <c r="M21"/>
  <c r="E22"/>
  <c r="M22"/>
  <c r="U22"/>
  <c r="M23"/>
  <c r="E24"/>
  <c r="M24"/>
  <c r="E25"/>
  <c r="M25"/>
  <c r="U25"/>
  <c r="M26"/>
  <c r="E27"/>
  <c r="M27"/>
  <c r="U27"/>
  <c r="E28"/>
  <c r="M29"/>
  <c r="E30"/>
  <c r="U30"/>
  <c r="E31"/>
  <c r="Y77" i="41"/>
  <c r="Y81"/>
  <c r="J106" i="1"/>
  <c r="I106"/>
  <c r="L5"/>
  <c r="G86"/>
  <c r="K79" s="1"/>
  <c r="G82"/>
  <c r="F83"/>
  <c r="E84"/>
  <c r="G84"/>
  <c r="E86"/>
  <c r="E82"/>
  <c r="F84"/>
  <c r="E85"/>
  <c r="G85"/>
  <c r="F86"/>
  <c r="F82"/>
  <c r="E83"/>
  <c r="F85"/>
  <c r="G83"/>
  <c r="D86"/>
  <c r="D82"/>
  <c r="D85"/>
  <c r="D84"/>
  <c r="D83"/>
  <c r="C54"/>
  <c r="C50"/>
  <c r="C46"/>
  <c r="C48"/>
  <c r="C55"/>
  <c r="C47"/>
  <c r="C53"/>
  <c r="C49"/>
  <c r="C45"/>
  <c r="C52"/>
  <c r="C51"/>
  <c r="D23"/>
  <c r="E22"/>
  <c r="E23"/>
  <c r="H4" i="24"/>
  <c r="F46" i="1" s="1"/>
  <c r="J4" i="24"/>
  <c r="F48" i="1" s="1"/>
  <c r="L4" i="24"/>
  <c r="F50" i="1" s="1"/>
  <c r="N4" i="24"/>
  <c r="F52" i="1" s="1"/>
  <c r="F125"/>
  <c r="D14"/>
  <c r="F5"/>
  <c r="E17"/>
  <c r="E18"/>
  <c r="E16"/>
  <c r="D18"/>
  <c r="D16"/>
  <c r="H125"/>
  <c r="K152"/>
  <c r="J152"/>
  <c r="D49"/>
  <c r="D22"/>
  <c r="G128"/>
  <c r="F133"/>
  <c r="D20"/>
  <c r="I5"/>
  <c r="I133"/>
  <c r="E133"/>
  <c r="AD22" i="84"/>
  <c r="AD67"/>
  <c r="AC43"/>
  <c r="AC120"/>
  <c r="AD120"/>
  <c r="AC36"/>
  <c r="AC41"/>
  <c r="AD63"/>
  <c r="AD17"/>
  <c r="AD56"/>
  <c r="E128" i="1"/>
  <c r="G133"/>
  <c r="E125"/>
  <c r="D51"/>
  <c r="D53"/>
  <c r="H128"/>
  <c r="D55"/>
  <c r="D50"/>
  <c r="D54"/>
  <c r="K146"/>
  <c r="H133"/>
  <c r="K3"/>
  <c r="J133"/>
  <c r="D21"/>
  <c r="D48"/>
  <c r="D45"/>
  <c r="F128"/>
  <c r="D5"/>
  <c r="D17"/>
  <c r="AC8" i="84"/>
  <c r="AD33"/>
  <c r="AD35"/>
  <c r="AD48"/>
  <c r="AD73"/>
  <c r="AC84"/>
  <c r="AC100"/>
  <c r="AD102"/>
  <c r="AD113"/>
  <c r="AD40"/>
  <c r="AD124"/>
  <c r="AC17"/>
  <c r="AC77"/>
  <c r="AD77"/>
  <c r="AD29"/>
  <c r="AC20"/>
  <c r="AC19"/>
  <c r="AD93"/>
  <c r="AC104"/>
  <c r="AD19"/>
  <c r="AC56"/>
  <c r="AC24"/>
  <c r="AD52"/>
  <c r="AD21"/>
  <c r="AD39"/>
  <c r="AD44"/>
  <c r="AC45"/>
  <c r="AD47"/>
  <c r="AC67"/>
  <c r="AC69"/>
  <c r="AD91"/>
  <c r="AD92"/>
  <c r="AC102"/>
  <c r="AC5"/>
  <c r="G20" i="1" s="1"/>
  <c r="AD16" i="84"/>
  <c r="AD58"/>
  <c r="AC111"/>
  <c r="Z41" i="85"/>
  <c r="T41"/>
  <c r="Z64"/>
  <c r="T64"/>
  <c r="Q31" i="39"/>
  <c r="Y77"/>
  <c r="M8" i="41"/>
  <c r="M36"/>
  <c r="M64"/>
  <c r="E73"/>
  <c r="I102"/>
  <c r="Q65"/>
  <c r="AD20" i="84"/>
  <c r="AD26"/>
  <c r="AC57"/>
  <c r="AD118"/>
  <c r="Y29" i="41"/>
  <c r="M56"/>
  <c r="Z11" i="85"/>
  <c r="T11"/>
  <c r="Z55"/>
  <c r="P55"/>
  <c r="Z110"/>
  <c r="T110"/>
  <c r="BC92" i="97"/>
  <c r="Z33" i="85"/>
  <c r="T33"/>
  <c r="Z73"/>
  <c r="P73"/>
  <c r="T83"/>
  <c r="Z91"/>
  <c r="P91"/>
  <c r="Z122"/>
  <c r="T122"/>
  <c r="E116" i="41"/>
  <c r="O125" i="36"/>
  <c r="Z57" i="85"/>
  <c r="T57"/>
  <c r="Z71"/>
  <c r="P71"/>
  <c r="Z103"/>
  <c r="P103"/>
  <c r="Z116"/>
  <c r="T116"/>
  <c r="X7" i="95"/>
  <c r="N4"/>
  <c r="X4" s="1"/>
  <c r="BC106" i="97"/>
  <c r="R6" i="85"/>
  <c r="Z7"/>
  <c r="Z8"/>
  <c r="Z13"/>
  <c r="Z18"/>
  <c r="Z23"/>
  <c r="Z28"/>
  <c r="Z35"/>
  <c r="Z36"/>
  <c r="Z43"/>
  <c r="Z44"/>
  <c r="Z46"/>
  <c r="Z51"/>
  <c r="Z59"/>
  <c r="Z63"/>
  <c r="Z65"/>
  <c r="Z66"/>
  <c r="Z75"/>
  <c r="Z76"/>
  <c r="Z81"/>
  <c r="Z82"/>
  <c r="Z84"/>
  <c r="Z88"/>
  <c r="Z94"/>
  <c r="Z98"/>
  <c r="Z105"/>
  <c r="Z111"/>
  <c r="Z117"/>
  <c r="Z121"/>
  <c r="Z123"/>
  <c r="Z124"/>
  <c r="R132" i="72"/>
  <c r="J4" i="95"/>
  <c r="U4" s="1"/>
  <c r="BC126" i="97"/>
  <c r="BC88"/>
  <c r="BC76"/>
  <c r="BC63"/>
  <c r="BC89"/>
  <c r="BC39"/>
  <c r="BC103"/>
  <c r="BC83"/>
  <c r="BC78"/>
  <c r="BC48"/>
  <c r="BC47"/>
  <c r="Q6" i="85"/>
  <c r="T25"/>
  <c r="Z45"/>
  <c r="Z47"/>
  <c r="Z67"/>
  <c r="T69"/>
  <c r="Z77"/>
  <c r="Z83"/>
  <c r="Z99"/>
  <c r="P101"/>
  <c r="P107"/>
  <c r="S132" i="72"/>
  <c r="W4" i="95"/>
  <c r="BC73" i="97"/>
  <c r="BC69"/>
  <c r="BC87"/>
  <c r="BC38"/>
  <c r="AS29"/>
  <c r="BA29" s="1"/>
  <c r="AT8"/>
  <c r="BB8" s="1"/>
  <c r="BC8" s="1"/>
  <c r="AR102"/>
  <c r="AZ102" s="1"/>
  <c r="BC102" s="1"/>
  <c r="AS10"/>
  <c r="BA10" s="1"/>
  <c r="AR13"/>
  <c r="AZ13" s="1"/>
  <c r="BC13" s="1"/>
  <c r="AS17"/>
  <c r="BA17" s="1"/>
  <c r="BC17" s="1"/>
  <c r="AT24"/>
  <c r="BB24" s="1"/>
  <c r="AT33"/>
  <c r="BB33" s="1"/>
  <c r="BC33" s="1"/>
  <c r="AS36"/>
  <c r="BA36" s="1"/>
  <c r="BC36" s="1"/>
  <c r="AT109"/>
  <c r="BB109" s="1"/>
  <c r="BC109" s="1"/>
  <c r="AT115"/>
  <c r="BB115" s="1"/>
  <c r="BC115" s="1"/>
  <c r="AT70"/>
  <c r="BB70" s="1"/>
  <c r="BC70" s="1"/>
  <c r="AR74"/>
  <c r="AZ74" s="1"/>
  <c r="BC74" s="1"/>
  <c r="AR80"/>
  <c r="AZ80" s="1"/>
  <c r="BC80" s="1"/>
  <c r="AT91"/>
  <c r="BB91" s="1"/>
  <c r="BC91" s="1"/>
  <c r="AT123"/>
  <c r="BB123" s="1"/>
  <c r="BC123" s="1"/>
  <c r="AT11"/>
  <c r="BB11" s="1"/>
  <c r="AS20"/>
  <c r="BA20" s="1"/>
  <c r="BC20" s="1"/>
  <c r="AS21"/>
  <c r="BA21" s="1"/>
  <c r="BC21" s="1"/>
  <c r="AS23"/>
  <c r="BA23" s="1"/>
  <c r="AR107"/>
  <c r="AZ107" s="1"/>
  <c r="AR61"/>
  <c r="AZ61" s="1"/>
  <c r="AR116"/>
  <c r="AZ116" s="1"/>
  <c r="BC116" s="1"/>
  <c r="DO5" i="56"/>
  <c r="D46" i="1"/>
  <c r="D47"/>
  <c r="D52"/>
  <c r="G125"/>
  <c r="BC107" i="97" l="1"/>
  <c r="BC24"/>
  <c r="P6" i="85"/>
  <c r="D5" i="79"/>
  <c r="U5" s="1"/>
  <c r="BC96" i="97"/>
  <c r="BC84"/>
  <c r="BC45"/>
  <c r="BC105"/>
  <c r="BC11"/>
  <c r="BC10"/>
  <c r="BC56"/>
  <c r="BC14"/>
  <c r="BC52"/>
  <c r="P5" i="79"/>
  <c r="D5" i="118"/>
  <c r="BC61" i="97"/>
  <c r="BC85"/>
  <c r="BC121"/>
  <c r="BC104"/>
  <c r="BC7"/>
  <c r="BC23"/>
  <c r="BC16"/>
  <c r="H5" i="118"/>
  <c r="L137" i="1"/>
  <c r="K137"/>
  <c r="K145"/>
  <c r="J143"/>
  <c r="L145"/>
  <c r="J145"/>
  <c r="K143"/>
  <c r="L143"/>
  <c r="M145"/>
  <c r="M137"/>
  <c r="O122" i="79"/>
  <c r="K4" i="101"/>
  <c r="O116" i="79"/>
  <c r="O43"/>
  <c r="O120"/>
  <c r="O47"/>
  <c r="O124"/>
  <c r="O107"/>
  <c r="O115"/>
  <c r="O56"/>
  <c r="O117"/>
  <c r="O66"/>
  <c r="O40"/>
  <c r="O68"/>
  <c r="O118"/>
  <c r="O100"/>
  <c r="O80"/>
  <c r="O112"/>
  <c r="O94"/>
  <c r="O69"/>
  <c r="O99"/>
  <c r="O111"/>
  <c r="O31"/>
  <c r="O109"/>
  <c r="O54"/>
  <c r="O58"/>
  <c r="O78"/>
  <c r="O106"/>
  <c r="O67"/>
  <c r="O53"/>
  <c r="O110"/>
  <c r="O90"/>
  <c r="O81"/>
  <c r="O114"/>
  <c r="O42"/>
  <c r="O77"/>
  <c r="O96"/>
  <c r="O51"/>
  <c r="O104"/>
  <c r="O33"/>
  <c r="O48"/>
  <c r="O125"/>
  <c r="O57"/>
  <c r="O123"/>
  <c r="O34"/>
  <c r="U118"/>
  <c r="W21"/>
  <c r="W64"/>
  <c r="U125"/>
  <c r="X95"/>
  <c r="U55"/>
  <c r="X64"/>
  <c r="V64"/>
  <c r="X62"/>
  <c r="V111"/>
  <c r="W16"/>
  <c r="X16"/>
  <c r="V16"/>
  <c r="U84"/>
  <c r="W17"/>
  <c r="W113"/>
  <c r="V100"/>
  <c r="W94"/>
  <c r="X32"/>
  <c r="O7"/>
  <c r="V77"/>
  <c r="W96"/>
  <c r="W116"/>
  <c r="BC35" i="97"/>
  <c r="O73" i="79"/>
  <c r="O26"/>
  <c r="O49"/>
  <c r="M5"/>
  <c r="O9"/>
  <c r="Z6" i="85"/>
  <c r="H170" i="1" s="1"/>
  <c r="O35" i="79"/>
  <c r="BC41" i="97"/>
  <c r="BC57"/>
  <c r="O60" i="79"/>
  <c r="O97"/>
  <c r="O32"/>
  <c r="O17"/>
  <c r="O105"/>
  <c r="X97"/>
  <c r="BC30" i="97"/>
  <c r="BC15"/>
  <c r="BC111"/>
  <c r="BC27"/>
  <c r="O92" i="79"/>
  <c r="O36"/>
  <c r="O13"/>
  <c r="O108"/>
  <c r="O29"/>
  <c r="V11"/>
  <c r="O79"/>
  <c r="O19"/>
  <c r="W29"/>
  <c r="O39"/>
  <c r="X109"/>
  <c r="F39" i="1"/>
  <c r="F35"/>
  <c r="F31"/>
  <c r="E37"/>
  <c r="E33"/>
  <c r="F40"/>
  <c r="F36"/>
  <c r="F32"/>
  <c r="E38"/>
  <c r="E34"/>
  <c r="E30"/>
  <c r="F37"/>
  <c r="F33"/>
  <c r="E39"/>
  <c r="E35"/>
  <c r="E31"/>
  <c r="F38"/>
  <c r="F34"/>
  <c r="F30"/>
  <c r="E40"/>
  <c r="E36"/>
  <c r="E32"/>
  <c r="T6" i="85"/>
  <c r="I62" i="1"/>
  <c r="I61"/>
  <c r="I60"/>
  <c r="I63"/>
  <c r="I58"/>
  <c r="C35" i="108"/>
  <c r="C31"/>
  <c r="C27"/>
  <c r="C23"/>
  <c r="C24"/>
  <c r="C34"/>
  <c r="C30"/>
  <c r="C26"/>
  <c r="C22"/>
  <c r="C20"/>
  <c r="C32"/>
  <c r="C33"/>
  <c r="C29"/>
  <c r="C25"/>
  <c r="C21"/>
  <c r="C28"/>
  <c r="C16"/>
  <c r="C12"/>
  <c r="C8"/>
  <c r="C4"/>
  <c r="C15"/>
  <c r="C11"/>
  <c r="C7"/>
  <c r="C3"/>
  <c r="C2"/>
  <c r="C14"/>
  <c r="C10"/>
  <c r="C6"/>
  <c r="C17"/>
  <c r="C13"/>
  <c r="C9"/>
  <c r="C5"/>
  <c r="E61" i="1"/>
  <c r="E60"/>
  <c r="E63"/>
  <c r="E58"/>
  <c r="E62"/>
  <c r="W92" i="79"/>
  <c r="V92"/>
  <c r="X92"/>
  <c r="U92"/>
  <c r="O85"/>
  <c r="O52"/>
  <c r="W56"/>
  <c r="V37"/>
  <c r="X89"/>
  <c r="U67"/>
  <c r="W123"/>
  <c r="V49"/>
  <c r="V14"/>
  <c r="X20"/>
  <c r="W68"/>
  <c r="W45"/>
  <c r="O28"/>
  <c r="O89"/>
  <c r="W72"/>
  <c r="O98"/>
  <c r="O84"/>
  <c r="O72"/>
  <c r="O15"/>
  <c r="O70"/>
  <c r="O88"/>
  <c r="BC118" i="97"/>
  <c r="BC46"/>
  <c r="O50" i="79"/>
  <c r="O119"/>
  <c r="O93"/>
  <c r="O74"/>
  <c r="O61"/>
  <c r="O37"/>
  <c r="O23"/>
  <c r="O24"/>
  <c r="X87"/>
  <c r="O65"/>
  <c r="O25"/>
  <c r="O12"/>
  <c r="O87"/>
  <c r="O83"/>
  <c r="W93"/>
  <c r="X93"/>
  <c r="V93"/>
  <c r="O55"/>
  <c r="BC110" i="97"/>
  <c r="BC68"/>
  <c r="BC54"/>
  <c r="BC28"/>
  <c r="BC37"/>
  <c r="O82" i="79"/>
  <c r="O16"/>
  <c r="O86"/>
  <c r="O30"/>
  <c r="O121"/>
  <c r="O113"/>
  <c r="O103"/>
  <c r="O91"/>
  <c r="O62"/>
  <c r="U93"/>
  <c r="O46"/>
  <c r="O75"/>
  <c r="O14"/>
  <c r="O101"/>
  <c r="BC29" i="97"/>
  <c r="U63" i="79"/>
  <c r="V82"/>
  <c r="W41"/>
  <c r="W31"/>
  <c r="F4" i="60"/>
  <c r="BC81" i="97"/>
  <c r="BC51"/>
  <c r="BC108"/>
  <c r="BC64"/>
  <c r="O76" i="79"/>
  <c r="O10"/>
  <c r="O63"/>
  <c r="O44"/>
  <c r="O27"/>
  <c r="O20"/>
  <c r="O64"/>
  <c r="O45"/>
  <c r="O18"/>
  <c r="O8"/>
  <c r="O95"/>
  <c r="O59"/>
  <c r="O71"/>
  <c r="F23" i="1"/>
  <c r="F18"/>
  <c r="F21"/>
  <c r="F20"/>
  <c r="F22"/>
  <c r="F17"/>
  <c r="F16"/>
  <c r="E49"/>
  <c r="E54"/>
  <c r="E45"/>
  <c r="G168"/>
  <c r="G169" s="1"/>
  <c r="E55"/>
  <c r="E48"/>
  <c r="F11"/>
  <c r="E50"/>
  <c r="W112" i="79"/>
  <c r="W10"/>
  <c r="V61"/>
  <c r="V34"/>
  <c r="V114"/>
  <c r="X22"/>
  <c r="AC76" i="84"/>
  <c r="AD76"/>
  <c r="AC107"/>
  <c r="AD107"/>
  <c r="W30" i="79"/>
  <c r="U73"/>
  <c r="V57"/>
  <c r="V42"/>
  <c r="U115"/>
  <c r="V50"/>
  <c r="AC115" i="84"/>
  <c r="AD115"/>
  <c r="AC96"/>
  <c r="AD96"/>
  <c r="AD75"/>
  <c r="AC75"/>
  <c r="V71" i="79"/>
  <c r="AC118" i="84"/>
  <c r="G17" i="1"/>
  <c r="AG5" i="84"/>
  <c r="G22" i="1" s="1"/>
  <c r="G16"/>
  <c r="G18"/>
  <c r="AD5" i="84"/>
  <c r="G21" i="1" s="1"/>
  <c r="G23"/>
  <c r="U6" i="79"/>
  <c r="X105"/>
  <c r="AD45" i="84"/>
  <c r="AD11"/>
  <c r="AC11"/>
  <c r="AC60"/>
  <c r="AD60"/>
  <c r="AD57"/>
  <c r="AD30"/>
  <c r="AC30"/>
  <c r="H166" i="1"/>
  <c r="F168"/>
  <c r="F169" s="1"/>
  <c r="X40" i="79"/>
  <c r="X28"/>
  <c r="X8"/>
  <c r="AD110" i="84"/>
  <c r="AC110"/>
  <c r="AC26"/>
  <c r="AD112"/>
  <c r="AC112"/>
  <c r="AC6"/>
  <c r="E20" i="1" s="1"/>
  <c r="AD6" i="84"/>
  <c r="E21" i="1" s="1"/>
  <c r="U120" i="79"/>
  <c r="X102"/>
  <c r="U70"/>
  <c r="U44"/>
  <c r="X39"/>
  <c r="U83"/>
  <c r="X27"/>
  <c r="X18"/>
  <c r="X7"/>
  <c r="W15"/>
  <c r="X99"/>
  <c r="L5"/>
  <c r="O6"/>
  <c r="S6" s="1"/>
  <c r="AC119" i="84"/>
  <c r="AD119"/>
  <c r="AD106"/>
  <c r="AC106"/>
  <c r="AC82"/>
  <c r="AD82"/>
  <c r="AC108"/>
  <c r="X107" i="79"/>
  <c r="AC92" i="84"/>
  <c r="AC51"/>
  <c r="AD51"/>
  <c r="AD100"/>
  <c r="AC33"/>
  <c r="AD8"/>
  <c r="E168" i="1"/>
  <c r="E169" s="1"/>
  <c r="H167"/>
  <c r="V76" i="79"/>
  <c r="V46"/>
  <c r="AD74" i="84"/>
  <c r="AC74"/>
  <c r="AD18"/>
  <c r="AC18"/>
  <c r="X78" i="79"/>
  <c r="U78"/>
  <c r="V78"/>
  <c r="F4" i="55"/>
  <c r="V90" i="79"/>
  <c r="V69"/>
  <c r="U43"/>
  <c r="F4" i="53"/>
  <c r="K4" s="1"/>
  <c r="F5" i="79" s="1"/>
  <c r="AD5" s="1"/>
  <c r="V24"/>
  <c r="X12"/>
  <c r="X51"/>
  <c r="D4" i="57"/>
  <c r="AD80" i="84"/>
  <c r="AC80"/>
  <c r="U65" i="79"/>
  <c r="X58"/>
  <c r="AD111" i="84"/>
  <c r="AD9"/>
  <c r="AC9"/>
  <c r="U106" i="79"/>
  <c r="AD108" i="84"/>
  <c r="AC39"/>
  <c r="AC21"/>
  <c r="AD15"/>
  <c r="AC15"/>
  <c r="AC113"/>
  <c r="E52" i="1"/>
  <c r="E53"/>
  <c r="E42"/>
  <c r="E47"/>
  <c r="E46"/>
  <c r="E27"/>
  <c r="E51"/>
  <c r="S8" i="79" l="1"/>
  <c r="AB8" s="1"/>
  <c r="S87"/>
  <c r="S19"/>
  <c r="AB19" s="1"/>
  <c r="S35"/>
  <c r="S71"/>
  <c r="AB71" s="1"/>
  <c r="S76"/>
  <c r="S62"/>
  <c r="AB62" s="1"/>
  <c r="S79"/>
  <c r="S13"/>
  <c r="AB13" s="1"/>
  <c r="S105"/>
  <c r="S60"/>
  <c r="AB60" s="1"/>
  <c r="S26"/>
  <c r="AB57"/>
  <c r="S57"/>
  <c r="S104"/>
  <c r="S42"/>
  <c r="AB42" s="1"/>
  <c r="S110"/>
  <c r="S78"/>
  <c r="AB78" s="1"/>
  <c r="S31"/>
  <c r="S94"/>
  <c r="AB94" s="1"/>
  <c r="S118"/>
  <c r="AB117"/>
  <c r="S117"/>
  <c r="S124"/>
  <c r="S116"/>
  <c r="AB116" s="1"/>
  <c r="S20"/>
  <c r="S101"/>
  <c r="AB101" s="1"/>
  <c r="S113"/>
  <c r="S16"/>
  <c r="AB16" s="1"/>
  <c r="S61"/>
  <c r="S50"/>
  <c r="AB50" s="1"/>
  <c r="S70"/>
  <c r="S98"/>
  <c r="AB98" s="1"/>
  <c r="S108"/>
  <c r="S97"/>
  <c r="AB97" s="1"/>
  <c r="S49"/>
  <c r="S123"/>
  <c r="AB123" s="1"/>
  <c r="S33"/>
  <c r="S77"/>
  <c r="AB77" s="1"/>
  <c r="S90"/>
  <c r="S106"/>
  <c r="AB106" s="1"/>
  <c r="S109"/>
  <c r="S69"/>
  <c r="AB69" s="1"/>
  <c r="S100"/>
  <c r="S66"/>
  <c r="AB66" s="1"/>
  <c r="S107"/>
  <c r="AB43"/>
  <c r="S43"/>
  <c r="AA6"/>
  <c r="AB6"/>
  <c r="AB18"/>
  <c r="S18"/>
  <c r="S27"/>
  <c r="AB27" s="1"/>
  <c r="S14"/>
  <c r="AB14" s="1"/>
  <c r="S121"/>
  <c r="S82"/>
  <c r="AB82" s="1"/>
  <c r="S12"/>
  <c r="AB12" s="1"/>
  <c r="S24"/>
  <c r="AB24" s="1"/>
  <c r="S74"/>
  <c r="S15"/>
  <c r="AB15" s="1"/>
  <c r="S59"/>
  <c r="AB59" s="1"/>
  <c r="S45"/>
  <c r="AB45" s="1"/>
  <c r="S44"/>
  <c r="AB44" s="1"/>
  <c r="S75"/>
  <c r="AB75" s="1"/>
  <c r="S91"/>
  <c r="S30"/>
  <c r="AB30" s="1"/>
  <c r="S25"/>
  <c r="AB25" s="1"/>
  <c r="AB23"/>
  <c r="S23"/>
  <c r="S93"/>
  <c r="AB93" s="1"/>
  <c r="S72"/>
  <c r="AB72" s="1"/>
  <c r="S89"/>
  <c r="S52"/>
  <c r="AB52" s="1"/>
  <c r="S39"/>
  <c r="AB39" s="1"/>
  <c r="S36"/>
  <c r="AB36" s="1"/>
  <c r="S17"/>
  <c r="AB17" s="1"/>
  <c r="S9"/>
  <c r="AB9" s="1"/>
  <c r="S73"/>
  <c r="S125"/>
  <c r="AB125" s="1"/>
  <c r="S51"/>
  <c r="AB51" s="1"/>
  <c r="S114"/>
  <c r="AB114" s="1"/>
  <c r="S53"/>
  <c r="AB53" s="1"/>
  <c r="S58"/>
  <c r="AB58" s="1"/>
  <c r="S111"/>
  <c r="S112"/>
  <c r="AB112" s="1"/>
  <c r="S68"/>
  <c r="AB68" s="1"/>
  <c r="S56"/>
  <c r="AB56" s="1"/>
  <c r="S47"/>
  <c r="AB47" s="1"/>
  <c r="AB10"/>
  <c r="S10"/>
  <c r="S95"/>
  <c r="S64"/>
  <c r="AB64" s="1"/>
  <c r="S63"/>
  <c r="AB63" s="1"/>
  <c r="S46"/>
  <c r="AB46" s="1"/>
  <c r="S103"/>
  <c r="AB103" s="1"/>
  <c r="S86"/>
  <c r="AB86" s="1"/>
  <c r="S55"/>
  <c r="S83"/>
  <c r="AB83" s="1"/>
  <c r="S65"/>
  <c r="AB65" s="1"/>
  <c r="S37"/>
  <c r="AB37" s="1"/>
  <c r="S119"/>
  <c r="AB119" s="1"/>
  <c r="S88"/>
  <c r="AB88" s="1"/>
  <c r="S84"/>
  <c r="S28"/>
  <c r="AB28" s="1"/>
  <c r="S85"/>
  <c r="AB85" s="1"/>
  <c r="S29"/>
  <c r="AB29" s="1"/>
  <c r="S92"/>
  <c r="AB92" s="1"/>
  <c r="S32"/>
  <c r="AB32" s="1"/>
  <c r="S7"/>
  <c r="AB34"/>
  <c r="S34"/>
  <c r="S48"/>
  <c r="AB48" s="1"/>
  <c r="S96"/>
  <c r="AB96" s="1"/>
  <c r="S81"/>
  <c r="AB81" s="1"/>
  <c r="S67"/>
  <c r="AB67" s="1"/>
  <c r="S54"/>
  <c r="S99"/>
  <c r="AB99" s="1"/>
  <c r="S80"/>
  <c r="AB80" s="1"/>
  <c r="S40"/>
  <c r="AB40" s="1"/>
  <c r="S115"/>
  <c r="AB115" s="1"/>
  <c r="S120"/>
  <c r="AB120" s="1"/>
  <c r="S122"/>
  <c r="Z6"/>
  <c r="K156" i="1"/>
  <c r="K155" s="1"/>
  <c r="X145" s="1"/>
  <c r="M140"/>
  <c r="M156"/>
  <c r="M155" s="1"/>
  <c r="X147" s="1"/>
  <c r="L154"/>
  <c r="M154"/>
  <c r="J154"/>
  <c r="L156"/>
  <c r="L155" s="1"/>
  <c r="X146" s="1"/>
  <c r="K154"/>
  <c r="K140"/>
  <c r="J156"/>
  <c r="J155" s="1"/>
  <c r="X144" s="1"/>
  <c r="L140"/>
  <c r="J140"/>
  <c r="V118" i="79"/>
  <c r="O38"/>
  <c r="O102"/>
  <c r="O22"/>
  <c r="X125"/>
  <c r="W95"/>
  <c r="U95"/>
  <c r="W59"/>
  <c r="W118"/>
  <c r="U26"/>
  <c r="X118"/>
  <c r="V86"/>
  <c r="U35"/>
  <c r="V33"/>
  <c r="V75"/>
  <c r="V21"/>
  <c r="U21"/>
  <c r="W13"/>
  <c r="W125"/>
  <c r="V125"/>
  <c r="V48"/>
  <c r="U119"/>
  <c r="U66"/>
  <c r="V95"/>
  <c r="X91"/>
  <c r="X21"/>
  <c r="X53"/>
  <c r="U25"/>
  <c r="W9"/>
  <c r="X74"/>
  <c r="U36"/>
  <c r="V55"/>
  <c r="V121"/>
  <c r="V124"/>
  <c r="W52"/>
  <c r="W55"/>
  <c r="X55"/>
  <c r="X41"/>
  <c r="W53"/>
  <c r="W110"/>
  <c r="V123"/>
  <c r="U89"/>
  <c r="X111"/>
  <c r="W89"/>
  <c r="X123"/>
  <c r="V89"/>
  <c r="W111"/>
  <c r="U111"/>
  <c r="X100"/>
  <c r="V17"/>
  <c r="X113"/>
  <c r="W100"/>
  <c r="U17"/>
  <c r="W49"/>
  <c r="U49"/>
  <c r="V116"/>
  <c r="X49"/>
  <c r="U123"/>
  <c r="V62"/>
  <c r="W62"/>
  <c r="U62"/>
  <c r="V18"/>
  <c r="V97"/>
  <c r="U14"/>
  <c r="U94"/>
  <c r="X63"/>
  <c r="U113"/>
  <c r="X115"/>
  <c r="U100"/>
  <c r="X17"/>
  <c r="U77"/>
  <c r="W77"/>
  <c r="W67"/>
  <c r="W101"/>
  <c r="U79"/>
  <c r="X72"/>
  <c r="V113"/>
  <c r="U32"/>
  <c r="V67"/>
  <c r="X77"/>
  <c r="U116"/>
  <c r="U41"/>
  <c r="V110"/>
  <c r="W32"/>
  <c r="U23"/>
  <c r="X84"/>
  <c r="V94"/>
  <c r="V41"/>
  <c r="X85"/>
  <c r="V84"/>
  <c r="W84"/>
  <c r="V63"/>
  <c r="X14"/>
  <c r="V96"/>
  <c r="U50"/>
  <c r="X67"/>
  <c r="U87"/>
  <c r="W46"/>
  <c r="X94"/>
  <c r="X24"/>
  <c r="X116"/>
  <c r="U99"/>
  <c r="V7"/>
  <c r="U39"/>
  <c r="V56"/>
  <c r="W97"/>
  <c r="X11"/>
  <c r="V32"/>
  <c r="W63"/>
  <c r="V87"/>
  <c r="W20"/>
  <c r="V102"/>
  <c r="U96"/>
  <c r="U97"/>
  <c r="X61"/>
  <c r="W87"/>
  <c r="U76"/>
  <c r="X120"/>
  <c r="X96"/>
  <c r="U37"/>
  <c r="U114"/>
  <c r="U20"/>
  <c r="V20"/>
  <c r="X90"/>
  <c r="V8"/>
  <c r="W47"/>
  <c r="U51"/>
  <c r="X43"/>
  <c r="U46"/>
  <c r="V28"/>
  <c r="U90"/>
  <c r="O41"/>
  <c r="V12"/>
  <c r="V65"/>
  <c r="U40"/>
  <c r="X37"/>
  <c r="X56"/>
  <c r="V22"/>
  <c r="V29"/>
  <c r="U29"/>
  <c r="X29"/>
  <c r="O11"/>
  <c r="N5"/>
  <c r="V68"/>
  <c r="X68"/>
  <c r="U68"/>
  <c r="W37"/>
  <c r="V80"/>
  <c r="X80"/>
  <c r="U80"/>
  <c r="U72"/>
  <c r="X70"/>
  <c r="U56"/>
  <c r="U42"/>
  <c r="W80"/>
  <c r="U60"/>
  <c r="V60"/>
  <c r="W60"/>
  <c r="X60"/>
  <c r="X69"/>
  <c r="V109"/>
  <c r="V72"/>
  <c r="V106"/>
  <c r="W70"/>
  <c r="X76"/>
  <c r="V27"/>
  <c r="X44"/>
  <c r="V70"/>
  <c r="W76"/>
  <c r="X42"/>
  <c r="X73"/>
  <c r="U110"/>
  <c r="W90"/>
  <c r="O21"/>
  <c r="U45"/>
  <c r="X45"/>
  <c r="V45"/>
  <c r="W14"/>
  <c r="H168" i="1"/>
  <c r="I166" s="1"/>
  <c r="V88" i="79"/>
  <c r="X88"/>
  <c r="U88"/>
  <c r="W6"/>
  <c r="U58"/>
  <c r="X6"/>
  <c r="V58"/>
  <c r="U82"/>
  <c r="W88"/>
  <c r="U103"/>
  <c r="W103"/>
  <c r="W99"/>
  <c r="V99"/>
  <c r="U7"/>
  <c r="W7"/>
  <c r="U117"/>
  <c r="V117"/>
  <c r="X117"/>
  <c r="X65"/>
  <c r="W120"/>
  <c r="V120"/>
  <c r="U105"/>
  <c r="W105"/>
  <c r="X50"/>
  <c r="W115"/>
  <c r="V115"/>
  <c r="X57"/>
  <c r="V73"/>
  <c r="X110"/>
  <c r="W117"/>
  <c r="U22"/>
  <c r="W22"/>
  <c r="X114"/>
  <c r="X34"/>
  <c r="U61"/>
  <c r="W61"/>
  <c r="X103"/>
  <c r="W73"/>
  <c r="W114"/>
  <c r="X108"/>
  <c r="U108"/>
  <c r="V108"/>
  <c r="U107"/>
  <c r="W107"/>
  <c r="W81"/>
  <c r="U81"/>
  <c r="W83"/>
  <c r="V83"/>
  <c r="U12"/>
  <c r="W12"/>
  <c r="U24"/>
  <c r="W24"/>
  <c r="W58"/>
  <c r="X106"/>
  <c r="X46"/>
  <c r="V15"/>
  <c r="U15"/>
  <c r="X15"/>
  <c r="U27"/>
  <c r="W27"/>
  <c r="W44"/>
  <c r="V44"/>
  <c r="U28"/>
  <c r="W28"/>
  <c r="V40"/>
  <c r="W40"/>
  <c r="U71"/>
  <c r="W71"/>
  <c r="X81"/>
  <c r="X71"/>
  <c r="W106"/>
  <c r="V10"/>
  <c r="U10"/>
  <c r="X10"/>
  <c r="W108"/>
  <c r="V54"/>
  <c r="U54"/>
  <c r="X54"/>
  <c r="V107"/>
  <c r="W57"/>
  <c r="U57"/>
  <c r="W34"/>
  <c r="X104"/>
  <c r="U104"/>
  <c r="V104"/>
  <c r="W104"/>
  <c r="V51"/>
  <c r="W51"/>
  <c r="V6"/>
  <c r="V43"/>
  <c r="W43"/>
  <c r="W69"/>
  <c r="U69"/>
  <c r="X82"/>
  <c r="U109"/>
  <c r="W109"/>
  <c r="W18"/>
  <c r="U18"/>
  <c r="X83"/>
  <c r="V39"/>
  <c r="W39"/>
  <c r="W102"/>
  <c r="U102"/>
  <c r="W65"/>
  <c r="U8"/>
  <c r="W8"/>
  <c r="U11"/>
  <c r="W11"/>
  <c r="W50"/>
  <c r="V81"/>
  <c r="V105"/>
  <c r="X30"/>
  <c r="U30"/>
  <c r="V30"/>
  <c r="U34"/>
  <c r="V103"/>
  <c r="W42"/>
  <c r="V31"/>
  <c r="X31"/>
  <c r="U31"/>
  <c r="W82"/>
  <c r="V38"/>
  <c r="U38"/>
  <c r="X38"/>
  <c r="W38"/>
  <c r="W54"/>
  <c r="V112"/>
  <c r="U112"/>
  <c r="X112"/>
  <c r="K141" i="1" l="1"/>
  <c r="V145" s="1"/>
  <c r="AA122" i="79"/>
  <c r="Z122"/>
  <c r="AA54"/>
  <c r="Z54"/>
  <c r="AA7"/>
  <c r="Z7"/>
  <c r="AA84"/>
  <c r="Z84"/>
  <c r="AA55"/>
  <c r="Z55"/>
  <c r="AA95"/>
  <c r="Z95"/>
  <c r="AA111"/>
  <c r="Z111"/>
  <c r="AA73"/>
  <c r="Z73"/>
  <c r="AA89"/>
  <c r="Z89"/>
  <c r="Z91"/>
  <c r="AA91"/>
  <c r="AA74"/>
  <c r="Z74"/>
  <c r="Z121"/>
  <c r="AA121"/>
  <c r="AB122"/>
  <c r="AB54"/>
  <c r="AB7"/>
  <c r="AB84"/>
  <c r="AB55"/>
  <c r="AB95"/>
  <c r="AB111"/>
  <c r="AB73"/>
  <c r="AB89"/>
  <c r="AB91"/>
  <c r="AB74"/>
  <c r="AB121"/>
  <c r="AA107"/>
  <c r="Z107"/>
  <c r="AA100"/>
  <c r="Z100"/>
  <c r="AA109"/>
  <c r="Z109"/>
  <c r="AA90"/>
  <c r="Z90"/>
  <c r="AA33"/>
  <c r="Z33"/>
  <c r="AA49"/>
  <c r="Z49"/>
  <c r="AA108"/>
  <c r="Z108"/>
  <c r="AA70"/>
  <c r="Z70"/>
  <c r="AA61"/>
  <c r="Z61"/>
  <c r="AA113"/>
  <c r="Z113"/>
  <c r="AA20"/>
  <c r="Z20"/>
  <c r="AA124"/>
  <c r="Z124"/>
  <c r="AA118"/>
  <c r="Z118"/>
  <c r="AA31"/>
  <c r="Z31"/>
  <c r="AA110"/>
  <c r="Z110"/>
  <c r="AA104"/>
  <c r="Z104"/>
  <c r="AA26"/>
  <c r="Z26"/>
  <c r="AA105"/>
  <c r="Z105"/>
  <c r="AA79"/>
  <c r="Z79"/>
  <c r="AA76"/>
  <c r="Z76"/>
  <c r="AA35"/>
  <c r="Z35"/>
  <c r="AA87"/>
  <c r="Z87"/>
  <c r="S21"/>
  <c r="S38"/>
  <c r="AB38" s="1"/>
  <c r="AA115"/>
  <c r="Z115"/>
  <c r="AA80"/>
  <c r="Z80"/>
  <c r="Z81"/>
  <c r="AA81"/>
  <c r="AA48"/>
  <c r="Z48"/>
  <c r="AA92"/>
  <c r="Z92"/>
  <c r="AA85"/>
  <c r="Z85"/>
  <c r="AA119"/>
  <c r="Z119"/>
  <c r="AA103"/>
  <c r="Z103"/>
  <c r="AA63"/>
  <c r="Z63"/>
  <c r="AA47"/>
  <c r="Z47"/>
  <c r="AA68"/>
  <c r="Z68"/>
  <c r="Z53"/>
  <c r="AA53"/>
  <c r="AA51"/>
  <c r="Z51"/>
  <c r="AA17"/>
  <c r="Z17"/>
  <c r="AA39"/>
  <c r="Z39"/>
  <c r="AA93"/>
  <c r="Z93"/>
  <c r="Z25"/>
  <c r="AA25"/>
  <c r="AA44"/>
  <c r="Z44"/>
  <c r="AA59"/>
  <c r="Z59"/>
  <c r="AA12"/>
  <c r="Z12"/>
  <c r="AA27"/>
  <c r="Z27"/>
  <c r="S41"/>
  <c r="AB41" s="1"/>
  <c r="S22"/>
  <c r="AA120"/>
  <c r="Z120"/>
  <c r="AA40"/>
  <c r="Z40"/>
  <c r="AA99"/>
  <c r="Z99"/>
  <c r="AA67"/>
  <c r="Z67"/>
  <c r="AA96"/>
  <c r="Z96"/>
  <c r="AA34"/>
  <c r="Z34"/>
  <c r="AA32"/>
  <c r="Z32"/>
  <c r="Z29"/>
  <c r="AA29"/>
  <c r="AA28"/>
  <c r="Z28"/>
  <c r="AA88"/>
  <c r="Z88"/>
  <c r="AA37"/>
  <c r="Z37"/>
  <c r="AA83"/>
  <c r="Z83"/>
  <c r="AA86"/>
  <c r="Z86"/>
  <c r="AA46"/>
  <c r="Z46"/>
  <c r="AA64"/>
  <c r="Z64"/>
  <c r="AA10"/>
  <c r="Z10"/>
  <c r="AA56"/>
  <c r="Z56"/>
  <c r="AA112"/>
  <c r="Z112"/>
  <c r="AA58"/>
  <c r="Z58"/>
  <c r="AA114"/>
  <c r="Z114"/>
  <c r="AA125"/>
  <c r="Z125"/>
  <c r="AA9"/>
  <c r="Z9"/>
  <c r="AA36"/>
  <c r="Z36"/>
  <c r="AA52"/>
  <c r="Z52"/>
  <c r="AA72"/>
  <c r="Z72"/>
  <c r="AA23"/>
  <c r="Z23"/>
  <c r="AA30"/>
  <c r="Z30"/>
  <c r="AA75"/>
  <c r="Z75"/>
  <c r="AA45"/>
  <c r="Z45"/>
  <c r="AA15"/>
  <c r="Z15"/>
  <c r="AA24"/>
  <c r="Z24"/>
  <c r="AA82"/>
  <c r="Z82"/>
  <c r="AA14"/>
  <c r="Z14"/>
  <c r="AA18"/>
  <c r="Z18"/>
  <c r="AB107"/>
  <c r="AB100"/>
  <c r="AB109"/>
  <c r="AB90"/>
  <c r="AB33"/>
  <c r="AB49"/>
  <c r="AB108"/>
  <c r="AB70"/>
  <c r="AB61"/>
  <c r="AB113"/>
  <c r="AB20"/>
  <c r="AB124"/>
  <c r="AB118"/>
  <c r="AB31"/>
  <c r="AB110"/>
  <c r="AB104"/>
  <c r="AB26"/>
  <c r="AB105"/>
  <c r="AB79"/>
  <c r="AB76"/>
  <c r="AB35"/>
  <c r="AB87"/>
  <c r="S11"/>
  <c r="AB11" s="1"/>
  <c r="Z65"/>
  <c r="AA65"/>
  <c r="O5"/>
  <c r="AF5"/>
  <c r="S102"/>
  <c r="AB102" s="1"/>
  <c r="AA43"/>
  <c r="Z43"/>
  <c r="AA66"/>
  <c r="Z66"/>
  <c r="AA69"/>
  <c r="Z69"/>
  <c r="AA106"/>
  <c r="Z106"/>
  <c r="AA77"/>
  <c r="Z77"/>
  <c r="AA123"/>
  <c r="Z123"/>
  <c r="Z97"/>
  <c r="AA97"/>
  <c r="AA98"/>
  <c r="Z98"/>
  <c r="AA50"/>
  <c r="Z50"/>
  <c r="AA16"/>
  <c r="Z16"/>
  <c r="AA101"/>
  <c r="Z101"/>
  <c r="AA116"/>
  <c r="Z116"/>
  <c r="AA117"/>
  <c r="Z117"/>
  <c r="AA94"/>
  <c r="Z94"/>
  <c r="AA78"/>
  <c r="Z78"/>
  <c r="AA42"/>
  <c r="Z42"/>
  <c r="AA57"/>
  <c r="Z57"/>
  <c r="AA60"/>
  <c r="Z60"/>
  <c r="Z13"/>
  <c r="AA13"/>
  <c r="AA62"/>
  <c r="Z62"/>
  <c r="AA71"/>
  <c r="Z71"/>
  <c r="AA19"/>
  <c r="Z19"/>
  <c r="AA8"/>
  <c r="Z8"/>
  <c r="M141" i="1"/>
  <c r="V147" s="1"/>
  <c r="L144"/>
  <c r="W146" s="1"/>
  <c r="L141"/>
  <c r="V146" s="1"/>
  <c r="K144"/>
  <c r="W145" s="1"/>
  <c r="J141"/>
  <c r="V144" s="1"/>
  <c r="J144"/>
  <c r="W144" s="1"/>
  <c r="M144"/>
  <c r="W147" s="1"/>
  <c r="X75" i="79"/>
  <c r="U13"/>
  <c r="V26"/>
  <c r="W26"/>
  <c r="U33"/>
  <c r="W86"/>
  <c r="X86"/>
  <c r="W91"/>
  <c r="U9"/>
  <c r="V35"/>
  <c r="W48"/>
  <c r="X26"/>
  <c r="V52"/>
  <c r="W74"/>
  <c r="W35"/>
  <c r="V36"/>
  <c r="X35"/>
  <c r="V53"/>
  <c r="X33"/>
  <c r="X9"/>
  <c r="U59"/>
  <c r="V59"/>
  <c r="W33"/>
  <c r="U86"/>
  <c r="U48"/>
  <c r="X59"/>
  <c r="U53"/>
  <c r="W75"/>
  <c r="X119"/>
  <c r="V13"/>
  <c r="W119"/>
  <c r="U75"/>
  <c r="W121"/>
  <c r="U52"/>
  <c r="X13"/>
  <c r="V119"/>
  <c r="V74"/>
  <c r="U74"/>
  <c r="V9"/>
  <c r="X48"/>
  <c r="W66"/>
  <c r="X66"/>
  <c r="V91"/>
  <c r="V66"/>
  <c r="U91"/>
  <c r="W124"/>
  <c r="V25"/>
  <c r="X124"/>
  <c r="W36"/>
  <c r="W25"/>
  <c r="X36"/>
  <c r="X25"/>
  <c r="X121"/>
  <c r="U121"/>
  <c r="X52"/>
  <c r="U124"/>
  <c r="W79"/>
  <c r="V101"/>
  <c r="X101"/>
  <c r="W23"/>
  <c r="U101"/>
  <c r="U85"/>
  <c r="V79"/>
  <c r="X79"/>
  <c r="W85"/>
  <c r="V85"/>
  <c r="V23"/>
  <c r="X23"/>
  <c r="X47"/>
  <c r="V47"/>
  <c r="U47"/>
  <c r="V122"/>
  <c r="X122"/>
  <c r="U122"/>
  <c r="W122"/>
  <c r="L157" i="1"/>
  <c r="H169"/>
  <c r="I167"/>
  <c r="I168"/>
  <c r="K157"/>
  <c r="J157"/>
  <c r="V98" i="79"/>
  <c r="X98"/>
  <c r="U98"/>
  <c r="X19"/>
  <c r="V19"/>
  <c r="U19"/>
  <c r="W98"/>
  <c r="W19"/>
  <c r="AA22" l="1"/>
  <c r="Z22"/>
  <c r="AA21"/>
  <c r="Z21"/>
  <c r="Z11"/>
  <c r="AA11"/>
  <c r="AA128" s="1"/>
  <c r="S5"/>
  <c r="AB5" s="1"/>
  <c r="AA102"/>
  <c r="Z102"/>
  <c r="AB22"/>
  <c r="AB21"/>
  <c r="AA41"/>
  <c r="Z41"/>
  <c r="AA38"/>
  <c r="Z38"/>
  <c r="X128"/>
  <c r="V128"/>
  <c r="U127"/>
  <c r="W128"/>
  <c r="V127"/>
  <c r="W127"/>
  <c r="X127"/>
  <c r="M157" i="1"/>
  <c r="V5" i="79"/>
  <c r="X5"/>
  <c r="W5"/>
  <c r="U128"/>
  <c r="AB127" l="1"/>
  <c r="Z128"/>
  <c r="AA5"/>
  <c r="Z5"/>
  <c r="AA127"/>
  <c r="AB128"/>
  <c r="Z127"/>
</calcChain>
</file>

<file path=xl/comments1.xml><?xml version="1.0" encoding="utf-8"?>
<comments xmlns="http://schemas.openxmlformats.org/spreadsheetml/2006/main">
  <authors>
    <author>AXW09990</author>
  </authors>
  <commentList>
    <comment ref="M4" authorId="0">
      <text>
        <r>
          <rPr>
            <b/>
            <sz val="10"/>
            <color indexed="81"/>
            <rFont val="Tahoma"/>
            <family val="2"/>
          </rPr>
          <t>AXW09990:</t>
        </r>
        <r>
          <rPr>
            <sz val="10"/>
            <color indexed="81"/>
            <rFont val="Tahoma"/>
            <family val="2"/>
          </rPr>
          <t xml:space="preserve">
</t>
        </r>
      </text>
    </comment>
  </commentList>
</comments>
</file>

<file path=xl/sharedStrings.xml><?xml version="1.0" encoding="utf-8"?>
<sst xmlns="http://schemas.openxmlformats.org/spreadsheetml/2006/main" count="23805" uniqueCount="1254">
  <si>
    <t>FIPS:</t>
  </si>
  <si>
    <t>Locality Name:</t>
  </si>
  <si>
    <t>White</t>
  </si>
  <si>
    <t>African American</t>
  </si>
  <si>
    <t>FIPS</t>
  </si>
  <si>
    <t>Locality</t>
  </si>
  <si>
    <t>Adults</t>
  </si>
  <si>
    <t>Children</t>
  </si>
  <si>
    <t>999</t>
  </si>
  <si>
    <t>Statewide</t>
  </si>
  <si>
    <t>001</t>
  </si>
  <si>
    <t>Accomack</t>
  </si>
  <si>
    <t>003</t>
  </si>
  <si>
    <t>Albemarle</t>
  </si>
  <si>
    <t>510</t>
  </si>
  <si>
    <t>Alexandria</t>
  </si>
  <si>
    <t>005</t>
  </si>
  <si>
    <t>Alleghany/ Covington</t>
  </si>
  <si>
    <t>007</t>
  </si>
  <si>
    <t>Amelia</t>
  </si>
  <si>
    <t>009</t>
  </si>
  <si>
    <t>Amherst</t>
  </si>
  <si>
    <t>011</t>
  </si>
  <si>
    <t>Appomattox</t>
  </si>
  <si>
    <t>013</t>
  </si>
  <si>
    <t>Arlington</t>
  </si>
  <si>
    <t>015</t>
  </si>
  <si>
    <t>017</t>
  </si>
  <si>
    <t>Bath</t>
  </si>
  <si>
    <t>019</t>
  </si>
  <si>
    <t>021</t>
  </si>
  <si>
    <t>Bland</t>
  </si>
  <si>
    <t>023</t>
  </si>
  <si>
    <t>Botetourt</t>
  </si>
  <si>
    <t>520</t>
  </si>
  <si>
    <t>Bristol</t>
  </si>
  <si>
    <t>025</t>
  </si>
  <si>
    <t>Brunswick</t>
  </si>
  <si>
    <t>027</t>
  </si>
  <si>
    <t>Buchanan</t>
  </si>
  <si>
    <t>029</t>
  </si>
  <si>
    <t>Buckingham</t>
  </si>
  <si>
    <t>031</t>
  </si>
  <si>
    <t>Campbell</t>
  </si>
  <si>
    <t>033</t>
  </si>
  <si>
    <t>Caroline</t>
  </si>
  <si>
    <t>035</t>
  </si>
  <si>
    <t>Carroll</t>
  </si>
  <si>
    <t>036</t>
  </si>
  <si>
    <t>Charles City Co</t>
  </si>
  <si>
    <t>037</t>
  </si>
  <si>
    <t>Charlotte</t>
  </si>
  <si>
    <t>540</t>
  </si>
  <si>
    <t>Charlottesville</t>
  </si>
  <si>
    <t>550</t>
  </si>
  <si>
    <t>Chesapeake</t>
  </si>
  <si>
    <t>041</t>
  </si>
  <si>
    <t>Chesterfield/ Colonial Heights</t>
  </si>
  <si>
    <t>043</t>
  </si>
  <si>
    <t>Clarke</t>
  </si>
  <si>
    <t>045</t>
  </si>
  <si>
    <t>Craig</t>
  </si>
  <si>
    <t>047</t>
  </si>
  <si>
    <t>Culpeper</t>
  </si>
  <si>
    <t>049</t>
  </si>
  <si>
    <t>Cumberland</t>
  </si>
  <si>
    <t>590</t>
  </si>
  <si>
    <t>Danville</t>
  </si>
  <si>
    <t>051</t>
  </si>
  <si>
    <t>Dickenson</t>
  </si>
  <si>
    <t>053</t>
  </si>
  <si>
    <t>Dinwiddie</t>
  </si>
  <si>
    <t>057</t>
  </si>
  <si>
    <t>Essex</t>
  </si>
  <si>
    <t>059</t>
  </si>
  <si>
    <t>Fairfax Co./ City/ /Falls Church</t>
  </si>
  <si>
    <t>061</t>
  </si>
  <si>
    <t>Fauquier</t>
  </si>
  <si>
    <t>063</t>
  </si>
  <si>
    <t>Floyd</t>
  </si>
  <si>
    <t>065</t>
  </si>
  <si>
    <t>Fluvanna</t>
  </si>
  <si>
    <t>620</t>
  </si>
  <si>
    <t>Franklin City</t>
  </si>
  <si>
    <t>067</t>
  </si>
  <si>
    <t>Franklin County</t>
  </si>
  <si>
    <t>069</t>
  </si>
  <si>
    <t>Frederick</t>
  </si>
  <si>
    <t>630</t>
  </si>
  <si>
    <t>Fredericksburg</t>
  </si>
  <si>
    <t>640</t>
  </si>
  <si>
    <t>Galax</t>
  </si>
  <si>
    <t>071</t>
  </si>
  <si>
    <t>Giles</t>
  </si>
  <si>
    <t>073</t>
  </si>
  <si>
    <t>Gloucester</t>
  </si>
  <si>
    <t>075</t>
  </si>
  <si>
    <t>Goochland</t>
  </si>
  <si>
    <t>077</t>
  </si>
  <si>
    <t>Grayson</t>
  </si>
  <si>
    <t>079</t>
  </si>
  <si>
    <t>Greene</t>
  </si>
  <si>
    <t>081</t>
  </si>
  <si>
    <t>Greensville/ Emporia</t>
  </si>
  <si>
    <t>083</t>
  </si>
  <si>
    <t>Halifax</t>
  </si>
  <si>
    <t>650</t>
  </si>
  <si>
    <t>Hampton</t>
  </si>
  <si>
    <t>085</t>
  </si>
  <si>
    <t>Hanover</t>
  </si>
  <si>
    <t>087</t>
  </si>
  <si>
    <t>Henrico</t>
  </si>
  <si>
    <t>089</t>
  </si>
  <si>
    <t>Henry/ Martinsville</t>
  </si>
  <si>
    <t>091</t>
  </si>
  <si>
    <t>Highland</t>
  </si>
  <si>
    <t>670</t>
  </si>
  <si>
    <t>Hopewell</t>
  </si>
  <si>
    <t>093</t>
  </si>
  <si>
    <t>Isle Of Wight</t>
  </si>
  <si>
    <t>095</t>
  </si>
  <si>
    <t>James City</t>
  </si>
  <si>
    <t>097</t>
  </si>
  <si>
    <t>King And Queen</t>
  </si>
  <si>
    <t>099</t>
  </si>
  <si>
    <t>King George</t>
  </si>
  <si>
    <t>101</t>
  </si>
  <si>
    <t>King William</t>
  </si>
  <si>
    <t>103</t>
  </si>
  <si>
    <t>Lancaster</t>
  </si>
  <si>
    <t>105</t>
  </si>
  <si>
    <t>Lee</t>
  </si>
  <si>
    <t>107</t>
  </si>
  <si>
    <t>Loudoun</t>
  </si>
  <si>
    <t>109</t>
  </si>
  <si>
    <t>Louisa</t>
  </si>
  <si>
    <t>111</t>
  </si>
  <si>
    <t>Lunenburg</t>
  </si>
  <si>
    <t>680</t>
  </si>
  <si>
    <t>Lynchburg</t>
  </si>
  <si>
    <t>113</t>
  </si>
  <si>
    <t>Madison</t>
  </si>
  <si>
    <t>683</t>
  </si>
  <si>
    <t>Manassas</t>
  </si>
  <si>
    <t>685</t>
  </si>
  <si>
    <t>Manassas Park</t>
  </si>
  <si>
    <t>115</t>
  </si>
  <si>
    <t>Mathews</t>
  </si>
  <si>
    <t>117</t>
  </si>
  <si>
    <t>Mecklenburg</t>
  </si>
  <si>
    <t>119</t>
  </si>
  <si>
    <t>Middlesex</t>
  </si>
  <si>
    <t>121</t>
  </si>
  <si>
    <t>Montgomery</t>
  </si>
  <si>
    <t>125</t>
  </si>
  <si>
    <t>Nelson</t>
  </si>
  <si>
    <t>127</t>
  </si>
  <si>
    <t>New Kent</t>
  </si>
  <si>
    <t>700</t>
  </si>
  <si>
    <t>Newport News</t>
  </si>
  <si>
    <t>710</t>
  </si>
  <si>
    <t>Norfolk</t>
  </si>
  <si>
    <t>131</t>
  </si>
  <si>
    <t>Northampton</t>
  </si>
  <si>
    <t>133</t>
  </si>
  <si>
    <t>Northumberland</t>
  </si>
  <si>
    <t>720</t>
  </si>
  <si>
    <t>Norton</t>
  </si>
  <si>
    <t>135</t>
  </si>
  <si>
    <t>Nottoway</t>
  </si>
  <si>
    <t>137</t>
  </si>
  <si>
    <t>Orange</t>
  </si>
  <si>
    <t>139</t>
  </si>
  <si>
    <t>Page</t>
  </si>
  <si>
    <t>141</t>
  </si>
  <si>
    <t>Patrick</t>
  </si>
  <si>
    <t>730</t>
  </si>
  <si>
    <t>Petersburg</t>
  </si>
  <si>
    <t>143</t>
  </si>
  <si>
    <t>Pittsylvania</t>
  </si>
  <si>
    <t>740</t>
  </si>
  <si>
    <t>Portsmouth</t>
  </si>
  <si>
    <t>145</t>
  </si>
  <si>
    <t>Powhatan</t>
  </si>
  <si>
    <t>147</t>
  </si>
  <si>
    <t>Prince Edward</t>
  </si>
  <si>
    <t>149</t>
  </si>
  <si>
    <t>Prince George</t>
  </si>
  <si>
    <t>153</t>
  </si>
  <si>
    <t>Prince William</t>
  </si>
  <si>
    <t>155</t>
  </si>
  <si>
    <t>Pulaski</t>
  </si>
  <si>
    <t>750</t>
  </si>
  <si>
    <t>Radford</t>
  </si>
  <si>
    <t>157</t>
  </si>
  <si>
    <t>Rappahannock</t>
  </si>
  <si>
    <t>760</t>
  </si>
  <si>
    <t>Richmond City</t>
  </si>
  <si>
    <t>159</t>
  </si>
  <si>
    <t>Richmond Co.</t>
  </si>
  <si>
    <t>770</t>
  </si>
  <si>
    <t>Roanoke City</t>
  </si>
  <si>
    <t>161</t>
  </si>
  <si>
    <t>Roanoke Co./ Salem</t>
  </si>
  <si>
    <t>163</t>
  </si>
  <si>
    <t>Rockbridge/ Buena Vista/ Lexington</t>
  </si>
  <si>
    <t>165</t>
  </si>
  <si>
    <t>Rockingham/ Harrisonburg</t>
  </si>
  <si>
    <t>167</t>
  </si>
  <si>
    <t>Russell</t>
  </si>
  <si>
    <t>169</t>
  </si>
  <si>
    <t>Scott</t>
  </si>
  <si>
    <t>171</t>
  </si>
  <si>
    <t>Shenandoah</t>
  </si>
  <si>
    <t>173</t>
  </si>
  <si>
    <t>Smyth</t>
  </si>
  <si>
    <t>175</t>
  </si>
  <si>
    <t>Southampton</t>
  </si>
  <si>
    <t>177</t>
  </si>
  <si>
    <t>Spotsylvania</t>
  </si>
  <si>
    <t>179</t>
  </si>
  <si>
    <t>Stafford</t>
  </si>
  <si>
    <t>800</t>
  </si>
  <si>
    <t>Suffolk</t>
  </si>
  <si>
    <t>181</t>
  </si>
  <si>
    <t>Surry</t>
  </si>
  <si>
    <t>183</t>
  </si>
  <si>
    <t>Sussex</t>
  </si>
  <si>
    <t>185</t>
  </si>
  <si>
    <t>Tazewell</t>
  </si>
  <si>
    <t>810</t>
  </si>
  <si>
    <t>Virginia Beach</t>
  </si>
  <si>
    <t>187</t>
  </si>
  <si>
    <t>Warren</t>
  </si>
  <si>
    <t>191</t>
  </si>
  <si>
    <t>Washington</t>
  </si>
  <si>
    <t>193</t>
  </si>
  <si>
    <t>Westmoreland</t>
  </si>
  <si>
    <t>830</t>
  </si>
  <si>
    <t>Williamsburg</t>
  </si>
  <si>
    <t>840</t>
  </si>
  <si>
    <t>Winchester</t>
  </si>
  <si>
    <t>195</t>
  </si>
  <si>
    <t>Wise</t>
  </si>
  <si>
    <t>197</t>
  </si>
  <si>
    <t>Wythe</t>
  </si>
  <si>
    <t>199</t>
  </si>
  <si>
    <t>York/Poquoson</t>
  </si>
  <si>
    <t>For questions, contact the Virginia Department of Social Services, Office of Research and Planning.</t>
  </si>
  <si>
    <t>Email:</t>
  </si>
  <si>
    <t>Research@dss.virginia.gov</t>
  </si>
  <si>
    <t>Region</t>
  </si>
  <si>
    <t>Civilian Labor Force 2004</t>
  </si>
  <si>
    <t>Unemployed 2004</t>
  </si>
  <si>
    <t>Civilian Labor Force 2005</t>
  </si>
  <si>
    <t>Unemployed 2005</t>
  </si>
  <si>
    <t>Civilian Labor Force 2006</t>
  </si>
  <si>
    <t>Unemployed 2006</t>
  </si>
  <si>
    <t>Civilian Labor Force 2007</t>
  </si>
  <si>
    <t>Unemployed 2007</t>
  </si>
  <si>
    <t>Civilian Labor Force 2008</t>
  </si>
  <si>
    <t>Unemployed 2008</t>
  </si>
  <si>
    <t>Civilian Labor Force 2009</t>
  </si>
  <si>
    <t>Unemployed 2009</t>
  </si>
  <si>
    <t>Eastern</t>
  </si>
  <si>
    <t>Piedmont</t>
  </si>
  <si>
    <t>Central</t>
  </si>
  <si>
    <t>Northern</t>
  </si>
  <si>
    <t>Western</t>
  </si>
  <si>
    <t>Charles City</t>
  </si>
  <si>
    <t>Isle of Wight</t>
  </si>
  <si>
    <t>King &amp; Queen</t>
  </si>
  <si>
    <t>Richmond County</t>
  </si>
  <si>
    <t>Manassas City</t>
  </si>
  <si>
    <t>2004</t>
  </si>
  <si>
    <t>2005</t>
  </si>
  <si>
    <t>2006</t>
  </si>
  <si>
    <t>2007</t>
  </si>
  <si>
    <t>2008</t>
  </si>
  <si>
    <t>2009</t>
  </si>
  <si>
    <t>Percent</t>
  </si>
  <si>
    <t>Total</t>
  </si>
  <si>
    <t>Greensville/Emporia</t>
  </si>
  <si>
    <t>Roanoke County/ Salem</t>
  </si>
  <si>
    <t>Rockbridge/BV/ Lexington</t>
  </si>
  <si>
    <t>James City County</t>
  </si>
  <si>
    <t>Location</t>
  </si>
  <si>
    <t>King and Queen</t>
  </si>
  <si>
    <t>SNAP Participation Rate, 2004-2010, by Locality</t>
  </si>
  <si>
    <t>Alleghany-Covington</t>
  </si>
  <si>
    <t>Fairfax-Falls Church</t>
  </si>
  <si>
    <t>Henry-Martinsville</t>
  </si>
  <si>
    <t>Roanoke Co. Salem</t>
  </si>
  <si>
    <t>Rockbridge/Buena Vista/Lexington</t>
  </si>
  <si>
    <t>Rockingham/Harrisonburg</t>
  </si>
  <si>
    <t>Chesterfield/Colonial Heights</t>
  </si>
  <si>
    <t>Fairfax County/City/Falls Church</t>
  </si>
  <si>
    <t>Alleghany/Covington</t>
  </si>
  <si>
    <t>Augusta/Staunton/Waynesboro</t>
  </si>
  <si>
    <t>Bedford County/City</t>
  </si>
  <si>
    <t>Henry/Martinsville</t>
  </si>
  <si>
    <t>Roanoke County/Salem</t>
  </si>
  <si>
    <t>Fairfax Co./ City/ Falls Church</t>
  </si>
  <si>
    <t>FIPS Number</t>
  </si>
  <si>
    <t>NER</t>
  </si>
  <si>
    <t>Combined FIPS</t>
  </si>
  <si>
    <t>Combined Name</t>
  </si>
  <si>
    <t>Bedford Co./City</t>
  </si>
  <si>
    <t>Franklin Co.</t>
  </si>
  <si>
    <t>Halifax/ So. Boston</t>
  </si>
  <si>
    <t>York/ Poquoson</t>
  </si>
  <si>
    <t>Franklin</t>
  </si>
  <si>
    <t>Richmond</t>
  </si>
  <si>
    <t>Roanoke</t>
  </si>
  <si>
    <t>Federal</t>
  </si>
  <si>
    <t>State</t>
  </si>
  <si>
    <t>Local</t>
  </si>
  <si>
    <t>Administrative costs</t>
  </si>
  <si>
    <t>SNAP</t>
  </si>
  <si>
    <t>000_Fed</t>
  </si>
  <si>
    <t>000_Local</t>
  </si>
  <si>
    <t>000_Total</t>
  </si>
  <si>
    <t>805_Fed</t>
  </si>
  <si>
    <t>805_State</t>
  </si>
  <si>
    <t>805_Local</t>
  </si>
  <si>
    <t>805_Total</t>
  </si>
  <si>
    <t>217_Fed</t>
  </si>
  <si>
    <t>217_State</t>
  </si>
  <si>
    <t>217_Local</t>
  </si>
  <si>
    <t>217_Total</t>
  </si>
  <si>
    <t>824_Fed</t>
  </si>
  <si>
    <t>824_State</t>
  </si>
  <si>
    <t>824_Local</t>
  </si>
  <si>
    <t>824_Total</t>
  </si>
  <si>
    <t>829_Fed</t>
  </si>
  <si>
    <t>829_State</t>
  </si>
  <si>
    <t>829_Local</t>
  </si>
  <si>
    <t>829_Total</t>
  </si>
  <si>
    <t>833_Fed</t>
  </si>
  <si>
    <t>833_State</t>
  </si>
  <si>
    <t>833_Local</t>
  </si>
  <si>
    <t>833_Total</t>
  </si>
  <si>
    <t>844_State</t>
  </si>
  <si>
    <t>844_Local</t>
  </si>
  <si>
    <t>844_Total</t>
  </si>
  <si>
    <t>861_Fed</t>
  </si>
  <si>
    <t>861_State</t>
  </si>
  <si>
    <t>861_Local</t>
  </si>
  <si>
    <t>861_Total</t>
  </si>
  <si>
    <t>862_Fed</t>
  </si>
  <si>
    <t>862_State</t>
  </si>
  <si>
    <t>862_Local</t>
  </si>
  <si>
    <t>862_Total</t>
  </si>
  <si>
    <t>864_Fed</t>
  </si>
  <si>
    <t>864_State</t>
  </si>
  <si>
    <t>864_Local</t>
  </si>
  <si>
    <t>864_Total</t>
  </si>
  <si>
    <t>866_Fed</t>
  </si>
  <si>
    <t>866_State</t>
  </si>
  <si>
    <t>866_Local</t>
  </si>
  <si>
    <t>866_Total</t>
  </si>
  <si>
    <t>871_Fed</t>
  </si>
  <si>
    <t>871_State</t>
  </si>
  <si>
    <t>871_Local</t>
  </si>
  <si>
    <t>871_Total</t>
  </si>
  <si>
    <t>872_Fed</t>
  </si>
  <si>
    <t>872_State</t>
  </si>
  <si>
    <t>872_Local</t>
  </si>
  <si>
    <t>872_Total</t>
  </si>
  <si>
    <t>873_Fed</t>
  </si>
  <si>
    <t>873_State</t>
  </si>
  <si>
    <t>873_Local</t>
  </si>
  <si>
    <t>873_Total</t>
  </si>
  <si>
    <t>875_Fed</t>
  </si>
  <si>
    <t>875_State</t>
  </si>
  <si>
    <t>875_Local</t>
  </si>
  <si>
    <t>875_Total</t>
  </si>
  <si>
    <t>878_Fed</t>
  </si>
  <si>
    <t>878_State</t>
  </si>
  <si>
    <t>878_Local</t>
  </si>
  <si>
    <t>878_Total</t>
  </si>
  <si>
    <t>881_Fed</t>
  </si>
  <si>
    <t>881_State</t>
  </si>
  <si>
    <t>881_Local</t>
  </si>
  <si>
    <t>881_Total</t>
  </si>
  <si>
    <t>883_Fed</t>
  </si>
  <si>
    <t>883_State</t>
  </si>
  <si>
    <t>883_Local</t>
  </si>
  <si>
    <t>883_Total</t>
  </si>
  <si>
    <t>890_Fed</t>
  </si>
  <si>
    <t>890_State</t>
  </si>
  <si>
    <t>890_Local</t>
  </si>
  <si>
    <t>890_Total</t>
  </si>
  <si>
    <t>895_Fed</t>
  </si>
  <si>
    <t>895_State</t>
  </si>
  <si>
    <t>895_Local</t>
  </si>
  <si>
    <t>895_Total</t>
  </si>
  <si>
    <t>Medicaid_Fed</t>
  </si>
  <si>
    <t>SNAP_Total</t>
  </si>
  <si>
    <t>SNAP_FED</t>
  </si>
  <si>
    <t>LIHEAP_Total</t>
  </si>
  <si>
    <t>811_Fed</t>
  </si>
  <si>
    <t>811_State</t>
  </si>
  <si>
    <t>811_Local</t>
  </si>
  <si>
    <t>811_Total</t>
  </si>
  <si>
    <t>812_Fed</t>
  </si>
  <si>
    <t>812_State</t>
  </si>
  <si>
    <t>812_Local</t>
  </si>
  <si>
    <t>812_Total</t>
  </si>
  <si>
    <t>817_Fed</t>
  </si>
  <si>
    <t>817_State</t>
  </si>
  <si>
    <t>817_Local</t>
  </si>
  <si>
    <t>817_Total</t>
  </si>
  <si>
    <t>Non-Reimbursable</t>
  </si>
  <si>
    <t>TANF</t>
  </si>
  <si>
    <t>867_Local</t>
  </si>
  <si>
    <t>867_Total</t>
  </si>
  <si>
    <t>808_Fed</t>
  </si>
  <si>
    <t>808_State</t>
  </si>
  <si>
    <t>808_Local</t>
  </si>
  <si>
    <t>808_Total</t>
  </si>
  <si>
    <t>810_Fed</t>
  </si>
  <si>
    <t>810_State</t>
  </si>
  <si>
    <t>810_Local</t>
  </si>
  <si>
    <t>810_Total</t>
  </si>
  <si>
    <t>848_Fed</t>
  </si>
  <si>
    <t>848_State</t>
  </si>
  <si>
    <t>848_Local</t>
  </si>
  <si>
    <t>848_Total</t>
  </si>
  <si>
    <t>867_Fed</t>
  </si>
  <si>
    <t>867_State</t>
  </si>
  <si>
    <t>804_Fed</t>
  </si>
  <si>
    <t>804_State</t>
  </si>
  <si>
    <t>804_Local</t>
  </si>
  <si>
    <t>804_Total</t>
  </si>
  <si>
    <t>813_Fed</t>
  </si>
  <si>
    <t>813_State</t>
  </si>
  <si>
    <t>813_Local</t>
  </si>
  <si>
    <t>813_Total</t>
  </si>
  <si>
    <t>819_Fed</t>
  </si>
  <si>
    <t>819_State</t>
  </si>
  <si>
    <t>819_Local</t>
  </si>
  <si>
    <t>819_Total</t>
  </si>
  <si>
    <t>Civilian Labor Force 2001</t>
  </si>
  <si>
    <t>Unemployed 2001</t>
  </si>
  <si>
    <t>Civilian Labor Force 2002</t>
  </si>
  <si>
    <t>Unemployed 2002</t>
  </si>
  <si>
    <t>Civilian Labor Force 2003</t>
  </si>
  <si>
    <t>Unemployed 2003</t>
  </si>
  <si>
    <t>2010</t>
  </si>
  <si>
    <t>Black</t>
  </si>
  <si>
    <t>Other</t>
  </si>
  <si>
    <t>Other Race</t>
  </si>
  <si>
    <t>Total Population</t>
  </si>
  <si>
    <t>Total Children</t>
  </si>
  <si>
    <t>Accomack County</t>
  </si>
  <si>
    <t>Albemarle County</t>
  </si>
  <si>
    <t>Amelia County</t>
  </si>
  <si>
    <t>Amherst County</t>
  </si>
  <si>
    <t>Appomattox County</t>
  </si>
  <si>
    <t>Arlington County</t>
  </si>
  <si>
    <t>Bath County</t>
  </si>
  <si>
    <t>Bland County</t>
  </si>
  <si>
    <t>Botetourt County</t>
  </si>
  <si>
    <t>Brunswick County</t>
  </si>
  <si>
    <t>Buchanan County</t>
  </si>
  <si>
    <t>Buckingham County</t>
  </si>
  <si>
    <t>Campbell County</t>
  </si>
  <si>
    <t>Caroline County</t>
  </si>
  <si>
    <t>Carroll County</t>
  </si>
  <si>
    <t>Charles City County</t>
  </si>
  <si>
    <t>Charlotte County</t>
  </si>
  <si>
    <t>Clarke County</t>
  </si>
  <si>
    <t>Craig County</t>
  </si>
  <si>
    <t>Culpeper County</t>
  </si>
  <si>
    <t>Cumberland County</t>
  </si>
  <si>
    <t>Dickenson County</t>
  </si>
  <si>
    <t>Dinwiddie County</t>
  </si>
  <si>
    <t>Essex County</t>
  </si>
  <si>
    <t>Fauquier County</t>
  </si>
  <si>
    <t>Floyd County</t>
  </si>
  <si>
    <t>Fluvanna County</t>
  </si>
  <si>
    <t>Frederick County</t>
  </si>
  <si>
    <t>Giles County</t>
  </si>
  <si>
    <t>Gloucester County</t>
  </si>
  <si>
    <t>Goochland County</t>
  </si>
  <si>
    <t>Grayson County</t>
  </si>
  <si>
    <t>Greene County</t>
  </si>
  <si>
    <t>Hanover County</t>
  </si>
  <si>
    <t>Henrico County</t>
  </si>
  <si>
    <t>Highland County</t>
  </si>
  <si>
    <t>Isle of Wight County</t>
  </si>
  <si>
    <t>King and Queen County</t>
  </si>
  <si>
    <t>King George County</t>
  </si>
  <si>
    <t>King William County</t>
  </si>
  <si>
    <t>Lancaster County</t>
  </si>
  <si>
    <t>Lee County</t>
  </si>
  <si>
    <t>Loudoun County</t>
  </si>
  <si>
    <t>Louisa County</t>
  </si>
  <si>
    <t>Lunenburg County</t>
  </si>
  <si>
    <t>Madison County</t>
  </si>
  <si>
    <t>Mathews County</t>
  </si>
  <si>
    <t>Mecklenburg County</t>
  </si>
  <si>
    <t>Middlesex County</t>
  </si>
  <si>
    <t>Montgomery County</t>
  </si>
  <si>
    <t>Nelson County</t>
  </si>
  <si>
    <t>New Kent County</t>
  </si>
  <si>
    <t>Northampton County</t>
  </si>
  <si>
    <t>Northumberland County</t>
  </si>
  <si>
    <t>Nottoway County</t>
  </si>
  <si>
    <t>Orange County</t>
  </si>
  <si>
    <t>Page County</t>
  </si>
  <si>
    <t>Patrick County</t>
  </si>
  <si>
    <t>Pittsylvania County</t>
  </si>
  <si>
    <t>Powhatan County</t>
  </si>
  <si>
    <t>Prince Edward County</t>
  </si>
  <si>
    <t>Prince George County</t>
  </si>
  <si>
    <t>Prince William County</t>
  </si>
  <si>
    <t>Pulaski County</t>
  </si>
  <si>
    <t>Rappahannock County</t>
  </si>
  <si>
    <t>Russell County</t>
  </si>
  <si>
    <t>Scott County</t>
  </si>
  <si>
    <t>Shenandoah County</t>
  </si>
  <si>
    <t>Smyth County</t>
  </si>
  <si>
    <t>Southampton County</t>
  </si>
  <si>
    <t>Spotsylvania County</t>
  </si>
  <si>
    <t>Stafford County</t>
  </si>
  <si>
    <t>Surry County</t>
  </si>
  <si>
    <t>Sussex County</t>
  </si>
  <si>
    <t>Tazewell County</t>
  </si>
  <si>
    <t>Warren County</t>
  </si>
  <si>
    <t>Washington County</t>
  </si>
  <si>
    <t>Westmoreland County</t>
  </si>
  <si>
    <t>Wise County</t>
  </si>
  <si>
    <t>Wythe County</t>
  </si>
  <si>
    <t>SNAP SFY 2005</t>
  </si>
  <si>
    <t>SNAP SFY 2006</t>
  </si>
  <si>
    <t>SNAP SFY  2007</t>
  </si>
  <si>
    <t>SNAP SFY 2008</t>
  </si>
  <si>
    <t>SNAP SFY 2009</t>
  </si>
  <si>
    <t>SNAP SFY 2010</t>
  </si>
  <si>
    <t>TANF SFY 2005</t>
  </si>
  <si>
    <t>TANF SFY 2006</t>
  </si>
  <si>
    <t>TANF SFY 2007</t>
  </si>
  <si>
    <t>TANF SFY 2008</t>
  </si>
  <si>
    <t>TANF SFY 2009</t>
  </si>
  <si>
    <t>TANF SFY 2010</t>
  </si>
  <si>
    <t>Asian</t>
  </si>
  <si>
    <t xml:space="preserve"> -  1  - </t>
  </si>
  <si>
    <t>Children in CPS Referral SFY 2010</t>
  </si>
  <si>
    <t>Source: VCWOR - CPS Sysems Annual Reports -Demographic Annual Reports/ Childrens Demograhic Annual Report - All Referrals , 07/01/09 to 06/30/10</t>
  </si>
  <si>
    <t>Local Agency</t>
  </si>
  <si>
    <t>RegionName</t>
  </si>
  <si>
    <t>Male</t>
  </si>
  <si>
    <t>Female</t>
  </si>
  <si>
    <t>Sex Unknown</t>
  </si>
  <si>
    <t>Hispanic</t>
  </si>
  <si>
    <t>American Indian</t>
  </si>
  <si>
    <t>Hawaiian-Pacific Islander</t>
  </si>
  <si>
    <t>Race Unknown</t>
  </si>
  <si>
    <t>Age &gt;= 00 and &lt; 01</t>
  </si>
  <si>
    <t>Age &gt;= 01 and &lt; 04</t>
  </si>
  <si>
    <t>Age &gt;= 04 and &lt; 08</t>
  </si>
  <si>
    <t>Age &gt;= 08 and &lt; 12</t>
  </si>
  <si>
    <t>Age &gt;= 12 and &lt; 16</t>
  </si>
  <si>
    <t>Age &gt;= 16 and &lt; 18</t>
  </si>
  <si>
    <t>Age Unknown</t>
  </si>
  <si>
    <t>Other Calculated</t>
  </si>
  <si>
    <t>WHITE</t>
  </si>
  <si>
    <t>BLACK</t>
  </si>
  <si>
    <t>Notes:  Budget line (BL) key for spending categories.</t>
  </si>
  <si>
    <t>Adoptions_Open</t>
  </si>
  <si>
    <t>Adoptions_Closed</t>
  </si>
  <si>
    <t>Adoptions_Continue</t>
  </si>
  <si>
    <t>Average Adoption Cases Continued</t>
  </si>
  <si>
    <t>Source: OASIS Statistical Care Report</t>
  </si>
  <si>
    <t>http://spark.dss.virginia.gov/divisions/dfs/generic_reports/</t>
  </si>
  <si>
    <t>Medicaid Children</t>
  </si>
  <si>
    <t>Medicaid Adults</t>
  </si>
  <si>
    <t>SNAP Children</t>
  </si>
  <si>
    <t>SNAP Adults</t>
  </si>
  <si>
    <t>TANF Children</t>
  </si>
  <si>
    <t>TANF Adults</t>
  </si>
  <si>
    <t>Recipients</t>
  </si>
  <si>
    <t>Population</t>
  </si>
  <si>
    <t>Percent Receiving Assistance</t>
  </si>
  <si>
    <t>Other race</t>
  </si>
  <si>
    <t>Total Recipients</t>
  </si>
  <si>
    <t>The password for the main sheet is:</t>
  </si>
  <si>
    <t>research</t>
  </si>
  <si>
    <t>lower case</t>
  </si>
  <si>
    <t>Medicaid Clients</t>
  </si>
  <si>
    <t>2011</t>
  </si>
  <si>
    <t>TANF SFY 2011</t>
  </si>
  <si>
    <t>Civilian Labor Force 2010</t>
  </si>
  <si>
    <t>Unemployed 2010</t>
  </si>
  <si>
    <t>Civilian Labor Force 2011</t>
  </si>
  <si>
    <t>Unemployed 2011</t>
  </si>
  <si>
    <t>000_State</t>
  </si>
  <si>
    <t>Medicaid_State</t>
  </si>
  <si>
    <t>FAMIS_TOTAL</t>
  </si>
  <si>
    <t>FAMIS_FED</t>
  </si>
  <si>
    <t>FAMIS_STATE</t>
  </si>
  <si>
    <t>Total_Medicaid</t>
  </si>
  <si>
    <t>Level of IT support</t>
  </si>
  <si>
    <t>Alleghany/Covington/Clifton Forge</t>
  </si>
  <si>
    <t>Fairfax/Fairfax City/Falls Church</t>
  </si>
  <si>
    <t>Halifax/South Boston</t>
  </si>
  <si>
    <t># with Full Support</t>
  </si>
  <si>
    <t># with Shared Support</t>
  </si>
  <si>
    <t>"Full" and "shared" IT support refer to the level of support provided by the VDSS Division of Information Services to local DSS agencies.</t>
  </si>
  <si>
    <t>Agency Class/Level</t>
  </si>
  <si>
    <t>LDSS</t>
  </si>
  <si>
    <t>Deviation Status</t>
  </si>
  <si>
    <t>ND</t>
  </si>
  <si>
    <t>JW</t>
  </si>
  <si>
    <t>ND :  Non-Deviating</t>
  </si>
  <si>
    <t>JW:    Jurisdiction Wide Deviation</t>
  </si>
  <si>
    <t>Fairfax Co./Fairfax City/Falls Church</t>
  </si>
  <si>
    <t>Bedford Co./Bedford City</t>
  </si>
  <si>
    <t>Roanoke Co./Salem</t>
  </si>
  <si>
    <t>Deviation Name</t>
  </si>
  <si>
    <t>% of Total Positions</t>
  </si>
  <si>
    <t>Region:</t>
  </si>
  <si>
    <r>
      <t>Agency Level:</t>
    </r>
    <r>
      <rPr>
        <b/>
        <vertAlign val="superscript"/>
        <sz val="9"/>
        <color indexed="8"/>
        <rFont val="Cambria"/>
        <family val="1"/>
      </rPr>
      <t>1</t>
    </r>
  </si>
  <si>
    <r>
      <t>HR  Policy:</t>
    </r>
    <r>
      <rPr>
        <b/>
        <vertAlign val="superscript"/>
        <sz val="9"/>
        <color indexed="8"/>
        <rFont val="Cambria"/>
        <family val="1"/>
      </rPr>
      <t>2</t>
    </r>
  </si>
  <si>
    <r>
      <t>IT Support:</t>
    </r>
    <r>
      <rPr>
        <b/>
        <vertAlign val="superscript"/>
        <sz val="9"/>
        <color indexed="8"/>
        <rFont val="Cambria"/>
        <family val="1"/>
      </rPr>
      <t>3</t>
    </r>
  </si>
  <si>
    <t>By Age</t>
  </si>
  <si>
    <t>Children (0-17 years)</t>
  </si>
  <si>
    <t>Hispanic/Latino</t>
  </si>
  <si>
    <t>Count</t>
  </si>
  <si>
    <t>Percent of Children Living in Single Parent Households, 2010, by Race/Ethnicity and County/City</t>
  </si>
  <si>
    <t>Total Child Population</t>
  </si>
  <si>
    <t xml:space="preserve">African American </t>
  </si>
  <si>
    <t>Hispanic or Latino</t>
  </si>
  <si>
    <t>Percent in Single Parent Families</t>
  </si>
  <si>
    <t>Number In Single Parent HH</t>
  </si>
  <si>
    <t>Source: U.S. Census Bureau, 2010 Census Summary File 1 (Table P31), Household Type by Relationship for Population Under 18 years.  Refers to population of children (&lt; 18 years) living in their own parents' households. Excludes minors who are heads of households, spouses, or other relatives (e.g., grandchildren) living in the household as well as children living in institutionalized settings.  Hispanic origin is not mutually exclusive of race.</t>
  </si>
  <si>
    <t>Percent of Positions Unfilled</t>
  </si>
  <si>
    <t>Pct. of Positions Unfilled-Statewide</t>
  </si>
  <si>
    <t>RESIDENT TOTAL LIVE BIRTHS</t>
  </si>
  <si>
    <t>RESIDENT NON-MARITAL LIVE BIRTHS</t>
  </si>
  <si>
    <t>Number of Live Births</t>
  </si>
  <si>
    <t>Number of Live Non-Marital Births</t>
  </si>
  <si>
    <t>Percent Non-Marital</t>
  </si>
  <si>
    <t>TOTAL</t>
  </si>
  <si>
    <t>OTHER</t>
  </si>
  <si>
    <t>Filled</t>
  </si>
  <si>
    <t>Married</t>
  </si>
  <si>
    <t>Board</t>
  </si>
  <si>
    <t>Advisory</t>
  </si>
  <si>
    <t>Fairfax County/Fairfax City/Falls Church</t>
  </si>
  <si>
    <t>Total - Advisory</t>
  </si>
  <si>
    <t>Client Benefits Spending</t>
  </si>
  <si>
    <t>Number and Percentage of Households Where Heterosexual Couples are Married or Cohabiting, by Local DSS Agency, 2010</t>
  </si>
  <si>
    <t>Number of Households with Heterosexual Couples</t>
  </si>
  <si>
    <t>Percent (%) of Households with Heterosexual Couples</t>
  </si>
  <si>
    <t>LDSS Agency</t>
  </si>
  <si>
    <t>Cohabiting</t>
  </si>
  <si>
    <t>Source: U.S. Census Bureau, 2010 Census, Summary File 1 (Table PCT15). Excludes households with homosexual couples.</t>
  </si>
  <si>
    <t>Administrative</t>
  </si>
  <si>
    <t>Fairfax Co./ Fairfax City/ Falls Church</t>
  </si>
  <si>
    <t>Halifax/ South Boston</t>
  </si>
  <si>
    <t>Number of Heterosexual Couples in Households With Own Children</t>
  </si>
  <si>
    <t>Percent (%) of Heterosexual Couples in Households With Own Children</t>
  </si>
  <si>
    <t>UnFilled (VACANT)</t>
  </si>
  <si>
    <t>Invalid Filled Positions</t>
  </si>
  <si>
    <t>% UnFilled (VACANT)</t>
  </si>
  <si>
    <t>Invalid position is no longer active for various reasons (e.g., abolished, redefined, reallocated) and are not included in the total positions.  Filled positions that have expired beyond their due date are considered invalid and are not counted in the totals.</t>
  </si>
  <si>
    <t>Local Director</t>
  </si>
  <si>
    <t>County Administrator</t>
  </si>
  <si>
    <t xml:space="preserve">Source: Virginia Department of Health, Division of Health Statistics, Resident live birth data.  </t>
  </si>
  <si>
    <t>Level of IT Support by Local DSS Agency</t>
  </si>
  <si>
    <t>Local DSS Agency Level Classification</t>
  </si>
  <si>
    <t>Total # Level I</t>
  </si>
  <si>
    <t>Total # Level 2</t>
  </si>
  <si>
    <t>Total # Level 3</t>
  </si>
  <si>
    <t>Local DSS Agency Human Resources (HR) Policy/Practice Classification</t>
  </si>
  <si>
    <t>Local DSS Agency Board Type: Advisory versus Administrative</t>
  </si>
  <si>
    <t>Serves as Administrative Entity*</t>
  </si>
  <si>
    <t>* For localities with Advisory Boards only</t>
  </si>
  <si>
    <t>Total - Administrative</t>
  </si>
  <si>
    <t>Local/NER</t>
  </si>
  <si>
    <t>Total FAMIS &amp; Medicaid</t>
  </si>
  <si>
    <t>Fairfax Co./Fairfax City/ Falls Church</t>
  </si>
  <si>
    <t>Norton City</t>
  </si>
  <si>
    <t>Bristol City</t>
  </si>
  <si>
    <t>Galax City</t>
  </si>
  <si>
    <t>Radford City</t>
  </si>
  <si>
    <t>Winchester City</t>
  </si>
  <si>
    <t>Alexandria City</t>
  </si>
  <si>
    <t>Manassas Park City</t>
  </si>
  <si>
    <t>Charlottesville City</t>
  </si>
  <si>
    <t>Lynchburg City</t>
  </si>
  <si>
    <t>Danville City</t>
  </si>
  <si>
    <t>Fredericksburg City</t>
  </si>
  <si>
    <t>Hopewell City</t>
  </si>
  <si>
    <t>Petersburg City</t>
  </si>
  <si>
    <t>Chesapeake City</t>
  </si>
  <si>
    <t>Norfolk City</t>
  </si>
  <si>
    <t>Portsmouth City</t>
  </si>
  <si>
    <t>Suffolk City</t>
  </si>
  <si>
    <t>Virginia Beach City</t>
  </si>
  <si>
    <t>Hampton City</t>
  </si>
  <si>
    <t>Newport News City</t>
  </si>
  <si>
    <t>Williamsburg City</t>
  </si>
  <si>
    <t>Augusta/ Staunton/ Waynesboro</t>
  </si>
  <si>
    <t>Alleghany County/Covington</t>
  </si>
  <si>
    <t>Bedford County/Bedford City</t>
  </si>
  <si>
    <t>Chesterfield County/Colonial Heights</t>
  </si>
  <si>
    <t>York County/Poquoson</t>
  </si>
  <si>
    <t>Rockbridge County/Buena Vista/Lexington</t>
  </si>
  <si>
    <t>Rockingham County/Harrisonburg</t>
  </si>
  <si>
    <t>Greensville County/Emporia</t>
  </si>
  <si>
    <t>County/City Administrator</t>
  </si>
  <si>
    <t>Client Benefits</t>
  </si>
  <si>
    <t>Total Admin Spending</t>
  </si>
  <si>
    <t>Federal - %</t>
  </si>
  <si>
    <t>State - %</t>
  </si>
  <si>
    <t>Local - %</t>
  </si>
  <si>
    <t>Administrative Costs</t>
  </si>
  <si>
    <t>Purchased Services for Clients</t>
  </si>
  <si>
    <t>MINIMUM</t>
  </si>
  <si>
    <t>MAXIMUM</t>
  </si>
  <si>
    <t>Admin - %</t>
  </si>
  <si>
    <t>Purchased Svcs. - %</t>
  </si>
  <si>
    <t>Benefits - %</t>
  </si>
  <si>
    <t>Fed &amp; State Comb. - %</t>
  </si>
  <si>
    <t>GRAND TOTAL</t>
  </si>
  <si>
    <t>TOTAL LESS INVALID POSITIONS</t>
  </si>
  <si>
    <t>Non-Deviating</t>
  </si>
  <si>
    <t>Partial deviating</t>
  </si>
  <si>
    <t>Jurisdiction-wide</t>
  </si>
  <si>
    <t>II (Two)</t>
  </si>
  <si>
    <t>I (One)</t>
  </si>
  <si>
    <t>III (Three)</t>
  </si>
  <si>
    <t>Shared</t>
  </si>
  <si>
    <t>Full</t>
  </si>
  <si>
    <r>
      <rPr>
        <vertAlign val="superscript"/>
        <sz val="8"/>
        <color indexed="8"/>
        <rFont val="Cambria"/>
        <family val="1"/>
      </rPr>
      <t>3</t>
    </r>
    <r>
      <rPr>
        <sz val="8"/>
        <color indexed="8"/>
        <rFont val="Cambria"/>
        <family val="1"/>
      </rPr>
      <t xml:space="preserve"> Refers to the local agency's level of IT support from VDSS. </t>
    </r>
  </si>
  <si>
    <t>Adults 18-64 years</t>
  </si>
  <si>
    <t>Adults (18-64 years)</t>
  </si>
  <si>
    <t>Elderly Adults (65+ years)</t>
  </si>
  <si>
    <t>Agency Level</t>
  </si>
  <si>
    <t>Asian/PI</t>
  </si>
  <si>
    <t>AI/AN</t>
  </si>
  <si>
    <t>Regions</t>
  </si>
  <si>
    <t>All races</t>
  </si>
  <si>
    <t>Elderly</t>
  </si>
  <si>
    <t>Percentage of Total Population - By Age Group</t>
  </si>
  <si>
    <t>Pop. (all ages)</t>
  </si>
  <si>
    <t>Percentage of Total Population - By Race</t>
  </si>
  <si>
    <t>% of Total</t>
  </si>
  <si>
    <t>SNAP SFY 2012</t>
  </si>
  <si>
    <t>Black/African American</t>
  </si>
  <si>
    <r>
      <t>Type of Agency Board:</t>
    </r>
    <r>
      <rPr>
        <b/>
        <vertAlign val="superscript"/>
        <sz val="9"/>
        <color indexed="8"/>
        <rFont val="Cambria"/>
        <family val="1"/>
      </rPr>
      <t>4</t>
    </r>
  </si>
  <si>
    <t>Unemployed 2000</t>
  </si>
  <si>
    <t>Civilian Labor Force 2000</t>
  </si>
  <si>
    <t>Number of Filled Positions</t>
  </si>
  <si>
    <t>Number of Unfilled Positions</t>
  </si>
  <si>
    <t>Total Number of Positions</t>
  </si>
  <si>
    <t>SNAP SFY 2011</t>
  </si>
  <si>
    <t>TANF SFY 2012</t>
  </si>
  <si>
    <t>Adult 65+ years</t>
  </si>
  <si>
    <t>Source: Virginia Department of Health. Bridged race estimates come from the National Center for Health Statistics. "Other race" includes Asians, Hawaiians/Pacific Islanders, American Indians, and Alaskan Natives. Hispanic origin is not mutually exclusive of race.</t>
  </si>
  <si>
    <t>Source: U.S. Census Bureau, Small Area Income and Poverty Estimates (SAIPE).</t>
  </si>
  <si>
    <t>Poverty Rate (%)</t>
  </si>
  <si>
    <t>All ages</t>
  </si>
  <si>
    <t>Unemploy-ment</t>
  </si>
  <si>
    <t>Rate (%)</t>
  </si>
  <si>
    <t>Alleghany Co./Covington/Clifton Forge</t>
  </si>
  <si>
    <t>Augusta Co./ Staunton/ Waynesboro</t>
  </si>
  <si>
    <t>Chesterfield Co./Colonial Heights</t>
  </si>
  <si>
    <t>Greensville Co./Emporia</t>
  </si>
  <si>
    <t>Halifax Co./South Boston</t>
  </si>
  <si>
    <t>Henry Co./Martinsville</t>
  </si>
  <si>
    <t>Isle Of Wight County</t>
  </si>
  <si>
    <t>King &amp; Queen County</t>
  </si>
  <si>
    <t>Rockbridge Co./Buena Vista/Lexington</t>
  </si>
  <si>
    <t>Rockingham Co./Harrisonburg</t>
  </si>
  <si>
    <t>York Co./Poquoson</t>
  </si>
  <si>
    <t>Est. Number of Children in Poverty</t>
  </si>
  <si>
    <t>Percent of Children in Poverty</t>
  </si>
  <si>
    <r>
      <t>Medicaid</t>
    </r>
    <r>
      <rPr>
        <vertAlign val="superscript"/>
        <sz val="9"/>
        <color indexed="8"/>
        <rFont val="Cambria"/>
        <family val="1"/>
      </rPr>
      <t>1</t>
    </r>
  </si>
  <si>
    <t>844_Fed</t>
  </si>
  <si>
    <t>Medicaid SFY 2009</t>
  </si>
  <si>
    <t>Medicaid SFY 2010</t>
  </si>
  <si>
    <t>Medicaid SFY 2011</t>
  </si>
  <si>
    <t>Medicaid SFY 2012</t>
  </si>
  <si>
    <t>18-40</t>
  </si>
  <si>
    <t>Race/Ethnicity</t>
  </si>
  <si>
    <t>Age Group (years)</t>
  </si>
  <si>
    <t>Number of Clients Receiving AG (Auxiliary Grant) Services, SFY 2012</t>
  </si>
  <si>
    <t>NH/PI</t>
  </si>
  <si>
    <t>Unknown</t>
  </si>
  <si>
    <t>Fairfax Co.-City/Falls Church</t>
  </si>
  <si>
    <t>Number of Foster Children Adopted, by Race of Child, FFY 2012</t>
  </si>
  <si>
    <t>"Other" race includes Hispanics, American Indians, Hawaiians and Pacific Islanders, Multi-racial, and missing or unavailable race.</t>
  </si>
  <si>
    <t>Source: VDSS, Division of Family Services, ASAPS (Adult Services Adult Protectives Services) data system.</t>
  </si>
  <si>
    <t>Race</t>
  </si>
  <si>
    <t>Age (in years)</t>
  </si>
  <si>
    <t>41-60</t>
  </si>
  <si>
    <t>61 and older</t>
  </si>
  <si>
    <t>Number of People (All Ages) living in Poverty in locality</t>
  </si>
  <si>
    <t>Percent of People (All Ages) living in Poverty in locality</t>
  </si>
  <si>
    <t>Number of Children (&lt; 18 years) living in Poverty in locality</t>
  </si>
  <si>
    <t>Percent of Children (&lt; 18 years) living in Poverty in locality</t>
  </si>
  <si>
    <t>SFY 2012</t>
  </si>
  <si>
    <t>SFY 2009</t>
  </si>
  <si>
    <t>SFY 2010</t>
  </si>
  <si>
    <t>SFY 2011</t>
  </si>
  <si>
    <t>Halifax County</t>
  </si>
  <si>
    <t>Henry County</t>
  </si>
  <si>
    <t>Martinsville City</t>
  </si>
  <si>
    <t>Elderly (65 years and older)</t>
  </si>
  <si>
    <t>Non-Elderly (18-64 years)</t>
  </si>
  <si>
    <t>Non-Elderly</t>
  </si>
  <si>
    <t>Children (under 18)</t>
  </si>
  <si>
    <t>Augusta County/Staunton/Waynesboro</t>
  </si>
  <si>
    <r>
      <rPr>
        <b/>
        <sz val="12"/>
        <rFont val="Calibri"/>
        <family val="2"/>
      </rPr>
      <t xml:space="preserve">Source: </t>
    </r>
    <r>
      <rPr>
        <sz val="12"/>
        <rFont val="Calibri"/>
        <family val="2"/>
      </rPr>
      <t>VDSS, Division of Community and Volunteer Services. Reported by localities by March 2012.</t>
    </r>
  </si>
  <si>
    <t>Statewide (subtotal)</t>
  </si>
  <si>
    <t>Total (incl. state mental health facilities)</t>
  </si>
  <si>
    <r>
      <rPr>
        <b/>
        <sz val="12"/>
        <color indexed="8"/>
        <rFont val="Calibri"/>
        <family val="2"/>
      </rPr>
      <t xml:space="preserve">Source: </t>
    </r>
    <r>
      <rPr>
        <sz val="12"/>
        <color indexed="8"/>
        <rFont val="Calibri"/>
        <family val="2"/>
      </rPr>
      <t>VDSS, Division of Family Services, VCWOR (vers. 3.85), "Children Adopted During Year by Race/Ethnicity" report. Reporting period is the federal fiscal year, ending September 30, 2012.</t>
    </r>
  </si>
  <si>
    <r>
      <rPr>
        <b/>
        <sz val="12"/>
        <color indexed="8"/>
        <rFont val="Calibri"/>
        <family val="2"/>
      </rPr>
      <t xml:space="preserve">Source: </t>
    </r>
    <r>
      <rPr>
        <sz val="12"/>
        <color indexed="8"/>
        <rFont val="Calibri"/>
        <family val="2"/>
      </rPr>
      <t>VDSS, Division of Finances, LASER reports.</t>
    </r>
  </si>
  <si>
    <r>
      <rPr>
        <b/>
        <sz val="12"/>
        <color indexed="8"/>
        <rFont val="Calibri"/>
        <family val="2"/>
      </rPr>
      <t>Source:</t>
    </r>
    <r>
      <rPr>
        <sz val="12"/>
        <color indexed="8"/>
        <rFont val="Calibri"/>
        <family val="2"/>
      </rPr>
      <t xml:space="preserve"> VDSS, Division of Finances, LASER reports.</t>
    </r>
  </si>
  <si>
    <t xml:space="preserve">* NER = Position that is not eligible for reimbursable is not reported in LASER.  </t>
  </si>
  <si>
    <t>NER*</t>
  </si>
  <si>
    <r>
      <rPr>
        <b/>
        <sz val="12"/>
        <color indexed="8"/>
        <rFont val="Calibri"/>
        <family val="2"/>
      </rPr>
      <t xml:space="preserve">Source: </t>
    </r>
    <r>
      <rPr>
        <sz val="12"/>
        <color indexed="8"/>
        <rFont val="Calibri"/>
        <family val="2"/>
      </rPr>
      <t>ASAPS (Adult Services Adult Protectives Services) data system. Unduplicated counts. "Other" race includes American Indian, Asian, other race, Spanish American, multiracial, and unknown race.</t>
    </r>
  </si>
  <si>
    <r>
      <t>2010</t>
    </r>
    <r>
      <rPr>
        <b/>
        <vertAlign val="superscript"/>
        <sz val="12"/>
        <color indexed="8"/>
        <rFont val="Calibri"/>
        <family val="2"/>
      </rPr>
      <t>1</t>
    </r>
  </si>
  <si>
    <r>
      <t>1</t>
    </r>
    <r>
      <rPr>
        <sz val="12"/>
        <rFont val="Calibri"/>
        <family val="2"/>
      </rPr>
      <t xml:space="preserve"> Calendar year-to-date through May 2010</t>
    </r>
  </si>
  <si>
    <r>
      <rPr>
        <b/>
        <sz val="12"/>
        <rFont val="Calibri"/>
        <family val="2"/>
      </rPr>
      <t xml:space="preserve">Source: </t>
    </r>
    <r>
      <rPr>
        <sz val="12"/>
        <rFont val="Calibri"/>
        <family val="2"/>
      </rPr>
      <t>VDSS Performance Indicators Report system.</t>
    </r>
  </si>
  <si>
    <r>
      <rPr>
        <b/>
        <sz val="12"/>
        <color indexed="8"/>
        <rFont val="Calibri"/>
        <family val="2"/>
      </rPr>
      <t xml:space="preserve">Source: </t>
    </r>
    <r>
      <rPr>
        <sz val="12"/>
        <color indexed="8"/>
        <rFont val="Calibri"/>
        <family val="2"/>
      </rPr>
      <t>SNAP Recipients - VDSS Data Warehouse, ADAPT Client Cube, December 2010.</t>
    </r>
    <r>
      <rPr>
        <sz val="12"/>
        <color indexed="10"/>
        <rFont val="Calibri"/>
        <family val="2"/>
      </rPr>
      <t xml:space="preserve"> </t>
    </r>
    <r>
      <rPr>
        <sz val="12"/>
        <rFont val="Calibri"/>
        <family val="2"/>
      </rPr>
      <t xml:space="preserve"> Population - U.S. Census, Current Population Survey 2009, file CC-EST2009-ALLDATA.</t>
    </r>
    <r>
      <rPr>
        <sz val="12"/>
        <color indexed="10"/>
        <rFont val="Calibri"/>
        <family val="2"/>
      </rPr>
      <t xml:space="preserve"> </t>
    </r>
  </si>
  <si>
    <t>B17024: AGE BY RATIO OF INCOME TO POVERTY LEVEL IN THE PAST 12 MONTHS - Universe: Population for whom poverty status is determined</t>
  </si>
  <si>
    <t>2007-2011 American Community Survey 5-Year Estimates</t>
  </si>
  <si>
    <t/>
  </si>
  <si>
    <t>Est. Population Count (&lt; 125% FPL)</t>
  </si>
  <si>
    <t>Under 6 years</t>
  </si>
  <si>
    <t>6 to 11 years</t>
  </si>
  <si>
    <t>12 to 17 years</t>
  </si>
  <si>
    <t>18 to 24 years</t>
  </si>
  <si>
    <t>25 to 34 years</t>
  </si>
  <si>
    <t>35 to 44 years</t>
  </si>
  <si>
    <t>45 to 54 years</t>
  </si>
  <si>
    <t>55 to 64 years</t>
  </si>
  <si>
    <t>65 to 74 years</t>
  </si>
  <si>
    <t>75 years and older</t>
  </si>
  <si>
    <t>&lt;125%</t>
  </si>
  <si>
    <t>125% and above</t>
  </si>
  <si>
    <t>&lt;125% FPL</t>
  </si>
  <si>
    <t>Pop - 2011</t>
  </si>
  <si>
    <t>Virginia</t>
  </si>
  <si>
    <t>Total (all ages)</t>
  </si>
  <si>
    <t>SFY 2013</t>
  </si>
  <si>
    <t>SNAP SFY 2013</t>
  </si>
  <si>
    <t>TANF SFY 2013</t>
  </si>
  <si>
    <t>Medicaid SFY 2013</t>
  </si>
  <si>
    <t>2012</t>
  </si>
  <si>
    <t xml:space="preserve">Civilian Labor Force 2012 </t>
  </si>
  <si>
    <t>Unemployed 2012</t>
  </si>
  <si>
    <t xml:space="preserve">Source: Virginia Employment Commission. Rates are not seasonally adjusted. </t>
  </si>
  <si>
    <t>Direct</t>
  </si>
  <si>
    <t>Indirect</t>
  </si>
  <si>
    <t xml:space="preserve">Direct </t>
  </si>
  <si>
    <t>Total (less invalid)</t>
  </si>
  <si>
    <t>By Age Group</t>
  </si>
  <si>
    <t>65+ years</t>
  </si>
  <si>
    <t>18-64 years</t>
  </si>
  <si>
    <t>0-17 years</t>
  </si>
  <si>
    <t>Ethnicity</t>
  </si>
  <si>
    <t>Other race*</t>
  </si>
  <si>
    <t>Goochlan</t>
  </si>
  <si>
    <t xml:space="preserve">Civilian Labor Force 2013 </t>
  </si>
  <si>
    <t>Unemployed 2013</t>
  </si>
  <si>
    <r>
      <rPr>
        <b/>
        <sz val="12"/>
        <rFont val="Calibri"/>
        <family val="2"/>
      </rPr>
      <t>Source:</t>
    </r>
    <r>
      <rPr>
        <sz val="12"/>
        <rFont val="Calibri"/>
        <family val="2"/>
      </rPr>
      <t xml:space="preserve">  Virginia Employment Commission - Labor Force and Employment and Unemployment (LAUS) data. Unemployment rates are computed on a calendar year basis. Rates are not seasonally-adjusted.  </t>
    </r>
  </si>
  <si>
    <t>Medicaid_Local</t>
  </si>
  <si>
    <r>
      <rPr>
        <b/>
        <sz val="10"/>
        <color indexed="8"/>
        <rFont val="Calibri"/>
        <family val="2"/>
      </rPr>
      <t>Source:</t>
    </r>
    <r>
      <rPr>
        <sz val="10"/>
        <color indexed="8"/>
        <rFont val="Calibri"/>
        <family val="2"/>
      </rPr>
      <t xml:space="preserve"> VDSS, Division of Finances, LASER reports.</t>
    </r>
  </si>
  <si>
    <t>825_Fed</t>
  </si>
  <si>
    <t>825_State</t>
  </si>
  <si>
    <t>825_Local</t>
  </si>
  <si>
    <t>825_Total</t>
  </si>
  <si>
    <t>888_Fed</t>
  </si>
  <si>
    <t>888_State</t>
  </si>
  <si>
    <t>888_Local</t>
  </si>
  <si>
    <t>888_Total</t>
  </si>
  <si>
    <t>816_Fed</t>
  </si>
  <si>
    <t>816_State</t>
  </si>
  <si>
    <t>816_Local</t>
  </si>
  <si>
    <t>816_Total</t>
  </si>
  <si>
    <t>871 (50%/50%)</t>
  </si>
  <si>
    <t>878 (100% Fed)</t>
  </si>
  <si>
    <t>881 (50%/50%)</t>
  </si>
  <si>
    <t>883 (100% Fed)</t>
  </si>
  <si>
    <t>Grand Total</t>
  </si>
  <si>
    <t>Fed/State Total</t>
  </si>
  <si>
    <t>STATE</t>
  </si>
  <si>
    <t>Amer. Indian/Alaskan Native</t>
  </si>
  <si>
    <t>Multiracial</t>
  </si>
  <si>
    <t>Other*</t>
  </si>
  <si>
    <t>By Race &amp; Ethnicity</t>
  </si>
  <si>
    <r>
      <rPr>
        <b/>
        <sz val="12"/>
        <rFont val="Calibri"/>
        <family val="2"/>
      </rPr>
      <t>Source:</t>
    </r>
    <r>
      <rPr>
        <sz val="12"/>
        <rFont val="Calibri"/>
        <family val="2"/>
      </rPr>
      <t xml:space="preserve"> Virginia Department of Health, Division of Health Statistics. Bridged-race population estimates were obtained from the National Center for Health Statistics.  Hispanic origin is not mutually exclusive of race categories. "Other race" is Asian/Pacific Islander (PI) and American Indian/Alaskan Native (AI/AN) combined.</t>
    </r>
  </si>
  <si>
    <t>Medicaid</t>
  </si>
  <si>
    <r>
      <t>Benefit Program</t>
    </r>
    <r>
      <rPr>
        <b/>
        <vertAlign val="superscript"/>
        <sz val="9"/>
        <color theme="1"/>
        <rFont val="Cambria"/>
        <family val="1"/>
        <scheme val="major"/>
      </rPr>
      <t>1</t>
    </r>
  </si>
  <si>
    <t>Fuel</t>
  </si>
  <si>
    <t>Cooling</t>
  </si>
  <si>
    <t>Crisis</t>
  </si>
  <si>
    <r>
      <t>Child Care</t>
    </r>
    <r>
      <rPr>
        <b/>
        <vertAlign val="superscript"/>
        <sz val="9"/>
        <color theme="1"/>
        <rFont val="Cambria"/>
        <family val="1"/>
        <scheme val="major"/>
      </rPr>
      <t>3</t>
    </r>
  </si>
  <si>
    <r>
      <t>Energy Assistance (EA)</t>
    </r>
    <r>
      <rPr>
        <b/>
        <vertAlign val="superscript"/>
        <sz val="9"/>
        <color theme="1"/>
        <rFont val="Cambria"/>
        <family val="1"/>
        <scheme val="major"/>
      </rPr>
      <t>2</t>
    </r>
  </si>
  <si>
    <t>Local Department of Social Services Profile Report, SFY 2014</t>
  </si>
  <si>
    <t>Adult and Child Population by Locality by Race, 2013</t>
  </si>
  <si>
    <t>Population, 2013</t>
  </si>
  <si>
    <t>SNAP SFY 2014</t>
  </si>
  <si>
    <t>TANF SFY 2014</t>
  </si>
  <si>
    <t>Medicaid SFY 2014</t>
  </si>
  <si>
    <t>SFY 2014</t>
  </si>
  <si>
    <t>Number of Benefit Program Clients* by State Fiscal Year, 2009-2014</t>
  </si>
  <si>
    <t>Number of Medicaid Clients by State Fiscal Year, 2009-2014</t>
  </si>
  <si>
    <t>Number of TANF Recipients by State Fiscal Year, 2005-2014</t>
  </si>
  <si>
    <t>Number of SNAP Recipients by State Fiscal Year, 2005-2014</t>
  </si>
  <si>
    <t>Gender</t>
  </si>
  <si>
    <t>Benefit Client Demographics (SFY 2014)</t>
  </si>
  <si>
    <t>Children receiving adoption assistance</t>
  </si>
  <si>
    <t>Non-Marital Births</t>
  </si>
  <si>
    <t>Teen Births</t>
  </si>
  <si>
    <t>Rate</t>
  </si>
  <si>
    <t>Births (2012)</t>
  </si>
  <si>
    <t>Age Group</t>
  </si>
  <si>
    <t>Number of TANF Clients/Recipients by Gender, Age Group and Race/Ethnicity, SFY 2014</t>
  </si>
  <si>
    <t>Number of Medicaid and FAMIS Clients/Recipients by Gender, Age Group and Race/Ethnicity, SFY 2014</t>
  </si>
  <si>
    <r>
      <t>Any Benefit Program</t>
    </r>
    <r>
      <rPr>
        <vertAlign val="superscript"/>
        <sz val="9"/>
        <color theme="1"/>
        <rFont val="Cambria"/>
        <family val="1"/>
        <scheme val="major"/>
      </rPr>
      <t>2</t>
    </r>
  </si>
  <si>
    <r>
      <t>Any Program</t>
    </r>
    <r>
      <rPr>
        <b/>
        <vertAlign val="superscript"/>
        <sz val="9"/>
        <rFont val="Cambria"/>
        <family val="1"/>
        <scheme val="major"/>
      </rPr>
      <t>2</t>
    </r>
  </si>
  <si>
    <t>Number of Benefit Program Clients/Recipients by Gender, Age Group and Race/Ethnicity, SFY 2014</t>
  </si>
  <si>
    <t>Source: VDSS, Client Cross-Program Reporting, Client Cross-Program Locality Yearly Analysis (client counts for Medicaid, SNAP, and TANF for 2009-2014; unduplicated client count for each year). * Unduplicated count of clients across any of the three benefit programs (SNAP, TANF, and Medicaid).  Locality and state counts exclude clients enrolled from state mental health hospitals.</t>
  </si>
  <si>
    <t>Source: VDSS, Client Cross-Program Reporting, Client Cross-Program Locality Yearly Analysis (client counts for Medicaid, SNAP, and TANF for 2009-2014; unduplicated client counts for each year). 2005-2008 data came from ADAPT System Reporting, SFY ADAPT Client Analysis in January 2013. Locality and state counts exclude clients enrolled from state mental health hospitals.</t>
  </si>
  <si>
    <t>Source: VDSS, Client Cross-Program Reporting, Client Cross-Program Locality Yearly Analysis (client counts for Medicaid, SNAP, and TANF for 2009-2014; unduplicated client counts for each year). 2005-2008 data came from ADAPT System Reporting, SFY ADAPT Client Analysis in January 2013.</t>
  </si>
  <si>
    <t>Number of Households (Cases) Receiving Fuel, Cooling and Crisis Assistance, by Federal Fiscal Year (FFY) 2010-2014</t>
  </si>
  <si>
    <t>Source: Energy Assistance Program Reports (Data Warehouse, "Case Counts Agency Summary Report"). Number of cases are reported separately for each program component by federal fiscal year.</t>
  </si>
  <si>
    <t>Live Births, Nonmarital Births, and Percentage of Births that are Non-Marital, by LDSS Locality and Race of Mother, Virginia, 2012</t>
  </si>
  <si>
    <t>Percentage of Births that are Non-Marital, by LDSS, Virginia, 2002-2012</t>
  </si>
  <si>
    <t>Number of Non-Marital Births</t>
  </si>
  <si>
    <t>Percentage of Live Births that are Non-Marital</t>
  </si>
  <si>
    <t>Number of TANF Cases (Households) by State Fiscal Year, 2010-2014</t>
  </si>
  <si>
    <t>Number of SNAP Cases (Households) by State Fiscal Year, 2010-2014</t>
  </si>
  <si>
    <t xml:space="preserve">Source: VDSS, ADAPT Data Mart. Represent unduplicated case (household) counts in each state fiscal year overall for the state and for each locality. </t>
  </si>
  <si>
    <r>
      <t>Sources: Benefit Programs, ADAPT (Data Warehouse, Client Cross-Program Locality Yearly Analysis)</t>
    </r>
    <r>
      <rPr>
        <sz val="8"/>
        <color indexed="8"/>
        <rFont val="Cambria"/>
        <family val="1"/>
      </rPr>
      <t xml:space="preserve">. </t>
    </r>
    <r>
      <rPr>
        <vertAlign val="superscript"/>
        <sz val="8"/>
        <color indexed="8"/>
        <rFont val="Cambria"/>
        <family val="1"/>
      </rPr>
      <t>1</t>
    </r>
    <r>
      <rPr>
        <sz val="8"/>
        <color indexed="8"/>
        <rFont val="Cambria"/>
        <family val="1"/>
      </rPr>
      <t xml:space="preserve"> Excludes enrollees from state mental health hospitals. </t>
    </r>
    <r>
      <rPr>
        <vertAlign val="superscript"/>
        <sz val="8"/>
        <color indexed="8"/>
        <rFont val="Cambria"/>
        <family val="1"/>
      </rPr>
      <t>2</t>
    </r>
    <r>
      <rPr>
        <sz val="8"/>
        <color indexed="8"/>
        <rFont val="Cambria"/>
        <family val="1"/>
      </rPr>
      <t xml:space="preserve"> Unduplicated number of clients who received SNAP, TANF, and/or Medicaid. "Other" race includes clients who report being Asian, Hawaiian/Pacific Islander, American Indian/Alaskan Native, or more than one race; clients missing race information are excluded.</t>
    </r>
  </si>
  <si>
    <t>Number of Medicaid Cases (Households) by State Fiscal Year, 2010-2014</t>
  </si>
  <si>
    <t>Source: VDSS, MMIS Data Mart. Represent unduplicated case (household) counts in each state fiscal year overall for the state and for each locality.  Statewide totals include enrollments from state mental hospitals.</t>
  </si>
  <si>
    <t>Teen Birth Rates (per 1,000 population), by LDSS, Virginia, 1998-2012</t>
  </si>
  <si>
    <t>Number of Teen Births</t>
  </si>
  <si>
    <t>Teen (10-19 years) Population</t>
  </si>
  <si>
    <t>Teen Birth Rate (per 1,000 pop.)</t>
  </si>
  <si>
    <t>Teen Birth Rate</t>
  </si>
  <si>
    <t>Pct. Births Non-Marital</t>
  </si>
  <si>
    <t>Teen Births and Birth Rates by Race by LDSS, Virginia, 2012</t>
  </si>
  <si>
    <t>Teen Population</t>
  </si>
  <si>
    <t>For more information, contact the VDSS Office of Research and Planning.</t>
  </si>
  <si>
    <t>research@dss.virginia.gov</t>
  </si>
  <si>
    <t>Source: Virginia Department of Health, Center for Health Statistics. Refers to births by teen mothers aged 10-19 years. Teen birth rate is  per 1,000 population and is age-specific (not age-adjusted). "Other" race refers to residents who are Asian, Hawaiian/Pacific Islander, or American Indian/Alaskan Native.</t>
  </si>
  <si>
    <t>Source: Virginia Department of Health, Division of Health Statistics, Resident live birth data.  "Other" race refers to residents who are Asian, Hawaiian/Pacific Islander, or American Indian/Alaskan Native.</t>
  </si>
  <si>
    <t>Source: Virginia Department of Health. Based on records of live births among unmarried women aged 15-44 years and among teens aged 10-19 years. Teen birth rate is per 1,000 population.</t>
  </si>
  <si>
    <t>Annual Unemployment Rate by Locality, 2000-2013</t>
  </si>
  <si>
    <t>Source: Virginia Department of Social Services, Division of Information Services.  Information was updated on 12/11/2012.</t>
  </si>
  <si>
    <t>Number of Filled and Unfilled Positions by Locality (as of 11/30/2014)</t>
  </si>
  <si>
    <t>Voluntary positions are also excluded from the total counts.</t>
  </si>
  <si>
    <r>
      <rPr>
        <b/>
        <sz val="12"/>
        <color indexed="8"/>
        <rFont val="Calibri"/>
        <family val="2"/>
      </rPr>
      <t>Source:</t>
    </r>
    <r>
      <rPr>
        <sz val="12"/>
        <color indexed="8"/>
        <rFont val="Calibri"/>
        <family val="2"/>
      </rPr>
      <t xml:space="preserve"> VDSS, Human Resources, Locality Employment Tracking System (LETS), Position Reimbursement and Status Report Summary (as of 11/30/2013).  Report run on 12/1/2014. Excludes two unfilled positions that were missing classification.</t>
    </r>
  </si>
  <si>
    <t>Source: LETS, Position Reimbursement And Status Report for State (run on 12/1/2014). Refers to number of positions regardless of percent of time assigned. Invalid filled positions and voluntary positions are excluded. NER= Not eligible for reimbursement.</t>
  </si>
  <si>
    <t>Social Services Staffing (as of 11/30/2014)</t>
  </si>
  <si>
    <r>
      <t xml:space="preserve">Percent of Children living in a single-parent household (2009-2013) </t>
    </r>
    <r>
      <rPr>
        <sz val="9"/>
        <color theme="1"/>
        <rFont val="Cambria"/>
        <family val="1"/>
        <scheme val="major"/>
      </rPr>
      <t>(Source: U.S. Census Bureau, American Community Survey)</t>
    </r>
  </si>
  <si>
    <t>Children In Single-Parent Homes, by LDSS, Virginia (ACS 2009-2013 5-Year Estimate)</t>
  </si>
  <si>
    <t>Total Children under 18 in Family Households</t>
  </si>
  <si>
    <t>Children Under 18 Living in Married-Couple HH</t>
  </si>
  <si>
    <t>Children Under 18 Living in Single Parent HH</t>
  </si>
  <si>
    <t>Children Under 18 Living in Father Only HH</t>
  </si>
  <si>
    <t>Children Under 18 Living in Mother Only HH</t>
  </si>
  <si>
    <t>% Children Under 18 Living in Married Couple HH</t>
  </si>
  <si>
    <t>% Children Under 18 Living in Single Parent HH</t>
  </si>
  <si>
    <t>% Children Under 18 Living in Father Only HH</t>
  </si>
  <si>
    <t>% Children Under 18 Living in Mother Only HH</t>
  </si>
  <si>
    <t>Total Children under 6 in Family Households</t>
  </si>
  <si>
    <t>Children Under 6 Living in Married-Couple HH</t>
  </si>
  <si>
    <t>Children Under 6 Living in Single Parent HH</t>
  </si>
  <si>
    <t>Children Under 6 Living in Father Only HH</t>
  </si>
  <si>
    <t>Children Under 6 Living in Mother Only HH</t>
  </si>
  <si>
    <t>% Children Under 6 Living in Married Couple HH</t>
  </si>
  <si>
    <t>% Children Under 6 Living in Single Parent HH</t>
  </si>
  <si>
    <t>% Children Under 6 Living in Father Only HH</t>
  </si>
  <si>
    <t>% Children Under 6 Living in Mother Only HH</t>
  </si>
  <si>
    <t>Source: U.S. Census Bureau, American Community Survey (2009-2013 5-Year Estimate)</t>
  </si>
  <si>
    <t>PD</t>
  </si>
  <si>
    <t>PD: Partial deviation</t>
  </si>
  <si>
    <t>Source: VDSS, Division of Human Resources. Report run on 12/9/2014.</t>
  </si>
  <si>
    <t>Number of Energy Assistance Clients by Federal Fiscal Year, 2013-2014</t>
  </si>
  <si>
    <t>EA FFY 2013</t>
  </si>
  <si>
    <t>EA FFY 2014</t>
  </si>
  <si>
    <t>Source: VDSS, Energy Assistance Reports. Unduplicated number of clients served by federal fiscal year.</t>
  </si>
  <si>
    <r>
      <t>Energy Assistance</t>
    </r>
    <r>
      <rPr>
        <b/>
        <vertAlign val="superscript"/>
        <sz val="9"/>
        <color theme="1"/>
        <rFont val="Cambria"/>
        <family val="1"/>
        <scheme val="major"/>
      </rPr>
      <t>3</t>
    </r>
  </si>
  <si>
    <r>
      <t>Child Care</t>
    </r>
    <r>
      <rPr>
        <b/>
        <vertAlign val="superscript"/>
        <sz val="9"/>
        <color theme="1"/>
        <rFont val="Cambria"/>
        <family val="1"/>
        <scheme val="major"/>
      </rPr>
      <t>4</t>
    </r>
  </si>
  <si>
    <t>NA</t>
  </si>
  <si>
    <t>Number of SNAP Clients/Recipients by Gender, Age Group and Race, SFY 2014</t>
  </si>
  <si>
    <r>
      <rPr>
        <b/>
        <sz val="12"/>
        <color indexed="8"/>
        <rFont val="Calibri"/>
        <family val="2"/>
      </rPr>
      <t xml:space="preserve">Source: </t>
    </r>
    <r>
      <rPr>
        <sz val="12"/>
        <color indexed="8"/>
        <rFont val="Calibri"/>
        <family val="2"/>
      </rPr>
      <t>VDSS, ADAPT, Client Cross-Program Locality Yearly Analysis. Accessed from the Data Warehouse on 11/13/2014. "Other race" includes Asians, Hawaiians/Pacific Islanders, American Indians, and person who report "other". Persons with missing information on race were excluded.</t>
    </r>
  </si>
  <si>
    <r>
      <rPr>
        <b/>
        <sz val="12"/>
        <color indexed="8"/>
        <rFont val="Calibri"/>
        <family val="2"/>
      </rPr>
      <t xml:space="preserve">Source: </t>
    </r>
    <r>
      <rPr>
        <sz val="12"/>
        <color indexed="8"/>
        <rFont val="Calibri"/>
        <family val="2"/>
      </rPr>
      <t>VDSS, ADAPT, Client Cross-Program Locality Yearly Analysis. Accessed from the Data Warehouse on 11/13/2014. Excludes clients who were enrolled through state mental health hospitals.  "Other race" includes Asians, Hawaiians/Pacific Islanders, American Indians, and person who report "other". Persons with missing information on race were excluded.</t>
    </r>
  </si>
  <si>
    <r>
      <rPr>
        <b/>
        <sz val="12"/>
        <color indexed="8"/>
        <rFont val="Calibri"/>
        <family val="2"/>
      </rPr>
      <t xml:space="preserve">Source: </t>
    </r>
    <r>
      <rPr>
        <sz val="12"/>
        <color indexed="8"/>
        <rFont val="Calibri"/>
        <family val="2"/>
      </rPr>
      <t>VDSS, ADAPT, Client Cross-Program Locality Yearly Analysis. Accessed from the Data Warehouse on 11/13/2014. "Benefit Program Clients" is an unduplicated count of clients who received SNAP, TANF, and/or Medicaid during the year. Excludes clients who were enrolled through state mental health hospitals. "Other race" includes Asians, Hawaiians/Pacific Islanders, American Indians, and person who report "other". Persons with missing information on race were excluded.</t>
    </r>
  </si>
  <si>
    <t>Estimated Number of People Living in Poverty and Poverty Rate by LDSS, Virginia (Source: American Community Survey, 2009-2013 5-Year Estimates)</t>
  </si>
  <si>
    <t>All Ages</t>
  </si>
  <si>
    <t>Ages 0-17 years</t>
  </si>
  <si>
    <t>Ages 5-17 years</t>
  </si>
  <si>
    <t>SAIPE Poverty Universe</t>
  </si>
  <si>
    <t>Poverty Count</t>
  </si>
  <si>
    <t>Poverty Percent</t>
  </si>
  <si>
    <t>Source: U.S. Census Bureau, Small Area Income and Poverty Estimates (SAIPE), using data from the American Community Survey. 5-year estimates (2009-2013) were calculated. Estimates exclude people living in group quarters (e.g., college dormitories, military barracks, group homes).</t>
  </si>
  <si>
    <t>Percent of Population (All Ages) Living Below 100% Poverty, 2000-2013</t>
  </si>
  <si>
    <r>
      <rPr>
        <b/>
        <sz val="12"/>
        <color indexed="8"/>
        <rFont val="Calibri"/>
        <family val="2"/>
      </rPr>
      <t xml:space="preserve">Source: </t>
    </r>
    <r>
      <rPr>
        <sz val="12"/>
        <color indexed="8"/>
        <rFont val="Calibri"/>
        <family val="2"/>
      </rPr>
      <t>U.S. Census Bureau, 2013 Small Area Income and Poverty Estimates (SAIPE) Program. Source data is the American Community Survey, 2009-2013 5-Year estimates.</t>
    </r>
  </si>
  <si>
    <t>Percent of Children (0-17 Years) Living Below 100% Poverty, 2000-2013</t>
  </si>
  <si>
    <t>Source: US Census Bureau, Small Area Income and Poverty Estimates (SAIPE). Estimates are for 2013.</t>
  </si>
  <si>
    <t>Bedford</t>
  </si>
  <si>
    <t>Bedford County</t>
  </si>
  <si>
    <t>Source: VDSS, Division of Human Resources, Agency level designation. Updated 1/7/2015.</t>
  </si>
  <si>
    <r>
      <t>Staff and operations</t>
    </r>
    <r>
      <rPr>
        <vertAlign val="superscript"/>
        <sz val="9"/>
        <color theme="1"/>
        <rFont val="Cambria"/>
        <family val="1"/>
        <scheme val="major"/>
      </rPr>
      <t>1</t>
    </r>
  </si>
  <si>
    <t>850_Fed</t>
  </si>
  <si>
    <t>850_State</t>
  </si>
  <si>
    <t>850_Local</t>
  </si>
  <si>
    <t>850-Fund 0033</t>
  </si>
  <si>
    <t>850-Fund 0077</t>
  </si>
  <si>
    <t>850_Total</t>
  </si>
  <si>
    <t>852_Fed</t>
  </si>
  <si>
    <t>852_State</t>
  </si>
  <si>
    <t>852_Local</t>
  </si>
  <si>
    <t>852_Fund 0033</t>
  </si>
  <si>
    <t>852-Fund 0077</t>
  </si>
  <si>
    <t>852_Total</t>
  </si>
  <si>
    <t>855_Fed</t>
  </si>
  <si>
    <t>855_State</t>
  </si>
  <si>
    <t>855_Local</t>
  </si>
  <si>
    <t>855_Fund 0033</t>
  </si>
  <si>
    <t>855-Fund 0077</t>
  </si>
  <si>
    <t>855_Total</t>
  </si>
  <si>
    <t>858_Fed</t>
  </si>
  <si>
    <t>858_State</t>
  </si>
  <si>
    <t>858_Local</t>
  </si>
  <si>
    <t>858_Fund 0033</t>
  </si>
  <si>
    <t>858-Fund 0077</t>
  </si>
  <si>
    <t>858_Total</t>
  </si>
  <si>
    <t>Fund 0033</t>
  </si>
  <si>
    <t>Fund 0077</t>
  </si>
  <si>
    <t>Non-Reimbursable (0033 &amp; 0077)</t>
  </si>
  <si>
    <t>Local &amp; NER comb.</t>
  </si>
  <si>
    <r>
      <rPr>
        <b/>
        <sz val="12"/>
        <color indexed="8"/>
        <rFont val="Calibri"/>
        <family val="2"/>
      </rPr>
      <t xml:space="preserve">Source: </t>
    </r>
    <r>
      <rPr>
        <sz val="12"/>
        <color indexed="8"/>
        <rFont val="Calibri"/>
        <family val="2"/>
      </rPr>
      <t xml:space="preserve">VDSS, Division of Finances, LASER reports. </t>
    </r>
  </si>
  <si>
    <r>
      <t>Other expenses</t>
    </r>
    <r>
      <rPr>
        <vertAlign val="superscript"/>
        <sz val="9"/>
        <color theme="1"/>
        <rFont val="Cambria"/>
        <family val="1"/>
        <scheme val="major"/>
      </rPr>
      <t>2</t>
    </r>
  </si>
  <si>
    <t>Other Staffing and Operations Expenditures, SFY 2014</t>
  </si>
  <si>
    <t>000_Fund 0033</t>
  </si>
  <si>
    <t>000_Fund 0077</t>
  </si>
  <si>
    <t>805_Fund 0033</t>
  </si>
  <si>
    <t>805_Fund 0077</t>
  </si>
  <si>
    <t>Medicaid and FAMIS Benefit Spending, SFY 2014</t>
  </si>
  <si>
    <t>SNAP Benefit Spending, SFY 2014</t>
  </si>
  <si>
    <r>
      <t>Services purchased for clients</t>
    </r>
    <r>
      <rPr>
        <b/>
        <vertAlign val="superscript"/>
        <sz val="9"/>
        <color theme="1"/>
        <rFont val="Cambria"/>
        <family val="1"/>
        <scheme val="major"/>
      </rPr>
      <t>3</t>
    </r>
  </si>
  <si>
    <r>
      <t>Medicaid &amp; FAMIS</t>
    </r>
    <r>
      <rPr>
        <vertAlign val="superscript"/>
        <sz val="9"/>
        <color theme="1"/>
        <rFont val="Cambria"/>
        <family val="1"/>
        <scheme val="major"/>
      </rPr>
      <t>4</t>
    </r>
  </si>
  <si>
    <t>TANF_Fed</t>
  </si>
  <si>
    <t>TANF_ARRA</t>
  </si>
  <si>
    <t>TANF_State</t>
  </si>
  <si>
    <t>TANF_Local</t>
  </si>
  <si>
    <t>TANF_NER</t>
  </si>
  <si>
    <t>TANF_Total</t>
  </si>
  <si>
    <r>
      <t>TANF</t>
    </r>
    <r>
      <rPr>
        <vertAlign val="superscript"/>
        <sz val="9"/>
        <color theme="1"/>
        <rFont val="Cambria"/>
        <family val="1"/>
        <scheme val="major"/>
      </rPr>
      <t>5</t>
    </r>
  </si>
  <si>
    <t>810_Fund 0033</t>
  </si>
  <si>
    <t>848_Fund 0033</t>
  </si>
  <si>
    <t>848_Fund 0077</t>
  </si>
  <si>
    <t>867_Fund 0033</t>
  </si>
  <si>
    <t>867_Fund 0077</t>
  </si>
  <si>
    <t>808_Fund 0033</t>
  </si>
  <si>
    <t>LIHEAP Benefit Spending, SFY 2014</t>
  </si>
  <si>
    <t>LIHEAP_ARRA</t>
  </si>
  <si>
    <t>LIHEAP_State Share</t>
  </si>
  <si>
    <t>LIHEAP_Local Share</t>
  </si>
  <si>
    <t>LIHEAP_Fed Share</t>
  </si>
  <si>
    <t>LIHEAP_NER</t>
  </si>
  <si>
    <t>LIHEAP_Local/NER</t>
  </si>
  <si>
    <t>843_Fed</t>
  </si>
  <si>
    <t>843_State</t>
  </si>
  <si>
    <t>843_Local</t>
  </si>
  <si>
    <t>843_Fund 0033</t>
  </si>
  <si>
    <t>843_Fund 0077</t>
  </si>
  <si>
    <t>843_Total</t>
  </si>
  <si>
    <r>
      <t>Foster care and adoption</t>
    </r>
    <r>
      <rPr>
        <vertAlign val="superscript"/>
        <sz val="9"/>
        <color theme="1"/>
        <rFont val="Cambria"/>
        <family val="1"/>
        <scheme val="major"/>
      </rPr>
      <t>6</t>
    </r>
  </si>
  <si>
    <t>(6) Foster care and adoption: 811 (IV-E Foster Care), 812 (IV-E Adoption Assistance), 816 (International Home Studies), 817 (Special Needs Adoptions). CSA is reported separately.</t>
  </si>
  <si>
    <t>Foster Care and Adoption Spending, SFY 2014</t>
  </si>
  <si>
    <t>811_Fund 0033</t>
  </si>
  <si>
    <t>811_Fund 0077</t>
  </si>
  <si>
    <t>811_NER</t>
  </si>
  <si>
    <t>811_Local &amp; NER comb.</t>
  </si>
  <si>
    <t>Local/NER comb.</t>
  </si>
  <si>
    <t>812_Fund 0033</t>
  </si>
  <si>
    <t>812_Fund 0077</t>
  </si>
  <si>
    <t>812_NER</t>
  </si>
  <si>
    <t>812_Local &amp; NER comb.</t>
  </si>
  <si>
    <t>817_Fund 0033</t>
  </si>
  <si>
    <t>817_Fund 0077</t>
  </si>
  <si>
    <t>817_NER</t>
  </si>
  <si>
    <t>817_Local &amp; NER comb.</t>
  </si>
  <si>
    <t>816_Fund 0033</t>
  </si>
  <si>
    <t>816_Fund 0077</t>
  </si>
  <si>
    <t>816_NER</t>
  </si>
  <si>
    <t>816_Local &amp; NER comb.</t>
  </si>
  <si>
    <t>CSA_LOCAL</t>
  </si>
  <si>
    <t>CSA_FED</t>
  </si>
  <si>
    <t>CSA_STATE</t>
  </si>
  <si>
    <t>CSA_Non-Reimbursed</t>
  </si>
  <si>
    <t>CSA_Total</t>
  </si>
  <si>
    <t>CSA_Local/NER comb.</t>
  </si>
  <si>
    <t>Comprehensive Services, SFY 2014</t>
  </si>
  <si>
    <r>
      <t>Comprehensive Services (Title IV-E)</t>
    </r>
    <r>
      <rPr>
        <vertAlign val="superscript"/>
        <sz val="9"/>
        <color theme="1"/>
        <rFont val="Cambria"/>
        <family val="1"/>
        <scheme val="major"/>
      </rPr>
      <t>7</t>
    </r>
  </si>
  <si>
    <t xml:space="preserve">(2) Other operational expenses: 000 (Miscellaneous), 805 (Pre-Occupancy Local Facilities Cost), and 843 (Central Service Cost Allocation). </t>
  </si>
  <si>
    <t>(1) Local staff and operations: 850 (outstationed eligibility staff), 852 (dedicated Medicaid local effort), 855 (staff &amp; operations base budget), and 858 (staff &amp; operations pass through).</t>
  </si>
  <si>
    <t>(7) CSA Costs are paid at the local level with reimbursement from the State Comprehensive Services.</t>
  </si>
  <si>
    <t>Child Care Benefit Spending, 2014</t>
  </si>
  <si>
    <r>
      <t>Child Care</t>
    </r>
    <r>
      <rPr>
        <vertAlign val="superscript"/>
        <sz val="9"/>
        <color theme="1"/>
        <rFont val="Cambria"/>
        <family val="1"/>
        <scheme val="major"/>
      </rPr>
      <t>8</t>
    </r>
  </si>
  <si>
    <t>(8) For FY14, Child Care provider payments are made by VDSS through VACMS. Certain funds (871 and 881) are split 50%/50% between federal and state sources.</t>
  </si>
  <si>
    <t>(3) Other services purchased for clients: 217 (Guardianship Petitions), 824 (Other purchased services), 825 (Strengthening Families), 829 (Family Prevention, or SSBG), 833 (Adult Services), 844 (SNAPET Purchased Services), 861 (Independent Living Program - E&amp;T Vouchers), 862 (Independent Living Program - Basic Allocation), 864 (Respite Care for Foster Families), 866 (Family Preservation/Support - Purchased Services), 871 (TANF/VIEW -Working, Transportation and Child Care), 872 (VIEW), 873 (IV-E Foster/Adoptive Parent Training - enhanced rate), 875 (IV-E Foster/Adoptive Parent Training - admin rate), 878 (Head Start Transition to Work Child Care), 881 (Fee for Child Care - Matching), 883 (Fee for Child Care - 100% Federal), 888 (Non-VIEW Repayment of VACMS), 890 (Child Care Quality Initiative Program, and 895 (Adult Protective Services).</t>
  </si>
  <si>
    <r>
      <t>Other Benefits</t>
    </r>
    <r>
      <rPr>
        <vertAlign val="superscript"/>
        <sz val="9"/>
        <color theme="1"/>
        <rFont val="Cambria"/>
        <family val="1"/>
        <scheme val="major"/>
      </rPr>
      <t>9</t>
    </r>
  </si>
  <si>
    <t>804_Fund 0033</t>
  </si>
  <si>
    <t>804_Fund 077</t>
  </si>
  <si>
    <t>813_Fund 0033</t>
  </si>
  <si>
    <t>813_Fund 077</t>
  </si>
  <si>
    <t>819_Fund 0033</t>
  </si>
  <si>
    <t>819_Fund 0077</t>
  </si>
  <si>
    <t>Other Benefits Spending, SFY 2014</t>
  </si>
  <si>
    <t>864_Fund 0033</t>
  </si>
  <si>
    <t>864_Fund 0077</t>
  </si>
  <si>
    <t>866_Fund 0077</t>
  </si>
  <si>
    <t>866_Fund 0033</t>
  </si>
  <si>
    <t>217_Fund 0033</t>
  </si>
  <si>
    <t>217_Fund 0077</t>
  </si>
  <si>
    <r>
      <rPr>
        <b/>
        <sz val="12"/>
        <color indexed="8"/>
        <rFont val="Calibri"/>
        <family val="2"/>
      </rPr>
      <t>Source:</t>
    </r>
    <r>
      <rPr>
        <sz val="12"/>
        <color indexed="8"/>
        <rFont val="Calibri"/>
        <family val="2"/>
      </rPr>
      <t xml:space="preserve"> VDSS, Division of Finances, LASER reports. </t>
    </r>
  </si>
  <si>
    <t>824_Fund 0033</t>
  </si>
  <si>
    <t>824_Fund 0077</t>
  </si>
  <si>
    <t>Expenditures for Client Services, SFY 2014</t>
  </si>
  <si>
    <t>825_Fund 0033</t>
  </si>
  <si>
    <t>825_Fund 0077</t>
  </si>
  <si>
    <t>829_Fund 0033</t>
  </si>
  <si>
    <t>829_Fund 0077</t>
  </si>
  <si>
    <t>833_Fund 0033</t>
  </si>
  <si>
    <t>833_Fund 0077</t>
  </si>
  <si>
    <t>844_Fund 0033</t>
  </si>
  <si>
    <t>844_Fund 0077</t>
  </si>
  <si>
    <t>861_Fund 0033</t>
  </si>
  <si>
    <t>861_Fund 0077</t>
  </si>
  <si>
    <t>862_Fund 0033</t>
  </si>
  <si>
    <t>862_Local 0077</t>
  </si>
  <si>
    <t>871_Fund 0033</t>
  </si>
  <si>
    <t>871_Fund 0077</t>
  </si>
  <si>
    <t>872_Fund 0033</t>
  </si>
  <si>
    <t>872_Fund 0077</t>
  </si>
  <si>
    <t>873_Fund 0033</t>
  </si>
  <si>
    <t>873_Fund 0077</t>
  </si>
  <si>
    <t>875_Fund 0033</t>
  </si>
  <si>
    <t>875_Fund 0077</t>
  </si>
  <si>
    <t>878_Fund 0033</t>
  </si>
  <si>
    <t>878_Fund 0077</t>
  </si>
  <si>
    <t>881_Fund 0033</t>
  </si>
  <si>
    <t>881_Fund 0077</t>
  </si>
  <si>
    <t>883_Fund 0033</t>
  </si>
  <si>
    <t>883_Fund 0077</t>
  </si>
  <si>
    <t>888_Fund 0033</t>
  </si>
  <si>
    <t>888_Fund 0077</t>
  </si>
  <si>
    <t>890_Fund 0033</t>
  </si>
  <si>
    <t>890_Fund 0077</t>
  </si>
  <si>
    <t>895_Fund 0033</t>
  </si>
  <si>
    <t>895_Fund 0077</t>
  </si>
  <si>
    <t>Admin costs - % Total SS spending</t>
  </si>
  <si>
    <t>Services - % Total SS spending</t>
  </si>
  <si>
    <t>Benefits - % Total SS spending</t>
  </si>
  <si>
    <t>Total amount spent on Social Services in the locality (SFY 2014)</t>
  </si>
  <si>
    <r>
      <t xml:space="preserve">Total amount spent on Social Services </t>
    </r>
    <r>
      <rPr>
        <b/>
        <i/>
        <sz val="9"/>
        <color theme="6" tint="-0.499984740745262"/>
        <rFont val="Cambria"/>
        <family val="1"/>
      </rPr>
      <t>contributed by the locality</t>
    </r>
    <r>
      <rPr>
        <b/>
        <sz val="9"/>
        <color theme="6" tint="-0.499984740745262"/>
        <rFont val="Cambria"/>
        <family val="1"/>
      </rPr>
      <t xml:space="preserve"> (SFY 2014)</t>
    </r>
  </si>
  <si>
    <t>Admin costs - % by Funding Source</t>
  </si>
  <si>
    <t>Services - % by Funding Source</t>
  </si>
  <si>
    <t>Benefits - % by Funding Source</t>
  </si>
  <si>
    <t>SS Funding - % by Funding Source</t>
  </si>
  <si>
    <t>Benefits</t>
  </si>
  <si>
    <t>Services</t>
  </si>
  <si>
    <t>Social Services (SS) Spending,         SFY 2014</t>
  </si>
  <si>
    <t>Admini-stration</t>
  </si>
  <si>
    <t>All Sources</t>
  </si>
  <si>
    <t>Total SS Spending</t>
  </si>
  <si>
    <t>Total Social Services Spending, SFY2014</t>
  </si>
  <si>
    <t>Residents who received benefits (SNAP, TANF or Medicaid) in SFY 2014</t>
  </si>
  <si>
    <t>Social Services Spending - Summary, SFY 2014</t>
  </si>
  <si>
    <t>Client Benefits Spending - Summary, SFY 2014</t>
  </si>
  <si>
    <t>TANF/TANF-UP Benefit Spending, SFY 2014</t>
  </si>
  <si>
    <t>808_Fund 077</t>
  </si>
  <si>
    <t>810_Fund 077</t>
  </si>
  <si>
    <t>TANF_Local &amp; NER comb.</t>
  </si>
  <si>
    <t>(9) Other Benefit Payments: 804 (Auxiliary Grant), 813 (General Relief), 819 (Refugee Cash Assistance), 808 (TANF - Manual checks), 810 (TANF - Emergency assistance), 848 (TANF-UP - Manual checks), 867 (TANF - Competitive Grant).</t>
  </si>
  <si>
    <r>
      <t>SNAP</t>
    </r>
    <r>
      <rPr>
        <vertAlign val="superscript"/>
        <sz val="9"/>
        <color theme="1"/>
        <rFont val="Cambria"/>
        <family val="1"/>
        <scheme val="major"/>
      </rPr>
      <t>5</t>
    </r>
  </si>
  <si>
    <r>
      <t>Energy Assistance</t>
    </r>
    <r>
      <rPr>
        <vertAlign val="superscript"/>
        <sz val="9"/>
        <color theme="1"/>
        <rFont val="Cambria"/>
        <family val="1"/>
        <scheme val="major"/>
      </rPr>
      <t>5</t>
    </r>
  </si>
  <si>
    <t>(5) Medicaid, FAMIS, Comprehensive Services, SNAP, TANF/TANF UP, Energy Assistance and Child Care are coming from Section III - Statewide Benefit Payments of the LASER report. Refugee Assistance payments are made at Local Health Districts, not LDSS.</t>
  </si>
  <si>
    <t>(4) Medicaid and FAMIS are combined. The SLH program was not funded in SFY 2014. Local expenses are reported for Medicaid only.</t>
  </si>
  <si>
    <t>Admin/Services/Benefits comb.</t>
  </si>
  <si>
    <t>All Spending</t>
  </si>
  <si>
    <t>Local Spending</t>
  </si>
  <si>
    <t>Number of Children in CPS Referrals by Race, SFY 2014</t>
  </si>
  <si>
    <r>
      <t xml:space="preserve">Source: </t>
    </r>
    <r>
      <rPr>
        <sz val="12"/>
        <color indexed="8"/>
        <rFont val="Calibri"/>
        <family val="2"/>
      </rPr>
      <t>VDSS, Division of Family Services,</t>
    </r>
    <r>
      <rPr>
        <b/>
        <sz val="12"/>
        <color indexed="8"/>
        <rFont val="Calibri"/>
        <family val="2"/>
      </rPr>
      <t xml:space="preserve"> </t>
    </r>
    <r>
      <rPr>
        <sz val="12"/>
        <color indexed="8"/>
        <rFont val="Calibri"/>
        <family val="2"/>
      </rPr>
      <t>VCWOR ("Child Demographics Annual Report -- All Referrals"), SFY 2014 (report period: 7/1/2013 to 6/30/2014)  Report run on 1/30/2015. "Other" refers to children who are Asian, Native Hawaiian/Other Pacific Islander, or American Indian/Alaskan Native.  Hispanic origin is not mutually exclusive from race.</t>
    </r>
  </si>
  <si>
    <t>16 and older</t>
  </si>
  <si>
    <t>0-8 years</t>
  </si>
  <si>
    <t>9-15 years</t>
  </si>
  <si>
    <t>Missing</t>
  </si>
  <si>
    <r>
      <rPr>
        <vertAlign val="superscript"/>
        <sz val="8"/>
        <color theme="1"/>
        <rFont val="Cambria"/>
        <family val="1"/>
        <scheme val="major"/>
      </rPr>
      <t>1</t>
    </r>
    <r>
      <rPr>
        <sz val="8"/>
        <color theme="1"/>
        <rFont val="Cambria"/>
        <family val="1"/>
        <scheme val="major"/>
      </rPr>
      <t xml:space="preserve"> Source: Benefit Programs, ADAPT (Data Warehouse, Client Cross-Program Locality Yearly Analysis). Medicaid count excludes enrollees from state mental health hospitals.  </t>
    </r>
    <r>
      <rPr>
        <vertAlign val="superscript"/>
        <sz val="8"/>
        <color theme="1"/>
        <rFont val="Cambria"/>
        <family val="1"/>
        <scheme val="major"/>
      </rPr>
      <t>2</t>
    </r>
    <r>
      <rPr>
        <sz val="8"/>
        <color theme="1"/>
        <rFont val="Cambria"/>
        <family val="1"/>
        <scheme val="major"/>
      </rPr>
      <t xml:space="preserve"> Received SNAP, TANF and/or Medicaid during the year.  </t>
    </r>
    <r>
      <rPr>
        <vertAlign val="superscript"/>
        <sz val="8"/>
        <color theme="1"/>
        <rFont val="Cambria"/>
        <family val="1"/>
        <scheme val="major"/>
      </rPr>
      <t>3</t>
    </r>
    <r>
      <rPr>
        <sz val="8"/>
        <color theme="1"/>
        <rFont val="Cambria"/>
        <family val="1"/>
        <scheme val="major"/>
      </rPr>
      <t xml:space="preserve"> Source: Energy Assistance Report (across heating, cooling and crisis programs; data not available for 2010-2012).  </t>
    </r>
    <r>
      <rPr>
        <vertAlign val="superscript"/>
        <sz val="8"/>
        <color indexed="8"/>
        <rFont val="Cambria"/>
        <family val="1"/>
      </rPr>
      <t>4</t>
    </r>
    <r>
      <rPr>
        <sz val="8"/>
        <color indexed="8"/>
        <rFont val="Cambria"/>
        <family val="1"/>
      </rPr>
      <t xml:space="preserve"> Source: VaCMS (data not available for 2010-2013). Represent unduplicated client counts.</t>
    </r>
  </si>
  <si>
    <r>
      <rPr>
        <vertAlign val="superscript"/>
        <sz val="8"/>
        <color theme="1"/>
        <rFont val="Cambria"/>
        <family val="1"/>
        <scheme val="major"/>
      </rPr>
      <t>1</t>
    </r>
    <r>
      <rPr>
        <sz val="8"/>
        <color theme="1"/>
        <rFont val="Cambria"/>
        <family val="1"/>
        <scheme val="major"/>
      </rPr>
      <t xml:space="preserve"> Source: VDSS ADAPT Data Mart (SNAP and TANF counts); MMIS Data Mart (Medicaid counts). Represent unduplicated cases.</t>
    </r>
    <r>
      <rPr>
        <sz val="8"/>
        <color indexed="8"/>
        <rFont val="Cambria"/>
        <family val="1"/>
      </rPr>
      <t xml:space="preserve"> </t>
    </r>
    <r>
      <rPr>
        <vertAlign val="superscript"/>
        <sz val="8"/>
        <color indexed="8"/>
        <rFont val="Cambria"/>
        <family val="1"/>
      </rPr>
      <t>2</t>
    </r>
    <r>
      <rPr>
        <sz val="8"/>
        <color indexed="8"/>
        <rFont val="Cambria"/>
        <family val="1"/>
      </rPr>
      <t xml:space="preserve"> Source: Energy Assistance Case (Household) Counts Agency Summary Reports Reports. </t>
    </r>
    <r>
      <rPr>
        <vertAlign val="superscript"/>
        <sz val="8"/>
        <color indexed="8"/>
        <rFont val="Cambria"/>
        <family val="1"/>
      </rPr>
      <t>3</t>
    </r>
    <r>
      <rPr>
        <sz val="8"/>
        <color indexed="8"/>
        <rFont val="Cambria"/>
        <family val="1"/>
      </rPr>
      <t xml:space="preserve"> Source: VaCMS (represent "families"; data not available for 2010-2013).</t>
    </r>
  </si>
  <si>
    <t>Households (Cases) Served (unduplicated)</t>
  </si>
  <si>
    <t>Benefit Clients Served (unduplicated)</t>
  </si>
  <si>
    <t>Source: LASER, Statewide Summary. "NER" = Expenses not eligible for reimbursement. Costs rounded to whole dollars.</t>
  </si>
  <si>
    <t>Administrative Expenditures - Staffing, SFY 2014</t>
  </si>
  <si>
    <t>Child Care Subsidy Cases (Families) Served, SFY 2014 (unduplicated count)</t>
  </si>
  <si>
    <t>Source: VDSS, VaCMS. Unduplicated number of families served by state fiscal year.</t>
  </si>
  <si>
    <t>Child Care Subsidy Clients (Children) Served, SFY 2014 (unduplicated count)</t>
  </si>
  <si>
    <t>Asian/Hawaiian-Pacific Islander</t>
  </si>
  <si>
    <t>0-5</t>
  </si>
  <si>
    <t>6-10</t>
  </si>
  <si>
    <t>16-18</t>
  </si>
  <si>
    <t>19+</t>
  </si>
  <si>
    <t>Children in foster care (as of Sept. 30)</t>
  </si>
  <si>
    <t>Child Welfare Clients, 2014</t>
  </si>
  <si>
    <r>
      <t xml:space="preserve">Source: </t>
    </r>
    <r>
      <rPr>
        <sz val="12"/>
        <color indexed="8"/>
        <rFont val="Calibri"/>
        <family val="2"/>
      </rPr>
      <t>VDSS, VCWOR,  OASIS Rolling Year Data, "Children in Care at the End of the Year by Race/Ethnicity" (in care as of September 30, 2014). "Other" includes children who are Asian, Hawaiian, other Pacific Islander, American Indian, Alaskan Native, Hispanic, multiracial and persons missing race/ethnicity.</t>
    </r>
  </si>
  <si>
    <t>Number of Children in Foster Care (as of September 30, 2014), by Race and Locality and By Age</t>
  </si>
  <si>
    <t>0-5 years</t>
  </si>
  <si>
    <t>6-10 years</t>
  </si>
  <si>
    <t>11-15 years</t>
  </si>
  <si>
    <t>16-18 years</t>
  </si>
  <si>
    <t>11-15</t>
  </si>
  <si>
    <t>19+ years</t>
  </si>
  <si>
    <t>Adult subjects of APS Reports</t>
  </si>
  <si>
    <t>Number of Adult Protective Services Reports, SFY 2014</t>
  </si>
  <si>
    <t>18-59</t>
  </si>
  <si>
    <t>60 and older</t>
  </si>
  <si>
    <r>
      <rPr>
        <b/>
        <sz val="12"/>
        <color indexed="8"/>
        <rFont val="Calibri"/>
        <family val="2"/>
      </rPr>
      <t>Source:</t>
    </r>
    <r>
      <rPr>
        <sz val="12"/>
        <color indexed="8"/>
        <rFont val="Calibri"/>
        <family val="2"/>
      </rPr>
      <t xml:space="preserve"> ASAPS (Adult Services Adult Protectives Services) data system, "Adult Service Demographic Reports" (data as of 2/6/201513). "Other" race includes American Indian, Asian, other race, Spanish American, multiracial, and unknown race. </t>
    </r>
  </si>
  <si>
    <t>Adult Services Program (APS) Recipients, SFY 2014</t>
  </si>
  <si>
    <t>Source: Adult Services Adult Protective Services (ASAPS) system (data received 2/6/2015). "NA" = not available.</t>
  </si>
  <si>
    <t>County Executive</t>
  </si>
  <si>
    <t>Deputy County Administrator</t>
  </si>
  <si>
    <t>Board of County Supervisors and County Executive</t>
  </si>
  <si>
    <t>City Manager</t>
  </si>
  <si>
    <t>Deputy Chief Admin. Officer</t>
  </si>
  <si>
    <r>
      <rPr>
        <vertAlign val="superscript"/>
        <sz val="8"/>
        <color indexed="8"/>
        <rFont val="Cambria"/>
        <family val="1"/>
      </rPr>
      <t>2</t>
    </r>
    <r>
      <rPr>
        <sz val="8"/>
        <color indexed="8"/>
        <rFont val="Cambria"/>
        <family val="1"/>
      </rPr>
      <t xml:space="preserve"> Refers to the local department's HR policy deviation from VDSS policies: jurisdiction-wide deviation (local policies only), Non-deviating , or partial deviating.  Updated 1/31/2015.</t>
    </r>
  </si>
  <si>
    <r>
      <rPr>
        <vertAlign val="superscript"/>
        <sz val="8"/>
        <color indexed="8"/>
        <rFont val="Cambria"/>
        <family val="1"/>
      </rPr>
      <t>1</t>
    </r>
    <r>
      <rPr>
        <sz val="8"/>
        <color indexed="8"/>
        <rFont val="Cambria"/>
        <family val="1"/>
      </rPr>
      <t xml:space="preserve"> Refers to the local agency's level or size, varying from I (one) to III (three), with III being the largest. Updated 2/2/2015.</t>
    </r>
  </si>
  <si>
    <r>
      <rPr>
        <vertAlign val="superscript"/>
        <sz val="8"/>
        <color indexed="8"/>
        <rFont val="Cambria"/>
        <family val="1"/>
      </rPr>
      <t>4</t>
    </r>
    <r>
      <rPr>
        <sz val="8"/>
        <color indexed="8"/>
        <rFont val="Cambria"/>
        <family val="1"/>
      </rPr>
      <t xml:space="preserve"> Refers to whether the local agency's board type (administrative vs. advisory);for advisory boards, administrative entity is also stated. Updated 2/19/2015.</t>
    </r>
  </si>
  <si>
    <t>Number of Children for which Adoption Subsidies were received, by Race &amp; Age of Child (as of 2/1/2015)</t>
  </si>
  <si>
    <t>"Other" race includes Asians, American Indians, Hawaiians and Pacific Islanders, Multi-racial, and missing or unavailable race. The total excludes two people who were provided services through the State Office.</t>
  </si>
  <si>
    <t>Number of Children Adopted in FFY 2014, by Race &amp; Age of Child</t>
  </si>
  <si>
    <r>
      <rPr>
        <b/>
        <sz val="12"/>
        <color indexed="8"/>
        <rFont val="Calibri"/>
        <family val="2"/>
      </rPr>
      <t xml:space="preserve">Source: </t>
    </r>
    <r>
      <rPr>
        <sz val="12"/>
        <color indexed="8"/>
        <rFont val="Calibri"/>
        <family val="2"/>
      </rPr>
      <t>VDSS, Division of Family Services, OASIS/VCWOR, "Adoption Subsidy Race/Age Count". Based on data as of 2/1/2015.</t>
    </r>
  </si>
  <si>
    <r>
      <rPr>
        <b/>
        <sz val="12"/>
        <color indexed="8"/>
        <rFont val="Calibri"/>
        <family val="2"/>
      </rPr>
      <t xml:space="preserve">Source: </t>
    </r>
    <r>
      <rPr>
        <sz val="12"/>
        <color indexed="8"/>
        <rFont val="Calibri"/>
        <family val="2"/>
      </rPr>
      <t>VDSS, Division of Family Services, OASIS/VCWOR, "Children Adopted During Year By Race/ Age Range at Adoption". For federal fiscal year 2014 (October 1, 2013 - September 30, 2014).</t>
    </r>
  </si>
  <si>
    <t xml:space="preserve">"Other" race includes Asians, American Indians, Hawaiians and Pacific Islanders, Multi-racial, Hispanics, and children whose race information is missing or unavailable. </t>
  </si>
  <si>
    <t>Children exited to adoption (FFY 2014)</t>
  </si>
  <si>
    <r>
      <t>Children in CPS referrals (SFY 2014)</t>
    </r>
    <r>
      <rPr>
        <vertAlign val="superscript"/>
        <sz val="9"/>
        <color theme="1"/>
        <rFont val="Cambria"/>
        <family val="1"/>
        <scheme val="major"/>
      </rPr>
      <t>1</t>
    </r>
  </si>
  <si>
    <t xml:space="preserve">Sources: Division of Family Services, VCWOR/OASIS reports.  For "Children in CPS Referrals", age was unknown in 11% of cases, and is not included in this table. "Children in Foster Care", which is a point-in-time count, and "Children Exited to Adoption" are for the federal fiscal year, ending September 30. "Receiving Adoption Assistance": children receiving adoption services as of 2/1/2015.  </t>
  </si>
  <si>
    <t>2013 vs 2014</t>
  </si>
  <si>
    <t>2012 vs. 2013</t>
  </si>
  <si>
    <t>Source: VDSS, ADAPT Data Mart. Represent unduplicated case (household) counts in each state fiscal year overall for the state and for each locality.  Data obtained on 3/10/2015.</t>
  </si>
</sst>
</file>

<file path=xl/styles.xml><?xml version="1.0" encoding="utf-8"?>
<styleSheet xmlns="http://schemas.openxmlformats.org/spreadsheetml/2006/main">
  <numFmts count="19">
    <numFmt numFmtId="5" formatCode="&quot;$&quot;#,##0_);\(&quot;$&quot;#,##0\)"/>
    <numFmt numFmtId="7" formatCode="&quot;$&quot;#,##0.00_);\(&quot;$&quot;#,##0.00\)"/>
    <numFmt numFmtId="44" formatCode="_(&quot;$&quot;* #,##0.00_);_(&quot;$&quot;* \(#,##0.00\);_(&quot;$&quot;* &quot;-&quot;??_);_(@_)"/>
    <numFmt numFmtId="43" formatCode="_(* #,##0.00_);_(* \(#,##0.00\);_(* &quot;-&quot;??_);_(@_)"/>
    <numFmt numFmtId="164" formatCode="0.0%"/>
    <numFmt numFmtId="165" formatCode="0.0"/>
    <numFmt numFmtId="166" formatCode="&quot;$&quot;#,##0.00;\(&quot;$&quot;#,##0.00\)"/>
    <numFmt numFmtId="167" formatCode="&quot;$&quot;#,##0"/>
    <numFmt numFmtId="168" formatCode="#0"/>
    <numFmt numFmtId="169" formatCode="h\:mm\:ss\ AM/PM;@"/>
    <numFmt numFmtId="170" formatCode="mmm\ d\,\ yyyy;@"/>
    <numFmt numFmtId="171" formatCode="_(* #,##0_);_(* \(#,##0\);_(* &quot;-&quot;??_);_(@_)"/>
    <numFmt numFmtId="172" formatCode="_(* #,##0.0_);_(* \(#,##0.0\);_(* &quot;-&quot;??_);_(@_)"/>
    <numFmt numFmtId="173" formatCode="#_)"/>
    <numFmt numFmtId="174" formatCode="#,##0.0_);\(#,##0.0\)"/>
    <numFmt numFmtId="175" formatCode="#,##0_)"/>
    <numFmt numFmtId="176" formatCode="0_);\(0\)"/>
    <numFmt numFmtId="177" formatCode="_(&quot;$&quot;* #,##0_);_(&quot;$&quot;* \(#,##0\);_(&quot;$&quot;* &quot;-&quot;??_);_(@_)"/>
    <numFmt numFmtId="178" formatCode="&quot;$&quot;###.#"/>
  </numFmts>
  <fonts count="119">
    <font>
      <sz val="12"/>
      <color theme="1"/>
      <name val="Times New Roman"/>
      <family val="2"/>
    </font>
    <font>
      <sz val="12"/>
      <color indexed="8"/>
      <name val="Times New Roman"/>
      <family val="1"/>
    </font>
    <font>
      <u/>
      <sz val="10"/>
      <color indexed="12"/>
      <name val="Arial"/>
      <family val="2"/>
    </font>
    <font>
      <sz val="12"/>
      <name val="Times New Roman"/>
      <family val="1"/>
    </font>
    <font>
      <sz val="10"/>
      <name val="Arial"/>
      <family val="2"/>
    </font>
    <font>
      <sz val="10"/>
      <name val="Times New Roman"/>
      <family val="1"/>
    </font>
    <font>
      <b/>
      <sz val="12"/>
      <color indexed="8"/>
      <name val="Times New Roman"/>
      <family val="1"/>
    </font>
    <font>
      <sz val="10"/>
      <color indexed="8"/>
      <name val="Arial"/>
      <family val="2"/>
    </font>
    <font>
      <sz val="10"/>
      <color indexed="8"/>
      <name val="Arial"/>
      <family val="2"/>
    </font>
    <font>
      <sz val="10"/>
      <color indexed="81"/>
      <name val="Tahoma"/>
      <family val="2"/>
    </font>
    <font>
      <b/>
      <sz val="10"/>
      <color indexed="81"/>
      <name val="Tahoma"/>
      <family val="2"/>
    </font>
    <font>
      <sz val="10"/>
      <color indexed="8"/>
      <name val="Arial"/>
      <family val="2"/>
    </font>
    <font>
      <sz val="12"/>
      <color indexed="8"/>
      <name val="Times New Roman"/>
      <family val="1"/>
    </font>
    <font>
      <b/>
      <sz val="10"/>
      <color indexed="8"/>
      <name val="Arial"/>
      <family val="2"/>
    </font>
    <font>
      <b/>
      <sz val="12"/>
      <color indexed="8"/>
      <name val="Arial"/>
      <family val="2"/>
    </font>
    <font>
      <sz val="10"/>
      <name val="Arial"/>
      <family val="2"/>
    </font>
    <font>
      <sz val="10"/>
      <color indexed="8"/>
      <name val="Arial"/>
      <family val="2"/>
    </font>
    <font>
      <b/>
      <vertAlign val="superscript"/>
      <sz val="9"/>
      <color indexed="8"/>
      <name val="Cambria"/>
      <family val="1"/>
    </font>
    <font>
      <sz val="8"/>
      <color indexed="8"/>
      <name val="Cambria"/>
      <family val="1"/>
    </font>
    <font>
      <vertAlign val="superscript"/>
      <sz val="8"/>
      <color indexed="8"/>
      <name val="Cambria"/>
      <family val="1"/>
    </font>
    <font>
      <sz val="10"/>
      <name val="Calibri"/>
      <family val="2"/>
    </font>
    <font>
      <u/>
      <sz val="10"/>
      <color indexed="12"/>
      <name val="Calibri"/>
      <family val="2"/>
    </font>
    <font>
      <b/>
      <sz val="10"/>
      <name val="Calibri"/>
      <family val="2"/>
    </font>
    <font>
      <b/>
      <sz val="12"/>
      <name val="Calibri"/>
      <family val="2"/>
    </font>
    <font>
      <sz val="12"/>
      <name val="Calibri"/>
      <family val="2"/>
    </font>
    <font>
      <b/>
      <sz val="12"/>
      <color indexed="8"/>
      <name val="Calibri"/>
      <family val="2"/>
    </font>
    <font>
      <sz val="12"/>
      <color indexed="8"/>
      <name val="Calibri"/>
      <family val="2"/>
    </font>
    <font>
      <vertAlign val="superscript"/>
      <sz val="9"/>
      <color indexed="8"/>
      <name val="Cambria"/>
      <family val="1"/>
    </font>
    <font>
      <sz val="10"/>
      <color indexed="8"/>
      <name val="Arial"/>
      <family val="2"/>
    </font>
    <font>
      <b/>
      <sz val="10"/>
      <name val="Arial"/>
      <family val="2"/>
    </font>
    <font>
      <sz val="12"/>
      <color indexed="8"/>
      <name val="Calibri"/>
      <family val="2"/>
    </font>
    <font>
      <u/>
      <sz val="12"/>
      <color indexed="12"/>
      <name val="Calibri"/>
      <family val="2"/>
    </font>
    <font>
      <sz val="12"/>
      <name val="Courier New"/>
      <family val="3"/>
    </font>
    <font>
      <sz val="12"/>
      <color indexed="8"/>
      <name val="Arial"/>
      <family val="2"/>
    </font>
    <font>
      <b/>
      <sz val="12"/>
      <color indexed="8"/>
      <name val="Calibri"/>
      <family val="2"/>
    </font>
    <font>
      <b/>
      <vertAlign val="superscript"/>
      <sz val="12"/>
      <color indexed="8"/>
      <name val="Calibri"/>
      <family val="2"/>
    </font>
    <font>
      <vertAlign val="superscript"/>
      <sz val="12"/>
      <name val="Calibri"/>
      <family val="2"/>
    </font>
    <font>
      <sz val="12"/>
      <color indexed="10"/>
      <name val="Calibri"/>
      <family val="2"/>
    </font>
    <font>
      <b/>
      <sz val="10"/>
      <color indexed="8"/>
      <name val="Calibri"/>
      <family val="2"/>
    </font>
    <font>
      <sz val="10"/>
      <color indexed="8"/>
      <name val="Calibri"/>
      <family val="2"/>
    </font>
    <font>
      <sz val="10"/>
      <color indexed="64"/>
      <name val="Arial"/>
      <family val="2"/>
    </font>
    <font>
      <b/>
      <sz val="10"/>
      <color indexed="64"/>
      <name val="Arial"/>
      <family val="2"/>
    </font>
    <font>
      <sz val="12"/>
      <color theme="1"/>
      <name val="Times New Roman"/>
      <family val="2"/>
    </font>
    <font>
      <sz val="10"/>
      <color theme="1"/>
      <name val="Tahoma"/>
      <family val="2"/>
    </font>
    <font>
      <u/>
      <sz val="12"/>
      <color theme="10"/>
      <name val="Times New Roman"/>
      <family val="2"/>
    </font>
    <font>
      <sz val="11"/>
      <color theme="1"/>
      <name val="Calibri"/>
      <family val="2"/>
      <scheme val="minor"/>
    </font>
    <font>
      <u/>
      <sz val="8"/>
      <color rgb="FF000000"/>
      <name val="Tahoma"/>
      <family val="2"/>
    </font>
    <font>
      <sz val="8"/>
      <color rgb="FF000000"/>
      <name val="Tahoma"/>
      <family val="2"/>
    </font>
    <font>
      <sz val="10"/>
      <color rgb="FF000000"/>
      <name val="Tahoma"/>
      <family val="2"/>
    </font>
    <font>
      <sz val="10"/>
      <color theme="1"/>
      <name val="Arial"/>
      <family val="2"/>
    </font>
    <font>
      <b/>
      <sz val="12"/>
      <color rgb="FFFF0000"/>
      <name val="Times New Roman"/>
      <family val="1"/>
    </font>
    <font>
      <b/>
      <sz val="8"/>
      <color rgb="FF000000"/>
      <name val="Tahoma"/>
      <family val="2"/>
    </font>
    <font>
      <b/>
      <sz val="12"/>
      <color theme="1"/>
      <name val="Calibri"/>
      <family val="2"/>
      <scheme val="minor"/>
    </font>
    <font>
      <b/>
      <sz val="10"/>
      <color theme="1"/>
      <name val="Calibri"/>
      <family val="2"/>
      <scheme val="minor"/>
    </font>
    <font>
      <sz val="9"/>
      <color theme="1"/>
      <name val="Cambria"/>
      <family val="1"/>
      <scheme val="major"/>
    </font>
    <font>
      <b/>
      <sz val="9"/>
      <color theme="1"/>
      <name val="Cambria"/>
      <family val="1"/>
      <scheme val="major"/>
    </font>
    <font>
      <b/>
      <sz val="9"/>
      <color rgb="FFFF0000"/>
      <name val="Cambria"/>
      <family val="1"/>
      <scheme val="major"/>
    </font>
    <font>
      <sz val="8"/>
      <color theme="1"/>
      <name val="Cambria"/>
      <family val="1"/>
      <scheme val="major"/>
    </font>
    <font>
      <sz val="10"/>
      <color theme="1"/>
      <name val="Times New Roman"/>
      <family val="2"/>
    </font>
    <font>
      <b/>
      <sz val="10"/>
      <color theme="1"/>
      <name val="Calibri"/>
      <family val="2"/>
    </font>
    <font>
      <sz val="10"/>
      <color theme="1"/>
      <name val="Calibri"/>
      <family val="2"/>
    </font>
    <font>
      <sz val="12"/>
      <color theme="1"/>
      <name val="Calibri"/>
      <family val="2"/>
    </font>
    <font>
      <b/>
      <sz val="10"/>
      <color theme="1"/>
      <name val="Cambria"/>
      <family val="1"/>
      <scheme val="major"/>
    </font>
    <font>
      <sz val="10"/>
      <color theme="1"/>
      <name val="Cambria"/>
      <family val="1"/>
      <scheme val="major"/>
    </font>
    <font>
      <u/>
      <sz val="10"/>
      <color indexed="12"/>
      <name val="Calibri"/>
      <family val="2"/>
      <scheme val="minor"/>
    </font>
    <font>
      <b/>
      <sz val="12"/>
      <color theme="1"/>
      <name val="Cambria"/>
      <family val="1"/>
      <scheme val="major"/>
    </font>
    <font>
      <b/>
      <sz val="12"/>
      <color theme="1"/>
      <name val="Calibri"/>
      <family val="2"/>
    </font>
    <font>
      <b/>
      <sz val="12"/>
      <name val="Calibri"/>
      <family val="2"/>
      <scheme val="minor"/>
    </font>
    <font>
      <sz val="10"/>
      <name val="Calibri"/>
      <family val="2"/>
      <scheme val="minor"/>
    </font>
    <font>
      <b/>
      <sz val="12"/>
      <color indexed="8"/>
      <name val="Calibri"/>
      <family val="2"/>
      <scheme val="minor"/>
    </font>
    <font>
      <sz val="12"/>
      <color indexed="8"/>
      <name val="Calibri"/>
      <family val="2"/>
      <scheme val="minor"/>
    </font>
    <font>
      <sz val="10"/>
      <color theme="1"/>
      <name val="Calibri"/>
      <family val="2"/>
      <scheme val="minor"/>
    </font>
    <font>
      <u/>
      <sz val="9"/>
      <color theme="1"/>
      <name val="Cambria"/>
      <family val="1"/>
      <scheme val="major"/>
    </font>
    <font>
      <sz val="12"/>
      <color theme="1"/>
      <name val="Calibri"/>
      <family val="2"/>
      <scheme val="minor"/>
    </font>
    <font>
      <i/>
      <sz val="9"/>
      <color theme="1"/>
      <name val="Cambria"/>
      <family val="1"/>
      <scheme val="major"/>
    </font>
    <font>
      <b/>
      <sz val="16"/>
      <color theme="6" tint="-0.249977111117893"/>
      <name val="Cambria"/>
      <family val="1"/>
      <scheme val="major"/>
    </font>
    <font>
      <b/>
      <sz val="10"/>
      <color theme="1"/>
      <name val="Times New Roman"/>
      <family val="1"/>
    </font>
    <font>
      <i/>
      <sz val="8"/>
      <color theme="1"/>
      <name val="Cambria"/>
      <family val="1"/>
      <scheme val="major"/>
    </font>
    <font>
      <b/>
      <sz val="9"/>
      <color theme="6" tint="-0.499984740745262"/>
      <name val="Cambria"/>
      <family val="1"/>
      <scheme val="major"/>
    </font>
    <font>
      <sz val="12"/>
      <name val="Calibri"/>
      <family val="2"/>
      <scheme val="minor"/>
    </font>
    <font>
      <u/>
      <sz val="12"/>
      <color indexed="12"/>
      <name val="Calibri"/>
      <family val="2"/>
      <scheme val="minor"/>
    </font>
    <font>
      <b/>
      <sz val="12"/>
      <color rgb="FF000000"/>
      <name val="Calibri"/>
      <family val="2"/>
      <scheme val="minor"/>
    </font>
    <font>
      <sz val="12"/>
      <color rgb="FF000000"/>
      <name val="Calibri"/>
      <family val="2"/>
      <scheme val="minor"/>
    </font>
    <font>
      <b/>
      <sz val="10"/>
      <color theme="1"/>
      <name val="Arial"/>
      <family val="2"/>
    </font>
    <font>
      <sz val="10"/>
      <color indexed="8"/>
      <name val="Calibri"/>
      <family val="2"/>
      <scheme val="minor"/>
    </font>
    <font>
      <b/>
      <sz val="10"/>
      <color indexed="8"/>
      <name val="Calibri"/>
      <family val="2"/>
      <scheme val="minor"/>
    </font>
    <font>
      <sz val="11"/>
      <color indexed="8"/>
      <name val="Calibri"/>
      <family val="2"/>
      <scheme val="minor"/>
    </font>
    <font>
      <b/>
      <sz val="11"/>
      <color indexed="8"/>
      <name val="Calibri"/>
      <family val="2"/>
      <scheme val="minor"/>
    </font>
    <font>
      <b/>
      <sz val="11"/>
      <color theme="1"/>
      <name val="Calibri"/>
      <family val="2"/>
      <scheme val="minor"/>
    </font>
    <font>
      <b/>
      <sz val="11"/>
      <color indexed="64"/>
      <name val="Calibri"/>
      <family val="2"/>
      <scheme val="minor"/>
    </font>
    <font>
      <sz val="11"/>
      <color indexed="64"/>
      <name val="Calibri"/>
      <family val="2"/>
      <scheme val="minor"/>
    </font>
    <font>
      <b/>
      <sz val="9"/>
      <color theme="0"/>
      <name val="Cambria"/>
      <family val="1"/>
      <scheme val="major"/>
    </font>
    <font>
      <b/>
      <sz val="10"/>
      <name val="Cambria"/>
      <family val="1"/>
      <scheme val="major"/>
    </font>
    <font>
      <i/>
      <sz val="10"/>
      <color theme="1"/>
      <name val="Cambria"/>
      <family val="1"/>
      <scheme val="major"/>
    </font>
    <font>
      <b/>
      <sz val="14"/>
      <color theme="8" tint="-0.499984740745262"/>
      <name val="Cambria"/>
      <family val="1"/>
      <scheme val="major"/>
    </font>
    <font>
      <b/>
      <sz val="12"/>
      <color theme="8" tint="-0.499984740745262"/>
      <name val="Cambria"/>
      <family val="1"/>
      <scheme val="major"/>
    </font>
    <font>
      <b/>
      <sz val="10"/>
      <color theme="0"/>
      <name val="Cambria"/>
      <family val="1"/>
      <scheme val="major"/>
    </font>
    <font>
      <b/>
      <sz val="9"/>
      <name val="Cambria"/>
      <family val="1"/>
      <scheme val="major"/>
    </font>
    <font>
      <b/>
      <vertAlign val="superscript"/>
      <sz val="9"/>
      <color theme="1"/>
      <name val="Cambria"/>
      <family val="1"/>
      <scheme val="major"/>
    </font>
    <font>
      <vertAlign val="superscript"/>
      <sz val="8"/>
      <color theme="1"/>
      <name val="Cambria"/>
      <family val="1"/>
      <scheme val="major"/>
    </font>
    <font>
      <b/>
      <sz val="14"/>
      <color theme="7" tint="-0.249977111117893"/>
      <name val="Cambria"/>
      <family val="1"/>
      <scheme val="major"/>
    </font>
    <font>
      <b/>
      <sz val="12"/>
      <color theme="2"/>
      <name val="Cambria"/>
      <family val="1"/>
      <scheme val="major"/>
    </font>
    <font>
      <vertAlign val="superscript"/>
      <sz val="9"/>
      <color theme="1"/>
      <name val="Cambria"/>
      <family val="1"/>
      <scheme val="major"/>
    </font>
    <font>
      <sz val="9"/>
      <color theme="0"/>
      <name val="Cambria"/>
      <family val="1"/>
      <scheme val="major"/>
    </font>
    <font>
      <b/>
      <sz val="9"/>
      <color theme="1"/>
      <name val="Calibri"/>
      <family val="2"/>
      <scheme val="minor"/>
    </font>
    <font>
      <sz val="9"/>
      <color theme="1"/>
      <name val="Calibri"/>
      <family val="2"/>
      <scheme val="minor"/>
    </font>
    <font>
      <sz val="8"/>
      <color theme="1"/>
      <name val="Calibri"/>
      <family val="2"/>
      <scheme val="minor"/>
    </font>
    <font>
      <b/>
      <sz val="10"/>
      <color theme="0"/>
      <name val="Calibri"/>
      <family val="2"/>
      <scheme val="minor"/>
    </font>
    <font>
      <sz val="12"/>
      <color theme="1"/>
      <name val="Cambria"/>
      <family val="1"/>
      <scheme val="major"/>
    </font>
    <font>
      <b/>
      <vertAlign val="superscript"/>
      <sz val="9"/>
      <name val="Cambria"/>
      <family val="1"/>
      <scheme val="major"/>
    </font>
    <font>
      <b/>
      <i/>
      <sz val="9"/>
      <color theme="6" tint="-0.499984740745262"/>
      <name val="Cambria"/>
      <family val="1"/>
    </font>
    <font>
      <b/>
      <sz val="9"/>
      <color theme="6" tint="-0.499984740745262"/>
      <name val="Cambria"/>
      <family val="1"/>
    </font>
    <font>
      <b/>
      <sz val="10"/>
      <name val="Calibri"/>
      <family val="2"/>
      <scheme val="minor"/>
    </font>
    <font>
      <u/>
      <sz val="10"/>
      <color theme="10"/>
      <name val="Calibri"/>
      <family val="2"/>
    </font>
    <font>
      <b/>
      <sz val="12"/>
      <color theme="1"/>
      <name val="Times New Roman"/>
      <family val="2"/>
    </font>
    <font>
      <b/>
      <sz val="16"/>
      <color theme="1"/>
      <name val="Cambria"/>
      <family val="1"/>
      <scheme val="major"/>
    </font>
    <font>
      <b/>
      <sz val="8"/>
      <color theme="1"/>
      <name val="Cambria"/>
      <family val="1"/>
      <scheme val="major"/>
    </font>
    <font>
      <b/>
      <sz val="8"/>
      <color rgb="FFFF0000"/>
      <name val="Cambria"/>
      <family val="1"/>
      <scheme val="major"/>
    </font>
    <font>
      <sz val="8.5"/>
      <color theme="1"/>
      <name val="Cambria"/>
      <family val="1"/>
      <scheme val="major"/>
    </font>
  </fonts>
  <fills count="32">
    <fill>
      <patternFill patternType="none"/>
    </fill>
    <fill>
      <patternFill patternType="gray125"/>
    </fill>
    <fill>
      <patternFill patternType="solid">
        <fgColor indexed="22"/>
        <bgColor indexed="0"/>
      </patternFill>
    </fill>
    <fill>
      <patternFill patternType="solid">
        <fgColor indexed="9"/>
        <bgColor indexed="64"/>
      </patternFill>
    </fill>
    <fill>
      <patternFill patternType="solid">
        <fgColor rgb="FFDFDFDF"/>
        <bgColor indexed="64"/>
      </patternFill>
    </fill>
    <fill>
      <patternFill patternType="solid">
        <fgColor rgb="FFBFD2E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0"/>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3" tint="0.39997558519241921"/>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rgb="FFDFDFDF"/>
      </patternFill>
    </fill>
    <fill>
      <patternFill patternType="solid">
        <fgColor rgb="FFFFFF00"/>
        <bgColor indexed="64"/>
      </patternFill>
    </fill>
    <fill>
      <patternFill patternType="solid">
        <fgColor theme="4" tint="0.79998168889431442"/>
        <bgColor indexed="0"/>
      </patternFill>
    </fill>
    <fill>
      <patternFill patternType="solid">
        <fgColor theme="4" tint="0.59996337778862885"/>
        <bgColor indexed="64"/>
      </patternFill>
    </fill>
    <fill>
      <patternFill patternType="solid">
        <fgColor rgb="FFFFC000"/>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4"/>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7" tint="-0.24994659260841701"/>
        <bgColor indexed="64"/>
      </patternFill>
    </fill>
    <fill>
      <patternFill patternType="solid">
        <fgColor theme="3" tint="0.59999389629810485"/>
        <bgColor indexed="64"/>
      </patternFill>
    </fill>
  </fills>
  <borders count="220">
    <border>
      <left/>
      <right/>
      <top/>
      <bottom/>
      <diagonal/>
    </border>
    <border>
      <left style="thin">
        <color indexed="22"/>
      </left>
      <right style="thin">
        <color indexed="22"/>
      </right>
      <top style="thin">
        <color indexed="22"/>
      </top>
      <bottom style="thin">
        <color indexed="22"/>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
      <left/>
      <right/>
      <top/>
      <bottom style="thin">
        <color indexed="8"/>
      </bottom>
      <diagonal/>
    </border>
    <border>
      <left/>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style="thin">
        <color indexed="22"/>
      </right>
      <top style="thin">
        <color indexed="22"/>
      </top>
      <bottom style="thin">
        <color indexed="22"/>
      </bottom>
      <diagonal/>
    </border>
    <border>
      <left style="thin">
        <color indexed="8"/>
      </left>
      <right/>
      <top/>
      <bottom/>
      <diagonal/>
    </border>
    <border>
      <left style="thin">
        <color indexed="22"/>
      </left>
      <right style="thin">
        <color indexed="22"/>
      </right>
      <top/>
      <bottom style="thin">
        <color indexed="22"/>
      </bottom>
      <diagonal/>
    </border>
    <border>
      <left style="thin">
        <color indexed="22"/>
      </left>
      <right/>
      <top style="thin">
        <color indexed="22"/>
      </top>
      <bottom style="thin">
        <color indexed="22"/>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dashed">
        <color indexed="64"/>
      </right>
      <top style="thin">
        <color indexed="64"/>
      </top>
      <bottom/>
      <diagonal/>
    </border>
    <border>
      <left style="dashed">
        <color indexed="64"/>
      </left>
      <right style="dashed">
        <color indexed="64"/>
      </right>
      <top style="thin">
        <color indexed="64"/>
      </top>
      <bottom/>
      <diagonal/>
    </border>
    <border>
      <left style="dashed">
        <color indexed="64"/>
      </left>
      <right style="thin">
        <color indexed="64"/>
      </right>
      <top style="thin">
        <color indexed="64"/>
      </top>
      <bottom/>
      <diagonal/>
    </border>
    <border>
      <left style="thin">
        <color indexed="64"/>
      </left>
      <right style="dashed">
        <color indexed="64"/>
      </right>
      <top style="thin">
        <color indexed="64"/>
      </top>
      <bottom style="thin">
        <color indexed="64"/>
      </bottom>
      <diagonal/>
    </border>
    <border>
      <left style="dashed">
        <color indexed="64"/>
      </left>
      <right style="dashed">
        <color indexed="64"/>
      </right>
      <top style="thin">
        <color indexed="64"/>
      </top>
      <bottom style="thin">
        <color indexed="64"/>
      </bottom>
      <diagonal/>
    </border>
    <border>
      <left style="dashed">
        <color indexed="64"/>
      </left>
      <right style="thin">
        <color indexed="64"/>
      </right>
      <top style="thin">
        <color indexed="64"/>
      </top>
      <bottom style="thin">
        <color indexed="64"/>
      </bottom>
      <diagonal/>
    </border>
    <border>
      <left style="thin">
        <color indexed="64"/>
      </left>
      <right style="dashed">
        <color indexed="64"/>
      </right>
      <top/>
      <bottom/>
      <diagonal/>
    </border>
    <border>
      <left style="dashed">
        <color indexed="64"/>
      </left>
      <right style="thin">
        <color indexed="64"/>
      </right>
      <top/>
      <bottom/>
      <diagonal/>
    </border>
    <border>
      <left style="dashed">
        <color indexed="64"/>
      </left>
      <right style="dashed">
        <color indexed="64"/>
      </right>
      <top/>
      <bottom/>
      <diagonal/>
    </border>
    <border>
      <left style="thin">
        <color indexed="64"/>
      </left>
      <right style="dashed">
        <color indexed="64"/>
      </right>
      <top/>
      <bottom style="thin">
        <color indexed="64"/>
      </bottom>
      <diagonal/>
    </border>
    <border>
      <left style="dashed">
        <color indexed="64"/>
      </left>
      <right style="thin">
        <color indexed="64"/>
      </right>
      <top/>
      <bottom style="thin">
        <color indexed="64"/>
      </bottom>
      <diagonal/>
    </border>
    <border>
      <left style="dashed">
        <color indexed="64"/>
      </left>
      <right style="dashed">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22"/>
      </top>
      <bottom style="thin">
        <color indexed="22"/>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8"/>
      </left>
      <right style="dashed">
        <color indexed="8"/>
      </right>
      <top/>
      <bottom/>
      <diagonal/>
    </border>
    <border>
      <left style="dashed">
        <color indexed="8"/>
      </left>
      <right style="dashed">
        <color indexed="8"/>
      </right>
      <top/>
      <bottom/>
      <diagonal/>
    </border>
    <border>
      <left style="dashed">
        <color indexed="8"/>
      </left>
      <right style="thin">
        <color indexed="8"/>
      </right>
      <top/>
      <bottom/>
      <diagonal/>
    </border>
    <border>
      <left/>
      <right/>
      <top style="thin">
        <color indexed="64"/>
      </top>
      <bottom/>
      <diagonal/>
    </border>
    <border>
      <left style="thin">
        <color indexed="64"/>
      </left>
      <right/>
      <top style="thin">
        <color indexed="64"/>
      </top>
      <bottom/>
      <diagonal/>
    </border>
    <border>
      <left style="dashed">
        <color indexed="64"/>
      </left>
      <right/>
      <top style="thin">
        <color indexed="64"/>
      </top>
      <bottom style="thin">
        <color indexed="64"/>
      </bottom>
      <diagonal/>
    </border>
    <border>
      <left style="thin">
        <color indexed="22"/>
      </left>
      <right/>
      <top/>
      <bottom/>
      <diagonal/>
    </border>
    <border>
      <left style="dashed">
        <color indexed="64"/>
      </left>
      <right/>
      <top/>
      <bottom/>
      <diagonal/>
    </border>
    <border>
      <left style="dashed">
        <color indexed="64"/>
      </left>
      <right/>
      <top style="thin">
        <color indexed="64"/>
      </top>
      <bottom/>
      <diagonal/>
    </border>
    <border>
      <left style="thin">
        <color indexed="64"/>
      </left>
      <right style="dashed">
        <color indexed="64"/>
      </right>
      <top style="thin">
        <color indexed="64"/>
      </top>
      <bottom style="thin">
        <color indexed="8"/>
      </bottom>
      <diagonal/>
    </border>
    <border>
      <left/>
      <right style="dashed">
        <color indexed="64"/>
      </right>
      <top style="thin">
        <color indexed="64"/>
      </top>
      <bottom style="thin">
        <color indexed="8"/>
      </bottom>
      <diagonal/>
    </border>
    <border>
      <left style="dashed">
        <color indexed="64"/>
      </left>
      <right style="dashed">
        <color indexed="64"/>
      </right>
      <top style="thin">
        <color indexed="64"/>
      </top>
      <bottom style="thin">
        <color indexed="8"/>
      </bottom>
      <diagonal/>
    </border>
    <border>
      <left style="dashed">
        <color indexed="64"/>
      </left>
      <right style="thin">
        <color indexed="64"/>
      </right>
      <top style="thin">
        <color indexed="64"/>
      </top>
      <bottom style="thin">
        <color indexed="8"/>
      </bottom>
      <diagonal/>
    </border>
    <border>
      <left style="thin">
        <color indexed="64"/>
      </left>
      <right style="thin">
        <color indexed="64"/>
      </right>
      <top style="thin">
        <color indexed="64"/>
      </top>
      <bottom style="thin">
        <color indexed="8"/>
      </bottom>
      <diagonal/>
    </border>
    <border>
      <left style="thin">
        <color indexed="64"/>
      </left>
      <right style="dashed">
        <color indexed="64"/>
      </right>
      <top/>
      <bottom style="thin">
        <color indexed="8"/>
      </bottom>
      <diagonal/>
    </border>
    <border>
      <left style="dashed">
        <color indexed="64"/>
      </left>
      <right style="dashed">
        <color indexed="64"/>
      </right>
      <top/>
      <bottom style="thin">
        <color indexed="8"/>
      </bottom>
      <diagonal/>
    </border>
    <border>
      <left/>
      <right style="dashed">
        <color indexed="64"/>
      </right>
      <top/>
      <bottom/>
      <diagonal/>
    </border>
    <border>
      <left style="thin">
        <color indexed="64"/>
      </left>
      <right style="dashed">
        <color indexed="64"/>
      </right>
      <top style="thin">
        <color indexed="22"/>
      </top>
      <bottom style="thin">
        <color indexed="22"/>
      </bottom>
      <diagonal/>
    </border>
    <border>
      <left style="dashed">
        <color indexed="64"/>
      </left>
      <right style="dashed">
        <color indexed="64"/>
      </right>
      <top style="thin">
        <color indexed="22"/>
      </top>
      <bottom style="thin">
        <color indexed="22"/>
      </bottom>
      <diagonal/>
    </border>
    <border>
      <left/>
      <right style="dashed">
        <color indexed="64"/>
      </right>
      <top style="thin">
        <color indexed="22"/>
      </top>
      <bottom style="thin">
        <color indexed="22"/>
      </bottom>
      <diagonal/>
    </border>
    <border>
      <left/>
      <right style="dashed">
        <color indexed="64"/>
      </right>
      <top/>
      <bottom style="thin">
        <color indexed="64"/>
      </bottom>
      <diagonal/>
    </border>
    <border>
      <left style="dashed">
        <color indexed="8"/>
      </left>
      <right style="dashed">
        <color indexed="8"/>
      </right>
      <top style="thin">
        <color indexed="8"/>
      </top>
      <bottom style="thin">
        <color indexed="8"/>
      </bottom>
      <diagonal/>
    </border>
    <border>
      <left style="dashed">
        <color indexed="8"/>
      </left>
      <right/>
      <top style="thin">
        <color indexed="8"/>
      </top>
      <bottom style="thin">
        <color indexed="8"/>
      </bottom>
      <diagonal/>
    </border>
    <border>
      <left style="dashed">
        <color indexed="8"/>
      </left>
      <right style="dashed">
        <color indexed="8"/>
      </right>
      <top style="thin">
        <color indexed="22"/>
      </top>
      <bottom style="thin">
        <color indexed="22"/>
      </bottom>
      <diagonal/>
    </border>
    <border>
      <left style="dashed">
        <color indexed="8"/>
      </left>
      <right/>
      <top/>
      <bottom/>
      <diagonal/>
    </border>
    <border>
      <left style="dashed">
        <color indexed="8"/>
      </left>
      <right/>
      <top style="thin">
        <color indexed="22"/>
      </top>
      <bottom style="thin">
        <color indexed="22"/>
      </bottom>
      <diagonal/>
    </border>
    <border>
      <left style="dashed">
        <color indexed="8"/>
      </left>
      <right style="dashed">
        <color indexed="8"/>
      </right>
      <top style="thin">
        <color indexed="22"/>
      </top>
      <bottom/>
      <diagonal/>
    </border>
    <border>
      <left style="dashed">
        <color indexed="8"/>
      </left>
      <right/>
      <top style="thin">
        <color indexed="22"/>
      </top>
      <bottom/>
      <diagonal/>
    </border>
    <border>
      <left style="thin">
        <color indexed="22"/>
      </left>
      <right style="thin">
        <color indexed="22"/>
      </right>
      <top style="thin">
        <color indexed="22"/>
      </top>
      <bottom/>
      <diagonal/>
    </border>
    <border>
      <left style="thin">
        <color indexed="22"/>
      </left>
      <right/>
      <top style="thin">
        <color indexed="22"/>
      </top>
      <bottom/>
      <diagonal/>
    </border>
    <border>
      <left/>
      <right/>
      <top style="thin">
        <color indexed="22"/>
      </top>
      <bottom/>
      <diagonal/>
    </border>
    <border>
      <left/>
      <right style="thin">
        <color indexed="64"/>
      </right>
      <top style="thin">
        <color indexed="64"/>
      </top>
      <bottom/>
      <diagonal/>
    </border>
    <border>
      <left/>
      <right/>
      <top style="thin">
        <color indexed="8"/>
      </top>
      <bottom style="thin">
        <color indexed="8"/>
      </bottom>
      <diagonal/>
    </border>
    <border>
      <left/>
      <right style="thin">
        <color indexed="64"/>
      </right>
      <top style="thin">
        <color indexed="8"/>
      </top>
      <bottom style="thin">
        <color indexed="8"/>
      </bottom>
      <diagonal/>
    </border>
    <border>
      <left style="thin">
        <color indexed="22"/>
      </left>
      <right/>
      <top/>
      <bottom style="thin">
        <color indexed="22"/>
      </bottom>
      <diagonal/>
    </border>
    <border>
      <left style="thin">
        <color indexed="8"/>
      </left>
      <right style="dashed">
        <color indexed="8"/>
      </right>
      <top style="thin">
        <color indexed="22"/>
      </top>
      <bottom style="thin">
        <color indexed="22"/>
      </bottom>
      <diagonal/>
    </border>
    <border>
      <left style="dashed">
        <color indexed="8"/>
      </left>
      <right style="thin">
        <color indexed="8"/>
      </right>
      <top style="thin">
        <color indexed="22"/>
      </top>
      <bottom style="thin">
        <color indexed="22"/>
      </bottom>
      <diagonal/>
    </border>
    <border>
      <left/>
      <right style="dashed">
        <color indexed="8"/>
      </right>
      <top style="thin">
        <color indexed="22"/>
      </top>
      <bottom style="thin">
        <color indexed="22"/>
      </bottom>
      <diagonal/>
    </border>
    <border>
      <left style="thin">
        <color indexed="8"/>
      </left>
      <right style="dashed">
        <color indexed="8"/>
      </right>
      <top style="thin">
        <color indexed="8"/>
      </top>
      <bottom style="thin">
        <color indexed="8"/>
      </bottom>
      <diagonal/>
    </border>
    <border>
      <left style="dashed">
        <color indexed="8"/>
      </left>
      <right style="thin">
        <color indexed="8"/>
      </right>
      <top style="thin">
        <color indexed="8"/>
      </top>
      <bottom style="thin">
        <color indexed="8"/>
      </bottom>
      <diagonal/>
    </border>
    <border>
      <left/>
      <right style="dashed">
        <color indexed="8"/>
      </right>
      <top style="thin">
        <color indexed="8"/>
      </top>
      <bottom style="thin">
        <color indexed="8"/>
      </bottom>
      <diagonal/>
    </border>
    <border>
      <left/>
      <right style="dashed">
        <color indexed="64"/>
      </right>
      <top style="thin">
        <color indexed="64"/>
      </top>
      <bottom style="thin">
        <color indexed="64"/>
      </bottom>
      <diagonal/>
    </border>
    <border>
      <left style="thin">
        <color indexed="8"/>
      </left>
      <right style="dashed">
        <color indexed="8"/>
      </right>
      <top/>
      <bottom style="thin">
        <color indexed="22"/>
      </bottom>
      <diagonal/>
    </border>
    <border>
      <left style="dashed">
        <color indexed="8"/>
      </left>
      <right style="dashed">
        <color indexed="8"/>
      </right>
      <top/>
      <bottom style="thin">
        <color indexed="22"/>
      </bottom>
      <diagonal/>
    </border>
    <border>
      <left style="dashed">
        <color indexed="8"/>
      </left>
      <right style="thin">
        <color indexed="8"/>
      </right>
      <top/>
      <bottom style="thin">
        <color indexed="22"/>
      </bottom>
      <diagonal/>
    </border>
    <border>
      <left/>
      <right style="thin">
        <color indexed="8"/>
      </right>
      <top/>
      <bottom/>
      <diagonal/>
    </border>
    <border>
      <left style="thin">
        <color indexed="22"/>
      </left>
      <right style="thin">
        <color indexed="22"/>
      </right>
      <top style="thin">
        <color indexed="8"/>
      </top>
      <bottom style="thin">
        <color indexed="8"/>
      </bottom>
      <diagonal/>
    </border>
    <border>
      <left style="thin">
        <color indexed="8"/>
      </left>
      <right style="thin">
        <color indexed="8"/>
      </right>
      <top style="thin">
        <color indexed="22"/>
      </top>
      <bottom style="thin">
        <color indexed="22"/>
      </bottom>
      <diagonal/>
    </border>
    <border>
      <left style="thin">
        <color indexed="8"/>
      </left>
      <right style="thin">
        <color indexed="8"/>
      </right>
      <top style="thin">
        <color indexed="8"/>
      </top>
      <bottom/>
      <diagonal/>
    </border>
    <border>
      <left style="thin">
        <color indexed="8"/>
      </left>
      <right style="thin">
        <color indexed="8"/>
      </right>
      <top/>
      <bottom style="thin">
        <color indexed="22"/>
      </bottom>
      <diagonal/>
    </border>
    <border>
      <left style="thin">
        <color indexed="8"/>
      </left>
      <right style="dashed">
        <color indexed="8"/>
      </right>
      <top style="thin">
        <color indexed="22"/>
      </top>
      <bottom/>
      <diagonal/>
    </border>
    <border>
      <left/>
      <right/>
      <top/>
      <bottom style="thin">
        <color indexed="22"/>
      </bottom>
      <diagonal/>
    </border>
    <border>
      <left style="thin">
        <color indexed="8"/>
      </left>
      <right/>
      <top style="thin">
        <color indexed="8"/>
      </top>
      <bottom/>
      <diagonal/>
    </border>
    <border>
      <left style="thin">
        <color indexed="8"/>
      </left>
      <right/>
      <top style="thin">
        <color indexed="64"/>
      </top>
      <bottom style="thin">
        <color indexed="64"/>
      </bottom>
      <diagonal/>
    </border>
    <border>
      <left style="thin">
        <color indexed="8"/>
      </left>
      <right/>
      <top/>
      <bottom style="thin">
        <color indexed="64"/>
      </bottom>
      <diagonal/>
    </border>
    <border>
      <left style="dashed">
        <color indexed="64"/>
      </left>
      <right/>
      <top/>
      <bottom style="thin">
        <color indexed="64"/>
      </bottom>
      <diagonal/>
    </border>
    <border>
      <left style="dashed">
        <color indexed="8"/>
      </left>
      <right style="dashed">
        <color indexed="8"/>
      </right>
      <top style="dashed">
        <color indexed="8"/>
      </top>
      <bottom style="thin">
        <color indexed="8"/>
      </bottom>
      <diagonal/>
    </border>
    <border>
      <left style="dashed">
        <color indexed="8"/>
      </left>
      <right style="dashed">
        <color indexed="8"/>
      </right>
      <top style="dashed">
        <color indexed="8"/>
      </top>
      <bottom/>
      <diagonal/>
    </border>
    <border>
      <left style="dashed">
        <color indexed="8"/>
      </left>
      <right style="dashed">
        <color indexed="8"/>
      </right>
      <top style="thin">
        <color indexed="8"/>
      </top>
      <bottom/>
      <diagonal/>
    </border>
    <border>
      <left style="dashed">
        <color indexed="8"/>
      </left>
      <right style="dashed">
        <color indexed="8"/>
      </right>
      <top/>
      <bottom style="thin">
        <color indexed="64"/>
      </bottom>
      <diagonal/>
    </border>
    <border>
      <left style="dashed">
        <color indexed="8"/>
      </left>
      <right/>
      <top style="thin">
        <color indexed="8"/>
      </top>
      <bottom style="thin">
        <color indexed="22"/>
      </bottom>
      <diagonal/>
    </border>
    <border>
      <left style="dashed">
        <color indexed="8"/>
      </left>
      <right style="thin">
        <color indexed="8"/>
      </right>
      <top style="thin">
        <color indexed="8"/>
      </top>
      <bottom/>
      <diagonal/>
    </border>
    <border>
      <left style="thin">
        <color indexed="8"/>
      </left>
      <right style="thin">
        <color indexed="22"/>
      </right>
      <top style="thin">
        <color indexed="22"/>
      </top>
      <bottom style="thin">
        <color indexed="22"/>
      </bottom>
      <diagonal/>
    </border>
    <border>
      <left style="thin">
        <color indexed="8"/>
      </left>
      <right style="thin">
        <color indexed="22"/>
      </right>
      <top/>
      <bottom style="thin">
        <color indexed="22"/>
      </bottom>
      <diagonal/>
    </border>
    <border>
      <left style="thin">
        <color indexed="22"/>
      </left>
      <right style="thin">
        <color indexed="8"/>
      </right>
      <top/>
      <bottom style="thin">
        <color indexed="22"/>
      </bottom>
      <diagonal/>
    </border>
    <border>
      <left style="thin">
        <color indexed="8"/>
      </left>
      <right style="dashed">
        <color indexed="8"/>
      </right>
      <top style="thin">
        <color indexed="8"/>
      </top>
      <bottom/>
      <diagonal/>
    </border>
    <border>
      <left style="dashed">
        <color indexed="8"/>
      </left>
      <right/>
      <top style="thin">
        <color indexed="8"/>
      </top>
      <bottom/>
      <diagonal/>
    </border>
    <border>
      <left style="thin">
        <color indexed="22"/>
      </left>
      <right/>
      <top style="thin">
        <color indexed="8"/>
      </top>
      <bottom style="thin">
        <color indexed="8"/>
      </bottom>
      <diagonal/>
    </border>
    <border>
      <left style="thin">
        <color indexed="22"/>
      </left>
      <right style="thin">
        <color indexed="22"/>
      </right>
      <top/>
      <bottom/>
      <diagonal/>
    </border>
    <border>
      <left/>
      <right style="dashed">
        <color indexed="8"/>
      </right>
      <top/>
      <bottom/>
      <diagonal/>
    </border>
    <border>
      <left/>
      <right/>
      <top/>
      <bottom style="dashDot">
        <color indexed="64"/>
      </bottom>
      <diagonal/>
    </border>
    <border>
      <left/>
      <right/>
      <top style="dashDot">
        <color indexed="64"/>
      </top>
      <bottom/>
      <diagonal/>
    </border>
    <border>
      <left/>
      <right/>
      <top/>
      <bottom style="dashDotDot">
        <color indexed="64"/>
      </bottom>
      <diagonal/>
    </border>
    <border>
      <left style="thin">
        <color rgb="FFA2C4E0"/>
      </left>
      <right style="thin">
        <color rgb="FFA2C4E0"/>
      </right>
      <top style="thin">
        <color rgb="FFA2C4E0"/>
      </top>
      <bottom style="thin">
        <color rgb="FFA2C4E0"/>
      </bottom>
      <diagonal/>
    </border>
    <border>
      <left/>
      <right style="thin">
        <color rgb="FF93B1CD"/>
      </right>
      <top style="thin">
        <color rgb="FFCFCFCF"/>
      </top>
      <bottom style="thin">
        <color rgb="FF93B1CD"/>
      </bottom>
      <diagonal/>
    </border>
    <border>
      <left style="thin">
        <color rgb="FF93B1CD"/>
      </left>
      <right style="thin">
        <color rgb="FF93B1CD"/>
      </right>
      <top style="thin">
        <color rgb="FF93B1CD"/>
      </top>
      <bottom style="thin">
        <color rgb="FF93B1CD"/>
      </bottom>
      <diagonal/>
    </border>
    <border>
      <left/>
      <right style="thin">
        <color rgb="FF93B1CD"/>
      </right>
      <top style="thin">
        <color rgb="FF93B1CD"/>
      </top>
      <bottom style="thin">
        <color rgb="FF93B1CD"/>
      </bottom>
      <diagonal/>
    </border>
    <border>
      <left style="thin">
        <color theme="1"/>
      </left>
      <right style="dashed">
        <color theme="1"/>
      </right>
      <top/>
      <bottom/>
      <diagonal/>
    </border>
    <border>
      <left style="dashed">
        <color theme="1"/>
      </left>
      <right style="dashed">
        <color theme="1"/>
      </right>
      <top/>
      <bottom/>
      <diagonal/>
    </border>
    <border>
      <left style="dashed">
        <color theme="1"/>
      </left>
      <right style="thin">
        <color theme="1"/>
      </right>
      <top/>
      <bottom/>
      <diagonal/>
    </border>
    <border>
      <left style="thin">
        <color theme="1"/>
      </left>
      <right style="dashed">
        <color theme="1"/>
      </right>
      <top style="thin">
        <color indexed="64"/>
      </top>
      <bottom style="thin">
        <color indexed="64"/>
      </bottom>
      <diagonal/>
    </border>
    <border>
      <left style="dashed">
        <color theme="1"/>
      </left>
      <right style="dashed">
        <color theme="1"/>
      </right>
      <top style="thin">
        <color indexed="64"/>
      </top>
      <bottom style="thin">
        <color indexed="64"/>
      </bottom>
      <diagonal/>
    </border>
    <border>
      <left style="dashed">
        <color theme="1"/>
      </left>
      <right style="thin">
        <color theme="1"/>
      </right>
      <top style="thin">
        <color indexed="64"/>
      </top>
      <bottom style="thin">
        <color indexed="64"/>
      </bottom>
      <diagonal/>
    </border>
    <border>
      <left style="thin">
        <color indexed="64"/>
      </left>
      <right style="dashed">
        <color indexed="64"/>
      </right>
      <top style="thin">
        <color theme="1"/>
      </top>
      <bottom/>
      <diagonal/>
    </border>
    <border>
      <left style="dashed">
        <color indexed="64"/>
      </left>
      <right style="dashed">
        <color indexed="64"/>
      </right>
      <top style="thin">
        <color theme="1"/>
      </top>
      <bottom/>
      <diagonal/>
    </border>
    <border>
      <left style="thin">
        <color theme="1"/>
      </left>
      <right style="thin">
        <color indexed="64"/>
      </right>
      <top/>
      <bottom/>
      <diagonal/>
    </border>
    <border>
      <left style="thin">
        <color indexed="64"/>
      </left>
      <right style="thin">
        <color indexed="64"/>
      </right>
      <top/>
      <bottom style="thin">
        <color theme="1"/>
      </bottom>
      <diagonal/>
    </border>
    <border>
      <left style="thin">
        <color theme="1"/>
      </left>
      <right/>
      <top/>
      <bottom/>
      <diagonal/>
    </border>
    <border>
      <left style="dashed">
        <color indexed="64"/>
      </left>
      <right style="thin">
        <color indexed="64"/>
      </right>
      <top style="thin">
        <color theme="3" tint="-0.24994659260841701"/>
      </top>
      <bottom style="thin">
        <color theme="3" tint="-0.24994659260841701"/>
      </bottom>
      <diagonal/>
    </border>
    <border>
      <left style="thin">
        <color indexed="64"/>
      </left>
      <right style="thin">
        <color indexed="64"/>
      </right>
      <top/>
      <bottom style="thin">
        <color theme="3" tint="-0.24994659260841701"/>
      </bottom>
      <diagonal/>
    </border>
    <border>
      <left style="thin">
        <color indexed="64"/>
      </left>
      <right style="thin">
        <color indexed="64"/>
      </right>
      <top style="thin">
        <color theme="3" tint="-0.24994659260841701"/>
      </top>
      <bottom style="thin">
        <color theme="3" tint="-0.24994659260841701"/>
      </bottom>
      <diagonal/>
    </border>
    <border>
      <left style="thin">
        <color indexed="64"/>
      </left>
      <right style="dashed">
        <color indexed="64"/>
      </right>
      <top style="thin">
        <color theme="3" tint="-0.24994659260841701"/>
      </top>
      <bottom style="thin">
        <color theme="3" tint="-0.24994659260841701"/>
      </bottom>
      <diagonal/>
    </border>
    <border>
      <left style="thin">
        <color indexed="64"/>
      </left>
      <right style="dashed">
        <color indexed="64"/>
      </right>
      <top style="thin">
        <color theme="1"/>
      </top>
      <bottom style="thin">
        <color theme="1"/>
      </bottom>
      <diagonal/>
    </border>
    <border>
      <left style="dashed">
        <color indexed="64"/>
      </left>
      <right style="dashed">
        <color indexed="64"/>
      </right>
      <top style="thin">
        <color theme="1"/>
      </top>
      <bottom style="thin">
        <color theme="1"/>
      </bottom>
      <diagonal/>
    </border>
    <border>
      <left style="dashed">
        <color indexed="64"/>
      </left>
      <right style="thin">
        <color theme="1"/>
      </right>
      <top style="thin">
        <color theme="1"/>
      </top>
      <bottom style="thin">
        <color theme="1"/>
      </bottom>
      <diagonal/>
    </border>
    <border>
      <left style="dashed">
        <color indexed="64"/>
      </left>
      <right style="thin">
        <color indexed="64"/>
      </right>
      <top style="thin">
        <color theme="1"/>
      </top>
      <bottom/>
      <diagonal/>
    </border>
    <border>
      <left style="thin">
        <color rgb="FFCFCFCF"/>
      </left>
      <right/>
      <top/>
      <bottom/>
      <diagonal/>
    </border>
    <border>
      <left style="thin">
        <color rgb="FF93B1CD"/>
      </left>
      <right/>
      <top/>
      <bottom/>
      <diagonal/>
    </border>
    <border>
      <left style="thin">
        <color indexed="64"/>
      </left>
      <right style="thin">
        <color theme="1"/>
      </right>
      <top/>
      <bottom/>
      <diagonal/>
    </border>
    <border>
      <left style="dashed">
        <color theme="1"/>
      </left>
      <right/>
      <top/>
      <bottom/>
      <diagonal/>
    </border>
    <border>
      <left style="thin">
        <color theme="1"/>
      </left>
      <right style="dashed">
        <color theme="1"/>
      </right>
      <top/>
      <bottom style="thin">
        <color theme="1"/>
      </bottom>
      <diagonal/>
    </border>
    <border>
      <left style="dashed">
        <color theme="1"/>
      </left>
      <right style="dashed">
        <color theme="1"/>
      </right>
      <top/>
      <bottom style="thin">
        <color theme="1"/>
      </bottom>
      <diagonal/>
    </border>
    <border>
      <left style="dashed">
        <color theme="1"/>
      </left>
      <right style="thin">
        <color theme="1"/>
      </right>
      <top/>
      <bottom style="thin">
        <color theme="1"/>
      </bottom>
      <diagonal/>
    </border>
    <border>
      <left style="dashed">
        <color indexed="64"/>
      </left>
      <right style="thin">
        <color theme="1"/>
      </right>
      <top/>
      <bottom style="thin">
        <color indexed="64"/>
      </bottom>
      <diagonal/>
    </border>
    <border>
      <left style="thin">
        <color theme="1"/>
      </left>
      <right/>
      <top/>
      <bottom style="thin">
        <color theme="1"/>
      </bottom>
      <diagonal/>
    </border>
    <border>
      <left/>
      <right/>
      <top/>
      <bottom style="thin">
        <color theme="1"/>
      </bottom>
      <diagonal/>
    </border>
    <border>
      <left style="thin">
        <color indexed="64"/>
      </left>
      <right style="thin">
        <color theme="1"/>
      </right>
      <top/>
      <bottom style="thin">
        <color theme="1"/>
      </bottom>
      <diagonal/>
    </border>
    <border>
      <left style="thin">
        <color theme="1"/>
      </left>
      <right/>
      <top style="thin">
        <color theme="1"/>
      </top>
      <bottom/>
      <diagonal/>
    </border>
    <border>
      <left style="thin">
        <color indexed="64"/>
      </left>
      <right style="thin">
        <color indexed="64"/>
      </right>
      <top style="thin">
        <color theme="1"/>
      </top>
      <bottom/>
      <diagonal/>
    </border>
    <border>
      <left style="thin">
        <color indexed="64"/>
      </left>
      <right/>
      <top style="thin">
        <color theme="1"/>
      </top>
      <bottom style="thin">
        <color indexed="64"/>
      </bottom>
      <diagonal/>
    </border>
    <border>
      <left/>
      <right/>
      <top style="thin">
        <color theme="1"/>
      </top>
      <bottom style="thin">
        <color indexed="64"/>
      </bottom>
      <diagonal/>
    </border>
    <border>
      <left/>
      <right style="thin">
        <color theme="1"/>
      </right>
      <top style="thin">
        <color theme="1"/>
      </top>
      <bottom style="thin">
        <color indexed="64"/>
      </bottom>
      <diagonal/>
    </border>
    <border>
      <left style="thin">
        <color indexed="64"/>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right/>
      <top style="thin">
        <color theme="1"/>
      </top>
      <bottom/>
      <diagonal/>
    </border>
    <border>
      <left/>
      <right style="thin">
        <color indexed="64"/>
      </right>
      <top style="thin">
        <color theme="1"/>
      </top>
      <bottom style="thin">
        <color indexed="64"/>
      </bottom>
      <diagonal/>
    </border>
    <border>
      <left/>
      <right style="thin">
        <color theme="1"/>
      </right>
      <top style="thin">
        <color indexed="64"/>
      </top>
      <bottom style="thin">
        <color indexed="64"/>
      </bottom>
      <diagonal/>
    </border>
    <border>
      <left style="thin">
        <color theme="1"/>
      </left>
      <right style="thin">
        <color indexed="64"/>
      </right>
      <top style="thin">
        <color theme="1"/>
      </top>
      <bottom/>
      <diagonal/>
    </border>
    <border>
      <left style="thin">
        <color theme="1"/>
      </left>
      <right style="thin">
        <color indexed="64"/>
      </right>
      <top/>
      <bottom style="thin">
        <color indexed="64"/>
      </bottom>
      <diagonal/>
    </border>
    <border>
      <left style="dashed">
        <color indexed="64"/>
      </left>
      <right style="dashed">
        <color indexed="64"/>
      </right>
      <top/>
      <bottom style="thin">
        <color theme="1"/>
      </bottom>
      <diagonal/>
    </border>
    <border>
      <left style="thin">
        <color theme="1"/>
      </left>
      <right/>
      <top style="thin">
        <color theme="1"/>
      </top>
      <bottom style="thin">
        <color theme="1"/>
      </bottom>
      <diagonal/>
    </border>
    <border>
      <left style="dashed">
        <color indexed="64"/>
      </left>
      <right style="thin">
        <color indexed="64"/>
      </right>
      <top/>
      <bottom style="thin">
        <color theme="1"/>
      </bottom>
      <diagonal/>
    </border>
    <border>
      <left style="thin">
        <color indexed="64"/>
      </left>
      <right style="dashed">
        <color indexed="64"/>
      </right>
      <top/>
      <bottom style="thin">
        <color theme="1"/>
      </bottom>
      <diagonal/>
    </border>
    <border>
      <left style="thin">
        <color indexed="64"/>
      </left>
      <right style="thin">
        <color indexed="64"/>
      </right>
      <top style="thin">
        <color theme="1"/>
      </top>
      <bottom style="thin">
        <color theme="1"/>
      </bottom>
      <diagonal/>
    </border>
    <border>
      <left style="thin">
        <color indexed="64"/>
      </left>
      <right/>
      <top/>
      <bottom style="thin">
        <color theme="1"/>
      </bottom>
      <diagonal/>
    </border>
    <border>
      <left style="thin">
        <color indexed="64"/>
      </left>
      <right/>
      <top style="thin">
        <color theme="1"/>
      </top>
      <bottom/>
      <diagonal/>
    </border>
    <border>
      <left/>
      <right style="thin">
        <color theme="1"/>
      </right>
      <top style="thin">
        <color indexed="64"/>
      </top>
      <bottom/>
      <diagonal/>
    </border>
    <border>
      <left/>
      <right style="thin">
        <color theme="1"/>
      </right>
      <top/>
      <bottom style="thin">
        <color indexed="64"/>
      </bottom>
      <diagonal/>
    </border>
    <border>
      <left style="thin">
        <color theme="1"/>
      </left>
      <right style="dashed">
        <color theme="1"/>
      </right>
      <top style="thin">
        <color indexed="64"/>
      </top>
      <bottom/>
      <diagonal/>
    </border>
    <border>
      <left style="thin">
        <color theme="1"/>
      </left>
      <right style="dashed">
        <color theme="1"/>
      </right>
      <top/>
      <bottom style="thin">
        <color indexed="64"/>
      </bottom>
      <diagonal/>
    </border>
    <border>
      <left style="dashed">
        <color theme="1"/>
      </left>
      <right style="dashed">
        <color theme="1"/>
      </right>
      <top style="thin">
        <color indexed="64"/>
      </top>
      <bottom/>
      <diagonal/>
    </border>
    <border>
      <left style="dashed">
        <color theme="1"/>
      </left>
      <right style="dashed">
        <color theme="1"/>
      </right>
      <top/>
      <bottom style="thin">
        <color indexed="64"/>
      </bottom>
      <diagonal/>
    </border>
    <border>
      <left style="dashed">
        <color theme="1"/>
      </left>
      <right style="thin">
        <color theme="1"/>
      </right>
      <top style="thin">
        <color indexed="64"/>
      </top>
      <bottom/>
      <diagonal/>
    </border>
    <border>
      <left style="dashed">
        <color theme="1"/>
      </left>
      <right style="thin">
        <color theme="1"/>
      </right>
      <top/>
      <bottom style="thin">
        <color indexed="64"/>
      </bottom>
      <diagonal/>
    </border>
    <border>
      <left style="thin">
        <color theme="1"/>
      </left>
      <right style="thin">
        <color indexed="64"/>
      </right>
      <top style="thin">
        <color indexed="64"/>
      </top>
      <bottom style="thin">
        <color theme="1"/>
      </bottom>
      <diagonal/>
    </border>
    <border>
      <left style="thin">
        <color theme="1"/>
      </left>
      <right style="thin">
        <color indexed="64"/>
      </right>
      <top style="thin">
        <color theme="1"/>
      </top>
      <bottom style="thin">
        <color indexed="64"/>
      </bottom>
      <diagonal/>
    </border>
    <border>
      <left style="thin">
        <color indexed="64"/>
      </left>
      <right style="thin">
        <color indexed="64"/>
      </right>
      <top style="thin">
        <color auto="1"/>
      </top>
      <bottom style="thin">
        <color theme="1"/>
      </bottom>
      <diagonal/>
    </border>
    <border>
      <left/>
      <right/>
      <top style="thin">
        <color auto="1"/>
      </top>
      <bottom style="thin">
        <color auto="1"/>
      </bottom>
      <diagonal/>
    </border>
    <border>
      <left style="thin">
        <color rgb="FF93B1CD"/>
      </left>
      <right/>
      <top style="thin">
        <color auto="1"/>
      </top>
      <bottom style="thin">
        <color auto="1"/>
      </bottom>
      <diagonal/>
    </border>
    <border>
      <left style="thin">
        <color indexed="64"/>
      </left>
      <right/>
      <top style="thin">
        <color indexed="64"/>
      </top>
      <bottom style="thin">
        <color indexed="64"/>
      </bottom>
      <diagonal/>
    </border>
    <border>
      <left style="thin">
        <color indexed="64"/>
      </left>
      <right style="dashed">
        <color indexed="64"/>
      </right>
      <top style="thin">
        <color indexed="64"/>
      </top>
      <bottom style="thin">
        <color indexed="64"/>
      </bottom>
      <diagonal/>
    </border>
    <border>
      <left style="dashed">
        <color auto="1"/>
      </left>
      <right style="thin">
        <color auto="1"/>
      </right>
      <top/>
      <bottom/>
      <diagonal/>
    </border>
    <border>
      <left style="dashed">
        <color auto="1"/>
      </left>
      <right style="dashed">
        <color auto="1"/>
      </right>
      <top/>
      <bottom/>
      <diagonal/>
    </border>
    <border>
      <left style="dashed">
        <color auto="1"/>
      </left>
      <right style="thin">
        <color auto="1"/>
      </right>
      <top/>
      <bottom style="thin">
        <color auto="1"/>
      </bottom>
      <diagonal/>
    </border>
    <border>
      <left style="dashed">
        <color auto="1"/>
      </left>
      <right style="dashed">
        <color auto="1"/>
      </right>
      <top/>
      <bottom style="thin">
        <color auto="1"/>
      </bottom>
      <diagonal/>
    </border>
    <border>
      <left style="thin">
        <color auto="1"/>
      </left>
      <right style="dashed">
        <color auto="1"/>
      </right>
      <top/>
      <bottom/>
      <diagonal/>
    </border>
    <border>
      <left style="thin">
        <color theme="1"/>
      </left>
      <right style="dashed">
        <color theme="1"/>
      </right>
      <top style="thin">
        <color theme="1"/>
      </top>
      <bottom/>
      <diagonal/>
    </border>
    <border>
      <left style="dashed">
        <color theme="1"/>
      </left>
      <right style="dashed">
        <color theme="1"/>
      </right>
      <top style="thin">
        <color theme="1"/>
      </top>
      <bottom/>
      <diagonal/>
    </border>
    <border>
      <left style="dashed">
        <color theme="1"/>
      </left>
      <right style="thin">
        <color theme="1"/>
      </right>
      <top style="thin">
        <color theme="1"/>
      </top>
      <bottom/>
      <diagonal/>
    </border>
    <border>
      <left style="dashed">
        <color indexed="64"/>
      </left>
      <right style="thin">
        <color theme="1"/>
      </right>
      <top style="thin">
        <color theme="1"/>
      </top>
      <bottom/>
      <diagonal/>
    </border>
    <border>
      <left style="dashed">
        <color indexed="64"/>
      </left>
      <right style="thin">
        <color theme="1"/>
      </right>
      <top/>
      <bottom/>
      <diagonal/>
    </border>
    <border>
      <left style="dashed">
        <color indexed="64"/>
      </left>
      <right style="thin">
        <color theme="1"/>
      </right>
      <top/>
      <bottom style="thin">
        <color theme="1"/>
      </bottom>
      <diagonal/>
    </border>
    <border>
      <left style="dashed">
        <color indexed="8"/>
      </left>
      <right style="dashed">
        <color indexed="8"/>
      </right>
      <top/>
      <bottom style="thin">
        <color indexed="64"/>
      </bottom>
      <diagonal/>
    </border>
    <border>
      <left style="dashed">
        <color indexed="8"/>
      </left>
      <right/>
      <top/>
      <bottom style="thin">
        <color indexed="8"/>
      </bottom>
      <diagonal/>
    </border>
    <border>
      <left style="dashed">
        <color indexed="8"/>
      </left>
      <right style="dashed">
        <color indexed="8"/>
      </right>
      <top/>
      <bottom style="thin">
        <color indexed="8"/>
      </bottom>
      <diagonal/>
    </border>
    <border>
      <left/>
      <right/>
      <top/>
      <bottom style="thin">
        <color indexed="8"/>
      </bottom>
      <diagonal/>
    </border>
    <border>
      <left/>
      <right/>
      <top/>
      <bottom style="thin">
        <color indexed="22"/>
      </bottom>
      <diagonal/>
    </border>
    <border>
      <left style="thin">
        <color indexed="64"/>
      </left>
      <right style="dashed">
        <color indexed="64"/>
      </right>
      <top style="dashed">
        <color indexed="64"/>
      </top>
      <bottom/>
      <diagonal/>
    </border>
    <border>
      <left style="thin">
        <color indexed="64"/>
      </left>
      <right/>
      <top style="dashed">
        <color indexed="64"/>
      </top>
      <bottom/>
      <diagonal/>
    </border>
    <border>
      <left/>
      <right/>
      <top style="dashed">
        <color indexed="64"/>
      </top>
      <bottom/>
      <diagonal/>
    </border>
    <border>
      <left style="thin">
        <color indexed="64"/>
      </left>
      <right style="thin">
        <color indexed="64"/>
      </right>
      <top style="dashed">
        <color indexed="64"/>
      </top>
      <bottom/>
      <diagonal/>
    </border>
    <border>
      <left/>
      <right style="dashed">
        <color indexed="64"/>
      </right>
      <top style="dashed">
        <color indexed="64"/>
      </top>
      <bottom/>
      <diagonal/>
    </border>
    <border>
      <left/>
      <right style="thin">
        <color indexed="64"/>
      </right>
      <top style="dashed">
        <color indexed="64"/>
      </top>
      <bottom/>
      <diagonal/>
    </border>
    <border>
      <left style="thin">
        <color indexed="22"/>
      </left>
      <right style="thin">
        <color indexed="22"/>
      </right>
      <top/>
      <bottom style="thin">
        <color indexed="22"/>
      </bottom>
      <diagonal/>
    </border>
    <border>
      <left/>
      <right style="dashed">
        <color indexed="8"/>
      </right>
      <top style="thin">
        <color indexed="8"/>
      </top>
      <bottom/>
      <diagonal/>
    </border>
    <border>
      <left style="thin">
        <color indexed="8"/>
      </left>
      <right/>
      <top/>
      <bottom/>
      <diagonal/>
    </border>
    <border>
      <left style="thin">
        <color indexed="8"/>
      </left>
      <right/>
      <top/>
      <bottom style="thin">
        <color indexed="22"/>
      </bottom>
      <diagonal/>
    </border>
    <border>
      <left/>
      <right style="thin">
        <color indexed="8"/>
      </right>
      <top/>
      <bottom style="thin">
        <color indexed="22"/>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ashed">
        <color indexed="64"/>
      </right>
      <top/>
      <bottom style="thin">
        <color indexed="64"/>
      </bottom>
      <diagonal/>
    </border>
    <border>
      <left/>
      <right/>
      <top/>
      <bottom style="thin">
        <color indexed="64"/>
      </bottom>
      <diagonal/>
    </border>
    <border>
      <left style="thin">
        <color theme="1"/>
      </left>
      <right/>
      <top style="thin">
        <color indexed="64"/>
      </top>
      <bottom style="thin">
        <color theme="1"/>
      </bottom>
      <diagonal/>
    </border>
    <border>
      <left/>
      <right/>
      <top style="thin">
        <color indexed="64"/>
      </top>
      <bottom style="thin">
        <color theme="1"/>
      </bottom>
      <diagonal/>
    </border>
    <border>
      <left/>
      <right style="thin">
        <color indexed="64"/>
      </right>
      <top style="thin">
        <color indexed="64"/>
      </top>
      <bottom style="thin">
        <color theme="1"/>
      </bottom>
      <diagonal/>
    </border>
    <border>
      <left/>
      <right style="thin">
        <color indexed="64"/>
      </right>
      <top style="thin">
        <color theme="1"/>
      </top>
      <bottom/>
      <diagonal/>
    </border>
    <border>
      <left style="thin">
        <color theme="1"/>
      </left>
      <right/>
      <top/>
      <bottom style="thin">
        <color indexed="64"/>
      </bottom>
      <diagonal/>
    </border>
    <border>
      <left style="dashed">
        <color indexed="64"/>
      </left>
      <right style="dashed">
        <color indexed="64"/>
      </right>
      <top style="thin">
        <color indexed="64"/>
      </top>
      <bottom style="thin">
        <color indexed="8"/>
      </bottom>
      <diagonal/>
    </border>
  </borders>
  <cellStyleXfs count="40">
    <xf numFmtId="0" fontId="0" fillId="0" borderId="0"/>
    <xf numFmtId="43" fontId="42" fillId="0" borderId="0" applyFont="0" applyFill="0" applyBorder="0" applyAlignment="0" applyProtection="0"/>
    <xf numFmtId="43" fontId="43" fillId="0" borderId="0" applyFont="0" applyFill="0" applyBorder="0" applyAlignment="0" applyProtection="0"/>
    <xf numFmtId="44" fontId="42" fillId="0" borderId="0" applyFont="0" applyFill="0" applyBorder="0" applyAlignment="0" applyProtection="0"/>
    <xf numFmtId="0" fontId="2" fillId="0" borderId="0" applyNumberFormat="0" applyFill="0" applyBorder="0" applyAlignment="0" applyProtection="0">
      <alignment vertical="top"/>
      <protection locked="0"/>
    </xf>
    <xf numFmtId="0" fontId="44" fillId="0" borderId="0" applyNumberFormat="0" applyFill="0" applyBorder="0" applyAlignment="0" applyProtection="0">
      <alignment vertical="top"/>
      <protection locked="0"/>
    </xf>
    <xf numFmtId="0" fontId="45" fillId="0" borderId="0"/>
    <xf numFmtId="0" fontId="45" fillId="0" borderId="0"/>
    <xf numFmtId="0" fontId="45" fillId="0" borderId="0"/>
    <xf numFmtId="0" fontId="45" fillId="0" borderId="0"/>
    <xf numFmtId="0" fontId="3" fillId="0" borderId="0"/>
    <xf numFmtId="0" fontId="8" fillId="0" borderId="0"/>
    <xf numFmtId="0" fontId="4" fillId="0" borderId="0">
      <alignment vertical="top"/>
    </xf>
    <xf numFmtId="0" fontId="42" fillId="0" borderId="0"/>
    <xf numFmtId="0" fontId="4" fillId="0" borderId="0"/>
    <xf numFmtId="0" fontId="43" fillId="0" borderId="0"/>
    <xf numFmtId="0" fontId="7" fillId="0" borderId="0"/>
    <xf numFmtId="0" fontId="4" fillId="0" borderId="0">
      <alignment vertical="top"/>
    </xf>
    <xf numFmtId="0" fontId="11" fillId="0" borderId="0"/>
    <xf numFmtId="0" fontId="15" fillId="0" borderId="0">
      <alignment vertical="top"/>
    </xf>
    <xf numFmtId="0" fontId="7" fillId="0" borderId="0"/>
    <xf numFmtId="0" fontId="16" fillId="0" borderId="0"/>
    <xf numFmtId="0" fontId="16" fillId="0" borderId="0"/>
    <xf numFmtId="0" fontId="16" fillId="0" borderId="0"/>
    <xf numFmtId="0" fontId="16" fillId="0" borderId="0"/>
    <xf numFmtId="0" fontId="7" fillId="0" borderId="0"/>
    <xf numFmtId="0" fontId="28" fillId="0" borderId="0"/>
    <xf numFmtId="0" fontId="7" fillId="0" borderId="0"/>
    <xf numFmtId="0" fontId="28" fillId="0" borderId="0"/>
    <xf numFmtId="0" fontId="8" fillId="0" borderId="0"/>
    <xf numFmtId="0" fontId="28" fillId="0" borderId="0"/>
    <xf numFmtId="0" fontId="8" fillId="0" borderId="0"/>
    <xf numFmtId="0" fontId="8" fillId="0" borderId="0"/>
    <xf numFmtId="0" fontId="16" fillId="0" borderId="0"/>
    <xf numFmtId="0" fontId="8" fillId="0" borderId="0"/>
    <xf numFmtId="0" fontId="8" fillId="0" borderId="0"/>
    <xf numFmtId="0" fontId="8" fillId="0" borderId="0"/>
    <xf numFmtId="0" fontId="8" fillId="0" borderId="0"/>
    <xf numFmtId="0" fontId="7" fillId="0" borderId="0"/>
    <xf numFmtId="9" fontId="42" fillId="0" borderId="0" applyFont="0" applyFill="0" applyBorder="0" applyAlignment="0" applyProtection="0"/>
  </cellStyleXfs>
  <cellXfs count="1972">
    <xf numFmtId="0" fontId="0" fillId="0" borderId="0" xfId="0"/>
    <xf numFmtId="0" fontId="1" fillId="0" borderId="1" xfId="27" applyFont="1" applyFill="1" applyBorder="1" applyAlignment="1">
      <alignment wrapText="1"/>
    </xf>
    <xf numFmtId="49" fontId="46" fillId="0" borderId="0" xfId="12" applyNumberFormat="1" applyFont="1" applyFill="1" applyAlignment="1">
      <alignment vertical="top" wrapText="1"/>
    </xf>
    <xf numFmtId="3" fontId="47" fillId="0" borderId="110" xfId="12" applyNumberFormat="1" applyFont="1" applyFill="1" applyBorder="1" applyAlignment="1">
      <alignment horizontal="right" vertical="top"/>
    </xf>
    <xf numFmtId="49" fontId="48" fillId="0" borderId="0" xfId="12" applyNumberFormat="1" applyFont="1" applyFill="1" applyAlignment="1">
      <alignment horizontal="center" vertical="top" wrapText="1"/>
    </xf>
    <xf numFmtId="0" fontId="1" fillId="0" borderId="0" xfId="18" applyFont="1" applyFill="1"/>
    <xf numFmtId="0" fontId="1" fillId="0" borderId="0" xfId="18" applyFont="1" applyFill="1" applyAlignment="1">
      <alignment wrapText="1"/>
    </xf>
    <xf numFmtId="0" fontId="1" fillId="0" borderId="0" xfId="18" applyFont="1" applyFill="1" applyAlignment="1">
      <alignment horizontal="left" wrapText="1"/>
    </xf>
    <xf numFmtId="0" fontId="1" fillId="0" borderId="2" xfId="18" applyFont="1" applyFill="1" applyBorder="1" applyAlignment="1">
      <alignment horizontal="left"/>
    </xf>
    <xf numFmtId="3" fontId="1" fillId="0" borderId="2" xfId="18" applyNumberFormat="1" applyFont="1" applyFill="1" applyBorder="1" applyAlignment="1">
      <alignment horizontal="right"/>
    </xf>
    <xf numFmtId="3" fontId="1" fillId="0" borderId="0" xfId="18" applyNumberFormat="1" applyFont="1" applyFill="1"/>
    <xf numFmtId="0" fontId="1" fillId="0" borderId="0" xfId="18" quotePrefix="1" applyFont="1" applyFill="1"/>
    <xf numFmtId="9" fontId="49" fillId="0" borderId="0" xfId="0" applyNumberFormat="1" applyFont="1" applyAlignment="1">
      <alignment horizontal="right" indent="1"/>
    </xf>
    <xf numFmtId="0" fontId="12" fillId="2" borderId="2" xfId="18" applyFont="1" applyFill="1" applyBorder="1" applyAlignment="1">
      <alignment horizontal="center" wrapText="1"/>
    </xf>
    <xf numFmtId="0" fontId="12" fillId="2" borderId="3" xfId="18" applyFont="1" applyFill="1" applyBorder="1" applyAlignment="1">
      <alignment horizontal="center" wrapText="1"/>
    </xf>
    <xf numFmtId="0" fontId="11" fillId="0" borderId="0" xfId="18" applyAlignment="1">
      <alignment wrapText="1"/>
    </xf>
    <xf numFmtId="0" fontId="12" fillId="0" borderId="1" xfId="18" applyFont="1" applyFill="1" applyBorder="1" applyAlignment="1">
      <alignment wrapText="1"/>
    </xf>
    <xf numFmtId="0" fontId="12" fillId="0" borderId="1" xfId="18" applyFont="1" applyFill="1" applyBorder="1" applyAlignment="1">
      <alignment horizontal="right" wrapText="1"/>
    </xf>
    <xf numFmtId="0" fontId="11" fillId="0" borderId="0" xfId="18"/>
    <xf numFmtId="0" fontId="5" fillId="0" borderId="0" xfId="18" applyFont="1" applyFill="1" applyBorder="1" applyAlignment="1">
      <alignment horizontal="left" wrapText="1"/>
    </xf>
    <xf numFmtId="0" fontId="12" fillId="0" borderId="2" xfId="18" applyFont="1" applyFill="1" applyBorder="1" applyAlignment="1">
      <alignment horizontal="center" wrapText="1"/>
    </xf>
    <xf numFmtId="0" fontId="11" fillId="0" borderId="0" xfId="18" applyFill="1" applyAlignment="1">
      <alignment wrapText="1"/>
    </xf>
    <xf numFmtId="0" fontId="13" fillId="0" borderId="4" xfId="18" applyFont="1" applyBorder="1" applyAlignment="1">
      <alignment horizontal="center"/>
    </xf>
    <xf numFmtId="0" fontId="6" fillId="0" borderId="2" xfId="18" applyFont="1" applyFill="1" applyBorder="1" applyAlignment="1">
      <alignment horizontal="center" wrapText="1"/>
    </xf>
    <xf numFmtId="0" fontId="13" fillId="0" borderId="0" xfId="18" applyFont="1" applyBorder="1" applyAlignment="1">
      <alignment horizontal="center"/>
    </xf>
    <xf numFmtId="3" fontId="12" fillId="0" borderId="1" xfId="18" applyNumberFormat="1" applyFont="1" applyFill="1" applyBorder="1" applyAlignment="1">
      <alignment horizontal="right" wrapText="1"/>
    </xf>
    <xf numFmtId="3" fontId="12" fillId="0" borderId="1" xfId="18" applyNumberFormat="1" applyFont="1" applyFill="1" applyBorder="1" applyAlignment="1">
      <alignment horizontal="right" wrapText="1" indent="1"/>
    </xf>
    <xf numFmtId="9" fontId="49" fillId="0" borderId="0" xfId="0" applyNumberFormat="1" applyFont="1" applyAlignment="1">
      <alignment horizontal="right"/>
    </xf>
    <xf numFmtId="0" fontId="11" fillId="0" borderId="0" xfId="18" applyAlignment="1">
      <alignment horizontal="right"/>
    </xf>
    <xf numFmtId="0" fontId="50" fillId="0" borderId="1" xfId="18" applyFont="1" applyFill="1" applyBorder="1" applyAlignment="1">
      <alignment wrapText="1"/>
    </xf>
    <xf numFmtId="0" fontId="13" fillId="0" borderId="4" xfId="18" applyFont="1" applyBorder="1" applyAlignment="1">
      <alignment horizontal="center" wrapText="1"/>
    </xf>
    <xf numFmtId="0" fontId="12" fillId="0" borderId="2" xfId="18" applyFont="1" applyFill="1" applyBorder="1" applyAlignment="1">
      <alignment horizontal="right" wrapText="1"/>
    </xf>
    <xf numFmtId="0" fontId="50" fillId="0" borderId="1" xfId="18" applyFont="1" applyFill="1" applyBorder="1" applyAlignment="1">
      <alignment horizontal="right" wrapText="1"/>
    </xf>
    <xf numFmtId="0" fontId="13" fillId="0" borderId="5" xfId="18" applyFont="1" applyBorder="1" applyAlignment="1">
      <alignment horizontal="center"/>
    </xf>
    <xf numFmtId="0" fontId="6" fillId="0" borderId="6" xfId="18" applyFont="1" applyFill="1" applyBorder="1" applyAlignment="1">
      <alignment horizontal="center" wrapText="1"/>
    </xf>
    <xf numFmtId="0" fontId="6" fillId="0" borderId="7" xfId="18" applyFont="1" applyFill="1" applyBorder="1" applyAlignment="1">
      <alignment horizontal="center" wrapText="1"/>
    </xf>
    <xf numFmtId="3" fontId="12" fillId="0" borderId="8" xfId="18" applyNumberFormat="1" applyFont="1" applyFill="1" applyBorder="1" applyAlignment="1">
      <alignment horizontal="right" wrapText="1" indent="1"/>
    </xf>
    <xf numFmtId="0" fontId="13" fillId="0" borderId="0" xfId="18" applyFont="1" applyBorder="1" applyAlignment="1"/>
    <xf numFmtId="0" fontId="6" fillId="0" borderId="0" xfId="18" applyFont="1" applyFill="1" applyBorder="1" applyAlignment="1">
      <alignment horizontal="center" wrapText="1"/>
    </xf>
    <xf numFmtId="9" fontId="49" fillId="0" borderId="0" xfId="0" applyNumberFormat="1" applyFont="1" applyBorder="1" applyAlignment="1">
      <alignment horizontal="right"/>
    </xf>
    <xf numFmtId="0" fontId="11" fillId="0" borderId="0" xfId="18" applyBorder="1"/>
    <xf numFmtId="0" fontId="6" fillId="0" borderId="9" xfId="18" applyFont="1" applyFill="1" applyBorder="1" applyAlignment="1">
      <alignment horizontal="center" wrapText="1"/>
    </xf>
    <xf numFmtId="3" fontId="12" fillId="0" borderId="10" xfId="18" applyNumberFormat="1" applyFont="1" applyFill="1" applyBorder="1" applyAlignment="1">
      <alignment horizontal="right" wrapText="1"/>
    </xf>
    <xf numFmtId="0" fontId="13" fillId="0" borderId="0" xfId="18" applyFont="1" applyBorder="1" applyAlignment="1">
      <alignment horizontal="center" wrapText="1"/>
    </xf>
    <xf numFmtId="3" fontId="12" fillId="0" borderId="11" xfId="18" applyNumberFormat="1" applyFont="1" applyFill="1" applyBorder="1" applyAlignment="1">
      <alignment horizontal="right" wrapText="1" indent="1"/>
    </xf>
    <xf numFmtId="3" fontId="12" fillId="0" borderId="10" xfId="18" applyNumberFormat="1" applyFont="1" applyFill="1" applyBorder="1" applyAlignment="1">
      <alignment horizontal="right" wrapText="1" indent="1"/>
    </xf>
    <xf numFmtId="0" fontId="13" fillId="0" borderId="0" xfId="18" applyFont="1" applyBorder="1" applyAlignment="1">
      <alignment wrapText="1"/>
    </xf>
    <xf numFmtId="0" fontId="43" fillId="0" borderId="0" xfId="15"/>
    <xf numFmtId="0" fontId="1" fillId="0" borderId="1" xfId="18" applyFont="1" applyFill="1" applyBorder="1" applyAlignment="1">
      <alignment wrapText="1"/>
    </xf>
    <xf numFmtId="0" fontId="1" fillId="0" borderId="1" xfId="18" quotePrefix="1" applyFont="1" applyFill="1" applyBorder="1" applyAlignment="1">
      <alignment wrapText="1"/>
    </xf>
    <xf numFmtId="0" fontId="4" fillId="0" borderId="0" xfId="12" applyFont="1" applyAlignment="1">
      <alignment vertical="top"/>
    </xf>
    <xf numFmtId="49" fontId="51" fillId="0" borderId="111" xfId="12" applyNumberFormat="1" applyFont="1" applyBorder="1" applyAlignment="1">
      <alignment horizontal="center" vertical="top" wrapText="1"/>
    </xf>
    <xf numFmtId="49" fontId="51" fillId="4" borderId="112" xfId="12" applyNumberFormat="1" applyFont="1" applyFill="1" applyBorder="1" applyAlignment="1">
      <alignment horizontal="right" vertical="top" wrapText="1" indent="1"/>
    </xf>
    <xf numFmtId="49" fontId="47" fillId="5" borderId="112" xfId="12" applyNumberFormat="1" applyFont="1" applyFill="1" applyBorder="1" applyAlignment="1">
      <alignment vertical="top" wrapText="1"/>
    </xf>
    <xf numFmtId="3" fontId="47" fillId="0" borderId="110" xfId="12" applyNumberFormat="1" applyFont="1" applyFill="1" applyBorder="1" applyAlignment="1">
      <alignment horizontal="right" vertical="top" indent="1"/>
    </xf>
    <xf numFmtId="3" fontId="4" fillId="0" borderId="0" xfId="12" applyNumberFormat="1" applyFont="1" applyAlignment="1">
      <alignment horizontal="right" vertical="top" indent="1"/>
    </xf>
    <xf numFmtId="49" fontId="47" fillId="5" borderId="113" xfId="12" applyNumberFormat="1" applyFont="1" applyFill="1" applyBorder="1" applyAlignment="1">
      <alignment vertical="top" wrapText="1"/>
    </xf>
    <xf numFmtId="3" fontId="4" fillId="0" borderId="0" xfId="12" applyNumberFormat="1" applyFont="1" applyAlignment="1">
      <alignment vertical="top"/>
    </xf>
    <xf numFmtId="49" fontId="51" fillId="4" borderId="113" xfId="12" applyNumberFormat="1" applyFont="1" applyFill="1" applyBorder="1" applyAlignment="1">
      <alignment vertical="top" wrapText="1"/>
    </xf>
    <xf numFmtId="168" fontId="51" fillId="0" borderId="110" xfId="12" applyNumberFormat="1" applyFont="1" applyFill="1" applyBorder="1" applyAlignment="1">
      <alignment horizontal="right" vertical="top"/>
    </xf>
    <xf numFmtId="170" fontId="48" fillId="0" borderId="0" xfId="12" applyNumberFormat="1" applyFont="1" applyAlignment="1">
      <alignment horizontal="left" vertical="top" wrapText="1"/>
    </xf>
    <xf numFmtId="169" fontId="48" fillId="0" borderId="0" xfId="12" applyNumberFormat="1" applyFont="1" applyAlignment="1">
      <alignment horizontal="right" vertical="top" wrapText="1"/>
    </xf>
    <xf numFmtId="170" fontId="48" fillId="0" borderId="0" xfId="12" applyNumberFormat="1" applyFont="1" applyAlignment="1">
      <alignment vertical="top" wrapText="1"/>
    </xf>
    <xf numFmtId="0" fontId="52" fillId="0" borderId="0" xfId="0" applyFont="1" applyAlignment="1">
      <alignment horizontal="left"/>
    </xf>
    <xf numFmtId="0" fontId="52" fillId="0" borderId="0" xfId="0" applyFont="1"/>
    <xf numFmtId="0" fontId="53" fillId="0" borderId="0" xfId="0" applyFont="1"/>
    <xf numFmtId="0" fontId="54" fillId="0" borderId="0" xfId="0" applyFont="1"/>
    <xf numFmtId="0" fontId="55" fillId="0" borderId="0" xfId="0" applyFont="1" applyBorder="1" applyAlignment="1"/>
    <xf numFmtId="0" fontId="54" fillId="0" borderId="0" xfId="0" quotePrefix="1" applyFont="1"/>
    <xf numFmtId="0" fontId="55" fillId="0" borderId="0" xfId="0" applyFont="1" applyAlignment="1">
      <alignment horizontal="right"/>
    </xf>
    <xf numFmtId="0" fontId="55" fillId="0" borderId="0" xfId="0" applyFont="1"/>
    <xf numFmtId="0" fontId="56" fillId="0" borderId="0" xfId="0" applyFont="1" applyAlignment="1">
      <alignment vertical="top" wrapText="1"/>
    </xf>
    <xf numFmtId="0" fontId="54" fillId="0" borderId="0" xfId="0" quotePrefix="1" applyFont="1" applyAlignment="1"/>
    <xf numFmtId="0" fontId="54" fillId="0" borderId="0" xfId="0" quotePrefix="1" applyFont="1" applyAlignment="1">
      <alignment horizontal="center"/>
    </xf>
    <xf numFmtId="0" fontId="56" fillId="0" borderId="0" xfId="0" applyFont="1" applyAlignment="1">
      <alignment horizontal="left" vertical="top" wrapText="1"/>
    </xf>
    <xf numFmtId="0" fontId="55" fillId="0" borderId="0" xfId="0" applyFont="1" applyBorder="1"/>
    <xf numFmtId="0" fontId="55" fillId="0" borderId="0" xfId="0" applyFont="1" applyBorder="1" applyAlignment="1">
      <alignment horizontal="right"/>
    </xf>
    <xf numFmtId="0" fontId="55" fillId="0" borderId="0" xfId="0" applyFont="1" applyBorder="1" applyAlignment="1">
      <alignment horizontal="right" wrapText="1"/>
    </xf>
    <xf numFmtId="0" fontId="54" fillId="0" borderId="0" xfId="0" applyFont="1" applyBorder="1"/>
    <xf numFmtId="3" fontId="54" fillId="0" borderId="0" xfId="0" applyNumberFormat="1" applyFont="1"/>
    <xf numFmtId="9" fontId="54" fillId="0" borderId="0" xfId="0" applyNumberFormat="1" applyFont="1"/>
    <xf numFmtId="167" fontId="54" fillId="0" borderId="0" xfId="0" applyNumberFormat="1" applyFont="1"/>
    <xf numFmtId="0" fontId="54" fillId="0" borderId="0" xfId="0" applyFont="1" applyAlignment="1">
      <alignment horizontal="left" indent="2"/>
    </xf>
    <xf numFmtId="0" fontId="54" fillId="0" borderId="0" xfId="0" applyFont="1" applyBorder="1" applyAlignment="1">
      <alignment horizontal="right"/>
    </xf>
    <xf numFmtId="0" fontId="54" fillId="0" borderId="0" xfId="0" applyFont="1" applyAlignment="1">
      <alignment wrapText="1"/>
    </xf>
    <xf numFmtId="9" fontId="54" fillId="0" borderId="0" xfId="0" applyNumberFormat="1" applyFont="1" applyBorder="1"/>
    <xf numFmtId="3" fontId="54" fillId="0" borderId="0" xfId="0" applyNumberFormat="1" applyFont="1" applyAlignment="1">
      <alignment horizontal="right"/>
    </xf>
    <xf numFmtId="9" fontId="54" fillId="0" borderId="0" xfId="39" applyFont="1"/>
    <xf numFmtId="164" fontId="54" fillId="0" borderId="0" xfId="0" applyNumberFormat="1" applyFont="1" applyAlignment="1">
      <alignment horizontal="center"/>
    </xf>
    <xf numFmtId="3" fontId="54" fillId="0" borderId="0" xfId="0" applyNumberFormat="1" applyFont="1" applyAlignment="1">
      <alignment horizontal="right" indent="1"/>
    </xf>
    <xf numFmtId="0" fontId="57" fillId="0" borderId="0" xfId="0" applyFont="1"/>
    <xf numFmtId="0" fontId="57" fillId="0" borderId="0" xfId="0" applyFont="1" applyAlignment="1">
      <alignment horizontal="left"/>
    </xf>
    <xf numFmtId="0" fontId="54" fillId="0" borderId="0" xfId="0" applyFont="1" applyBorder="1" applyAlignment="1"/>
    <xf numFmtId="0" fontId="58" fillId="0" borderId="0" xfId="0" applyFont="1"/>
    <xf numFmtId="0" fontId="59" fillId="0" borderId="12" xfId="0" applyFont="1" applyBorder="1" applyAlignment="1">
      <alignment wrapText="1"/>
    </xf>
    <xf numFmtId="0" fontId="60" fillId="0" borderId="0" xfId="0" applyFont="1" applyAlignment="1">
      <alignment horizontal="center"/>
    </xf>
    <xf numFmtId="0" fontId="60" fillId="0" borderId="0" xfId="0" applyFont="1"/>
    <xf numFmtId="0" fontId="60" fillId="0" borderId="0" xfId="0" applyFont="1" applyAlignment="1">
      <alignment wrapText="1"/>
    </xf>
    <xf numFmtId="0" fontId="59" fillId="0" borderId="0" xfId="0" applyFont="1" applyBorder="1" applyAlignment="1">
      <alignment horizontal="center" wrapText="1"/>
    </xf>
    <xf numFmtId="49" fontId="59" fillId="0" borderId="12" xfId="0" applyNumberFormat="1" applyFont="1" applyBorder="1" applyAlignment="1">
      <alignment horizontal="center"/>
    </xf>
    <xf numFmtId="0" fontId="59" fillId="0" borderId="12" xfId="0" applyFont="1" applyBorder="1" applyAlignment="1">
      <alignment horizontal="left" wrapText="1"/>
    </xf>
    <xf numFmtId="49" fontId="60" fillId="0" borderId="0" xfId="0" applyNumberFormat="1" applyFont="1" applyBorder="1" applyAlignment="1">
      <alignment horizontal="center"/>
    </xf>
    <xf numFmtId="0" fontId="20" fillId="0" borderId="0" xfId="9" applyFont="1" applyBorder="1"/>
    <xf numFmtId="0" fontId="60" fillId="0" borderId="0" xfId="0" applyFont="1" applyBorder="1"/>
    <xf numFmtId="3" fontId="60" fillId="0" borderId="0" xfId="0" applyNumberFormat="1" applyFont="1" applyAlignment="1">
      <alignment horizontal="right" vertical="top" wrapText="1"/>
    </xf>
    <xf numFmtId="3" fontId="60" fillId="0" borderId="0" xfId="0" applyNumberFormat="1" applyFont="1" applyAlignment="1">
      <alignment horizontal="right" indent="1"/>
    </xf>
    <xf numFmtId="3" fontId="60" fillId="0" borderId="0" xfId="0" applyNumberFormat="1" applyFont="1" applyBorder="1" applyAlignment="1">
      <alignment horizontal="center"/>
    </xf>
    <xf numFmtId="3" fontId="60" fillId="0" borderId="0" xfId="0" applyNumberFormat="1" applyFont="1" applyAlignment="1">
      <alignment horizontal="center"/>
    </xf>
    <xf numFmtId="38" fontId="60" fillId="0" borderId="0" xfId="0" applyNumberFormat="1" applyFont="1"/>
    <xf numFmtId="9" fontId="60" fillId="0" borderId="0" xfId="0" applyNumberFormat="1" applyFont="1"/>
    <xf numFmtId="0" fontId="60" fillId="0" borderId="0" xfId="0" applyFont="1" applyAlignment="1">
      <alignment horizontal="right" wrapText="1"/>
    </xf>
    <xf numFmtId="0" fontId="60" fillId="0" borderId="12" xfId="0" applyFont="1" applyBorder="1"/>
    <xf numFmtId="3" fontId="60" fillId="0" borderId="0" xfId="0" applyNumberFormat="1" applyFont="1" applyBorder="1" applyAlignment="1">
      <alignment horizontal="right" vertical="top" wrapText="1"/>
    </xf>
    <xf numFmtId="0" fontId="60" fillId="0" borderId="0" xfId="0" applyFont="1" applyBorder="1" applyAlignment="1">
      <alignment horizontal="right" wrapText="1"/>
    </xf>
    <xf numFmtId="3" fontId="60" fillId="0" borderId="0" xfId="0" applyNumberFormat="1" applyFont="1" applyBorder="1" applyAlignment="1">
      <alignment horizontal="right" indent="1"/>
    </xf>
    <xf numFmtId="49" fontId="60" fillId="0" borderId="0" xfId="0" applyNumberFormat="1" applyFont="1" applyAlignment="1">
      <alignment horizontal="center"/>
    </xf>
    <xf numFmtId="0" fontId="60" fillId="0" borderId="0" xfId="0" applyFont="1" applyAlignment="1">
      <alignment horizontal="left" vertical="top" wrapText="1"/>
    </xf>
    <xf numFmtId="0" fontId="60" fillId="0" borderId="0" xfId="0" applyFont="1" applyAlignment="1">
      <alignment horizontal="center" wrapText="1"/>
    </xf>
    <xf numFmtId="9" fontId="60" fillId="0" borderId="0" xfId="0" applyNumberFormat="1" applyFont="1" applyAlignment="1">
      <alignment horizontal="center"/>
    </xf>
    <xf numFmtId="0" fontId="59" fillId="0" borderId="0" xfId="0" applyFont="1" applyAlignment="1">
      <alignment vertical="top" wrapText="1"/>
    </xf>
    <xf numFmtId="0" fontId="59" fillId="0" borderId="0" xfId="0" applyFont="1" applyAlignment="1">
      <alignment horizontal="center" vertical="top" wrapText="1"/>
    </xf>
    <xf numFmtId="0" fontId="20" fillId="0" borderId="0" xfId="0" applyFont="1" applyBorder="1" applyAlignment="1">
      <alignment vertical="top" wrapText="1"/>
    </xf>
    <xf numFmtId="0" fontId="20" fillId="0" borderId="0" xfId="0" applyFont="1" applyBorder="1" applyAlignment="1">
      <alignment horizontal="center" vertical="top" wrapText="1"/>
    </xf>
    <xf numFmtId="0" fontId="21" fillId="0" borderId="0" xfId="4" applyFont="1" applyFill="1" applyBorder="1" applyAlignment="1" applyProtection="1">
      <alignment wrapText="1"/>
    </xf>
    <xf numFmtId="0" fontId="20" fillId="0" borderId="0" xfId="0" applyFont="1" applyBorder="1" applyAlignment="1">
      <alignment horizontal="left"/>
    </xf>
    <xf numFmtId="0" fontId="57" fillId="0" borderId="0" xfId="0" applyFont="1" applyFill="1" applyBorder="1" applyAlignment="1">
      <alignment wrapText="1"/>
    </xf>
    <xf numFmtId="0" fontId="57" fillId="0" borderId="0" xfId="0" applyFont="1" applyAlignment="1">
      <alignment vertical="top" wrapText="1"/>
    </xf>
    <xf numFmtId="9" fontId="54" fillId="0" borderId="0" xfId="0" applyNumberFormat="1" applyFont="1" applyBorder="1" applyAlignment="1"/>
    <xf numFmtId="9" fontId="54" fillId="0" borderId="0" xfId="0" applyNumberFormat="1" applyFont="1" applyBorder="1" applyAlignment="1">
      <alignment horizontal="right"/>
    </xf>
    <xf numFmtId="0" fontId="54" fillId="0" borderId="0" xfId="0" applyFont="1" applyBorder="1" applyAlignment="1">
      <alignment horizontal="center"/>
    </xf>
    <xf numFmtId="0" fontId="55" fillId="0" borderId="0" xfId="0" applyFont="1" applyAlignment="1">
      <alignment horizontal="center" wrapText="1"/>
    </xf>
    <xf numFmtId="0" fontId="54" fillId="0" borderId="0" xfId="0" applyFont="1" applyFill="1" applyBorder="1" applyAlignment="1">
      <alignment horizontal="left" vertical="top" wrapText="1"/>
    </xf>
    <xf numFmtId="0" fontId="54" fillId="0" borderId="0" xfId="0" applyFont="1" applyAlignment="1">
      <alignment horizontal="left" vertical="top" wrapText="1"/>
    </xf>
    <xf numFmtId="0" fontId="54" fillId="0" borderId="0" xfId="0" applyFont="1" applyAlignment="1">
      <alignment horizontal="left"/>
    </xf>
    <xf numFmtId="0" fontId="61" fillId="0" borderId="0" xfId="0" applyFont="1"/>
    <xf numFmtId="0" fontId="61" fillId="0" borderId="0" xfId="0" applyFont="1" applyAlignment="1">
      <alignment horizontal="center"/>
    </xf>
    <xf numFmtId="0" fontId="60" fillId="0" borderId="0" xfId="0" applyFont="1" applyAlignment="1">
      <alignment horizontal="left" wrapText="1"/>
    </xf>
    <xf numFmtId="49" fontId="20" fillId="0" borderId="0" xfId="0" applyNumberFormat="1" applyFont="1" applyFill="1"/>
    <xf numFmtId="173" fontId="20" fillId="0" borderId="0" xfId="0" applyNumberFormat="1" applyFont="1" applyFill="1" applyBorder="1" applyAlignment="1" applyProtection="1">
      <alignment horizontal="center" vertical="center"/>
    </xf>
    <xf numFmtId="173" fontId="20" fillId="0" borderId="13" xfId="0" applyNumberFormat="1" applyFont="1" applyFill="1" applyBorder="1" applyAlignment="1" applyProtection="1">
      <alignment horizontal="centerContinuous" vertical="center"/>
    </xf>
    <xf numFmtId="173" fontId="20" fillId="0" borderId="14" xfId="0" applyNumberFormat="1" applyFont="1" applyFill="1" applyBorder="1" applyAlignment="1" applyProtection="1">
      <alignment horizontal="centerContinuous" vertical="center"/>
    </xf>
    <xf numFmtId="173" fontId="20" fillId="0" borderId="15" xfId="0" applyNumberFormat="1" applyFont="1" applyFill="1" applyBorder="1" applyAlignment="1" applyProtection="1">
      <alignment horizontal="centerContinuous" vertical="center"/>
    </xf>
    <xf numFmtId="173" fontId="20" fillId="0" borderId="0" xfId="0" applyNumberFormat="1" applyFont="1" applyFill="1"/>
    <xf numFmtId="173" fontId="20" fillId="0" borderId="16" xfId="0" applyNumberFormat="1" applyFont="1" applyFill="1" applyBorder="1" applyAlignment="1" applyProtection="1">
      <alignment horizontal="center" vertical="center"/>
    </xf>
    <xf numFmtId="173" fontId="20" fillId="0" borderId="17" xfId="0" applyNumberFormat="1" applyFont="1" applyFill="1" applyBorder="1" applyAlignment="1" applyProtection="1">
      <alignment horizontal="center" vertical="center"/>
    </xf>
    <xf numFmtId="173" fontId="20" fillId="0" borderId="18" xfId="0" applyNumberFormat="1" applyFont="1" applyFill="1" applyBorder="1" applyAlignment="1">
      <alignment horizontal="center" vertical="center"/>
    </xf>
    <xf numFmtId="49" fontId="22" fillId="6" borderId="19" xfId="0" applyNumberFormat="1" applyFont="1" applyFill="1" applyBorder="1" applyAlignment="1">
      <alignment horizontal="center"/>
    </xf>
    <xf numFmtId="173" fontId="22" fillId="6" borderId="20" xfId="0" applyNumberFormat="1" applyFont="1" applyFill="1" applyBorder="1" applyAlignment="1" applyProtection="1">
      <alignment horizontal="left" vertical="center"/>
    </xf>
    <xf numFmtId="173" fontId="22" fillId="6" borderId="21" xfId="0" applyNumberFormat="1" applyFont="1" applyFill="1" applyBorder="1" applyAlignment="1" applyProtection="1">
      <alignment horizontal="left" vertical="center"/>
    </xf>
    <xf numFmtId="0" fontId="20" fillId="0" borderId="22" xfId="0" applyNumberFormat="1" applyFont="1" applyBorder="1" applyAlignment="1">
      <alignment horizontal="center"/>
    </xf>
    <xf numFmtId="0" fontId="20" fillId="0" borderId="23" xfId="0" applyNumberFormat="1" applyFont="1" applyBorder="1"/>
    <xf numFmtId="175" fontId="20" fillId="0" borderId="0" xfId="0" applyNumberFormat="1" applyFont="1" applyFill="1" applyBorder="1" applyAlignment="1" applyProtection="1">
      <alignment vertical="center"/>
    </xf>
    <xf numFmtId="175" fontId="20" fillId="0" borderId="0" xfId="0" applyNumberFormat="1" applyFont="1" applyFill="1" applyBorder="1" applyAlignment="1" applyProtection="1">
      <alignment vertical="center"/>
      <protection locked="0"/>
    </xf>
    <xf numFmtId="175" fontId="20" fillId="0" borderId="24" xfId="0" applyNumberFormat="1" applyFont="1" applyFill="1" applyBorder="1" applyAlignment="1" applyProtection="1">
      <alignment vertical="center"/>
      <protection locked="0"/>
    </xf>
    <xf numFmtId="175" fontId="20" fillId="0" borderId="24" xfId="0" applyNumberFormat="1" applyFont="1" applyFill="1" applyBorder="1" applyAlignment="1" applyProtection="1">
      <alignment vertical="center"/>
    </xf>
    <xf numFmtId="0" fontId="20" fillId="0" borderId="25" xfId="0" applyNumberFormat="1" applyFont="1" applyBorder="1" applyAlignment="1">
      <alignment horizontal="center"/>
    </xf>
    <xf numFmtId="0" fontId="20" fillId="0" borderId="26" xfId="0" applyNumberFormat="1" applyFont="1" applyBorder="1"/>
    <xf numFmtId="0" fontId="61" fillId="0" borderId="0" xfId="0" applyFont="1" applyAlignment="1">
      <alignment wrapText="1"/>
    </xf>
    <xf numFmtId="0" fontId="61" fillId="0" borderId="0" xfId="0" applyFont="1" applyAlignment="1">
      <alignment horizontal="left" wrapText="1"/>
    </xf>
    <xf numFmtId="0" fontId="62" fillId="0" borderId="0" xfId="0" applyFont="1"/>
    <xf numFmtId="0" fontId="62" fillId="0" borderId="0" xfId="0" applyFont="1" applyAlignment="1">
      <alignment horizontal="right"/>
    </xf>
    <xf numFmtId="0" fontId="63" fillId="0" borderId="0" xfId="0" applyFont="1"/>
    <xf numFmtId="0" fontId="54" fillId="0" borderId="0" xfId="0" applyFont="1" applyFill="1" applyBorder="1"/>
    <xf numFmtId="0" fontId="54" fillId="7" borderId="0" xfId="0" applyFont="1" applyFill="1" applyBorder="1"/>
    <xf numFmtId="0" fontId="54" fillId="7" borderId="23" xfId="0" applyFont="1" applyFill="1" applyBorder="1"/>
    <xf numFmtId="0" fontId="63" fillId="7" borderId="0" xfId="0" applyFont="1" applyFill="1" applyBorder="1" applyAlignment="1"/>
    <xf numFmtId="0" fontId="57" fillId="0" borderId="0" xfId="0" applyFont="1" applyAlignment="1">
      <alignment horizontal="left" wrapText="1"/>
    </xf>
    <xf numFmtId="0" fontId="53" fillId="0" borderId="0" xfId="0" applyFont="1" applyAlignment="1">
      <alignment horizontal="center"/>
    </xf>
    <xf numFmtId="49" fontId="60" fillId="0" borderId="12" xfId="0" applyNumberFormat="1" applyFont="1" applyBorder="1" applyAlignment="1">
      <alignment horizontal="center"/>
    </xf>
    <xf numFmtId="0" fontId="20" fillId="0" borderId="12" xfId="9" applyFont="1" applyBorder="1"/>
    <xf numFmtId="0" fontId="64" fillId="0" borderId="0" xfId="4" applyFont="1" applyAlignment="1" applyProtection="1"/>
    <xf numFmtId="0" fontId="57" fillId="0" borderId="0" xfId="0" applyFont="1" applyAlignment="1">
      <alignment wrapText="1"/>
    </xf>
    <xf numFmtId="0" fontId="55" fillId="0" borderId="0" xfId="0" applyFont="1" applyFill="1" applyBorder="1" applyAlignment="1"/>
    <xf numFmtId="0" fontId="65" fillId="0" borderId="0" xfId="0" applyFont="1" applyBorder="1" applyAlignment="1"/>
    <xf numFmtId="0" fontId="54" fillId="0" borderId="0" xfId="0" applyFont="1" applyAlignment="1"/>
    <xf numFmtId="0" fontId="57" fillId="0" borderId="0" xfId="0" applyFont="1" applyAlignment="1">
      <alignment horizontal="left" vertical="top" wrapText="1"/>
    </xf>
    <xf numFmtId="0" fontId="54" fillId="0" borderId="0" xfId="0" applyFont="1" applyFill="1" applyBorder="1" applyAlignment="1">
      <alignment horizontal="right"/>
    </xf>
    <xf numFmtId="0" fontId="53" fillId="0" borderId="13" xfId="0" applyFont="1" applyBorder="1" applyAlignment="1">
      <alignment horizontal="center"/>
    </xf>
    <xf numFmtId="0" fontId="53" fillId="0" borderId="15" xfId="0" applyFont="1" applyBorder="1" applyAlignment="1">
      <alignment horizontal="center"/>
    </xf>
    <xf numFmtId="0" fontId="53" fillId="0" borderId="28" xfId="0" applyFont="1" applyBorder="1" applyAlignment="1">
      <alignment horizontal="center"/>
    </xf>
    <xf numFmtId="0" fontId="59" fillId="0" borderId="0" xfId="0" applyFont="1" applyBorder="1" applyAlignment="1">
      <alignment horizontal="center" wrapText="1"/>
    </xf>
    <xf numFmtId="0" fontId="60" fillId="0" borderId="0" xfId="0" applyFont="1" applyAlignment="1">
      <alignment horizontal="left" vertical="top" wrapText="1"/>
    </xf>
    <xf numFmtId="0" fontId="66" fillId="0" borderId="12" xfId="0" applyFont="1" applyBorder="1" applyAlignment="1">
      <alignment horizontal="left" wrapText="1"/>
    </xf>
    <xf numFmtId="0" fontId="67" fillId="0" borderId="0" xfId="9" applyFont="1" applyBorder="1" applyAlignment="1">
      <alignment horizontal="left"/>
    </xf>
    <xf numFmtId="0" fontId="67" fillId="0" borderId="0" xfId="14" applyFont="1"/>
    <xf numFmtId="0" fontId="68" fillId="0" borderId="0" xfId="14" applyFont="1"/>
    <xf numFmtId="0" fontId="69" fillId="0" borderId="4" xfId="14" applyFont="1" applyFill="1" applyBorder="1" applyAlignment="1">
      <alignment horizontal="center" wrapText="1"/>
    </xf>
    <xf numFmtId="164" fontId="69" fillId="0" borderId="0" xfId="14" applyNumberFormat="1" applyFont="1" applyFill="1" applyBorder="1" applyAlignment="1">
      <alignment horizontal="center" wrapText="1"/>
    </xf>
    <xf numFmtId="0" fontId="68" fillId="0" borderId="29" xfId="9" applyFont="1" applyBorder="1"/>
    <xf numFmtId="0" fontId="68" fillId="0" borderId="30" xfId="9" applyFont="1" applyBorder="1"/>
    <xf numFmtId="0" fontId="70" fillId="0" borderId="0" xfId="14" applyFont="1" applyFill="1" applyBorder="1" applyAlignment="1">
      <alignment wrapText="1"/>
    </xf>
    <xf numFmtId="0" fontId="68" fillId="0" borderId="31" xfId="9" applyFont="1" applyBorder="1"/>
    <xf numFmtId="0" fontId="68" fillId="0" borderId="0" xfId="14" applyFont="1" applyAlignment="1">
      <alignment horizontal="right" vertical="top"/>
    </xf>
    <xf numFmtId="0" fontId="69" fillId="0" borderId="0" xfId="16" applyFont="1"/>
    <xf numFmtId="0" fontId="59" fillId="0" borderId="0" xfId="0" applyFont="1" applyBorder="1" applyAlignment="1">
      <alignment wrapText="1"/>
    </xf>
    <xf numFmtId="0" fontId="66" fillId="0" borderId="0" xfId="0" applyFont="1" applyBorder="1" applyAlignment="1">
      <alignment horizontal="left" wrapText="1"/>
    </xf>
    <xf numFmtId="49" fontId="59" fillId="8" borderId="0" xfId="0" quotePrefix="1" applyNumberFormat="1" applyFont="1" applyFill="1" applyBorder="1" applyAlignment="1">
      <alignment horizontal="center"/>
    </xf>
    <xf numFmtId="0" fontId="59" fillId="8" borderId="14" xfId="0" applyFont="1" applyFill="1" applyBorder="1" applyAlignment="1">
      <alignment horizontal="left" vertical="top" wrapText="1"/>
    </xf>
    <xf numFmtId="3" fontId="59" fillId="8" borderId="0" xfId="0" applyNumberFormat="1" applyFont="1" applyFill="1" applyBorder="1" applyAlignment="1">
      <alignment horizontal="right" vertical="top" wrapText="1"/>
    </xf>
    <xf numFmtId="3" fontId="59" fillId="8" borderId="12" xfId="0" applyNumberFormat="1" applyFont="1" applyFill="1" applyBorder="1" applyAlignment="1">
      <alignment horizontal="right" indent="1"/>
    </xf>
    <xf numFmtId="3" fontId="59" fillId="8" borderId="12" xfId="0" applyNumberFormat="1" applyFont="1" applyFill="1" applyBorder="1" applyAlignment="1">
      <alignment horizontal="center"/>
    </xf>
    <xf numFmtId="0" fontId="59" fillId="0" borderId="28" xfId="0" applyFont="1" applyBorder="1" applyAlignment="1">
      <alignment horizontal="center" wrapText="1"/>
    </xf>
    <xf numFmtId="165" fontId="59" fillId="8" borderId="31" xfId="39" applyNumberFormat="1" applyFont="1" applyFill="1" applyBorder="1" applyAlignment="1">
      <alignment horizontal="center"/>
    </xf>
    <xf numFmtId="165" fontId="60" fillId="0" borderId="30" xfId="39" applyNumberFormat="1" applyFont="1" applyBorder="1" applyAlignment="1">
      <alignment horizontal="center"/>
    </xf>
    <xf numFmtId="165" fontId="60" fillId="0" borderId="30" xfId="0" applyNumberFormat="1" applyFont="1" applyBorder="1" applyAlignment="1">
      <alignment horizontal="center"/>
    </xf>
    <xf numFmtId="165" fontId="60" fillId="0" borderId="30" xfId="39" applyNumberFormat="1" applyFont="1" applyBorder="1" applyAlignment="1">
      <alignment horizontal="center" wrapText="1"/>
    </xf>
    <xf numFmtId="165" fontId="60" fillId="0" borderId="31" xfId="39" applyNumberFormat="1" applyFont="1" applyBorder="1" applyAlignment="1">
      <alignment horizontal="center" wrapText="1"/>
    </xf>
    <xf numFmtId="165" fontId="60" fillId="0" borderId="31" xfId="0" applyNumberFormat="1" applyFont="1" applyBorder="1" applyAlignment="1">
      <alignment horizontal="center"/>
    </xf>
    <xf numFmtId="165" fontId="60" fillId="0" borderId="31" xfId="39" applyNumberFormat="1" applyFont="1" applyBorder="1" applyAlignment="1">
      <alignment horizontal="center"/>
    </xf>
    <xf numFmtId="0" fontId="59" fillId="0" borderId="31" xfId="0" applyFont="1" applyBorder="1" applyAlignment="1">
      <alignment horizontal="center" wrapText="1"/>
    </xf>
    <xf numFmtId="3" fontId="59" fillId="8" borderId="31" xfId="0" applyNumberFormat="1" applyFont="1" applyFill="1" applyBorder="1" applyAlignment="1">
      <alignment horizontal="right" indent="1"/>
    </xf>
    <xf numFmtId="3" fontId="60" fillId="0" borderId="30" xfId="0" applyNumberFormat="1" applyFont="1" applyBorder="1" applyAlignment="1">
      <alignment horizontal="right" indent="1"/>
    </xf>
    <xf numFmtId="3" fontId="60" fillId="0" borderId="31" xfId="0" applyNumberFormat="1" applyFont="1" applyBorder="1" applyAlignment="1">
      <alignment horizontal="right" indent="1"/>
    </xf>
    <xf numFmtId="171" fontId="59" fillId="8" borderId="31" xfId="1" applyNumberFormat="1" applyFont="1" applyFill="1" applyBorder="1" applyAlignment="1">
      <alignment horizontal="right" vertical="top" wrapText="1"/>
    </xf>
    <xf numFmtId="3" fontId="59" fillId="8" borderId="31" xfId="0" applyNumberFormat="1" applyFont="1" applyFill="1" applyBorder="1" applyAlignment="1">
      <alignment horizontal="right" vertical="top" wrapText="1"/>
    </xf>
    <xf numFmtId="171" fontId="60" fillId="0" borderId="30" xfId="1" applyNumberFormat="1" applyFont="1" applyBorder="1" applyAlignment="1">
      <alignment horizontal="right" vertical="top" wrapText="1"/>
    </xf>
    <xf numFmtId="3" fontId="60" fillId="0" borderId="30" xfId="0" applyNumberFormat="1" applyFont="1" applyBorder="1" applyAlignment="1">
      <alignment horizontal="right" vertical="top" wrapText="1"/>
    </xf>
    <xf numFmtId="171" fontId="60" fillId="0" borderId="31" xfId="1" applyNumberFormat="1" applyFont="1" applyBorder="1" applyAlignment="1">
      <alignment horizontal="right" vertical="top" wrapText="1"/>
    </xf>
    <xf numFmtId="3" fontId="60" fillId="0" borderId="31" xfId="0" applyNumberFormat="1" applyFont="1" applyBorder="1" applyAlignment="1">
      <alignment horizontal="right" vertical="top" wrapText="1"/>
    </xf>
    <xf numFmtId="0" fontId="70" fillId="0" borderId="32" xfId="14" applyFont="1" applyFill="1" applyBorder="1" applyAlignment="1">
      <alignment wrapText="1"/>
    </xf>
    <xf numFmtId="0" fontId="71" fillId="0" borderId="0" xfId="0" applyFont="1" applyAlignment="1">
      <alignment wrapText="1"/>
    </xf>
    <xf numFmtId="0" fontId="71" fillId="0" borderId="0" xfId="0" applyFont="1" applyAlignment="1">
      <alignment horizontal="center"/>
    </xf>
    <xf numFmtId="0" fontId="71" fillId="0" borderId="0" xfId="0" applyFont="1"/>
    <xf numFmtId="49" fontId="53" fillId="0" borderId="12" xfId="0" applyNumberFormat="1" applyFont="1" applyBorder="1" applyAlignment="1">
      <alignment horizontal="center"/>
    </xf>
    <xf numFmtId="0" fontId="53" fillId="0" borderId="12" xfId="0" applyFont="1" applyBorder="1" applyAlignment="1">
      <alignment horizontal="left" wrapText="1"/>
    </xf>
    <xf numFmtId="0" fontId="53" fillId="0" borderId="0" xfId="0" applyFont="1" applyBorder="1" applyAlignment="1">
      <alignment horizontal="left" wrapText="1"/>
    </xf>
    <xf numFmtId="49" fontId="53" fillId="8" borderId="14" xfId="0" quotePrefix="1" applyNumberFormat="1" applyFont="1" applyFill="1" applyBorder="1" applyAlignment="1">
      <alignment horizontal="center"/>
    </xf>
    <xf numFmtId="0" fontId="53" fillId="8" borderId="14" xfId="0" applyFont="1" applyFill="1" applyBorder="1" applyAlignment="1">
      <alignment horizontal="left" wrapText="1"/>
    </xf>
    <xf numFmtId="0" fontId="53" fillId="0" borderId="0" xfId="0" applyFont="1" applyFill="1" applyBorder="1" applyAlignment="1">
      <alignment horizontal="left" wrapText="1"/>
    </xf>
    <xf numFmtId="171" fontId="53" fillId="8" borderId="15" xfId="1" applyNumberFormat="1" applyFont="1" applyFill="1" applyBorder="1" applyAlignment="1"/>
    <xf numFmtId="171" fontId="53" fillId="8" borderId="28" xfId="1" applyNumberFormat="1" applyFont="1" applyFill="1" applyBorder="1" applyAlignment="1"/>
    <xf numFmtId="171" fontId="53" fillId="8" borderId="13" xfId="1" applyNumberFormat="1" applyFont="1" applyFill="1" applyBorder="1" applyAlignment="1"/>
    <xf numFmtId="164" fontId="53" fillId="8" borderId="15" xfId="39" applyNumberFormat="1" applyFont="1" applyFill="1" applyBorder="1" applyAlignment="1"/>
    <xf numFmtId="164" fontId="53" fillId="8" borderId="13" xfId="39" applyNumberFormat="1" applyFont="1" applyFill="1" applyBorder="1" applyAlignment="1"/>
    <xf numFmtId="171" fontId="53" fillId="0" borderId="0" xfId="1" applyNumberFormat="1" applyFont="1" applyFill="1" applyAlignment="1"/>
    <xf numFmtId="49" fontId="71" fillId="0" borderId="0" xfId="0" applyNumberFormat="1" applyFont="1" applyBorder="1" applyAlignment="1">
      <alignment horizontal="center"/>
    </xf>
    <xf numFmtId="0" fontId="68" fillId="0" borderId="0" xfId="9" applyFont="1" applyBorder="1"/>
    <xf numFmtId="0" fontId="71" fillId="0" borderId="0" xfId="0" applyFont="1" applyBorder="1"/>
    <xf numFmtId="171" fontId="71" fillId="0" borderId="33" xfId="1" applyNumberFormat="1" applyFont="1" applyBorder="1"/>
    <xf numFmtId="171" fontId="71" fillId="0" borderId="30" xfId="1" applyNumberFormat="1" applyFont="1" applyBorder="1"/>
    <xf numFmtId="171" fontId="71" fillId="0" borderId="34" xfId="1" applyNumberFormat="1" applyFont="1" applyBorder="1"/>
    <xf numFmtId="164" fontId="71" fillId="0" borderId="33" xfId="39" applyNumberFormat="1" applyFont="1" applyBorder="1"/>
    <xf numFmtId="164" fontId="71" fillId="0" borderId="34" xfId="39" applyNumberFormat="1" applyFont="1" applyBorder="1"/>
    <xf numFmtId="171" fontId="71" fillId="0" borderId="0" xfId="1" applyNumberFormat="1" applyFont="1"/>
    <xf numFmtId="164" fontId="71" fillId="0" borderId="0" xfId="39" applyNumberFormat="1" applyFont="1"/>
    <xf numFmtId="49" fontId="71" fillId="0" borderId="12" xfId="0" applyNumberFormat="1" applyFont="1" applyBorder="1" applyAlignment="1">
      <alignment horizontal="center"/>
    </xf>
    <xf numFmtId="0" fontId="68" fillId="0" borderId="12" xfId="9" applyFont="1" applyBorder="1"/>
    <xf numFmtId="0" fontId="71" fillId="0" borderId="12" xfId="0" applyFont="1" applyBorder="1"/>
    <xf numFmtId="171" fontId="71" fillId="0" borderId="35" xfId="1" applyNumberFormat="1" applyFont="1" applyBorder="1"/>
    <xf numFmtId="171" fontId="71" fillId="0" borderId="31" xfId="1" applyNumberFormat="1" applyFont="1" applyBorder="1"/>
    <xf numFmtId="171" fontId="71" fillId="0" borderId="36" xfId="1" applyNumberFormat="1" applyFont="1" applyBorder="1"/>
    <xf numFmtId="164" fontId="71" fillId="0" borderId="35" xfId="39" applyNumberFormat="1" applyFont="1" applyBorder="1"/>
    <xf numFmtId="164" fontId="71" fillId="0" borderId="36" xfId="39" applyNumberFormat="1" applyFont="1" applyBorder="1"/>
    <xf numFmtId="49" fontId="71" fillId="0" borderId="0" xfId="0" applyNumberFormat="1" applyFont="1" applyAlignment="1">
      <alignment horizontal="left"/>
    </xf>
    <xf numFmtId="0" fontId="71" fillId="0" borderId="0" xfId="0" applyFont="1" applyAlignment="1">
      <alignment horizontal="left" vertical="top" wrapText="1"/>
    </xf>
    <xf numFmtId="0" fontId="68" fillId="0" borderId="0" xfId="0" applyFont="1" applyBorder="1" applyAlignment="1">
      <alignment vertical="top" wrapText="1"/>
    </xf>
    <xf numFmtId="0" fontId="64" fillId="0" borderId="0" xfId="4" applyFont="1" applyFill="1" applyBorder="1" applyAlignment="1" applyProtection="1">
      <alignment wrapText="1"/>
    </xf>
    <xf numFmtId="0" fontId="67" fillId="0" borderId="0" xfId="19" applyFont="1" applyAlignment="1">
      <alignment vertical="top"/>
    </xf>
    <xf numFmtId="0" fontId="52" fillId="0" borderId="0" xfId="15" applyFont="1"/>
    <xf numFmtId="3" fontId="54" fillId="0" borderId="24" xfId="0" applyNumberFormat="1" applyFont="1" applyFill="1" applyBorder="1" applyAlignment="1">
      <alignment horizontal="right" indent="1"/>
    </xf>
    <xf numFmtId="3" fontId="54" fillId="0" borderId="23" xfId="0" applyNumberFormat="1" applyFont="1" applyFill="1" applyBorder="1" applyAlignment="1">
      <alignment horizontal="right" indent="1"/>
    </xf>
    <xf numFmtId="0" fontId="69" fillId="0" borderId="1" xfId="29" applyFont="1" applyFill="1" applyBorder="1" applyAlignment="1"/>
    <xf numFmtId="0" fontId="55" fillId="0" borderId="0" xfId="0" applyFont="1" applyBorder="1" applyAlignment="1">
      <alignment horizontal="center" wrapText="1"/>
    </xf>
    <xf numFmtId="0" fontId="55" fillId="0" borderId="0" xfId="0" applyFont="1" applyBorder="1" applyAlignment="1">
      <alignment wrapText="1"/>
    </xf>
    <xf numFmtId="0" fontId="69" fillId="0" borderId="1" xfId="37" applyFont="1" applyFill="1" applyBorder="1" applyAlignment="1"/>
    <xf numFmtId="0" fontId="55" fillId="0" borderId="0" xfId="0" applyFont="1" applyAlignment="1">
      <alignment wrapText="1"/>
    </xf>
    <xf numFmtId="0" fontId="0" fillId="0" borderId="0" xfId="0" applyFont="1" applyBorder="1" applyAlignment="1">
      <alignment horizontal="left"/>
    </xf>
    <xf numFmtId="0" fontId="72" fillId="9" borderId="0" xfId="0" applyFont="1" applyFill="1" applyAlignment="1">
      <alignment wrapText="1"/>
    </xf>
    <xf numFmtId="9" fontId="54" fillId="0" borderId="0" xfId="0" applyNumberFormat="1" applyFont="1" applyFill="1" applyBorder="1"/>
    <xf numFmtId="0" fontId="54" fillId="0" borderId="0" xfId="0" applyFont="1" applyFill="1" applyBorder="1" applyAlignment="1">
      <alignment horizontal="right" indent="1"/>
    </xf>
    <xf numFmtId="3" fontId="54" fillId="0" borderId="0" xfId="0" applyNumberFormat="1" applyFont="1" applyFill="1" applyBorder="1" applyAlignment="1">
      <alignment horizontal="right" indent="1"/>
    </xf>
    <xf numFmtId="0" fontId="73" fillId="0" borderId="0" xfId="0" applyFont="1"/>
    <xf numFmtId="3" fontId="73" fillId="0" borderId="0" xfId="0" applyNumberFormat="1" applyFont="1"/>
    <xf numFmtId="9" fontId="73" fillId="0" borderId="0" xfId="39" applyFont="1"/>
    <xf numFmtId="171" fontId="73" fillId="0" borderId="0" xfId="1" applyNumberFormat="1" applyFont="1"/>
    <xf numFmtId="0" fontId="55" fillId="0" borderId="0" xfId="0" applyFont="1" applyFill="1" applyBorder="1" applyAlignment="1">
      <alignment horizontal="center"/>
    </xf>
    <xf numFmtId="9" fontId="54" fillId="0" borderId="23" xfId="39" applyFont="1" applyBorder="1" applyAlignment="1">
      <alignment horizontal="right" indent="1"/>
    </xf>
    <xf numFmtId="9" fontId="54" fillId="7" borderId="23" xfId="39" applyFont="1" applyFill="1" applyBorder="1" applyAlignment="1">
      <alignment horizontal="right" indent="1"/>
    </xf>
    <xf numFmtId="0" fontId="57" fillId="0" borderId="0" xfId="0" applyFont="1" applyBorder="1" applyAlignment="1">
      <alignment vertical="top" wrapText="1"/>
    </xf>
    <xf numFmtId="0" fontId="57" fillId="0" borderId="0" xfId="0" applyFont="1" applyAlignment="1">
      <alignment vertical="top"/>
    </xf>
    <xf numFmtId="0" fontId="57" fillId="0" borderId="0" xfId="0" applyFont="1" applyFill="1" applyBorder="1" applyAlignment="1">
      <alignment vertical="top" wrapText="1"/>
    </xf>
    <xf numFmtId="3" fontId="54" fillId="0" borderId="114" xfId="0" applyNumberFormat="1" applyFont="1" applyFill="1" applyBorder="1" applyAlignment="1">
      <alignment horizontal="center"/>
    </xf>
    <xf numFmtId="3" fontId="54" fillId="0" borderId="115" xfId="0" applyNumberFormat="1" applyFont="1" applyFill="1" applyBorder="1" applyAlignment="1">
      <alignment horizontal="center"/>
    </xf>
    <xf numFmtId="3" fontId="54" fillId="0" borderId="116" xfId="0" applyNumberFormat="1" applyFont="1" applyFill="1" applyBorder="1" applyAlignment="1">
      <alignment horizontal="center"/>
    </xf>
    <xf numFmtId="0" fontId="20" fillId="0" borderId="0" xfId="0" applyNumberFormat="1" applyFont="1" applyBorder="1" applyAlignment="1">
      <alignment horizontal="center"/>
    </xf>
    <xf numFmtId="0" fontId="20" fillId="0" borderId="0" xfId="0" applyNumberFormat="1" applyFont="1" applyBorder="1"/>
    <xf numFmtId="3" fontId="20" fillId="0" borderId="0" xfId="0" applyNumberFormat="1" applyFont="1" applyFill="1" applyBorder="1" applyAlignment="1" applyProtection="1">
      <alignment vertical="center"/>
    </xf>
    <xf numFmtId="174" fontId="20" fillId="0" borderId="0" xfId="0" applyNumberFormat="1" applyFont="1" applyFill="1" applyBorder="1" applyAlignment="1" applyProtection="1">
      <alignment horizontal="center" vertical="center"/>
    </xf>
    <xf numFmtId="164" fontId="22" fillId="6" borderId="19" xfId="39" applyNumberFormat="1" applyFont="1" applyFill="1" applyBorder="1" applyAlignment="1" applyProtection="1">
      <alignment horizontal="center" vertical="center"/>
    </xf>
    <xf numFmtId="164" fontId="20" fillId="0" borderId="22" xfId="39" applyNumberFormat="1" applyFont="1" applyFill="1" applyBorder="1" applyAlignment="1" applyProtection="1">
      <alignment horizontal="center" vertical="center"/>
    </xf>
    <xf numFmtId="164" fontId="20" fillId="0" borderId="24" xfId="39" applyNumberFormat="1" applyFont="1" applyFill="1" applyBorder="1" applyAlignment="1" applyProtection="1">
      <alignment horizontal="center" vertical="center"/>
    </xf>
    <xf numFmtId="164" fontId="20" fillId="0" borderId="23" xfId="39" applyNumberFormat="1" applyFont="1" applyFill="1" applyBorder="1" applyAlignment="1" applyProtection="1">
      <alignment horizontal="center" vertical="center"/>
    </xf>
    <xf numFmtId="164" fontId="20" fillId="0" borderId="25" xfId="39" applyNumberFormat="1" applyFont="1" applyFill="1" applyBorder="1" applyAlignment="1" applyProtection="1">
      <alignment horizontal="center" vertical="center"/>
    </xf>
    <xf numFmtId="164" fontId="20" fillId="0" borderId="27" xfId="39" applyNumberFormat="1" applyFont="1" applyFill="1" applyBorder="1" applyAlignment="1" applyProtection="1">
      <alignment horizontal="center" vertical="center"/>
    </xf>
    <xf numFmtId="164" fontId="20" fillId="0" borderId="26" xfId="39" applyNumberFormat="1" applyFont="1" applyFill="1" applyBorder="1" applyAlignment="1" applyProtection="1">
      <alignment horizontal="center" vertical="center"/>
    </xf>
    <xf numFmtId="175" fontId="20" fillId="0" borderId="22" xfId="0" applyNumberFormat="1" applyFont="1" applyFill="1" applyBorder="1" applyAlignment="1" applyProtection="1">
      <alignment vertical="center"/>
      <protection locked="0"/>
    </xf>
    <xf numFmtId="3" fontId="20" fillId="0" borderId="23" xfId="0" applyNumberFormat="1" applyFont="1" applyFill="1" applyBorder="1" applyAlignment="1" applyProtection="1">
      <alignment vertical="center"/>
    </xf>
    <xf numFmtId="175" fontId="20" fillId="0" borderId="23" xfId="0" applyNumberFormat="1" applyFont="1" applyFill="1" applyBorder="1" applyAlignment="1" applyProtection="1">
      <alignment vertical="center"/>
    </xf>
    <xf numFmtId="173" fontId="20" fillId="0" borderId="18" xfId="0" applyNumberFormat="1" applyFont="1" applyFill="1" applyBorder="1" applyAlignment="1" applyProtection="1">
      <alignment horizontal="center" vertical="center"/>
    </xf>
    <xf numFmtId="3" fontId="22" fillId="6" borderId="19" xfId="0" applyNumberFormat="1" applyFont="1" applyFill="1" applyBorder="1" applyAlignment="1" applyProtection="1">
      <alignment vertical="center"/>
    </xf>
    <xf numFmtId="3" fontId="22" fillId="6" borderId="20" xfId="0" applyNumberFormat="1" applyFont="1" applyFill="1" applyBorder="1" applyAlignment="1" applyProtection="1">
      <alignment vertical="center"/>
    </xf>
    <xf numFmtId="3" fontId="22" fillId="6" borderId="21" xfId="0" applyNumberFormat="1" applyFont="1" applyFill="1" applyBorder="1" applyAlignment="1" applyProtection="1">
      <alignment vertical="center"/>
    </xf>
    <xf numFmtId="0" fontId="54" fillId="0" borderId="0" xfId="0" applyFont="1" applyBorder="1" applyAlignment="1">
      <alignment vertical="top"/>
    </xf>
    <xf numFmtId="0" fontId="54" fillId="0" borderId="0" xfId="0" applyFont="1" applyBorder="1" applyAlignment="1">
      <alignment vertical="top" wrapText="1"/>
    </xf>
    <xf numFmtId="0" fontId="55" fillId="0" borderId="0" xfId="0" applyFont="1" applyBorder="1" applyAlignment="1">
      <alignment vertical="top"/>
    </xf>
    <xf numFmtId="171" fontId="71" fillId="0" borderId="0" xfId="1" applyNumberFormat="1" applyFont="1" applyBorder="1"/>
    <xf numFmtId="164" fontId="71" fillId="0" borderId="0" xfId="39" applyNumberFormat="1" applyFont="1" applyBorder="1"/>
    <xf numFmtId="49" fontId="53" fillId="0" borderId="0" xfId="0" applyNumberFormat="1" applyFont="1" applyBorder="1" applyAlignment="1">
      <alignment horizontal="center"/>
    </xf>
    <xf numFmtId="0" fontId="54" fillId="0" borderId="0" xfId="0" applyFont="1" applyFill="1" applyBorder="1" applyAlignment="1">
      <alignment horizontal="center"/>
    </xf>
    <xf numFmtId="164" fontId="54" fillId="0" borderId="0" xfId="39" applyNumberFormat="1" applyFont="1" applyFill="1" applyBorder="1" applyAlignment="1">
      <alignment horizontal="center"/>
    </xf>
    <xf numFmtId="164" fontId="54" fillId="0" borderId="0" xfId="0" applyNumberFormat="1" applyFont="1" applyFill="1" applyBorder="1" applyAlignment="1">
      <alignment horizontal="center"/>
    </xf>
    <xf numFmtId="0" fontId="52" fillId="0" borderId="0" xfId="0" applyFont="1" applyAlignment="1"/>
    <xf numFmtId="0" fontId="74" fillId="0" borderId="0" xfId="0" applyFont="1" applyBorder="1" applyAlignment="1">
      <alignment vertical="top" wrapText="1"/>
    </xf>
    <xf numFmtId="178" fontId="75" fillId="0" borderId="0" xfId="0" applyNumberFormat="1" applyFont="1" applyBorder="1" applyAlignment="1">
      <alignment vertical="center"/>
    </xf>
    <xf numFmtId="0" fontId="66" fillId="0" borderId="0" xfId="0" applyFont="1" applyBorder="1" applyAlignment="1">
      <alignment horizontal="left"/>
    </xf>
    <xf numFmtId="0" fontId="61" fillId="0" borderId="0" xfId="0" applyFont="1" applyAlignment="1">
      <alignment horizontal="left"/>
    </xf>
    <xf numFmtId="0" fontId="69" fillId="0" borderId="0" xfId="16" applyFont="1" applyBorder="1" applyAlignment="1">
      <alignment horizontal="center"/>
    </xf>
    <xf numFmtId="0" fontId="52" fillId="0" borderId="0" xfId="0" applyFont="1" applyBorder="1" applyAlignment="1">
      <alignment horizontal="center"/>
    </xf>
    <xf numFmtId="0" fontId="73" fillId="0" borderId="23" xfId="0" applyFont="1" applyBorder="1"/>
    <xf numFmtId="0" fontId="60" fillId="0" borderId="0" xfId="0" applyFont="1" applyAlignment="1">
      <alignment horizontal="left" vertical="top" wrapText="1"/>
    </xf>
    <xf numFmtId="0" fontId="66" fillId="0" borderId="0" xfId="0" applyFont="1" applyBorder="1" applyAlignment="1">
      <alignment horizontal="left" wrapText="1"/>
    </xf>
    <xf numFmtId="175" fontId="20" fillId="0" borderId="30" xfId="0" applyNumberFormat="1" applyFont="1" applyFill="1" applyBorder="1" applyAlignment="1" applyProtection="1">
      <alignment vertical="center"/>
      <protection locked="0"/>
    </xf>
    <xf numFmtId="165" fontId="60" fillId="0" borderId="30" xfId="39" applyNumberFormat="1" applyFont="1" applyBorder="1" applyAlignment="1">
      <alignment horizontal="center" wrapText="1"/>
    </xf>
    <xf numFmtId="165" fontId="60" fillId="0" borderId="30" xfId="0" applyNumberFormat="1" applyFont="1" applyBorder="1" applyAlignment="1">
      <alignment horizontal="center"/>
    </xf>
    <xf numFmtId="165" fontId="60" fillId="0" borderId="30" xfId="39" applyNumberFormat="1" applyFont="1" applyBorder="1" applyAlignment="1">
      <alignment horizontal="center"/>
    </xf>
    <xf numFmtId="3" fontId="54" fillId="0" borderId="30" xfId="0" applyNumberFormat="1" applyFont="1" applyFill="1" applyBorder="1" applyAlignment="1">
      <alignment horizontal="right" indent="1"/>
    </xf>
    <xf numFmtId="3" fontId="54" fillId="0" borderId="22" xfId="0" applyNumberFormat="1" applyFont="1" applyFill="1" applyBorder="1" applyAlignment="1">
      <alignment horizontal="right" indent="1"/>
    </xf>
    <xf numFmtId="0" fontId="29" fillId="0" borderId="0" xfId="0" applyFont="1"/>
    <xf numFmtId="0" fontId="4" fillId="0" borderId="0" xfId="0" applyFont="1"/>
    <xf numFmtId="0" fontId="76" fillId="0" borderId="0" xfId="0" applyFont="1"/>
    <xf numFmtId="9" fontId="54" fillId="10" borderId="117" xfId="39" applyFont="1" applyFill="1" applyBorder="1" applyAlignment="1">
      <alignment horizontal="center"/>
    </xf>
    <xf numFmtId="9" fontId="54" fillId="10" borderId="118" xfId="39" applyFont="1" applyFill="1" applyBorder="1" applyAlignment="1">
      <alignment horizontal="center"/>
    </xf>
    <xf numFmtId="9" fontId="54" fillId="10" borderId="119" xfId="39" applyFont="1" applyFill="1" applyBorder="1" applyAlignment="1">
      <alignment horizontal="center"/>
    </xf>
    <xf numFmtId="0" fontId="54" fillId="12" borderId="23" xfId="0" applyFont="1" applyFill="1" applyBorder="1"/>
    <xf numFmtId="0" fontId="62" fillId="6" borderId="19" xfId="0" applyFont="1" applyFill="1" applyBorder="1" applyAlignment="1">
      <alignment horizontal="center"/>
    </xf>
    <xf numFmtId="0" fontId="62" fillId="6" borderId="21" xfId="0" applyFont="1" applyFill="1" applyBorder="1" applyAlignment="1">
      <alignment horizontal="center"/>
    </xf>
    <xf numFmtId="0" fontId="62" fillId="6" borderId="28" xfId="0" applyFont="1" applyFill="1" applyBorder="1" applyAlignment="1">
      <alignment horizontal="center"/>
    </xf>
    <xf numFmtId="0" fontId="62" fillId="13" borderId="40" xfId="0" applyFont="1" applyFill="1" applyBorder="1" applyAlignment="1"/>
    <xf numFmtId="171" fontId="55" fillId="13" borderId="16" xfId="1" applyNumberFormat="1" applyFont="1" applyFill="1" applyBorder="1" applyAlignment="1"/>
    <xf numFmtId="171" fontId="55" fillId="12" borderId="30" xfId="1" applyNumberFormat="1" applyFont="1" applyFill="1" applyBorder="1"/>
    <xf numFmtId="171" fontId="54" fillId="7" borderId="22" xfId="1" applyNumberFormat="1" applyFont="1" applyFill="1" applyBorder="1" applyAlignment="1">
      <alignment horizontal="left"/>
    </xf>
    <xf numFmtId="172" fontId="54" fillId="7" borderId="30" xfId="1" applyNumberFormat="1" applyFont="1" applyFill="1" applyBorder="1"/>
    <xf numFmtId="171" fontId="54" fillId="0" borderId="22" xfId="1" applyNumberFormat="1" applyFont="1" applyBorder="1" applyAlignment="1"/>
    <xf numFmtId="9" fontId="54" fillId="0" borderId="30" xfId="39" applyFont="1" applyBorder="1"/>
    <xf numFmtId="171" fontId="54" fillId="7" borderId="22" xfId="1" applyNumberFormat="1" applyFont="1" applyFill="1" applyBorder="1" applyAlignment="1"/>
    <xf numFmtId="171" fontId="54" fillId="7" borderId="30" xfId="1" applyNumberFormat="1" applyFont="1" applyFill="1" applyBorder="1"/>
    <xf numFmtId="171" fontId="54" fillId="0" borderId="22" xfId="1" applyNumberFormat="1" applyFont="1" applyBorder="1"/>
    <xf numFmtId="0" fontId="54" fillId="14" borderId="0" xfId="0" quotePrefix="1" applyFont="1" applyFill="1" applyAlignment="1">
      <alignment horizontal="left"/>
    </xf>
    <xf numFmtId="0" fontId="54" fillId="14" borderId="0" xfId="0" quotePrefix="1" applyFont="1" applyFill="1" applyAlignment="1"/>
    <xf numFmtId="0" fontId="54" fillId="14" borderId="0" xfId="0" applyFont="1" applyFill="1" applyAlignment="1">
      <alignment horizontal="center"/>
    </xf>
    <xf numFmtId="0" fontId="62" fillId="14" borderId="28" xfId="0" applyFont="1" applyFill="1" applyBorder="1" applyAlignment="1"/>
    <xf numFmtId="0" fontId="62" fillId="14" borderId="28" xfId="0" quotePrefix="1" applyFont="1" applyFill="1" applyBorder="1" applyAlignment="1">
      <alignment horizontal="left"/>
    </xf>
    <xf numFmtId="0" fontId="54" fillId="0" borderId="34" xfId="0" applyFont="1" applyFill="1" applyBorder="1" applyAlignment="1">
      <alignment horizontal="left"/>
    </xf>
    <xf numFmtId="164" fontId="54" fillId="0" borderId="122" xfId="39" applyNumberFormat="1" applyFont="1" applyFill="1" applyBorder="1"/>
    <xf numFmtId="164" fontId="78" fillId="0" borderId="122" xfId="39" applyNumberFormat="1" applyFont="1" applyFill="1" applyBorder="1"/>
    <xf numFmtId="0" fontId="54" fillId="0" borderId="123" xfId="0" applyFont="1" applyFill="1" applyBorder="1" applyAlignment="1">
      <alignment horizontal="right" indent="1"/>
    </xf>
    <xf numFmtId="0" fontId="54" fillId="16" borderId="34" xfId="0" applyFont="1" applyFill="1" applyBorder="1" applyAlignment="1">
      <alignment horizontal="left" indent="1"/>
    </xf>
    <xf numFmtId="0" fontId="54" fillId="0" borderId="34" xfId="0" applyFont="1" applyBorder="1" applyAlignment="1">
      <alignment horizontal="left" indent="1"/>
    </xf>
    <xf numFmtId="0" fontId="54" fillId="16" borderId="124" xfId="0" applyFont="1" applyFill="1" applyBorder="1" applyAlignment="1">
      <alignment horizontal="left" indent="1"/>
    </xf>
    <xf numFmtId="0" fontId="54" fillId="0" borderId="124" xfId="0" applyFont="1" applyBorder="1" applyAlignment="1">
      <alignment horizontal="left" indent="1"/>
    </xf>
    <xf numFmtId="0" fontId="62" fillId="6" borderId="15" xfId="0" applyFont="1" applyFill="1" applyBorder="1" applyAlignment="1">
      <alignment horizontal="center"/>
    </xf>
    <xf numFmtId="0" fontId="62" fillId="13" borderId="41" xfId="0" applyFont="1" applyFill="1" applyBorder="1" applyAlignment="1"/>
    <xf numFmtId="0" fontId="54" fillId="12" borderId="33" xfId="0" applyFont="1" applyFill="1" applyBorder="1"/>
    <xf numFmtId="0" fontId="63" fillId="7" borderId="34" xfId="0" applyFont="1" applyFill="1" applyBorder="1" applyAlignment="1">
      <alignment horizontal="left"/>
    </xf>
    <xf numFmtId="0" fontId="54" fillId="7" borderId="33" xfId="0" applyFont="1" applyFill="1" applyBorder="1"/>
    <xf numFmtId="9" fontId="54" fillId="0" borderId="33" xfId="39" applyFont="1" applyBorder="1" applyAlignment="1">
      <alignment horizontal="right" indent="1"/>
    </xf>
    <xf numFmtId="0" fontId="63" fillId="7" borderId="34" xfId="0" applyFont="1" applyFill="1" applyBorder="1" applyAlignment="1"/>
    <xf numFmtId="9" fontId="54" fillId="7" borderId="33" xfId="39" applyFont="1" applyFill="1" applyBorder="1" applyAlignment="1">
      <alignment horizontal="right" indent="1"/>
    </xf>
    <xf numFmtId="171" fontId="54" fillId="0" borderId="25" xfId="1" applyNumberFormat="1" applyFont="1" applyBorder="1"/>
    <xf numFmtId="9" fontId="54" fillId="0" borderId="26" xfId="39" applyFont="1" applyBorder="1" applyAlignment="1">
      <alignment horizontal="right" indent="1"/>
    </xf>
    <xf numFmtId="9" fontId="54" fillId="0" borderId="31" xfId="39" applyFont="1" applyBorder="1"/>
    <xf numFmtId="9" fontId="54" fillId="0" borderId="35" xfId="39" applyFont="1" applyBorder="1" applyAlignment="1">
      <alignment horizontal="right" indent="1"/>
    </xf>
    <xf numFmtId="0" fontId="55" fillId="17" borderId="125" xfId="0" applyFont="1" applyFill="1" applyBorder="1" applyAlignment="1">
      <alignment horizontal="center"/>
    </xf>
    <xf numFmtId="164" fontId="54" fillId="0" borderId="22" xfId="0" applyNumberFormat="1" applyFont="1" applyBorder="1" applyAlignment="1">
      <alignment horizontal="center"/>
    </xf>
    <xf numFmtId="164" fontId="54" fillId="0" borderId="23" xfId="0" applyNumberFormat="1" applyFont="1" applyBorder="1" applyAlignment="1">
      <alignment horizontal="center"/>
    </xf>
    <xf numFmtId="164" fontId="54" fillId="16" borderId="22" xfId="0" applyNumberFormat="1" applyFont="1" applyFill="1" applyBorder="1" applyAlignment="1">
      <alignment horizontal="center"/>
    </xf>
    <xf numFmtId="164" fontId="54" fillId="16" borderId="23" xfId="0" applyNumberFormat="1" applyFont="1" applyFill="1" applyBorder="1" applyAlignment="1">
      <alignment horizontal="center"/>
    </xf>
    <xf numFmtId="164" fontId="54" fillId="0" borderId="23" xfId="39" applyNumberFormat="1" applyFont="1" applyBorder="1" applyAlignment="1">
      <alignment horizontal="center"/>
    </xf>
    <xf numFmtId="164" fontId="54" fillId="16" borderId="23" xfId="39" applyNumberFormat="1" applyFont="1" applyFill="1" applyBorder="1" applyAlignment="1">
      <alignment horizontal="center"/>
    </xf>
    <xf numFmtId="0" fontId="55" fillId="17" borderId="19" xfId="0" applyFont="1" applyFill="1" applyBorder="1" applyAlignment="1">
      <alignment horizontal="center"/>
    </xf>
    <xf numFmtId="0" fontId="55" fillId="17" borderId="21" xfId="0" applyFont="1" applyFill="1" applyBorder="1" applyAlignment="1">
      <alignment horizontal="center"/>
    </xf>
    <xf numFmtId="0" fontId="55" fillId="17" borderId="126" xfId="0" applyFont="1" applyFill="1" applyBorder="1" applyAlignment="1">
      <alignment horizontal="center"/>
    </xf>
    <xf numFmtId="0" fontId="55" fillId="17" borderId="127" xfId="0" applyFont="1" applyFill="1" applyBorder="1" applyAlignment="1">
      <alignment horizontal="center"/>
    </xf>
    <xf numFmtId="164" fontId="54" fillId="0" borderId="30" xfId="39" applyNumberFormat="1" applyFont="1" applyBorder="1" applyAlignment="1">
      <alignment horizontal="center"/>
    </xf>
    <xf numFmtId="164" fontId="54" fillId="0" borderId="30" xfId="0" applyNumberFormat="1" applyFont="1" applyBorder="1" applyAlignment="1">
      <alignment horizontal="center"/>
    </xf>
    <xf numFmtId="164" fontId="54" fillId="16" borderId="30" xfId="39" applyNumberFormat="1" applyFont="1" applyFill="1" applyBorder="1" applyAlignment="1">
      <alignment horizontal="center"/>
    </xf>
    <xf numFmtId="164" fontId="54" fillId="16" borderId="30" xfId="0" applyNumberFormat="1" applyFont="1" applyFill="1" applyBorder="1" applyAlignment="1">
      <alignment horizontal="center"/>
    </xf>
    <xf numFmtId="0" fontId="55" fillId="17" borderId="128" xfId="0" applyFont="1" applyFill="1" applyBorder="1" applyAlignment="1">
      <alignment horizontal="center"/>
    </xf>
    <xf numFmtId="37" fontId="54" fillId="0" borderId="22" xfId="1" applyNumberFormat="1" applyFont="1" applyBorder="1" applyAlignment="1">
      <alignment horizontal="center"/>
    </xf>
    <xf numFmtId="37" fontId="54" fillId="16" borderId="22" xfId="1" applyNumberFormat="1" applyFont="1" applyFill="1" applyBorder="1" applyAlignment="1">
      <alignment horizontal="center"/>
    </xf>
    <xf numFmtId="0" fontId="55" fillId="18" borderId="19" xfId="0" applyFont="1" applyFill="1" applyBorder="1" applyAlignment="1">
      <alignment horizontal="center"/>
    </xf>
    <xf numFmtId="0" fontId="55" fillId="18" borderId="20" xfId="0" applyFont="1" applyFill="1" applyBorder="1" applyAlignment="1">
      <alignment horizontal="center"/>
    </xf>
    <xf numFmtId="0" fontId="55" fillId="18" borderId="42" xfId="0" applyFont="1" applyFill="1" applyBorder="1" applyAlignment="1">
      <alignment horizontal="center"/>
    </xf>
    <xf numFmtId="0" fontId="55" fillId="18" borderId="21" xfId="0" applyFont="1" applyFill="1" applyBorder="1" applyAlignment="1">
      <alignment horizontal="center"/>
    </xf>
    <xf numFmtId="0" fontId="55" fillId="19" borderId="129" xfId="0" applyFont="1" applyFill="1" applyBorder="1" applyAlignment="1">
      <alignment horizontal="center"/>
    </xf>
    <xf numFmtId="0" fontId="55" fillId="19" borderId="130" xfId="0" applyFont="1" applyFill="1" applyBorder="1" applyAlignment="1">
      <alignment horizontal="center"/>
    </xf>
    <xf numFmtId="0" fontId="55" fillId="19" borderId="131" xfId="0" applyFont="1" applyFill="1" applyBorder="1" applyAlignment="1">
      <alignment horizontal="center"/>
    </xf>
    <xf numFmtId="167" fontId="57" fillId="9" borderId="23" xfId="0" applyNumberFormat="1" applyFont="1" applyFill="1" applyBorder="1"/>
    <xf numFmtId="9" fontId="57" fillId="0" borderId="27" xfId="39" applyFont="1" applyFill="1" applyBorder="1"/>
    <xf numFmtId="9" fontId="57" fillId="0" borderId="26" xfId="39" applyFont="1" applyFill="1" applyBorder="1"/>
    <xf numFmtId="0" fontId="52" fillId="0" borderId="0" xfId="0" applyFont="1" applyAlignment="1">
      <alignment horizontal="center"/>
    </xf>
    <xf numFmtId="49" fontId="67" fillId="0" borderId="0" xfId="0" applyNumberFormat="1" applyFont="1" applyFill="1" applyBorder="1" applyAlignment="1">
      <alignment horizontal="left" wrapText="1"/>
    </xf>
    <xf numFmtId="0" fontId="52" fillId="0" borderId="0" xfId="0" applyFont="1" applyAlignment="1">
      <alignment horizontal="center"/>
    </xf>
    <xf numFmtId="0" fontId="70" fillId="0" borderId="0" xfId="16" applyFont="1"/>
    <xf numFmtId="0" fontId="52" fillId="0" borderId="19" xfId="0" applyFont="1" applyBorder="1"/>
    <xf numFmtId="0" fontId="52" fillId="0" borderId="20" xfId="0" applyFont="1" applyBorder="1"/>
    <xf numFmtId="0" fontId="52" fillId="0" borderId="42" xfId="0" applyFont="1" applyBorder="1"/>
    <xf numFmtId="0" fontId="52" fillId="0" borderId="21" xfId="0" applyFont="1" applyBorder="1"/>
    <xf numFmtId="0" fontId="69" fillId="6" borderId="0" xfId="16" quotePrefix="1" applyFont="1" applyFill="1"/>
    <xf numFmtId="0" fontId="69" fillId="6" borderId="43" xfId="16" applyFont="1" applyFill="1" applyBorder="1" applyAlignment="1">
      <alignment wrapText="1"/>
    </xf>
    <xf numFmtId="171" fontId="73" fillId="8" borderId="22" xfId="1" applyNumberFormat="1" applyFont="1" applyFill="1" applyBorder="1"/>
    <xf numFmtId="171" fontId="73" fillId="8" borderId="24" xfId="1" applyNumberFormat="1" applyFont="1" applyFill="1" applyBorder="1"/>
    <xf numFmtId="171" fontId="73" fillId="8" borderId="44" xfId="1" applyNumberFormat="1" applyFont="1" applyFill="1" applyBorder="1"/>
    <xf numFmtId="164" fontId="73" fillId="8" borderId="22" xfId="39" applyNumberFormat="1" applyFont="1" applyFill="1" applyBorder="1"/>
    <xf numFmtId="164" fontId="73" fillId="8" borderId="24" xfId="39" applyNumberFormat="1" applyFont="1" applyFill="1" applyBorder="1"/>
    <xf numFmtId="164" fontId="73" fillId="8" borderId="44" xfId="39" applyNumberFormat="1" applyFont="1" applyFill="1" applyBorder="1"/>
    <xf numFmtId="0" fontId="70" fillId="0" borderId="1" xfId="16" applyFont="1" applyFill="1" applyBorder="1" applyAlignment="1">
      <alignment wrapText="1"/>
    </xf>
    <xf numFmtId="0" fontId="70" fillId="0" borderId="11" xfId="16" applyFont="1" applyFill="1" applyBorder="1" applyAlignment="1">
      <alignment wrapText="1"/>
    </xf>
    <xf numFmtId="171" fontId="73" fillId="0" borderId="22" xfId="1" applyNumberFormat="1" applyFont="1" applyBorder="1"/>
    <xf numFmtId="171" fontId="73" fillId="0" borderId="24" xfId="1" applyNumberFormat="1" applyFont="1" applyBorder="1"/>
    <xf numFmtId="171" fontId="73" fillId="0" borderId="44" xfId="1" applyNumberFormat="1" applyFont="1" applyBorder="1"/>
    <xf numFmtId="171" fontId="73" fillId="0" borderId="23" xfId="1" applyNumberFormat="1" applyFont="1" applyBorder="1"/>
    <xf numFmtId="164" fontId="73" fillId="0" borderId="22" xfId="39" applyNumberFormat="1" applyFont="1" applyBorder="1"/>
    <xf numFmtId="164" fontId="73" fillId="0" borderId="24" xfId="39" applyNumberFormat="1" applyFont="1" applyBorder="1"/>
    <xf numFmtId="164" fontId="73" fillId="0" borderId="44" xfId="39" applyNumberFormat="1" applyFont="1" applyBorder="1"/>
    <xf numFmtId="164" fontId="73" fillId="0" borderId="23" xfId="39" applyNumberFormat="1" applyFont="1" applyBorder="1"/>
    <xf numFmtId="0" fontId="70" fillId="0" borderId="0" xfId="16" applyFont="1" applyFill="1" applyBorder="1" applyAlignment="1">
      <alignment wrapText="1"/>
    </xf>
    <xf numFmtId="0" fontId="69" fillId="0" borderId="0" xfId="16" applyFont="1" applyFill="1" applyBorder="1" applyAlignment="1">
      <alignment wrapText="1"/>
    </xf>
    <xf numFmtId="0" fontId="79" fillId="0" borderId="0" xfId="14" applyFont="1"/>
    <xf numFmtId="0" fontId="79" fillId="0" borderId="0" xfId="14" applyFont="1" applyAlignment="1">
      <alignment horizontal="right" vertical="top"/>
    </xf>
    <xf numFmtId="0" fontId="80" fillId="0" borderId="0" xfId="4" applyFont="1" applyAlignment="1" applyProtection="1"/>
    <xf numFmtId="171" fontId="73" fillId="0" borderId="16" xfId="1" applyNumberFormat="1" applyFont="1" applyBorder="1"/>
    <xf numFmtId="171" fontId="73" fillId="0" borderId="17" xfId="1" applyNumberFormat="1" applyFont="1" applyBorder="1"/>
    <xf numFmtId="171" fontId="73" fillId="0" borderId="45" xfId="1" applyNumberFormat="1" applyFont="1" applyBorder="1"/>
    <xf numFmtId="164" fontId="73" fillId="0" borderId="16" xfId="39" applyNumberFormat="1" applyFont="1" applyBorder="1"/>
    <xf numFmtId="164" fontId="73" fillId="0" borderId="17" xfId="39" applyNumberFormat="1" applyFont="1" applyBorder="1"/>
    <xf numFmtId="164" fontId="73" fillId="0" borderId="45" xfId="39" applyNumberFormat="1" applyFont="1" applyBorder="1"/>
    <xf numFmtId="164" fontId="73" fillId="0" borderId="18" xfId="39" applyNumberFormat="1" applyFont="1" applyBorder="1"/>
    <xf numFmtId="0" fontId="69" fillId="0" borderId="4" xfId="14" applyFont="1" applyFill="1" applyBorder="1" applyAlignment="1">
      <alignment horizontal="right" wrapText="1" indent="1"/>
    </xf>
    <xf numFmtId="0" fontId="69" fillId="0" borderId="46" xfId="14" applyFont="1" applyFill="1" applyBorder="1" applyAlignment="1">
      <alignment horizontal="center" wrapText="1"/>
    </xf>
    <xf numFmtId="0" fontId="69" fillId="0" borderId="47" xfId="14" applyFont="1" applyFill="1" applyBorder="1" applyAlignment="1">
      <alignment horizontal="center" wrapText="1"/>
    </xf>
    <xf numFmtId="0" fontId="69" fillId="0" borderId="48" xfId="14" applyFont="1" applyFill="1" applyBorder="1" applyAlignment="1">
      <alignment horizontal="center" wrapText="1"/>
    </xf>
    <xf numFmtId="0" fontId="69" fillId="0" borderId="49" xfId="14" quotePrefix="1" applyFont="1" applyFill="1" applyBorder="1" applyAlignment="1">
      <alignment horizontal="center" wrapText="1"/>
    </xf>
    <xf numFmtId="0" fontId="69" fillId="0" borderId="50" xfId="14" quotePrefix="1" applyFont="1" applyFill="1" applyBorder="1" applyAlignment="1">
      <alignment horizontal="center" wrapText="1"/>
    </xf>
    <xf numFmtId="0" fontId="69" fillId="0" borderId="48" xfId="14" applyFont="1" applyFill="1" applyBorder="1" applyAlignment="1">
      <alignment horizontal="center" wrapText="1"/>
    </xf>
    <xf numFmtId="0" fontId="69" fillId="0" borderId="46" xfId="14" applyFont="1" applyFill="1" applyBorder="1" applyAlignment="1">
      <alignment horizontal="center" wrapText="1"/>
    </xf>
    <xf numFmtId="0" fontId="69" fillId="0" borderId="47" xfId="14" applyFont="1" applyFill="1" applyBorder="1" applyAlignment="1">
      <alignment horizontal="center" wrapText="1"/>
    </xf>
    <xf numFmtId="0" fontId="69" fillId="0" borderId="51" xfId="14" applyFont="1" applyFill="1" applyBorder="1" applyAlignment="1">
      <alignment horizontal="center" wrapText="1"/>
    </xf>
    <xf numFmtId="0" fontId="69" fillId="0" borderId="52" xfId="14" applyFont="1" applyFill="1" applyBorder="1" applyAlignment="1">
      <alignment horizontal="center" wrapText="1"/>
    </xf>
    <xf numFmtId="0" fontId="70" fillId="0" borderId="0" xfId="14" applyFont="1" applyFill="1" applyBorder="1" applyAlignment="1">
      <alignment horizontal="right" wrapText="1" indent="1"/>
    </xf>
    <xf numFmtId="0" fontId="79" fillId="0" borderId="29" xfId="9" applyFont="1" applyBorder="1"/>
    <xf numFmtId="164" fontId="70" fillId="0" borderId="22" xfId="39" applyNumberFormat="1" applyFont="1" applyFill="1" applyBorder="1" applyAlignment="1">
      <alignment wrapText="1"/>
    </xf>
    <xf numFmtId="164" fontId="70" fillId="0" borderId="53" xfId="14" applyNumberFormat="1" applyFont="1" applyFill="1" applyBorder="1" applyAlignment="1">
      <alignment horizontal="center" wrapText="1"/>
    </xf>
    <xf numFmtId="164" fontId="70" fillId="0" borderId="24" xfId="14" applyNumberFormat="1" applyFont="1" applyFill="1" applyBorder="1" applyAlignment="1">
      <alignment horizontal="center" wrapText="1"/>
    </xf>
    <xf numFmtId="164" fontId="70" fillId="0" borderId="23" xfId="14" applyNumberFormat="1" applyFont="1" applyFill="1" applyBorder="1" applyAlignment="1">
      <alignment horizontal="center" wrapText="1"/>
    </xf>
    <xf numFmtId="164" fontId="70" fillId="0" borderId="30" xfId="14" applyNumberFormat="1" applyFont="1" applyFill="1" applyBorder="1" applyAlignment="1">
      <alignment horizontal="center" wrapText="1"/>
    </xf>
    <xf numFmtId="171" fontId="70" fillId="0" borderId="54" xfId="1" applyNumberFormat="1" applyFont="1" applyFill="1" applyBorder="1" applyAlignment="1">
      <alignment wrapText="1"/>
    </xf>
    <xf numFmtId="171" fontId="70" fillId="0" borderId="55" xfId="1" applyNumberFormat="1" applyFont="1" applyFill="1" applyBorder="1" applyAlignment="1">
      <alignment wrapText="1"/>
    </xf>
    <xf numFmtId="3" fontId="70" fillId="0" borderId="54" xfId="14" applyNumberFormat="1" applyFont="1" applyFill="1" applyBorder="1" applyAlignment="1">
      <alignment horizontal="right" wrapText="1"/>
    </xf>
    <xf numFmtId="3" fontId="70" fillId="0" borderId="55" xfId="14" applyNumberFormat="1" applyFont="1" applyFill="1" applyBorder="1" applyAlignment="1">
      <alignment horizontal="right" wrapText="1"/>
    </xf>
    <xf numFmtId="3" fontId="70" fillId="0" borderId="56" xfId="14" applyNumberFormat="1" applyFont="1" applyFill="1" applyBorder="1" applyAlignment="1">
      <alignment horizontal="right" wrapText="1"/>
    </xf>
    <xf numFmtId="3" fontId="70" fillId="0" borderId="22" xfId="14" applyNumberFormat="1" applyFont="1" applyFill="1" applyBorder="1" applyAlignment="1">
      <alignment horizontal="right" wrapText="1"/>
    </xf>
    <xf numFmtId="3" fontId="70" fillId="0" borderId="24" xfId="14" applyNumberFormat="1" applyFont="1" applyFill="1" applyBorder="1" applyAlignment="1">
      <alignment horizontal="right" wrapText="1"/>
    </xf>
    <xf numFmtId="171" fontId="79" fillId="0" borderId="22" xfId="1" applyNumberFormat="1" applyFont="1" applyBorder="1"/>
    <xf numFmtId="3" fontId="73" fillId="0" borderId="24" xfId="0" applyNumberFormat="1" applyFont="1" applyBorder="1"/>
    <xf numFmtId="0" fontId="79" fillId="0" borderId="30" xfId="9" applyFont="1" applyBorder="1"/>
    <xf numFmtId="171" fontId="70" fillId="0" borderId="22" xfId="1" applyNumberFormat="1" applyFont="1" applyFill="1" applyBorder="1" applyAlignment="1">
      <alignment wrapText="1"/>
    </xf>
    <xf numFmtId="171" fontId="70" fillId="0" borderId="24" xfId="1" applyNumberFormat="1" applyFont="1" applyFill="1" applyBorder="1" applyAlignment="1">
      <alignment wrapText="1"/>
    </xf>
    <xf numFmtId="3" fontId="70" fillId="0" borderId="53" xfId="14" applyNumberFormat="1" applyFont="1" applyFill="1" applyBorder="1" applyAlignment="1">
      <alignment horizontal="right" wrapText="1"/>
    </xf>
    <xf numFmtId="0" fontId="79" fillId="0" borderId="30" xfId="9" applyFont="1" applyBorder="1" applyAlignment="1">
      <alignment wrapText="1"/>
    </xf>
    <xf numFmtId="0" fontId="70" fillId="0" borderId="12" xfId="14" applyFont="1" applyFill="1" applyBorder="1" applyAlignment="1">
      <alignment horizontal="right" wrapText="1" indent="1"/>
    </xf>
    <xf numFmtId="0" fontId="79" fillId="0" borderId="31" xfId="9" applyFont="1" applyBorder="1"/>
    <xf numFmtId="0" fontId="70" fillId="0" borderId="12" xfId="14" applyFont="1" applyFill="1" applyBorder="1" applyAlignment="1">
      <alignment wrapText="1"/>
    </xf>
    <xf numFmtId="164" fontId="70" fillId="0" borderId="25" xfId="39" applyNumberFormat="1" applyFont="1" applyFill="1" applyBorder="1" applyAlignment="1">
      <alignment wrapText="1"/>
    </xf>
    <xf numFmtId="164" fontId="70" fillId="0" borderId="57" xfId="14" applyNumberFormat="1" applyFont="1" applyFill="1" applyBorder="1" applyAlignment="1">
      <alignment horizontal="center" wrapText="1"/>
    </xf>
    <xf numFmtId="164" fontId="70" fillId="0" borderId="27" xfId="14" applyNumberFormat="1" applyFont="1" applyFill="1" applyBorder="1" applyAlignment="1">
      <alignment horizontal="center" wrapText="1"/>
    </xf>
    <xf numFmtId="164" fontId="70" fillId="0" borderId="26" xfId="14" applyNumberFormat="1" applyFont="1" applyFill="1" applyBorder="1" applyAlignment="1">
      <alignment horizontal="center" wrapText="1"/>
    </xf>
    <xf numFmtId="164" fontId="70" fillId="0" borderId="31" xfId="14" applyNumberFormat="1" applyFont="1" applyFill="1" applyBorder="1" applyAlignment="1">
      <alignment horizontal="center" wrapText="1"/>
    </xf>
    <xf numFmtId="0" fontId="79" fillId="0" borderId="0" xfId="9" applyFont="1" applyBorder="1"/>
    <xf numFmtId="164" fontId="70" fillId="0" borderId="0" xfId="14" applyNumberFormat="1" applyFont="1" applyFill="1" applyBorder="1" applyAlignment="1">
      <alignment horizontal="center" wrapText="1"/>
    </xf>
    <xf numFmtId="3" fontId="70" fillId="0" borderId="0" xfId="14" applyNumberFormat="1" applyFont="1" applyFill="1" applyBorder="1" applyAlignment="1">
      <alignment horizontal="right" wrapText="1"/>
    </xf>
    <xf numFmtId="3" fontId="69" fillId="0" borderId="0" xfId="14" applyNumberFormat="1" applyFont="1" applyFill="1" applyBorder="1" applyAlignment="1">
      <alignment horizontal="right" wrapText="1"/>
    </xf>
    <xf numFmtId="0" fontId="70" fillId="0" borderId="0" xfId="14" applyFont="1" applyFill="1" applyBorder="1" applyAlignment="1">
      <alignment horizontal="right" wrapText="1"/>
    </xf>
    <xf numFmtId="164" fontId="70" fillId="0" borderId="22" xfId="14" applyNumberFormat="1" applyFont="1" applyFill="1" applyBorder="1" applyAlignment="1">
      <alignment horizontal="center" wrapText="1"/>
    </xf>
    <xf numFmtId="164" fontId="70" fillId="0" borderId="30" xfId="14" applyNumberFormat="1" applyFont="1" applyFill="1" applyBorder="1" applyAlignment="1">
      <alignment horizontal="center" wrapText="1"/>
    </xf>
    <xf numFmtId="3" fontId="70" fillId="0" borderId="22" xfId="14" applyNumberFormat="1" applyFont="1" applyFill="1" applyBorder="1" applyAlignment="1">
      <alignment horizontal="right" wrapText="1"/>
    </xf>
    <xf numFmtId="3" fontId="79" fillId="0" borderId="0" xfId="14" applyNumberFormat="1" applyFont="1"/>
    <xf numFmtId="0" fontId="69" fillId="0" borderId="0" xfId="11" applyFont="1" applyFill="1" applyBorder="1" applyAlignment="1">
      <alignment horizontal="center"/>
    </xf>
    <xf numFmtId="164" fontId="69" fillId="6" borderId="38" xfId="16" applyNumberFormat="1" applyFont="1" applyFill="1" applyBorder="1" applyAlignment="1">
      <alignment wrapText="1"/>
    </xf>
    <xf numFmtId="164" fontId="69" fillId="0" borderId="0" xfId="16" applyNumberFormat="1" applyFont="1" applyFill="1" applyBorder="1" applyAlignment="1">
      <alignment wrapText="1"/>
    </xf>
    <xf numFmtId="3" fontId="69" fillId="6" borderId="38" xfId="16" applyNumberFormat="1" applyFont="1" applyFill="1" applyBorder="1" applyAlignment="1">
      <alignment wrapText="1"/>
    </xf>
    <xf numFmtId="0" fontId="69" fillId="0" borderId="58" xfId="16" applyFont="1" applyFill="1" applyBorder="1" applyAlignment="1">
      <alignment horizontal="center"/>
    </xf>
    <xf numFmtId="0" fontId="69" fillId="0" borderId="58" xfId="11" applyFont="1" applyFill="1" applyBorder="1" applyAlignment="1">
      <alignment horizontal="center"/>
    </xf>
    <xf numFmtId="0" fontId="69" fillId="0" borderId="59" xfId="11" applyFont="1" applyFill="1" applyBorder="1" applyAlignment="1">
      <alignment horizontal="center"/>
    </xf>
    <xf numFmtId="176" fontId="69" fillId="0" borderId="58" xfId="1" applyNumberFormat="1" applyFont="1" applyFill="1" applyBorder="1" applyAlignment="1">
      <alignment horizontal="center"/>
    </xf>
    <xf numFmtId="176" fontId="69" fillId="0" borderId="59" xfId="1" applyNumberFormat="1" applyFont="1" applyFill="1" applyBorder="1" applyAlignment="1">
      <alignment horizontal="center"/>
    </xf>
    <xf numFmtId="164" fontId="69" fillId="6" borderId="60" xfId="16" applyNumberFormat="1" applyFont="1" applyFill="1" applyBorder="1" applyAlignment="1">
      <alignment wrapText="1"/>
    </xf>
    <xf numFmtId="164" fontId="69" fillId="6" borderId="61" xfId="16" applyNumberFormat="1" applyFont="1" applyFill="1" applyBorder="1" applyAlignment="1">
      <alignment wrapText="1"/>
    </xf>
    <xf numFmtId="3" fontId="69" fillId="6" borderId="60" xfId="16" applyNumberFormat="1" applyFont="1" applyFill="1" applyBorder="1" applyAlignment="1">
      <alignment wrapText="1"/>
    </xf>
    <xf numFmtId="3" fontId="69" fillId="6" borderId="61" xfId="16" applyNumberFormat="1" applyFont="1" applyFill="1" applyBorder="1"/>
    <xf numFmtId="164" fontId="70" fillId="0" borderId="60" xfId="16" applyNumberFormat="1" applyFont="1" applyFill="1" applyBorder="1" applyAlignment="1">
      <alignment wrapText="1"/>
    </xf>
    <xf numFmtId="164" fontId="70" fillId="0" borderId="61" xfId="16" applyNumberFormat="1" applyFont="1" applyFill="1" applyBorder="1" applyAlignment="1">
      <alignment wrapText="1"/>
    </xf>
    <xf numFmtId="164" fontId="70" fillId="0" borderId="32" xfId="16" applyNumberFormat="1" applyFont="1" applyFill="1" applyBorder="1" applyAlignment="1">
      <alignment wrapText="1"/>
    </xf>
    <xf numFmtId="3" fontId="70" fillId="0" borderId="60" xfId="16" applyNumberFormat="1" applyFont="1" applyFill="1" applyBorder="1" applyAlignment="1">
      <alignment wrapText="1"/>
    </xf>
    <xf numFmtId="3" fontId="70" fillId="0" borderId="62" xfId="0" applyNumberFormat="1" applyFont="1" applyFill="1" applyBorder="1" applyAlignment="1">
      <alignment horizontal="right" wrapText="1"/>
    </xf>
    <xf numFmtId="0" fontId="73" fillId="0" borderId="0" xfId="0" applyFont="1" applyBorder="1"/>
    <xf numFmtId="0" fontId="70" fillId="0" borderId="60" xfId="16" applyNumberFormat="1" applyFont="1" applyFill="1" applyBorder="1" applyAlignment="1">
      <alignment wrapText="1"/>
    </xf>
    <xf numFmtId="164" fontId="70" fillId="0" borderId="63" xfId="16" applyNumberFormat="1" applyFont="1" applyFill="1" applyBorder="1" applyAlignment="1">
      <alignment wrapText="1"/>
    </xf>
    <xf numFmtId="3" fontId="70" fillId="0" borderId="63" xfId="16" applyNumberFormat="1" applyFont="1" applyFill="1" applyBorder="1" applyAlignment="1">
      <alignment wrapText="1"/>
    </xf>
    <xf numFmtId="3" fontId="70" fillId="0" borderId="64" xfId="0" applyNumberFormat="1" applyFont="1" applyFill="1" applyBorder="1" applyAlignment="1">
      <alignment horizontal="right" wrapText="1"/>
    </xf>
    <xf numFmtId="3" fontId="79" fillId="0" borderId="114" xfId="14" applyNumberFormat="1" applyFont="1" applyBorder="1"/>
    <xf numFmtId="3" fontId="79" fillId="0" borderId="115" xfId="14" applyNumberFormat="1" applyFont="1" applyBorder="1"/>
    <xf numFmtId="164" fontId="70" fillId="0" borderId="37" xfId="39" applyNumberFormat="1" applyFont="1" applyBorder="1"/>
    <xf numFmtId="164" fontId="70" fillId="0" borderId="38" xfId="39" applyNumberFormat="1" applyFont="1" applyBorder="1"/>
    <xf numFmtId="164" fontId="70" fillId="0" borderId="61" xfId="39" applyNumberFormat="1" applyFont="1" applyFill="1" applyBorder="1" applyAlignment="1">
      <alignment wrapText="1"/>
    </xf>
    <xf numFmtId="0" fontId="70" fillId="0" borderId="65" xfId="16" applyFont="1" applyFill="1" applyBorder="1" applyAlignment="1">
      <alignment wrapText="1"/>
    </xf>
    <xf numFmtId="0" fontId="70" fillId="0" borderId="66" xfId="16" applyFont="1" applyFill="1" applyBorder="1" applyAlignment="1">
      <alignment wrapText="1"/>
    </xf>
    <xf numFmtId="164" fontId="70" fillId="0" borderId="67" xfId="16" applyNumberFormat="1" applyFont="1" applyFill="1" applyBorder="1" applyAlignment="1">
      <alignment wrapText="1"/>
    </xf>
    <xf numFmtId="164" fontId="70" fillId="0" borderId="37" xfId="39" applyNumberFormat="1" applyFont="1" applyBorder="1"/>
    <xf numFmtId="0" fontId="69" fillId="0" borderId="40" xfId="16" applyFont="1" applyFill="1" applyBorder="1" applyAlignment="1">
      <alignment wrapText="1"/>
    </xf>
    <xf numFmtId="0" fontId="70" fillId="0" borderId="40" xfId="16" applyFont="1" applyFill="1" applyBorder="1" applyAlignment="1">
      <alignment wrapText="1"/>
    </xf>
    <xf numFmtId="164" fontId="70" fillId="0" borderId="40" xfId="16" applyNumberFormat="1" applyFont="1" applyFill="1" applyBorder="1" applyAlignment="1">
      <alignment wrapText="1"/>
    </xf>
    <xf numFmtId="3" fontId="70" fillId="0" borderId="40" xfId="16" applyNumberFormat="1" applyFont="1" applyFill="1" applyBorder="1" applyAlignment="1">
      <alignment wrapText="1"/>
    </xf>
    <xf numFmtId="3" fontId="70" fillId="0" borderId="40" xfId="0" applyNumberFormat="1" applyFont="1" applyFill="1" applyBorder="1" applyAlignment="1">
      <alignment horizontal="right" wrapText="1"/>
    </xf>
    <xf numFmtId="0" fontId="79" fillId="0" borderId="0" xfId="19" applyFont="1" applyAlignment="1">
      <alignment vertical="top"/>
    </xf>
    <xf numFmtId="0" fontId="79" fillId="0" borderId="0" xfId="19" applyFont="1" applyFill="1" applyAlignment="1">
      <alignment vertical="top"/>
    </xf>
    <xf numFmtId="0" fontId="79" fillId="0" borderId="0" xfId="19" applyFont="1" applyAlignment="1"/>
    <xf numFmtId="49" fontId="81" fillId="0" borderId="133" xfId="19" applyNumberFormat="1" applyFont="1" applyBorder="1" applyAlignment="1">
      <alignment wrapText="1"/>
    </xf>
    <xf numFmtId="0" fontId="67" fillId="0" borderId="0" xfId="19" applyFont="1" applyAlignment="1">
      <alignment horizontal="center"/>
    </xf>
    <xf numFmtId="170" fontId="82" fillId="0" borderId="0" xfId="19" applyNumberFormat="1" applyFont="1" applyAlignment="1">
      <alignment horizontal="left" vertical="top" wrapText="1"/>
    </xf>
    <xf numFmtId="0" fontId="79" fillId="0" borderId="0" xfId="14" applyFont="1" applyFill="1" applyBorder="1" applyAlignment="1">
      <alignment horizontal="left" vertical="top" wrapText="1"/>
    </xf>
    <xf numFmtId="0" fontId="79" fillId="0" borderId="0" xfId="14" applyFont="1" applyAlignment="1"/>
    <xf numFmtId="0" fontId="73" fillId="0" borderId="0" xfId="0" applyFont="1" applyAlignment="1">
      <alignment horizontal="left" vertical="top" wrapText="1"/>
    </xf>
    <xf numFmtId="0" fontId="69" fillId="0" borderId="2" xfId="16" applyFont="1" applyFill="1" applyBorder="1" applyAlignment="1">
      <alignment horizontal="left"/>
    </xf>
    <xf numFmtId="0" fontId="69" fillId="0" borderId="6" xfId="16" applyFont="1" applyFill="1" applyBorder="1" applyAlignment="1">
      <alignment horizontal="left"/>
    </xf>
    <xf numFmtId="0" fontId="67" fillId="0" borderId="0" xfId="0" applyFont="1" applyFill="1" applyBorder="1" applyAlignment="1">
      <alignment horizontal="left" wrapText="1"/>
    </xf>
    <xf numFmtId="49" fontId="79" fillId="0" borderId="0" xfId="0" applyNumberFormat="1" applyFont="1" applyFill="1" applyBorder="1" applyAlignment="1">
      <alignment horizontal="left" wrapText="1"/>
    </xf>
    <xf numFmtId="0" fontId="79" fillId="0" borderId="0" xfId="0" applyFont="1" applyFill="1" applyBorder="1" applyAlignment="1">
      <alignment wrapText="1"/>
    </xf>
    <xf numFmtId="49" fontId="79" fillId="0" borderId="0" xfId="0" applyNumberFormat="1" applyFont="1" applyFill="1" applyBorder="1" applyAlignment="1">
      <alignment horizontal="center" wrapText="1"/>
    </xf>
    <xf numFmtId="0" fontId="67" fillId="0" borderId="0" xfId="0" applyFont="1" applyBorder="1"/>
    <xf numFmtId="49" fontId="79" fillId="0" borderId="0" xfId="0" applyNumberFormat="1" applyFont="1" applyFill="1" applyBorder="1" applyAlignment="1">
      <alignment horizontal="left"/>
    </xf>
    <xf numFmtId="0" fontId="67" fillId="0" borderId="0" xfId="0" applyFont="1" applyFill="1" applyBorder="1" applyAlignment="1">
      <alignment wrapText="1"/>
    </xf>
    <xf numFmtId="0" fontId="73" fillId="0" borderId="0" xfId="0" applyFont="1" applyAlignment="1">
      <alignment horizontal="center"/>
    </xf>
    <xf numFmtId="49" fontId="67" fillId="0" borderId="0" xfId="0" applyNumberFormat="1" applyFont="1" applyFill="1" applyBorder="1" applyAlignment="1">
      <alignment horizontal="center" wrapText="1"/>
    </xf>
    <xf numFmtId="0" fontId="67" fillId="0" borderId="0" xfId="0" applyFont="1" applyFill="1" applyBorder="1" applyAlignment="1">
      <alignment horizontal="center" wrapText="1"/>
    </xf>
    <xf numFmtId="0" fontId="79" fillId="0" borderId="0" xfId="0" applyFont="1" applyFill="1" applyBorder="1" applyAlignment="1">
      <alignment horizontal="center" wrapText="1"/>
    </xf>
    <xf numFmtId="0" fontId="67" fillId="0" borderId="0" xfId="0" applyFont="1" applyFill="1" applyBorder="1" applyAlignment="1">
      <alignment horizontal="right" wrapText="1"/>
    </xf>
    <xf numFmtId="49" fontId="67" fillId="0" borderId="0" xfId="0" applyNumberFormat="1" applyFont="1" applyBorder="1" applyAlignment="1">
      <alignment horizontal="center"/>
    </xf>
    <xf numFmtId="49" fontId="67" fillId="0" borderId="0" xfId="0" applyNumberFormat="1" applyFont="1" applyBorder="1"/>
    <xf numFmtId="49" fontId="67" fillId="0" borderId="0" xfId="0" applyNumberFormat="1" applyFont="1" applyBorder="1" applyAlignment="1">
      <alignment horizontal="center" wrapText="1"/>
    </xf>
    <xf numFmtId="49" fontId="73" fillId="0" borderId="0" xfId="0" applyNumberFormat="1" applyFont="1" applyBorder="1" applyAlignment="1">
      <alignment horizontal="center"/>
    </xf>
    <xf numFmtId="0" fontId="73" fillId="0" borderId="0" xfId="0" applyFont="1" applyBorder="1" applyAlignment="1">
      <alignment horizontal="center"/>
    </xf>
    <xf numFmtId="0" fontId="73" fillId="0" borderId="0" xfId="0" applyFont="1" applyFill="1" applyAlignment="1">
      <alignment horizontal="center"/>
    </xf>
    <xf numFmtId="0" fontId="73" fillId="0" borderId="0" xfId="0" applyFont="1" applyAlignment="1">
      <alignment horizontal="left"/>
    </xf>
    <xf numFmtId="0" fontId="69" fillId="0" borderId="12" xfId="14" applyFont="1" applyFill="1" applyBorder="1" applyAlignment="1">
      <alignment horizontal="left" wrapText="1"/>
    </xf>
    <xf numFmtId="49" fontId="79" fillId="0" borderId="0" xfId="0" applyNumberFormat="1" applyFont="1" applyFill="1" applyBorder="1" applyAlignment="1">
      <alignment horizontal="center"/>
    </xf>
    <xf numFmtId="49" fontId="82" fillId="0" borderId="0" xfId="0" applyNumberFormat="1" applyFont="1" applyFill="1" applyBorder="1" applyAlignment="1">
      <alignment wrapText="1"/>
    </xf>
    <xf numFmtId="49" fontId="79" fillId="0" borderId="0" xfId="0" quotePrefix="1" applyNumberFormat="1" applyFont="1" applyFill="1" applyBorder="1" applyAlignment="1">
      <alignment horizontal="center"/>
    </xf>
    <xf numFmtId="0" fontId="73" fillId="0" borderId="0" xfId="15" applyFont="1"/>
    <xf numFmtId="0" fontId="52" fillId="0" borderId="28" xfId="15" applyFont="1" applyBorder="1" applyAlignment="1">
      <alignment horizontal="center" wrapText="1"/>
    </xf>
    <xf numFmtId="0" fontId="73" fillId="0" borderId="0" xfId="15" applyFont="1" applyAlignment="1">
      <alignment horizontal="center" wrapText="1"/>
    </xf>
    <xf numFmtId="3" fontId="52" fillId="20" borderId="28" xfId="15" applyNumberFormat="1" applyFont="1" applyFill="1" applyBorder="1" applyAlignment="1">
      <alignment horizontal="right" vertical="top"/>
    </xf>
    <xf numFmtId="3" fontId="52" fillId="11" borderId="28" xfId="15" applyNumberFormat="1" applyFont="1" applyFill="1" applyBorder="1" applyAlignment="1">
      <alignment horizontal="right" vertical="top"/>
    </xf>
    <xf numFmtId="0" fontId="52" fillId="0" borderId="28" xfId="15" applyFont="1" applyBorder="1"/>
    <xf numFmtId="0" fontId="52" fillId="0" borderId="28" xfId="15" applyFont="1" applyBorder="1" applyAlignment="1">
      <alignment horizontal="left" wrapText="1"/>
    </xf>
    <xf numFmtId="0" fontId="73" fillId="0" borderId="29" xfId="15" applyFont="1" applyBorder="1"/>
    <xf numFmtId="0" fontId="73" fillId="0" borderId="30" xfId="15" applyFont="1" applyBorder="1"/>
    <xf numFmtId="0" fontId="73" fillId="0" borderId="31" xfId="15" applyFont="1" applyBorder="1"/>
    <xf numFmtId="0" fontId="73" fillId="0" borderId="29" xfId="15" applyFont="1" applyFill="1" applyBorder="1" applyAlignment="1">
      <alignment vertical="top"/>
    </xf>
    <xf numFmtId="0" fontId="73" fillId="0" borderId="30" xfId="15" applyFont="1" applyFill="1" applyBorder="1" applyAlignment="1">
      <alignment vertical="top"/>
    </xf>
    <xf numFmtId="0" fontId="73" fillId="0" borderId="31" xfId="15" applyFont="1" applyFill="1" applyBorder="1" applyAlignment="1">
      <alignment vertical="top"/>
    </xf>
    <xf numFmtId="3" fontId="73" fillId="0" borderId="29" xfId="15" applyNumberFormat="1" applyFont="1" applyFill="1" applyBorder="1" applyAlignment="1">
      <alignment horizontal="right" vertical="top"/>
    </xf>
    <xf numFmtId="171" fontId="73" fillId="0" borderId="29" xfId="1" applyNumberFormat="1" applyFont="1" applyFill="1" applyBorder="1"/>
    <xf numFmtId="3" fontId="73" fillId="0" borderId="30" xfId="15" applyNumberFormat="1" applyFont="1" applyFill="1" applyBorder="1" applyAlignment="1">
      <alignment horizontal="right" vertical="top"/>
    </xf>
    <xf numFmtId="171" fontId="73" fillId="0" borderId="30" xfId="1" applyNumberFormat="1" applyFont="1" applyFill="1" applyBorder="1"/>
    <xf numFmtId="3" fontId="73" fillId="0" borderId="31" xfId="15" applyNumberFormat="1" applyFont="1" applyFill="1" applyBorder="1" applyAlignment="1">
      <alignment horizontal="right" vertical="top"/>
    </xf>
    <xf numFmtId="3" fontId="52" fillId="0" borderId="28" xfId="15" applyNumberFormat="1" applyFont="1" applyFill="1" applyBorder="1" applyAlignment="1">
      <alignment horizontal="right" vertical="top"/>
    </xf>
    <xf numFmtId="0" fontId="73" fillId="0" borderId="29" xfId="15" applyFont="1" applyBorder="1" applyAlignment="1">
      <alignment horizontal="center"/>
    </xf>
    <xf numFmtId="3" fontId="73" fillId="0" borderId="29" xfId="15" applyNumberFormat="1" applyFont="1" applyBorder="1"/>
    <xf numFmtId="0" fontId="73" fillId="0" borderId="30" xfId="15" applyFont="1" applyBorder="1" applyAlignment="1">
      <alignment horizontal="center"/>
    </xf>
    <xf numFmtId="3" fontId="73" fillId="0" borderId="30" xfId="15" applyNumberFormat="1" applyFont="1" applyBorder="1"/>
    <xf numFmtId="0" fontId="73" fillId="0" borderId="31" xfId="15" applyFont="1" applyBorder="1" applyAlignment="1">
      <alignment horizontal="center"/>
    </xf>
    <xf numFmtId="3" fontId="73" fillId="0" borderId="31" xfId="15" applyNumberFormat="1" applyFont="1" applyBorder="1"/>
    <xf numFmtId="0" fontId="52" fillId="0" borderId="28" xfId="15" applyFont="1" applyBorder="1" applyAlignment="1">
      <alignment horizontal="center"/>
    </xf>
    <xf numFmtId="0" fontId="52" fillId="0" borderId="28" xfId="15" applyFont="1" applyFill="1" applyBorder="1" applyAlignment="1">
      <alignment horizontal="center" wrapText="1"/>
    </xf>
    <xf numFmtId="3" fontId="52" fillId="6" borderId="28" xfId="15" applyNumberFormat="1" applyFont="1" applyFill="1" applyBorder="1" applyAlignment="1">
      <alignment horizontal="right" vertical="top"/>
    </xf>
    <xf numFmtId="3" fontId="52" fillId="6" borderId="28" xfId="15" applyNumberFormat="1" applyFont="1" applyFill="1" applyBorder="1"/>
    <xf numFmtId="0" fontId="73" fillId="0" borderId="28" xfId="15" quotePrefix="1" applyFont="1" applyBorder="1" applyAlignment="1">
      <alignment horizontal="center"/>
    </xf>
    <xf numFmtId="0" fontId="73" fillId="0" borderId="0" xfId="15" applyFont="1" applyAlignment="1">
      <alignment horizontal="left" wrapText="1"/>
    </xf>
    <xf numFmtId="0" fontId="66" fillId="0" borderId="0" xfId="9" applyFont="1" applyBorder="1" applyAlignment="1">
      <alignment wrapText="1"/>
    </xf>
    <xf numFmtId="0" fontId="61" fillId="0" borderId="0" xfId="9" applyFont="1"/>
    <xf numFmtId="0" fontId="66" fillId="0" borderId="0" xfId="9" applyFont="1" applyBorder="1" applyAlignment="1">
      <alignment horizontal="left" wrapText="1"/>
    </xf>
    <xf numFmtId="0" fontId="66" fillId="0" borderId="12" xfId="9" applyFont="1" applyBorder="1" applyAlignment="1">
      <alignment horizontal="left" wrapText="1"/>
    </xf>
    <xf numFmtId="0" fontId="66" fillId="0" borderId="12" xfId="9" applyFont="1" applyBorder="1" applyAlignment="1">
      <alignment wrapText="1"/>
    </xf>
    <xf numFmtId="0" fontId="61" fillId="0" borderId="0" xfId="9" applyFont="1" applyAlignment="1">
      <alignment wrapText="1"/>
    </xf>
    <xf numFmtId="0" fontId="66" fillId="0" borderId="0" xfId="9" applyFont="1" applyBorder="1" applyAlignment="1">
      <alignment horizontal="center"/>
    </xf>
    <xf numFmtId="49" fontId="66" fillId="0" borderId="12" xfId="9" applyNumberFormat="1" applyFont="1" applyBorder="1" applyAlignment="1">
      <alignment horizontal="center"/>
    </xf>
    <xf numFmtId="0" fontId="66" fillId="0" borderId="12" xfId="9" applyFont="1" applyBorder="1" applyAlignment="1">
      <alignment horizontal="left" wrapText="1"/>
    </xf>
    <xf numFmtId="0" fontId="66" fillId="0" borderId="12" xfId="9" applyFont="1" applyBorder="1" applyAlignment="1">
      <alignment horizontal="center" wrapText="1"/>
    </xf>
    <xf numFmtId="0" fontId="66" fillId="0" borderId="14" xfId="9" applyFont="1" applyBorder="1" applyAlignment="1">
      <alignment horizontal="center" wrapText="1"/>
    </xf>
    <xf numFmtId="49" fontId="66" fillId="6" borderId="0" xfId="9" quotePrefix="1" applyNumberFormat="1" applyFont="1" applyFill="1" applyAlignment="1">
      <alignment horizontal="center"/>
    </xf>
    <xf numFmtId="0" fontId="66" fillId="6" borderId="0" xfId="9" applyFont="1" applyFill="1" applyAlignment="1">
      <alignment horizontal="left" wrapText="1"/>
    </xf>
    <xf numFmtId="3" fontId="66" fillId="6" borderId="0" xfId="9" applyNumberFormat="1" applyFont="1" applyFill="1" applyAlignment="1">
      <alignment horizontal="right" indent="1"/>
    </xf>
    <xf numFmtId="3" fontId="66" fillId="6" borderId="0" xfId="9" applyNumberFormat="1" applyFont="1" applyFill="1" applyAlignment="1">
      <alignment horizontal="right" indent="2"/>
    </xf>
    <xf numFmtId="9" fontId="66" fillId="6" borderId="0" xfId="9" applyNumberFormat="1" applyFont="1" applyFill="1" applyAlignment="1">
      <alignment horizontal="right" wrapText="1" indent="1"/>
    </xf>
    <xf numFmtId="49" fontId="61" fillId="0" borderId="0" xfId="9" applyNumberFormat="1" applyFont="1" applyAlignment="1">
      <alignment horizontal="center"/>
    </xf>
    <xf numFmtId="0" fontId="61" fillId="0" borderId="0" xfId="9" applyFont="1" applyAlignment="1">
      <alignment horizontal="left" wrapText="1"/>
    </xf>
    <xf numFmtId="0" fontId="30" fillId="0" borderId="0" xfId="32" applyFont="1" applyFill="1" applyBorder="1" applyAlignment="1">
      <alignment wrapText="1"/>
    </xf>
    <xf numFmtId="3" fontId="61" fillId="0" borderId="0" xfId="9" applyNumberFormat="1" applyFont="1" applyAlignment="1">
      <alignment horizontal="right" indent="1"/>
    </xf>
    <xf numFmtId="3" fontId="61" fillId="0" borderId="0" xfId="9" applyNumberFormat="1" applyFont="1" applyAlignment="1">
      <alignment horizontal="right" indent="2"/>
    </xf>
    <xf numFmtId="9" fontId="61" fillId="0" borderId="0" xfId="9" applyNumberFormat="1" applyFont="1" applyAlignment="1">
      <alignment horizontal="right" wrapText="1" indent="1"/>
    </xf>
    <xf numFmtId="49" fontId="24" fillId="0" borderId="0" xfId="9" applyNumberFormat="1" applyFont="1" applyAlignment="1">
      <alignment horizontal="center"/>
    </xf>
    <xf numFmtId="165" fontId="30" fillId="0" borderId="0" xfId="14" applyNumberFormat="1" applyFont="1" applyFill="1" applyBorder="1" applyAlignment="1">
      <alignment horizontal="left" wrapText="1"/>
    </xf>
    <xf numFmtId="49" fontId="61" fillId="0" borderId="12" xfId="9" applyNumberFormat="1" applyFont="1" applyBorder="1" applyAlignment="1">
      <alignment horizontal="center"/>
    </xf>
    <xf numFmtId="0" fontId="61" fillId="0" borderId="12" xfId="9" applyFont="1" applyBorder="1" applyAlignment="1">
      <alignment horizontal="left" wrapText="1"/>
    </xf>
    <xf numFmtId="3" fontId="61" fillId="0" borderId="12" xfId="9" applyNumberFormat="1" applyFont="1" applyBorder="1" applyAlignment="1">
      <alignment horizontal="right" indent="2"/>
    </xf>
    <xf numFmtId="0" fontId="24" fillId="0" borderId="0" xfId="9" applyFont="1" applyAlignment="1">
      <alignment horizontal="right" vertical="top"/>
    </xf>
    <xf numFmtId="0" fontId="31" fillId="0" borderId="0" xfId="4" applyFont="1" applyAlignment="1" applyProtection="1"/>
    <xf numFmtId="0" fontId="24" fillId="0" borderId="0" xfId="9" applyFont="1" applyBorder="1"/>
    <xf numFmtId="0" fontId="66" fillId="0" borderId="0" xfId="9" applyFont="1" applyAlignment="1">
      <alignment horizontal="left" vertical="top" wrapText="1"/>
    </xf>
    <xf numFmtId="165" fontId="30" fillId="0" borderId="12" xfId="14" applyNumberFormat="1" applyFont="1" applyFill="1" applyBorder="1" applyAlignment="1">
      <alignment horizontal="left" wrapText="1"/>
    </xf>
    <xf numFmtId="0" fontId="52" fillId="0" borderId="28" xfId="15" applyFont="1" applyBorder="1" applyAlignment="1">
      <alignment horizontal="left" wrapText="1"/>
    </xf>
    <xf numFmtId="0" fontId="52" fillId="6" borderId="28" xfId="15" applyFont="1" applyFill="1" applyBorder="1" applyAlignment="1">
      <alignment horizontal="center" wrapText="1"/>
    </xf>
    <xf numFmtId="0" fontId="73" fillId="0" borderId="29" xfId="15" applyFont="1" applyFill="1" applyBorder="1" applyAlignment="1">
      <alignment vertical="top"/>
    </xf>
    <xf numFmtId="0" fontId="73" fillId="0" borderId="30" xfId="15" applyFont="1" applyFill="1" applyBorder="1" applyAlignment="1">
      <alignment vertical="top"/>
    </xf>
    <xf numFmtId="0" fontId="52" fillId="6" borderId="28" xfId="15" applyFont="1" applyFill="1" applyBorder="1" applyAlignment="1">
      <alignment horizontal="left" wrapText="1"/>
    </xf>
    <xf numFmtId="0" fontId="52" fillId="6" borderId="28" xfId="15" applyFont="1" applyFill="1" applyBorder="1" applyAlignment="1">
      <alignment horizontal="center"/>
    </xf>
    <xf numFmtId="49" fontId="82" fillId="0" borderId="0" xfId="19" applyNumberFormat="1" applyFont="1" applyFill="1" applyBorder="1" applyAlignment="1">
      <alignment vertical="top" wrapText="1"/>
    </xf>
    <xf numFmtId="49" fontId="82" fillId="0" borderId="134" xfId="19" applyNumberFormat="1" applyFont="1" applyFill="1" applyBorder="1" applyAlignment="1">
      <alignment vertical="top" wrapText="1"/>
    </xf>
    <xf numFmtId="3" fontId="79" fillId="0" borderId="0" xfId="19" applyNumberFormat="1" applyFont="1" applyBorder="1" applyAlignment="1">
      <alignment vertical="top"/>
    </xf>
    <xf numFmtId="0" fontId="79" fillId="0" borderId="0" xfId="19" applyFont="1" applyBorder="1" applyAlignment="1">
      <alignment vertical="top"/>
    </xf>
    <xf numFmtId="49" fontId="81" fillId="0" borderId="0" xfId="19" applyNumberFormat="1" applyFont="1" applyBorder="1" applyAlignment="1">
      <alignment wrapText="1"/>
    </xf>
    <xf numFmtId="0" fontId="79" fillId="0" borderId="0" xfId="19" applyFont="1" applyBorder="1" applyAlignment="1">
      <alignment horizontal="center" vertical="top"/>
    </xf>
    <xf numFmtId="0" fontId="69" fillId="0" borderId="4" xfId="14" applyFont="1" applyFill="1" applyBorder="1" applyAlignment="1">
      <alignment horizontal="left" wrapText="1"/>
    </xf>
    <xf numFmtId="0" fontId="79" fillId="0" borderId="0" xfId="14" applyFont="1" applyFill="1" applyBorder="1" applyAlignment="1">
      <alignment vertical="top" wrapText="1"/>
    </xf>
    <xf numFmtId="0" fontId="52" fillId="7" borderId="0" xfId="0" applyFont="1" applyFill="1" applyAlignment="1">
      <alignment horizontal="left"/>
    </xf>
    <xf numFmtId="0" fontId="52" fillId="7" borderId="0" xfId="0" applyFont="1" applyFill="1"/>
    <xf numFmtId="3" fontId="52" fillId="7" borderId="0" xfId="0" applyNumberFormat="1" applyFont="1" applyFill="1"/>
    <xf numFmtId="9" fontId="52" fillId="13" borderId="0" xfId="39" applyFont="1" applyFill="1"/>
    <xf numFmtId="0" fontId="52" fillId="0" borderId="34" xfId="0" applyFont="1" applyBorder="1"/>
    <xf numFmtId="0" fontId="52" fillId="0" borderId="0" xfId="0" applyFont="1" applyBorder="1"/>
    <xf numFmtId="0" fontId="52" fillId="0" borderId="33" xfId="0" applyFont="1" applyBorder="1"/>
    <xf numFmtId="3" fontId="52" fillId="7" borderId="34" xfId="0" applyNumberFormat="1" applyFont="1" applyFill="1" applyBorder="1"/>
    <xf numFmtId="3" fontId="52" fillId="7" borderId="0" xfId="0" applyNumberFormat="1" applyFont="1" applyFill="1" applyBorder="1"/>
    <xf numFmtId="3" fontId="52" fillId="7" borderId="33" xfId="0" applyNumberFormat="1" applyFont="1" applyFill="1" applyBorder="1"/>
    <xf numFmtId="3" fontId="73" fillId="0" borderId="34" xfId="0" applyNumberFormat="1" applyFont="1" applyBorder="1"/>
    <xf numFmtId="3" fontId="73" fillId="0" borderId="0" xfId="0" applyNumberFormat="1" applyFont="1" applyBorder="1"/>
    <xf numFmtId="3" fontId="73" fillId="0" borderId="33" xfId="0" applyNumberFormat="1" applyFont="1" applyBorder="1"/>
    <xf numFmtId="0" fontId="52" fillId="0" borderId="34" xfId="0" applyFont="1" applyBorder="1" applyAlignment="1">
      <alignment horizontal="center"/>
    </xf>
    <xf numFmtId="0" fontId="52" fillId="0" borderId="33" xfId="0" applyFont="1" applyBorder="1" applyAlignment="1">
      <alignment horizontal="center"/>
    </xf>
    <xf numFmtId="9" fontId="52" fillId="7" borderId="34" xfId="39" applyFont="1" applyFill="1" applyBorder="1"/>
    <xf numFmtId="9" fontId="52" fillId="7" borderId="0" xfId="39" applyFont="1" applyFill="1" applyBorder="1"/>
    <xf numFmtId="9" fontId="52" fillId="7" borderId="33" xfId="39" applyFont="1" applyFill="1" applyBorder="1"/>
    <xf numFmtId="9" fontId="73" fillId="0" borderId="34" xfId="39" applyFont="1" applyBorder="1"/>
    <xf numFmtId="9" fontId="73" fillId="0" borderId="0" xfId="39" applyFont="1" applyBorder="1"/>
    <xf numFmtId="9" fontId="73" fillId="0" borderId="33" xfId="39" applyFont="1" applyBorder="1"/>
    <xf numFmtId="0" fontId="70" fillId="0" borderId="40" xfId="16" applyFont="1" applyBorder="1"/>
    <xf numFmtId="0" fontId="70" fillId="0" borderId="68" xfId="16" applyFont="1" applyBorder="1"/>
    <xf numFmtId="0" fontId="70" fillId="0" borderId="0" xfId="14" applyFont="1" applyFill="1" applyBorder="1" applyAlignment="1">
      <alignment horizontal="left" wrapText="1"/>
    </xf>
    <xf numFmtId="0" fontId="52" fillId="6" borderId="28" xfId="15" applyFont="1" applyFill="1" applyBorder="1" applyAlignment="1">
      <alignment horizontal="left"/>
    </xf>
    <xf numFmtId="0" fontId="52" fillId="6" borderId="28" xfId="15" applyFont="1" applyFill="1" applyBorder="1" applyAlignment="1">
      <alignment horizontal="left" wrapText="1"/>
    </xf>
    <xf numFmtId="0" fontId="52" fillId="0" borderId="28" xfId="15" applyFont="1" applyFill="1" applyBorder="1" applyAlignment="1">
      <alignment vertical="top"/>
    </xf>
    <xf numFmtId="0" fontId="73" fillId="0" borderId="30" xfId="15" applyFont="1" applyBorder="1" applyAlignment="1">
      <alignment horizontal="center"/>
    </xf>
    <xf numFmtId="0" fontId="73" fillId="0" borderId="30" xfId="15" applyFont="1" applyFill="1" applyBorder="1" applyAlignment="1">
      <alignment vertical="top"/>
    </xf>
    <xf numFmtId="3" fontId="73" fillId="0" borderId="30" xfId="15" applyNumberFormat="1" applyFont="1" applyFill="1" applyBorder="1" applyAlignment="1">
      <alignment horizontal="right" vertical="top"/>
    </xf>
    <xf numFmtId="3" fontId="73" fillId="0" borderId="30" xfId="15" applyNumberFormat="1" applyFont="1" applyFill="1" applyBorder="1"/>
    <xf numFmtId="0" fontId="73" fillId="0" borderId="0" xfId="15" applyFont="1" applyBorder="1"/>
    <xf numFmtId="0" fontId="52" fillId="0" borderId="28" xfId="15" applyFont="1" applyBorder="1" applyAlignment="1">
      <alignment horizontal="center"/>
    </xf>
    <xf numFmtId="0" fontId="52" fillId="0" borderId="28" xfId="15" applyFont="1" applyFill="1" applyBorder="1" applyAlignment="1">
      <alignment vertical="top" wrapText="1"/>
    </xf>
    <xf numFmtId="3" fontId="52" fillId="0" borderId="28" xfId="15" applyNumberFormat="1" applyFont="1" applyFill="1" applyBorder="1" applyAlignment="1">
      <alignment vertical="top"/>
    </xf>
    <xf numFmtId="0" fontId="52" fillId="6" borderId="30" xfId="15" applyFont="1" applyFill="1" applyBorder="1" applyAlignment="1">
      <alignment horizontal="center"/>
    </xf>
    <xf numFmtId="0" fontId="52" fillId="6" borderId="30" xfId="15" applyFont="1" applyFill="1" applyBorder="1" applyAlignment="1">
      <alignment horizontal="left" wrapText="1"/>
    </xf>
    <xf numFmtId="171" fontId="52" fillId="6" borderId="30" xfId="1" applyNumberFormat="1" applyFont="1" applyFill="1" applyBorder="1" applyAlignment="1">
      <alignment horizontal="center" wrapText="1"/>
    </xf>
    <xf numFmtId="0" fontId="52" fillId="0" borderId="28" xfId="15" applyFont="1" applyFill="1" applyBorder="1" applyAlignment="1">
      <alignment horizontal="center" wrapText="1"/>
    </xf>
    <xf numFmtId="0" fontId="52" fillId="8" borderId="0" xfId="0" applyFont="1" applyFill="1" applyAlignment="1">
      <alignment horizontal="center"/>
    </xf>
    <xf numFmtId="0" fontId="52" fillId="8" borderId="0" xfId="0" applyFont="1" applyFill="1"/>
    <xf numFmtId="171" fontId="52" fillId="8" borderId="0" xfId="0" applyNumberFormat="1" applyFont="1" applyFill="1"/>
    <xf numFmtId="0" fontId="69" fillId="0" borderId="6" xfId="33" applyFont="1" applyFill="1" applyBorder="1" applyAlignment="1">
      <alignment horizontal="center"/>
    </xf>
    <xf numFmtId="0" fontId="69" fillId="0" borderId="69" xfId="33" applyFont="1" applyFill="1" applyBorder="1" applyAlignment="1">
      <alignment horizontal="left"/>
    </xf>
    <xf numFmtId="0" fontId="69" fillId="0" borderId="70" xfId="33" applyFont="1" applyFill="1" applyBorder="1" applyAlignment="1">
      <alignment horizontal="left"/>
    </xf>
    <xf numFmtId="0" fontId="69" fillId="0" borderId="46" xfId="33" applyFont="1" applyFill="1" applyBorder="1" applyAlignment="1">
      <alignment horizontal="center" wrapText="1"/>
    </xf>
    <xf numFmtId="0" fontId="69" fillId="0" borderId="47" xfId="33" applyFont="1" applyFill="1" applyBorder="1" applyAlignment="1">
      <alignment horizontal="center" wrapText="1"/>
    </xf>
    <xf numFmtId="0" fontId="69" fillId="0" borderId="48" xfId="33" applyFont="1" applyFill="1" applyBorder="1" applyAlignment="1">
      <alignment horizontal="center" wrapText="1"/>
    </xf>
    <xf numFmtId="0" fontId="70" fillId="0" borderId="0" xfId="16" applyFont="1" applyFill="1" applyBorder="1" applyAlignment="1">
      <alignment horizontal="center" vertical="center"/>
    </xf>
    <xf numFmtId="0" fontId="69" fillId="6" borderId="0" xfId="33" applyFont="1" applyFill="1" applyBorder="1" applyAlignment="1">
      <alignment horizontal="center"/>
    </xf>
    <xf numFmtId="0" fontId="69" fillId="6" borderId="0" xfId="33" applyFont="1" applyFill="1" applyBorder="1" applyAlignment="1">
      <alignment horizontal="left"/>
    </xf>
    <xf numFmtId="3" fontId="69" fillId="6" borderId="22" xfId="33" applyNumberFormat="1" applyFont="1" applyFill="1" applyBorder="1" applyAlignment="1">
      <alignment horizontal="center" wrapText="1"/>
    </xf>
    <xf numFmtId="0" fontId="70" fillId="0" borderId="1" xfId="33" applyFont="1" applyFill="1" applyBorder="1" applyAlignment="1">
      <alignment horizontal="center" wrapText="1"/>
    </xf>
    <xf numFmtId="0" fontId="70" fillId="0" borderId="11" xfId="33" applyFont="1" applyFill="1" applyBorder="1" applyAlignment="1">
      <alignment wrapText="1"/>
    </xf>
    <xf numFmtId="3" fontId="70" fillId="0" borderId="54" xfId="33" applyNumberFormat="1" applyFont="1" applyFill="1" applyBorder="1" applyAlignment="1">
      <alignment horizontal="right" wrapText="1"/>
    </xf>
    <xf numFmtId="3" fontId="70" fillId="0" borderId="56" xfId="33" applyNumberFormat="1" applyFont="1" applyFill="1" applyBorder="1" applyAlignment="1">
      <alignment horizontal="right" wrapText="1"/>
    </xf>
    <xf numFmtId="3" fontId="70" fillId="0" borderId="55" xfId="33" applyNumberFormat="1" applyFont="1" applyFill="1" applyBorder="1" applyAlignment="1">
      <alignment horizontal="right" wrapText="1"/>
    </xf>
    <xf numFmtId="3" fontId="70" fillId="0" borderId="0" xfId="16" applyNumberFormat="1" applyFont="1"/>
    <xf numFmtId="3" fontId="70" fillId="0" borderId="10" xfId="16" applyNumberFormat="1" applyFont="1" applyFill="1" applyBorder="1" applyAlignment="1">
      <alignment horizontal="right" vertical="center" wrapText="1"/>
    </xf>
    <xf numFmtId="3" fontId="70" fillId="0" borderId="1" xfId="16" applyNumberFormat="1" applyFont="1" applyFill="1" applyBorder="1" applyAlignment="1">
      <alignment horizontal="right" vertical="center" wrapText="1"/>
    </xf>
    <xf numFmtId="3" fontId="70" fillId="0" borderId="0" xfId="16" applyNumberFormat="1" applyFont="1" applyFill="1" applyAlignment="1">
      <alignment horizontal="right" vertical="center" wrapText="1"/>
    </xf>
    <xf numFmtId="3" fontId="70" fillId="0" borderId="1" xfId="16" applyNumberFormat="1" applyFont="1" applyBorder="1"/>
    <xf numFmtId="3" fontId="70" fillId="0" borderId="24" xfId="33" applyNumberFormat="1" applyFont="1" applyBorder="1"/>
    <xf numFmtId="3" fontId="70" fillId="0" borderId="53" xfId="33" applyNumberFormat="1" applyFont="1" applyFill="1" applyBorder="1" applyAlignment="1">
      <alignment horizontal="right" wrapText="1"/>
    </xf>
    <xf numFmtId="3" fontId="70" fillId="0" borderId="8" xfId="16" applyNumberFormat="1" applyFont="1" applyBorder="1"/>
    <xf numFmtId="3" fontId="70" fillId="0" borderId="22" xfId="33" applyNumberFormat="1" applyFont="1" applyBorder="1"/>
    <xf numFmtId="3" fontId="70" fillId="0" borderId="53" xfId="33" applyNumberFormat="1" applyFont="1" applyBorder="1"/>
    <xf numFmtId="3" fontId="70" fillId="0" borderId="0" xfId="16" applyNumberFormat="1" applyFont="1" applyFill="1" applyBorder="1" applyAlignment="1">
      <alignment horizontal="right" vertical="center" wrapText="1"/>
    </xf>
    <xf numFmtId="0" fontId="70" fillId="0" borderId="0" xfId="16" applyFont="1" applyAlignment="1"/>
    <xf numFmtId="0" fontId="0" fillId="0" borderId="0" xfId="0" applyFont="1"/>
    <xf numFmtId="0" fontId="69" fillId="7" borderId="0" xfId="14" applyFont="1" applyFill="1" applyBorder="1" applyAlignment="1">
      <alignment horizontal="left"/>
    </xf>
    <xf numFmtId="0" fontId="30" fillId="0" borderId="0" xfId="14" applyFont="1" applyFill="1" applyBorder="1" applyAlignment="1">
      <alignment horizontal="center" wrapText="1"/>
    </xf>
    <xf numFmtId="0" fontId="30" fillId="0" borderId="0" xfId="14" applyFont="1" applyFill="1" applyBorder="1" applyAlignment="1">
      <alignment wrapText="1"/>
    </xf>
    <xf numFmtId="165" fontId="30" fillId="0" borderId="0" xfId="14" applyNumberFormat="1" applyFont="1" applyFill="1" applyBorder="1" applyAlignment="1">
      <alignment horizontal="center" wrapText="1"/>
    </xf>
    <xf numFmtId="0" fontId="30" fillId="0" borderId="12" xfId="14" applyFont="1" applyFill="1" applyBorder="1" applyAlignment="1">
      <alignment horizontal="center" wrapText="1"/>
    </xf>
    <xf numFmtId="0" fontId="30" fillId="0" borderId="12" xfId="14" applyFont="1" applyFill="1" applyBorder="1" applyAlignment="1">
      <alignment wrapText="1"/>
    </xf>
    <xf numFmtId="165" fontId="30" fillId="0" borderId="12" xfId="14" applyNumberFormat="1" applyFont="1" applyFill="1" applyBorder="1" applyAlignment="1">
      <alignment horizontal="center" wrapText="1"/>
    </xf>
    <xf numFmtId="0" fontId="32" fillId="0" borderId="0" xfId="14" applyFont="1" applyBorder="1"/>
    <xf numFmtId="0" fontId="24" fillId="0" borderId="0" xfId="9" applyFont="1" applyAlignment="1">
      <alignment vertical="top" wrapText="1"/>
    </xf>
    <xf numFmtId="0" fontId="32" fillId="0" borderId="0" xfId="14" applyFont="1"/>
    <xf numFmtId="0" fontId="69" fillId="0" borderId="12" xfId="14" applyFont="1" applyFill="1" applyBorder="1" applyAlignment="1">
      <alignment horizontal="center"/>
    </xf>
    <xf numFmtId="0" fontId="69" fillId="0" borderId="12" xfId="14" applyFont="1" applyFill="1" applyBorder="1" applyAlignment="1">
      <alignment horizontal="center"/>
    </xf>
    <xf numFmtId="0" fontId="69" fillId="7" borderId="0" xfId="14" applyFont="1" applyFill="1" applyBorder="1" applyAlignment="1">
      <alignment horizontal="center"/>
    </xf>
    <xf numFmtId="0" fontId="70" fillId="0" borderId="0" xfId="14" applyFont="1" applyFill="1" applyBorder="1" applyAlignment="1">
      <alignment horizontal="center" wrapText="1"/>
    </xf>
    <xf numFmtId="0" fontId="70" fillId="0" borderId="12" xfId="14" applyFont="1" applyFill="1" applyBorder="1" applyAlignment="1">
      <alignment horizontal="center" wrapText="1"/>
    </xf>
    <xf numFmtId="0" fontId="69" fillId="0" borderId="36" xfId="14" applyFont="1" applyFill="1" applyBorder="1" applyAlignment="1">
      <alignment horizontal="center"/>
    </xf>
    <xf numFmtId="3" fontId="73" fillId="0" borderId="36" xfId="0" applyNumberFormat="1" applyFont="1" applyBorder="1"/>
    <xf numFmtId="37" fontId="73" fillId="0" borderId="34" xfId="1" applyNumberFormat="1" applyFont="1" applyBorder="1"/>
    <xf numFmtId="37" fontId="73" fillId="0" borderId="0" xfId="1" applyNumberFormat="1" applyFont="1" applyBorder="1"/>
    <xf numFmtId="37" fontId="52" fillId="7" borderId="34" xfId="1" applyNumberFormat="1" applyFont="1" applyFill="1" applyBorder="1"/>
    <xf numFmtId="37" fontId="52" fillId="7" borderId="0" xfId="1" applyNumberFormat="1" applyFont="1" applyFill="1" applyBorder="1"/>
    <xf numFmtId="0" fontId="0" fillId="0" borderId="0" xfId="0" applyFont="1" applyAlignment="1">
      <alignment horizontal="left"/>
    </xf>
    <xf numFmtId="0" fontId="69" fillId="0" borderId="12" xfId="14" applyFont="1" applyFill="1" applyBorder="1" applyAlignment="1">
      <alignment horizontal="left"/>
    </xf>
    <xf numFmtId="165" fontId="70" fillId="0" borderId="0" xfId="14" applyNumberFormat="1" applyFont="1" applyFill="1" applyBorder="1" applyAlignment="1">
      <alignment horizontal="left" wrapText="1"/>
    </xf>
    <xf numFmtId="165" fontId="70" fillId="0" borderId="12" xfId="14" applyNumberFormat="1" applyFont="1" applyFill="1" applyBorder="1" applyAlignment="1">
      <alignment horizontal="left" wrapText="1"/>
    </xf>
    <xf numFmtId="0" fontId="32" fillId="0" borderId="0" xfId="14" applyFont="1" applyBorder="1" applyAlignment="1">
      <alignment horizontal="left"/>
    </xf>
    <xf numFmtId="0" fontId="24" fillId="0" borderId="0" xfId="9" applyFont="1" applyBorder="1" applyAlignment="1">
      <alignment horizontal="left"/>
    </xf>
    <xf numFmtId="0" fontId="32" fillId="0" borderId="0" xfId="14" applyFont="1" applyAlignment="1">
      <alignment horizontal="left"/>
    </xf>
    <xf numFmtId="7" fontId="73" fillId="0" borderId="0" xfId="0" applyNumberFormat="1" applyFont="1"/>
    <xf numFmtId="0" fontId="69" fillId="6" borderId="10" xfId="27" applyFont="1" applyFill="1" applyBorder="1" applyAlignment="1">
      <alignment horizontal="center" vertical="center" wrapText="1"/>
    </xf>
    <xf numFmtId="0" fontId="69" fillId="6" borderId="71" xfId="27" applyFont="1" applyFill="1" applyBorder="1" applyAlignment="1">
      <alignment wrapText="1"/>
    </xf>
    <xf numFmtId="0" fontId="70" fillId="0" borderId="0" xfId="27" applyFont="1"/>
    <xf numFmtId="0" fontId="70" fillId="0" borderId="1" xfId="27" applyFont="1" applyFill="1" applyBorder="1" applyAlignment="1">
      <alignment wrapText="1"/>
    </xf>
    <xf numFmtId="166" fontId="70" fillId="0" borderId="1" xfId="27" applyNumberFormat="1" applyFont="1" applyFill="1" applyBorder="1" applyAlignment="1">
      <alignment horizontal="right" wrapText="1"/>
    </xf>
    <xf numFmtId="0" fontId="70" fillId="0" borderId="1" xfId="27" quotePrefix="1" applyFont="1" applyFill="1" applyBorder="1" applyAlignment="1">
      <alignment horizontal="center" wrapText="1"/>
    </xf>
    <xf numFmtId="0" fontId="70" fillId="0" borderId="11" xfId="27" applyFont="1" applyFill="1" applyBorder="1" applyAlignment="1">
      <alignment wrapText="1"/>
    </xf>
    <xf numFmtId="0" fontId="70" fillId="0" borderId="1" xfId="27" applyFont="1" applyFill="1" applyBorder="1" applyAlignment="1">
      <alignment horizontal="center" wrapText="1"/>
    </xf>
    <xf numFmtId="0" fontId="70" fillId="0" borderId="0" xfId="16" applyFont="1" applyAlignment="1">
      <alignment horizontal="left"/>
    </xf>
    <xf numFmtId="0" fontId="69" fillId="0" borderId="2" xfId="27" applyFont="1" applyFill="1" applyBorder="1" applyAlignment="1">
      <alignment horizontal="center"/>
    </xf>
    <xf numFmtId="0" fontId="69" fillId="0" borderId="2" xfId="27" applyFont="1" applyFill="1" applyBorder="1" applyAlignment="1">
      <alignment horizontal="left"/>
    </xf>
    <xf numFmtId="0" fontId="69" fillId="6" borderId="1" xfId="31" quotePrefix="1" applyFont="1" applyFill="1" applyBorder="1" applyAlignment="1">
      <alignment horizontal="center" wrapText="1"/>
    </xf>
    <xf numFmtId="0" fontId="70" fillId="0" borderId="1" xfId="31" applyFont="1" applyFill="1" applyBorder="1" applyAlignment="1">
      <alignment horizontal="center" wrapText="1"/>
    </xf>
    <xf numFmtId="0" fontId="69" fillId="0" borderId="76" xfId="34" applyFont="1" applyFill="1" applyBorder="1" applyAlignment="1">
      <alignment horizontal="center" wrapText="1"/>
    </xf>
    <xf numFmtId="167" fontId="73" fillId="0" borderId="0" xfId="0" applyNumberFormat="1" applyFont="1"/>
    <xf numFmtId="0" fontId="73" fillId="0" borderId="0" xfId="0" applyFont="1" applyFill="1" applyAlignment="1">
      <alignment wrapText="1"/>
    </xf>
    <xf numFmtId="0" fontId="69" fillId="6" borderId="11" xfId="34" applyFont="1" applyFill="1" applyBorder="1" applyAlignment="1">
      <alignment wrapText="1"/>
    </xf>
    <xf numFmtId="0" fontId="70" fillId="0" borderId="11" xfId="34" applyFont="1" applyFill="1" applyBorder="1" applyAlignment="1">
      <alignment wrapText="1"/>
    </xf>
    <xf numFmtId="0" fontId="69" fillId="0" borderId="2" xfId="31" applyFont="1" applyFill="1" applyBorder="1" applyAlignment="1">
      <alignment horizontal="center" wrapText="1"/>
    </xf>
    <xf numFmtId="0" fontId="69" fillId="0" borderId="6" xfId="34" applyFont="1" applyFill="1" applyBorder="1" applyAlignment="1">
      <alignment horizontal="left" wrapText="1"/>
    </xf>
    <xf numFmtId="0" fontId="69" fillId="0" borderId="75" xfId="34" applyFont="1" applyFill="1" applyBorder="1" applyAlignment="1">
      <alignment horizontal="center" wrapText="1"/>
    </xf>
    <xf numFmtId="0" fontId="69" fillId="0" borderId="58" xfId="34" applyFont="1" applyFill="1" applyBorder="1" applyAlignment="1">
      <alignment horizontal="center" wrapText="1"/>
    </xf>
    <xf numFmtId="0" fontId="69" fillId="0" borderId="77" xfId="34" applyFont="1" applyFill="1" applyBorder="1" applyAlignment="1">
      <alignment horizontal="center" wrapText="1"/>
    </xf>
    <xf numFmtId="0" fontId="66" fillId="0" borderId="0" xfId="0" applyFont="1"/>
    <xf numFmtId="0" fontId="0" fillId="0" borderId="0" xfId="0" applyFont="1"/>
    <xf numFmtId="49" fontId="66" fillId="0" borderId="12" xfId="0" applyNumberFormat="1" applyFont="1" applyBorder="1" applyAlignment="1">
      <alignment horizontal="center"/>
    </xf>
    <xf numFmtId="0" fontId="52" fillId="0" borderId="19" xfId="0" applyFont="1" applyBorder="1" applyAlignment="1">
      <alignment wrapText="1"/>
    </xf>
    <xf numFmtId="0" fontId="52" fillId="0" borderId="20" xfId="0" applyFont="1" applyBorder="1" applyAlignment="1">
      <alignment wrapText="1"/>
    </xf>
    <xf numFmtId="0" fontId="52" fillId="0" borderId="21" xfId="0" applyFont="1" applyBorder="1" applyAlignment="1">
      <alignment wrapText="1"/>
    </xf>
    <xf numFmtId="0" fontId="52" fillId="0" borderId="19" xfId="0" applyFont="1" applyBorder="1" applyAlignment="1">
      <alignment horizontal="center" wrapText="1"/>
    </xf>
    <xf numFmtId="0" fontId="52" fillId="0" borderId="78" xfId="0" applyFont="1" applyBorder="1" applyAlignment="1">
      <alignment horizontal="center" wrapText="1"/>
    </xf>
    <xf numFmtId="0" fontId="52" fillId="0" borderId="20" xfId="0" applyFont="1" applyBorder="1" applyAlignment="1">
      <alignment horizontal="center" wrapText="1"/>
    </xf>
    <xf numFmtId="0" fontId="52" fillId="0" borderId="21" xfId="0" applyFont="1" applyBorder="1" applyAlignment="1">
      <alignment horizontal="center"/>
    </xf>
    <xf numFmtId="49" fontId="61" fillId="0" borderId="0" xfId="0" applyNumberFormat="1" applyFont="1" applyBorder="1" applyAlignment="1">
      <alignment horizontal="center"/>
    </xf>
    <xf numFmtId="0" fontId="61" fillId="0" borderId="0" xfId="0" applyFont="1" applyBorder="1"/>
    <xf numFmtId="49" fontId="61" fillId="0" borderId="12" xfId="0" applyNumberFormat="1" applyFont="1" applyBorder="1" applyAlignment="1">
      <alignment horizontal="center"/>
    </xf>
    <xf numFmtId="0" fontId="24" fillId="0" borderId="12" xfId="9" applyFont="1" applyBorder="1"/>
    <xf numFmtId="0" fontId="61" fillId="0" borderId="12" xfId="0" applyFont="1" applyBorder="1"/>
    <xf numFmtId="0" fontId="61" fillId="0" borderId="0" xfId="0" applyFont="1" applyAlignment="1">
      <alignment horizontal="left" vertical="top" wrapText="1"/>
    </xf>
    <xf numFmtId="0" fontId="24" fillId="0" borderId="0" xfId="0" applyFont="1" applyBorder="1" applyAlignment="1">
      <alignment vertical="top" wrapText="1"/>
    </xf>
    <xf numFmtId="0" fontId="31" fillId="0" borderId="0" xfId="4" applyFont="1" applyFill="1" applyBorder="1" applyAlignment="1" applyProtection="1">
      <alignment wrapText="1"/>
    </xf>
    <xf numFmtId="0" fontId="73" fillId="0" borderId="0" xfId="0" applyFont="1" applyAlignment="1">
      <alignment wrapText="1"/>
    </xf>
    <xf numFmtId="49" fontId="52" fillId="0" borderId="12" xfId="0" applyNumberFormat="1" applyFont="1" applyBorder="1" applyAlignment="1">
      <alignment horizontal="center"/>
    </xf>
    <xf numFmtId="0" fontId="52" fillId="0" borderId="12" xfId="0" applyFont="1" applyBorder="1" applyAlignment="1">
      <alignment horizontal="left" wrapText="1"/>
    </xf>
    <xf numFmtId="49" fontId="52" fillId="8" borderId="14" xfId="0" quotePrefix="1" applyNumberFormat="1" applyFont="1" applyFill="1" applyBorder="1" applyAlignment="1">
      <alignment horizontal="center"/>
    </xf>
    <xf numFmtId="0" fontId="52" fillId="8" borderId="14" xfId="0" applyFont="1" applyFill="1" applyBorder="1" applyAlignment="1">
      <alignment horizontal="left" wrapText="1"/>
    </xf>
    <xf numFmtId="0" fontId="73" fillId="0" borderId="22" xfId="0" applyFont="1" applyBorder="1"/>
    <xf numFmtId="0" fontId="73" fillId="0" borderId="24" xfId="0" applyFont="1" applyBorder="1"/>
    <xf numFmtId="0" fontId="73" fillId="0" borderId="30" xfId="0" applyFont="1" applyBorder="1" applyAlignment="1">
      <alignment horizontal="right"/>
    </xf>
    <xf numFmtId="9" fontId="73" fillId="0" borderId="22" xfId="39" applyFont="1" applyBorder="1" applyAlignment="1">
      <alignment horizontal="center"/>
    </xf>
    <xf numFmtId="9" fontId="73" fillId="0" borderId="53" xfId="39" applyFont="1" applyBorder="1" applyAlignment="1">
      <alignment horizontal="center"/>
    </xf>
    <xf numFmtId="9" fontId="73" fillId="0" borderId="24" xfId="39" applyFont="1" applyBorder="1" applyAlignment="1">
      <alignment horizontal="center"/>
    </xf>
    <xf numFmtId="9" fontId="73" fillId="0" borderId="23" xfId="39" applyFont="1" applyBorder="1" applyAlignment="1">
      <alignment horizontal="center"/>
    </xf>
    <xf numFmtId="0" fontId="73" fillId="0" borderId="30" xfId="1" applyNumberFormat="1" applyFont="1" applyBorder="1" applyAlignment="1">
      <alignment horizontal="right"/>
    </xf>
    <xf numFmtId="49" fontId="73" fillId="0" borderId="12" xfId="0" applyNumberFormat="1" applyFont="1" applyBorder="1" applyAlignment="1">
      <alignment horizontal="center"/>
    </xf>
    <xf numFmtId="0" fontId="79" fillId="0" borderId="12" xfId="9" applyFont="1" applyBorder="1"/>
    <xf numFmtId="0" fontId="73" fillId="0" borderId="12" xfId="0" applyFont="1" applyBorder="1"/>
    <xf numFmtId="0" fontId="73" fillId="0" borderId="0" xfId="0" applyFont="1" applyAlignment="1">
      <alignment horizontal="left" vertical="top"/>
    </xf>
    <xf numFmtId="0" fontId="73" fillId="0" borderId="0" xfId="0" applyFont="1" applyAlignment="1">
      <alignment vertical="top"/>
    </xf>
    <xf numFmtId="0" fontId="79" fillId="0" borderId="0" xfId="0" applyFont="1" applyBorder="1" applyAlignment="1">
      <alignment vertical="top" wrapText="1"/>
    </xf>
    <xf numFmtId="0" fontId="80" fillId="0" borderId="0" xfId="4" applyFont="1" applyFill="1" applyBorder="1" applyAlignment="1" applyProtection="1">
      <alignment wrapText="1"/>
    </xf>
    <xf numFmtId="9" fontId="52" fillId="6" borderId="22" xfId="39" applyFont="1" applyFill="1" applyBorder="1" applyAlignment="1">
      <alignment horizontal="center"/>
    </xf>
    <xf numFmtId="9" fontId="52" fillId="6" borderId="23" xfId="39" applyFont="1" applyFill="1" applyBorder="1" applyAlignment="1">
      <alignment horizontal="center"/>
    </xf>
    <xf numFmtId="3" fontId="52" fillId="6" borderId="19" xfId="0" applyNumberFormat="1" applyFont="1" applyFill="1" applyBorder="1"/>
    <xf numFmtId="3" fontId="52" fillId="6" borderId="20" xfId="0" applyNumberFormat="1" applyFont="1" applyFill="1" applyBorder="1"/>
    <xf numFmtId="3" fontId="52" fillId="6" borderId="21" xfId="0" applyNumberFormat="1" applyFont="1" applyFill="1" applyBorder="1"/>
    <xf numFmtId="0" fontId="52" fillId="6" borderId="19" xfId="0" applyFont="1" applyFill="1" applyBorder="1"/>
    <xf numFmtId="0" fontId="52" fillId="6" borderId="20" xfId="0" applyFont="1" applyFill="1" applyBorder="1"/>
    <xf numFmtId="0" fontId="52" fillId="6" borderId="21" xfId="0" applyFont="1" applyFill="1" applyBorder="1"/>
    <xf numFmtId="171" fontId="52" fillId="6" borderId="28" xfId="1" applyNumberFormat="1" applyFont="1" applyFill="1" applyBorder="1"/>
    <xf numFmtId="177" fontId="73" fillId="0" borderId="0" xfId="3" applyNumberFormat="1" applyFont="1"/>
    <xf numFmtId="177" fontId="52" fillId="0" borderId="0" xfId="3" applyNumberFormat="1" applyFont="1" applyAlignment="1">
      <alignment horizontal="center"/>
    </xf>
    <xf numFmtId="177" fontId="52" fillId="0" borderId="0" xfId="3" applyNumberFormat="1" applyFont="1"/>
    <xf numFmtId="49" fontId="66" fillId="13" borderId="14" xfId="0" quotePrefix="1" applyNumberFormat="1" applyFont="1" applyFill="1" applyBorder="1" applyAlignment="1">
      <alignment horizontal="center"/>
    </xf>
    <xf numFmtId="0" fontId="66" fillId="13" borderId="14" xfId="0" applyFont="1" applyFill="1" applyBorder="1" applyAlignment="1">
      <alignment horizontal="left" wrapText="1"/>
    </xf>
    <xf numFmtId="177" fontId="52" fillId="0" borderId="0" xfId="3" applyNumberFormat="1" applyFont="1" applyFill="1"/>
    <xf numFmtId="9" fontId="52" fillId="21" borderId="0" xfId="39" applyFont="1" applyFill="1"/>
    <xf numFmtId="177" fontId="52" fillId="0" borderId="34" xfId="3" applyNumberFormat="1" applyFont="1" applyBorder="1"/>
    <xf numFmtId="177" fontId="52" fillId="0" borderId="0" xfId="3" applyNumberFormat="1" applyFont="1" applyBorder="1" applyAlignment="1">
      <alignment wrapText="1"/>
    </xf>
    <xf numFmtId="177" fontId="52" fillId="0" borderId="0" xfId="3" applyNumberFormat="1" applyFont="1" applyBorder="1"/>
    <xf numFmtId="177" fontId="52" fillId="0" borderId="33" xfId="3" applyNumberFormat="1" applyFont="1" applyBorder="1"/>
    <xf numFmtId="177" fontId="52" fillId="13" borderId="13" xfId="3" applyNumberFormat="1" applyFont="1" applyFill="1" applyBorder="1"/>
    <xf numFmtId="177" fontId="52" fillId="13" borderId="14" xfId="3" applyNumberFormat="1" applyFont="1" applyFill="1" applyBorder="1"/>
    <xf numFmtId="177" fontId="52" fillId="13" borderId="15" xfId="3" applyNumberFormat="1" applyFont="1" applyFill="1" applyBorder="1"/>
    <xf numFmtId="177" fontId="73" fillId="0" borderId="34" xfId="3" applyNumberFormat="1" applyFont="1" applyBorder="1"/>
    <xf numFmtId="177" fontId="73" fillId="0" borderId="0" xfId="3" applyNumberFormat="1" applyFont="1" applyBorder="1"/>
    <xf numFmtId="177" fontId="73" fillId="0" borderId="33" xfId="3" applyNumberFormat="1" applyFont="1" applyBorder="1"/>
    <xf numFmtId="177" fontId="73" fillId="0" borderId="36" xfId="3" applyNumberFormat="1" applyFont="1" applyBorder="1"/>
    <xf numFmtId="177" fontId="73" fillId="0" borderId="12" xfId="3" applyNumberFormat="1" applyFont="1" applyBorder="1"/>
    <xf numFmtId="177" fontId="73" fillId="0" borderId="35" xfId="3" applyNumberFormat="1" applyFont="1" applyBorder="1"/>
    <xf numFmtId="9" fontId="52" fillId="0" borderId="34" xfId="39" applyFont="1" applyBorder="1"/>
    <xf numFmtId="9" fontId="52" fillId="0" borderId="33" xfId="39" applyFont="1" applyBorder="1" applyAlignment="1">
      <alignment wrapText="1"/>
    </xf>
    <xf numFmtId="9" fontId="52" fillId="13" borderId="13" xfId="39" applyFont="1" applyFill="1" applyBorder="1"/>
    <xf numFmtId="9" fontId="52" fillId="13" borderId="14" xfId="39" applyFont="1" applyFill="1" applyBorder="1"/>
    <xf numFmtId="9" fontId="52" fillId="13" borderId="15" xfId="39" applyFont="1" applyFill="1" applyBorder="1"/>
    <xf numFmtId="9" fontId="73" fillId="0" borderId="36" xfId="39" applyFont="1" applyBorder="1"/>
    <xf numFmtId="9" fontId="73" fillId="0" borderId="12" xfId="39" applyFont="1" applyBorder="1"/>
    <xf numFmtId="9" fontId="73" fillId="0" borderId="35" xfId="39" applyFont="1" applyBorder="1"/>
    <xf numFmtId="9" fontId="52" fillId="0" borderId="0" xfId="39" applyFont="1" applyBorder="1" applyAlignment="1">
      <alignment wrapText="1"/>
    </xf>
    <xf numFmtId="9" fontId="52" fillId="0" borderId="33" xfId="39" applyFont="1" applyBorder="1"/>
    <xf numFmtId="0" fontId="73" fillId="0" borderId="0" xfId="0" applyFont="1" applyFill="1" applyBorder="1"/>
    <xf numFmtId="0" fontId="70" fillId="0" borderId="1" xfId="37" applyFont="1" applyFill="1" applyBorder="1" applyAlignment="1">
      <alignment wrapText="1"/>
    </xf>
    <xf numFmtId="166" fontId="30" fillId="0" borderId="1" xfId="38" applyNumberFormat="1" applyFont="1" applyFill="1" applyBorder="1" applyAlignment="1">
      <alignment horizontal="right" wrapText="1"/>
    </xf>
    <xf numFmtId="0" fontId="69" fillId="0" borderId="75" xfId="21" applyFont="1" applyFill="1" applyBorder="1" applyAlignment="1">
      <alignment horizontal="center"/>
    </xf>
    <xf numFmtId="0" fontId="69" fillId="0" borderId="58" xfId="21" applyFont="1" applyFill="1" applyBorder="1" applyAlignment="1">
      <alignment horizontal="center"/>
    </xf>
    <xf numFmtId="0" fontId="69" fillId="0" borderId="76" xfId="21" applyFont="1" applyFill="1" applyBorder="1" applyAlignment="1">
      <alignment horizontal="center"/>
    </xf>
    <xf numFmtId="0" fontId="30" fillId="0" borderId="4" xfId="30" applyFont="1" applyFill="1" applyBorder="1" applyAlignment="1">
      <alignment horizontal="center"/>
    </xf>
    <xf numFmtId="0" fontId="70" fillId="0" borderId="71" xfId="25" applyFont="1" applyFill="1" applyBorder="1" applyAlignment="1">
      <alignment wrapText="1"/>
    </xf>
    <xf numFmtId="167" fontId="70" fillId="0" borderId="79" xfId="25" applyNumberFormat="1" applyFont="1" applyFill="1" applyBorder="1" applyAlignment="1">
      <alignment wrapText="1"/>
    </xf>
    <xf numFmtId="167" fontId="70" fillId="0" borderId="81" xfId="25" applyNumberFormat="1" applyFont="1" applyFill="1" applyBorder="1" applyAlignment="1">
      <alignment wrapText="1"/>
    </xf>
    <xf numFmtId="0" fontId="70" fillId="0" borderId="11" xfId="25" applyFont="1" applyFill="1" applyBorder="1" applyAlignment="1">
      <alignment wrapText="1"/>
    </xf>
    <xf numFmtId="0" fontId="69" fillId="0" borderId="2" xfId="25" applyFont="1" applyFill="1" applyBorder="1" applyAlignment="1">
      <alignment horizontal="center"/>
    </xf>
    <xf numFmtId="0" fontId="70" fillId="0" borderId="10" xfId="31" applyFont="1" applyFill="1" applyBorder="1" applyAlignment="1">
      <alignment horizontal="center" wrapText="1"/>
    </xf>
    <xf numFmtId="0" fontId="69" fillId="0" borderId="2" xfId="31" applyFont="1" applyFill="1" applyBorder="1" applyAlignment="1">
      <alignment horizontal="left" wrapText="1"/>
    </xf>
    <xf numFmtId="0" fontId="69" fillId="0" borderId="2" xfId="25" applyFont="1" applyFill="1" applyBorder="1" applyAlignment="1">
      <alignment horizontal="left"/>
    </xf>
    <xf numFmtId="0" fontId="69" fillId="0" borderId="2" xfId="34" applyFont="1" applyFill="1" applyBorder="1" applyAlignment="1">
      <alignment horizontal="center" wrapText="1"/>
    </xf>
    <xf numFmtId="0" fontId="69" fillId="6" borderId="83" xfId="31" quotePrefix="1" applyFont="1" applyFill="1" applyBorder="1" applyAlignment="1">
      <alignment horizontal="center" wrapText="1"/>
    </xf>
    <xf numFmtId="0" fontId="69" fillId="6" borderId="2" xfId="25" applyFont="1" applyFill="1" applyBorder="1" applyAlignment="1">
      <alignment wrapText="1"/>
    </xf>
    <xf numFmtId="167" fontId="69" fillId="6" borderId="2" xfId="25" applyNumberFormat="1" applyFont="1" applyFill="1" applyBorder="1" applyAlignment="1">
      <alignment wrapText="1"/>
    </xf>
    <xf numFmtId="167" fontId="52" fillId="6" borderId="2" xfId="0" applyNumberFormat="1" applyFont="1" applyFill="1" applyBorder="1"/>
    <xf numFmtId="0" fontId="70" fillId="0" borderId="1" xfId="29" applyFont="1" applyFill="1" applyBorder="1" applyAlignment="1">
      <alignment wrapText="1"/>
    </xf>
    <xf numFmtId="0" fontId="70" fillId="0" borderId="0" xfId="29" applyFont="1" applyFill="1" applyBorder="1" applyAlignment="1">
      <alignment wrapText="1"/>
    </xf>
    <xf numFmtId="167" fontId="70" fillId="0" borderId="0" xfId="29" applyNumberFormat="1" applyFont="1" applyFill="1" applyBorder="1" applyAlignment="1">
      <alignment horizontal="right" wrapText="1"/>
    </xf>
    <xf numFmtId="0" fontId="69" fillId="22" borderId="0" xfId="29" applyFont="1" applyFill="1" applyBorder="1" applyAlignment="1">
      <alignment horizontal="left"/>
    </xf>
    <xf numFmtId="167" fontId="69" fillId="6" borderId="1" xfId="29" applyNumberFormat="1" applyFont="1" applyFill="1" applyBorder="1" applyAlignment="1">
      <alignment wrapText="1"/>
    </xf>
    <xf numFmtId="167" fontId="70" fillId="0" borderId="1" xfId="29" applyNumberFormat="1" applyFont="1" applyFill="1" applyBorder="1" applyAlignment="1">
      <alignment wrapText="1"/>
    </xf>
    <xf numFmtId="167" fontId="70" fillId="0" borderId="1" xfId="29" applyNumberFormat="1" applyFont="1" applyFill="1" applyBorder="1" applyAlignment="1">
      <alignment horizontal="right" wrapText="1"/>
    </xf>
    <xf numFmtId="166" fontId="61" fillId="0" borderId="0" xfId="0" applyNumberFormat="1" applyFont="1"/>
    <xf numFmtId="0" fontId="69" fillId="0" borderId="2" xfId="29" applyFont="1" applyFill="1" applyBorder="1" applyAlignment="1">
      <alignment horizontal="center"/>
    </xf>
    <xf numFmtId="0" fontId="69" fillId="0" borderId="2" xfId="29" applyFont="1" applyFill="1" applyBorder="1" applyAlignment="1">
      <alignment horizontal="center" wrapText="1"/>
    </xf>
    <xf numFmtId="0" fontId="69" fillId="0" borderId="2" xfId="22" applyFont="1" applyFill="1" applyBorder="1" applyAlignment="1">
      <alignment horizontal="center"/>
    </xf>
    <xf numFmtId="0" fontId="69" fillId="22" borderId="0" xfId="23" applyFont="1" applyFill="1" applyBorder="1" applyAlignment="1">
      <alignment horizontal="center"/>
    </xf>
    <xf numFmtId="0" fontId="69" fillId="22" borderId="0" xfId="23" applyFont="1" applyFill="1" applyBorder="1" applyAlignment="1">
      <alignment horizontal="left"/>
    </xf>
    <xf numFmtId="0" fontId="70" fillId="0" borderId="1" xfId="23" applyFont="1" applyFill="1" applyBorder="1" applyAlignment="1">
      <alignment horizontal="center" wrapText="1"/>
    </xf>
    <xf numFmtId="0" fontId="69" fillId="0" borderId="2" xfId="23" applyFont="1" applyFill="1" applyBorder="1" applyAlignment="1">
      <alignment horizontal="center" wrapText="1"/>
    </xf>
    <xf numFmtId="0" fontId="69" fillId="0" borderId="6" xfId="23" applyFont="1" applyFill="1" applyBorder="1" applyAlignment="1">
      <alignment horizontal="left"/>
    </xf>
    <xf numFmtId="0" fontId="70" fillId="0" borderId="11" xfId="23" applyFont="1" applyFill="1" applyBorder="1" applyAlignment="1">
      <alignment wrapText="1"/>
    </xf>
    <xf numFmtId="0" fontId="69" fillId="0" borderId="2" xfId="23" applyFont="1" applyFill="1" applyBorder="1" applyAlignment="1">
      <alignment horizontal="center"/>
    </xf>
    <xf numFmtId="167" fontId="52" fillId="6" borderId="3" xfId="0" applyNumberFormat="1" applyFont="1" applyFill="1" applyBorder="1"/>
    <xf numFmtId="0" fontId="69" fillId="0" borderId="85" xfId="23" applyFont="1" applyFill="1" applyBorder="1" applyAlignment="1">
      <alignment horizontal="center" wrapText="1"/>
    </xf>
    <xf numFmtId="167" fontId="73" fillId="0" borderId="0" xfId="0" applyNumberFormat="1" applyFont="1" applyBorder="1"/>
    <xf numFmtId="166" fontId="0" fillId="0" borderId="0" xfId="0" applyNumberFormat="1" applyFont="1"/>
    <xf numFmtId="0" fontId="69" fillId="0" borderId="85" xfId="24" applyFont="1" applyFill="1" applyBorder="1" applyAlignment="1">
      <alignment horizontal="left"/>
    </xf>
    <xf numFmtId="0" fontId="69" fillId="0" borderId="85" xfId="24" applyFont="1" applyFill="1" applyBorder="1" applyAlignment="1">
      <alignment horizontal="center"/>
    </xf>
    <xf numFmtId="0" fontId="69" fillId="22" borderId="3" xfId="23" applyFont="1" applyFill="1" applyBorder="1" applyAlignment="1">
      <alignment horizontal="center"/>
    </xf>
    <xf numFmtId="0" fontId="69" fillId="22" borderId="3" xfId="24" applyFont="1" applyFill="1" applyBorder="1" applyAlignment="1">
      <alignment horizontal="left"/>
    </xf>
    <xf numFmtId="0" fontId="70" fillId="0" borderId="3" xfId="23" applyFont="1" applyFill="1" applyBorder="1" applyAlignment="1">
      <alignment horizontal="center" wrapText="1"/>
    </xf>
    <xf numFmtId="0" fontId="70" fillId="0" borderId="3" xfId="24" applyFont="1" applyFill="1" applyBorder="1" applyAlignment="1">
      <alignment wrapText="1"/>
    </xf>
    <xf numFmtId="0" fontId="70" fillId="0" borderId="86" xfId="23" applyFont="1" applyFill="1" applyBorder="1" applyAlignment="1">
      <alignment horizontal="center" wrapText="1"/>
    </xf>
    <xf numFmtId="0" fontId="70" fillId="0" borderId="86" xfId="24" applyFont="1" applyFill="1" applyBorder="1" applyAlignment="1">
      <alignment wrapText="1"/>
    </xf>
    <xf numFmtId="0" fontId="69" fillId="6" borderId="65" xfId="36" applyFont="1" applyFill="1" applyBorder="1" applyAlignment="1">
      <alignment horizontal="left" wrapText="1"/>
    </xf>
    <xf numFmtId="0" fontId="69" fillId="6" borderId="66" xfId="36" applyFont="1" applyFill="1" applyBorder="1" applyAlignment="1">
      <alignment wrapText="1"/>
    </xf>
    <xf numFmtId="167" fontId="70" fillId="0" borderId="0" xfId="36" applyNumberFormat="1" applyFont="1" applyFill="1" applyBorder="1" applyAlignment="1">
      <alignment wrapText="1"/>
    </xf>
    <xf numFmtId="0" fontId="70" fillId="0" borderId="0" xfId="36" applyFont="1" applyFill="1" applyBorder="1" applyAlignment="1">
      <alignment wrapText="1"/>
    </xf>
    <xf numFmtId="166" fontId="73" fillId="0" borderId="0" xfId="0" applyNumberFormat="1" applyFont="1"/>
    <xf numFmtId="0" fontId="69" fillId="0" borderId="2" xfId="36" applyFont="1" applyFill="1" applyBorder="1" applyAlignment="1">
      <alignment horizontal="left"/>
    </xf>
    <xf numFmtId="0" fontId="69" fillId="0" borderId="6" xfId="36" applyFont="1" applyFill="1" applyBorder="1" applyAlignment="1">
      <alignment horizontal="left"/>
    </xf>
    <xf numFmtId="0" fontId="69" fillId="0" borderId="75" xfId="36" applyFont="1" applyFill="1" applyBorder="1" applyAlignment="1">
      <alignment horizontal="center" wrapText="1"/>
    </xf>
    <xf numFmtId="0" fontId="69" fillId="0" borderId="58" xfId="36" applyFont="1" applyFill="1" applyBorder="1" applyAlignment="1">
      <alignment horizontal="center" wrapText="1"/>
    </xf>
    <xf numFmtId="1" fontId="0" fillId="0" borderId="0" xfId="0" applyNumberFormat="1" applyFont="1"/>
    <xf numFmtId="1" fontId="69" fillId="0" borderId="14" xfId="14" applyNumberFormat="1" applyFont="1" applyFill="1" applyBorder="1" applyAlignment="1">
      <alignment horizontal="center"/>
    </xf>
    <xf numFmtId="1" fontId="52" fillId="0" borderId="14" xfId="0" applyNumberFormat="1" applyFont="1" applyBorder="1" applyAlignment="1">
      <alignment horizontal="center"/>
    </xf>
    <xf numFmtId="1" fontId="73" fillId="0" borderId="0" xfId="0" applyNumberFormat="1" applyFont="1"/>
    <xf numFmtId="1" fontId="73" fillId="0" borderId="12" xfId="0" applyNumberFormat="1" applyFont="1" applyBorder="1"/>
    <xf numFmtId="0" fontId="30" fillId="0" borderId="0" xfId="14" applyFont="1" applyFill="1" applyBorder="1" applyAlignment="1">
      <alignment horizontal="left" wrapText="1"/>
    </xf>
    <xf numFmtId="0" fontId="24" fillId="0" borderId="0" xfId="14" applyFont="1"/>
    <xf numFmtId="0" fontId="24" fillId="0" borderId="0" xfId="14" applyFont="1" applyAlignment="1">
      <alignment horizontal="right" vertical="top"/>
    </xf>
    <xf numFmtId="0" fontId="24" fillId="0" borderId="0" xfId="14" applyFont="1" applyBorder="1"/>
    <xf numFmtId="0" fontId="79" fillId="0" borderId="0" xfId="14" applyFont="1" applyBorder="1"/>
    <xf numFmtId="0" fontId="69" fillId="0" borderId="14" xfId="14" applyFont="1" applyFill="1" applyBorder="1" applyAlignment="1">
      <alignment horizontal="center"/>
    </xf>
    <xf numFmtId="0" fontId="69" fillId="6" borderId="0" xfId="14" applyFont="1" applyFill="1" applyBorder="1" applyAlignment="1">
      <alignment horizontal="center"/>
    </xf>
    <xf numFmtId="0" fontId="69" fillId="6" borderId="0" xfId="14" applyFont="1" applyFill="1" applyBorder="1" applyAlignment="1">
      <alignment horizontal="left"/>
    </xf>
    <xf numFmtId="0" fontId="73" fillId="0" borderId="0" xfId="0" applyFont="1" applyAlignment="1">
      <alignment horizontal="right"/>
    </xf>
    <xf numFmtId="0" fontId="73" fillId="0" borderId="12" xfId="0" applyFont="1" applyBorder="1"/>
    <xf numFmtId="0" fontId="69" fillId="6" borderId="14" xfId="14" applyFont="1" applyFill="1" applyBorder="1" applyAlignment="1">
      <alignment horizontal="center"/>
    </xf>
    <xf numFmtId="0" fontId="69" fillId="6" borderId="14" xfId="14" applyFont="1" applyFill="1" applyBorder="1" applyAlignment="1">
      <alignment horizontal="left"/>
    </xf>
    <xf numFmtId="0" fontId="34" fillId="0" borderId="12" xfId="32" applyFont="1" applyFill="1" applyBorder="1" applyAlignment="1">
      <alignment horizontal="center"/>
    </xf>
    <xf numFmtId="0" fontId="34" fillId="0" borderId="12" xfId="32" quotePrefix="1" applyFont="1" applyFill="1" applyBorder="1" applyAlignment="1">
      <alignment horizontal="center"/>
    </xf>
    <xf numFmtId="0" fontId="36" fillId="0" borderId="0" xfId="14" applyFont="1"/>
    <xf numFmtId="0" fontId="34" fillId="0" borderId="12" xfId="32" applyFont="1" applyFill="1" applyBorder="1" applyAlignment="1">
      <alignment horizontal="left"/>
    </xf>
    <xf numFmtId="0" fontId="23" fillId="0" borderId="12" xfId="14" applyFont="1" applyBorder="1" applyAlignment="1">
      <alignment horizontal="center"/>
    </xf>
    <xf numFmtId="0" fontId="24" fillId="0" borderId="12" xfId="14" applyFont="1" applyBorder="1" applyAlignment="1"/>
    <xf numFmtId="0" fontId="23" fillId="0" borderId="0" xfId="14" applyFont="1" applyBorder="1" applyAlignment="1"/>
    <xf numFmtId="0" fontId="24" fillId="0" borderId="0" xfId="14" applyFont="1" applyBorder="1" applyAlignment="1"/>
    <xf numFmtId="0" fontId="69" fillId="0" borderId="0" xfId="32" applyFont="1" applyFill="1" applyBorder="1" applyAlignment="1">
      <alignment horizontal="left"/>
    </xf>
    <xf numFmtId="0" fontId="69" fillId="0" borderId="0" xfId="32" applyFont="1" applyFill="1" applyBorder="1" applyAlignment="1">
      <alignment horizontal="center"/>
    </xf>
    <xf numFmtId="9" fontId="69" fillId="0" borderId="0" xfId="32" applyNumberFormat="1" applyFont="1" applyFill="1" applyBorder="1" applyAlignment="1">
      <alignment horizontal="right" wrapText="1"/>
    </xf>
    <xf numFmtId="0" fontId="70" fillId="0" borderId="0" xfId="32" applyFont="1" applyFill="1" applyBorder="1" applyAlignment="1">
      <alignment horizontal="center" wrapText="1"/>
    </xf>
    <xf numFmtId="0" fontId="70" fillId="0" borderId="0" xfId="32" applyFont="1" applyFill="1" applyBorder="1" applyAlignment="1">
      <alignment wrapText="1"/>
    </xf>
    <xf numFmtId="9" fontId="70" fillId="0" borderId="0" xfId="32" applyNumberFormat="1" applyFont="1" applyFill="1" applyBorder="1" applyAlignment="1">
      <alignment horizontal="right" wrapText="1"/>
    </xf>
    <xf numFmtId="0" fontId="70" fillId="0" borderId="0" xfId="32" applyFont="1" applyFill="1" applyBorder="1" applyAlignment="1">
      <alignment vertical="top" wrapText="1"/>
    </xf>
    <xf numFmtId="0" fontId="70" fillId="0" borderId="12" xfId="32" quotePrefix="1" applyFont="1" applyFill="1" applyBorder="1" applyAlignment="1">
      <alignment horizontal="center" wrapText="1"/>
    </xf>
    <xf numFmtId="0" fontId="70" fillId="0" borderId="12" xfId="32" applyFont="1" applyFill="1" applyBorder="1" applyAlignment="1">
      <alignment wrapText="1"/>
    </xf>
    <xf numFmtId="9" fontId="70" fillId="0" borderId="12" xfId="32" applyNumberFormat="1" applyFont="1" applyFill="1" applyBorder="1" applyAlignment="1">
      <alignment horizontal="right" wrapText="1"/>
    </xf>
    <xf numFmtId="0" fontId="73" fillId="0" borderId="25" xfId="0" applyFont="1" applyBorder="1"/>
    <xf numFmtId="0" fontId="73" fillId="0" borderId="27" xfId="0" applyFont="1" applyBorder="1"/>
    <xf numFmtId="0" fontId="73" fillId="0" borderId="26" xfId="0" applyFont="1" applyBorder="1"/>
    <xf numFmtId="0" fontId="73" fillId="0" borderId="31" xfId="0" applyFont="1" applyBorder="1" applyAlignment="1">
      <alignment horizontal="right"/>
    </xf>
    <xf numFmtId="9" fontId="73" fillId="0" borderId="25" xfId="39" applyFont="1" applyBorder="1" applyAlignment="1">
      <alignment horizontal="center"/>
    </xf>
    <xf numFmtId="9" fontId="73" fillId="0" borderId="57" xfId="39" applyFont="1" applyBorder="1" applyAlignment="1">
      <alignment horizontal="center"/>
    </xf>
    <xf numFmtId="9" fontId="73" fillId="0" borderId="27" xfId="39" applyFont="1" applyBorder="1" applyAlignment="1">
      <alignment horizontal="center"/>
    </xf>
    <xf numFmtId="9" fontId="73" fillId="0" borderId="26" xfId="39" applyFont="1" applyBorder="1" applyAlignment="1">
      <alignment horizontal="center"/>
    </xf>
    <xf numFmtId="0" fontId="73" fillId="0" borderId="0" xfId="9" applyFont="1"/>
    <xf numFmtId="0" fontId="73" fillId="0" borderId="0" xfId="9" applyFont="1" applyAlignment="1">
      <alignment horizontal="right" wrapText="1"/>
    </xf>
    <xf numFmtId="0" fontId="52" fillId="0" borderId="12" xfId="9" applyFont="1" applyBorder="1" applyAlignment="1"/>
    <xf numFmtId="0" fontId="52" fillId="0" borderId="0" xfId="9" applyFont="1" applyAlignment="1">
      <alignment horizontal="center"/>
    </xf>
    <xf numFmtId="0" fontId="52" fillId="0" borderId="0" xfId="9" applyFont="1" applyAlignment="1">
      <alignment horizontal="right"/>
    </xf>
    <xf numFmtId="0" fontId="73" fillId="0" borderId="12" xfId="9" applyFont="1" applyBorder="1" applyAlignment="1"/>
    <xf numFmtId="0" fontId="73" fillId="0" borderId="12" xfId="9" applyFont="1" applyBorder="1" applyAlignment="1">
      <alignment horizontal="right"/>
    </xf>
    <xf numFmtId="0" fontId="52" fillId="0" borderId="0" xfId="9" applyFont="1" applyAlignment="1"/>
    <xf numFmtId="0" fontId="52" fillId="0" borderId="0" xfId="9" applyFont="1" applyAlignment="1">
      <alignment horizontal="right" wrapText="1"/>
    </xf>
    <xf numFmtId="49" fontId="52" fillId="0" borderId="12" xfId="9" applyNumberFormat="1" applyFont="1" applyBorder="1" applyAlignment="1">
      <alignment horizontal="center"/>
    </xf>
    <xf numFmtId="0" fontId="52" fillId="0" borderId="12" xfId="9" applyFont="1" applyBorder="1" applyAlignment="1">
      <alignment horizontal="right" wrapText="1"/>
    </xf>
    <xf numFmtId="0" fontId="52" fillId="0" borderId="12" xfId="9" applyFont="1" applyBorder="1"/>
    <xf numFmtId="49" fontId="73" fillId="0" borderId="0" xfId="9" quotePrefix="1" applyNumberFormat="1" applyFont="1" applyAlignment="1">
      <alignment horizontal="center"/>
    </xf>
    <xf numFmtId="49" fontId="73" fillId="0" borderId="0" xfId="9" applyNumberFormat="1" applyFont="1" applyAlignment="1">
      <alignment horizontal="center"/>
    </xf>
    <xf numFmtId="0" fontId="73" fillId="0" borderId="0" xfId="9" applyNumberFormat="1" applyFont="1" applyAlignment="1">
      <alignment horizontal="right"/>
    </xf>
    <xf numFmtId="49" fontId="73" fillId="0" borderId="0" xfId="9" quotePrefix="1" applyNumberFormat="1" applyFont="1" applyAlignment="1">
      <alignment horizontal="right"/>
    </xf>
    <xf numFmtId="49" fontId="73" fillId="0" borderId="0" xfId="9" applyNumberFormat="1" applyFont="1" applyAlignment="1">
      <alignment horizontal="right"/>
    </xf>
    <xf numFmtId="0" fontId="73" fillId="0" borderId="0" xfId="9" quotePrefix="1" applyNumberFormat="1" applyFont="1" applyAlignment="1">
      <alignment horizontal="center"/>
    </xf>
    <xf numFmtId="0" fontId="73" fillId="0" borderId="0" xfId="9" quotePrefix="1" applyNumberFormat="1" applyFont="1" applyAlignment="1">
      <alignment horizontal="right"/>
    </xf>
    <xf numFmtId="49" fontId="73" fillId="0" borderId="12" xfId="9" applyNumberFormat="1" applyFont="1" applyBorder="1" applyAlignment="1">
      <alignment horizontal="center"/>
    </xf>
    <xf numFmtId="0" fontId="73" fillId="0" borderId="12" xfId="9" applyNumberFormat="1" applyFont="1" applyBorder="1" applyAlignment="1">
      <alignment horizontal="right"/>
    </xf>
    <xf numFmtId="0" fontId="73" fillId="0" borderId="12" xfId="9" applyFont="1" applyBorder="1" applyAlignment="1">
      <alignment horizontal="right" wrapText="1"/>
    </xf>
    <xf numFmtId="49" fontId="73" fillId="0" borderId="12" xfId="9" applyNumberFormat="1" applyFont="1" applyBorder="1" applyAlignment="1">
      <alignment horizontal="right"/>
    </xf>
    <xf numFmtId="0" fontId="79" fillId="0" borderId="0" xfId="9" applyFont="1" applyAlignment="1">
      <alignment horizontal="right" vertical="top"/>
    </xf>
    <xf numFmtId="0" fontId="80" fillId="0" borderId="0" xfId="4" applyFont="1" applyAlignment="1" applyProtection="1">
      <alignment horizontal="right"/>
    </xf>
    <xf numFmtId="0" fontId="70" fillId="0" borderId="0" xfId="37" applyFont="1" applyFill="1" applyBorder="1" applyAlignment="1">
      <alignment wrapText="1"/>
    </xf>
    <xf numFmtId="0" fontId="69" fillId="0" borderId="6" xfId="36" applyFont="1" applyFill="1" applyBorder="1" applyAlignment="1">
      <alignment horizontal="left"/>
    </xf>
    <xf numFmtId="0" fontId="69" fillId="6" borderId="67" xfId="36" applyFont="1" applyFill="1" applyBorder="1" applyAlignment="1">
      <alignment wrapText="1"/>
    </xf>
    <xf numFmtId="167" fontId="70" fillId="0" borderId="1" xfId="29" applyNumberFormat="1" applyFont="1" applyFill="1" applyBorder="1" applyAlignment="1">
      <alignment wrapText="1"/>
    </xf>
    <xf numFmtId="0" fontId="69" fillId="0" borderId="2" xfId="29" applyFont="1" applyFill="1" applyBorder="1" applyAlignment="1">
      <alignment horizontal="left"/>
    </xf>
    <xf numFmtId="0" fontId="70" fillId="0" borderId="88" xfId="25" applyFont="1" applyFill="1" applyBorder="1" applyAlignment="1">
      <alignment wrapText="1"/>
    </xf>
    <xf numFmtId="0" fontId="70" fillId="0" borderId="32" xfId="25" applyFont="1" applyFill="1" applyBorder="1" applyAlignment="1">
      <alignment wrapText="1"/>
    </xf>
    <xf numFmtId="0" fontId="69" fillId="0" borderId="2" xfId="27" applyFont="1" applyFill="1" applyBorder="1" applyAlignment="1">
      <alignment horizontal="left"/>
    </xf>
    <xf numFmtId="0" fontId="69" fillId="6" borderId="0" xfId="27" applyFont="1" applyFill="1" applyBorder="1" applyAlignment="1">
      <alignment wrapText="1"/>
    </xf>
    <xf numFmtId="0" fontId="70" fillId="0" borderId="0" xfId="27" applyFont="1" applyFill="1" applyBorder="1" applyAlignment="1">
      <alignment wrapText="1"/>
    </xf>
    <xf numFmtId="0" fontId="69" fillId="0" borderId="6" xfId="34" applyFont="1" applyFill="1" applyBorder="1" applyAlignment="1">
      <alignment horizontal="left" wrapText="1"/>
    </xf>
    <xf numFmtId="0" fontId="69" fillId="6" borderId="32" xfId="34" applyFont="1" applyFill="1" applyBorder="1" applyAlignment="1">
      <alignment wrapText="1"/>
    </xf>
    <xf numFmtId="0" fontId="70" fillId="0" borderId="32" xfId="34" applyFont="1" applyFill="1" applyBorder="1" applyAlignment="1">
      <alignment wrapText="1"/>
    </xf>
    <xf numFmtId="171" fontId="52" fillId="6" borderId="0" xfId="1" applyNumberFormat="1" applyFont="1" applyFill="1"/>
    <xf numFmtId="0" fontId="26" fillId="0" borderId="0" xfId="0" applyFont="1" applyAlignment="1">
      <alignment horizontal="left" vertical="top"/>
    </xf>
    <xf numFmtId="0" fontId="13" fillId="3" borderId="0" xfId="0" applyFont="1" applyFill="1" applyBorder="1" applyAlignment="1">
      <alignment horizontal="left" vertical="top" wrapText="1"/>
    </xf>
    <xf numFmtId="171" fontId="13" fillId="3" borderId="0" xfId="1" applyNumberFormat="1" applyFont="1" applyFill="1" applyBorder="1" applyAlignment="1">
      <alignment horizontal="left" vertical="top" wrapText="1"/>
    </xf>
    <xf numFmtId="0" fontId="49" fillId="0" borderId="0" xfId="0" applyFont="1"/>
    <xf numFmtId="171" fontId="49" fillId="0" borderId="0" xfId="1" applyNumberFormat="1" applyFont="1"/>
    <xf numFmtId="3" fontId="49" fillId="0" borderId="0" xfId="0" applyNumberFormat="1" applyFont="1"/>
    <xf numFmtId="164" fontId="49" fillId="8" borderId="0" xfId="39" applyNumberFormat="1" applyFont="1" applyFill="1"/>
    <xf numFmtId="171" fontId="49" fillId="8" borderId="0" xfId="1" applyNumberFormat="1" applyFont="1" applyFill="1"/>
    <xf numFmtId="0" fontId="7" fillId="3" borderId="0" xfId="0" applyFont="1" applyFill="1" applyBorder="1" applyAlignment="1">
      <alignment horizontal="left" vertical="top"/>
    </xf>
    <xf numFmtId="0" fontId="49" fillId="0" borderId="0" xfId="0" applyFont="1" applyAlignment="1">
      <alignment horizontal="right"/>
    </xf>
    <xf numFmtId="3" fontId="49" fillId="0" borderId="0" xfId="0" applyNumberFormat="1" applyFont="1" applyAlignment="1">
      <alignment horizontal="right"/>
    </xf>
    <xf numFmtId="164" fontId="49" fillId="0" borderId="0" xfId="39" applyNumberFormat="1" applyFont="1" applyAlignment="1">
      <alignment horizontal="right"/>
    </xf>
    <xf numFmtId="171" fontId="49" fillId="0" borderId="0" xfId="1" applyNumberFormat="1" applyFont="1" applyAlignment="1">
      <alignment horizontal="right"/>
    </xf>
    <xf numFmtId="0" fontId="7" fillId="3" borderId="0" xfId="0" applyFont="1" applyFill="1" applyBorder="1" applyAlignment="1">
      <alignment vertical="top" wrapText="1"/>
    </xf>
    <xf numFmtId="0" fontId="7" fillId="3" borderId="89" xfId="0" applyFont="1" applyFill="1" applyBorder="1" applyAlignment="1">
      <alignment vertical="center" wrapText="1"/>
    </xf>
    <xf numFmtId="0" fontId="7" fillId="3" borderId="9" xfId="0" applyFont="1" applyFill="1" applyBorder="1" applyAlignment="1">
      <alignment vertical="top" wrapText="1"/>
    </xf>
    <xf numFmtId="0" fontId="49" fillId="0" borderId="0" xfId="0" applyFont="1" applyAlignment="1"/>
    <xf numFmtId="0" fontId="83" fillId="0" borderId="0" xfId="0" applyFont="1"/>
    <xf numFmtId="3" fontId="49" fillId="8" borderId="0" xfId="0" applyNumberFormat="1" applyFont="1" applyFill="1"/>
    <xf numFmtId="0" fontId="83" fillId="0" borderId="14" xfId="0" applyFont="1" applyBorder="1"/>
    <xf numFmtId="0" fontId="13" fillId="3" borderId="90" xfId="0" applyFont="1" applyFill="1" applyBorder="1" applyAlignment="1">
      <alignment vertical="top" wrapText="1"/>
    </xf>
    <xf numFmtId="0" fontId="13" fillId="3" borderId="91" xfId="0" applyFont="1" applyFill="1" applyBorder="1" applyAlignment="1">
      <alignment horizontal="left" vertical="top" wrapText="1"/>
    </xf>
    <xf numFmtId="0" fontId="49" fillId="0" borderId="12" xfId="0" applyFont="1" applyBorder="1"/>
    <xf numFmtId="0" fontId="29" fillId="0" borderId="12" xfId="0" applyFont="1" applyBorder="1"/>
    <xf numFmtId="171" fontId="29" fillId="0" borderId="12" xfId="1" applyNumberFormat="1" applyFont="1" applyBorder="1"/>
    <xf numFmtId="3" fontId="49" fillId="8" borderId="29" xfId="0" applyNumberFormat="1" applyFont="1" applyFill="1" applyBorder="1"/>
    <xf numFmtId="3" fontId="49" fillId="0" borderId="30" xfId="0" applyNumberFormat="1" applyFont="1" applyBorder="1" applyAlignment="1">
      <alignment horizontal="right"/>
    </xf>
    <xf numFmtId="0" fontId="49" fillId="8" borderId="0" xfId="0" applyFont="1" applyFill="1"/>
    <xf numFmtId="0" fontId="7" fillId="8" borderId="9" xfId="0" applyFont="1" applyFill="1" applyBorder="1" applyAlignment="1">
      <alignment vertical="top" wrapText="1"/>
    </xf>
    <xf numFmtId="171" fontId="49" fillId="0" borderId="0" xfId="0" applyNumberFormat="1" applyFont="1"/>
    <xf numFmtId="171" fontId="49" fillId="8" borderId="0" xfId="0" applyNumberFormat="1" applyFont="1" applyFill="1"/>
    <xf numFmtId="0" fontId="73" fillId="0" borderId="0" xfId="15" applyFont="1" applyAlignment="1">
      <alignment horizontal="left" wrapText="1"/>
    </xf>
    <xf numFmtId="171" fontId="54" fillId="0" borderId="135" xfId="1" applyNumberFormat="1" applyFont="1" applyBorder="1"/>
    <xf numFmtId="171" fontId="54" fillId="11" borderId="135" xfId="1" applyNumberFormat="1" applyFont="1" applyFill="1" applyBorder="1"/>
    <xf numFmtId="171" fontId="54" fillId="11" borderId="30" xfId="1" applyNumberFormat="1" applyFont="1" applyFill="1" applyBorder="1"/>
    <xf numFmtId="171" fontId="54" fillId="9" borderId="31" xfId="1" applyNumberFormat="1" applyFont="1" applyFill="1" applyBorder="1"/>
    <xf numFmtId="3" fontId="52" fillId="11" borderId="30" xfId="15" applyNumberFormat="1" applyFont="1" applyFill="1" applyBorder="1" applyAlignment="1">
      <alignment horizontal="right" vertical="top"/>
    </xf>
    <xf numFmtId="171" fontId="73" fillId="0" borderId="30" xfId="1" applyNumberFormat="1" applyFont="1" applyFill="1" applyBorder="1"/>
    <xf numFmtId="171" fontId="73" fillId="0" borderId="31" xfId="1" applyNumberFormat="1" applyFont="1" applyFill="1" applyBorder="1"/>
    <xf numFmtId="171" fontId="52" fillId="6" borderId="30" xfId="1" applyNumberFormat="1" applyFont="1" applyFill="1" applyBorder="1" applyAlignment="1">
      <alignment horizontal="center" wrapText="1"/>
    </xf>
    <xf numFmtId="3" fontId="73" fillId="0" borderId="30" xfId="15" applyNumberFormat="1" applyFont="1" applyFill="1" applyBorder="1"/>
    <xf numFmtId="3" fontId="82" fillId="0" borderId="0" xfId="19" applyNumberFormat="1" applyFont="1" applyFill="1" applyBorder="1" applyAlignment="1">
      <alignment vertical="top" wrapText="1"/>
    </xf>
    <xf numFmtId="3" fontId="54" fillId="0" borderId="34" xfId="0" applyNumberFormat="1" applyFont="1" applyFill="1" applyBorder="1" applyAlignment="1">
      <alignment horizontal="center"/>
    </xf>
    <xf numFmtId="3" fontId="54" fillId="0" borderId="0" xfId="0" applyNumberFormat="1" applyFont="1" applyFill="1" applyBorder="1" applyAlignment="1">
      <alignment horizontal="center"/>
    </xf>
    <xf numFmtId="9" fontId="54" fillId="0" borderId="34" xfId="39" applyFont="1" applyFill="1" applyBorder="1" applyAlignment="1">
      <alignment horizontal="center"/>
    </xf>
    <xf numFmtId="9" fontId="54" fillId="0" borderId="0" xfId="39" applyFont="1" applyFill="1" applyBorder="1" applyAlignment="1">
      <alignment horizontal="center"/>
    </xf>
    <xf numFmtId="0" fontId="52" fillId="0" borderId="31" xfId="0" applyFont="1" applyBorder="1" applyAlignment="1">
      <alignment horizontal="center" wrapText="1"/>
    </xf>
    <xf numFmtId="0" fontId="73" fillId="0" borderId="30" xfId="0" applyFont="1" applyBorder="1" applyAlignment="1">
      <alignment horizontal="right"/>
    </xf>
    <xf numFmtId="0" fontId="73" fillId="0" borderId="30" xfId="1" applyNumberFormat="1" applyFont="1" applyBorder="1" applyAlignment="1">
      <alignment horizontal="right"/>
    </xf>
    <xf numFmtId="0" fontId="73" fillId="0" borderId="31" xfId="0" applyFont="1" applyBorder="1" applyAlignment="1">
      <alignment horizontal="right"/>
    </xf>
    <xf numFmtId="49" fontId="81" fillId="0" borderId="0" xfId="19" applyNumberFormat="1" applyFont="1" applyBorder="1" applyAlignment="1">
      <alignment horizontal="center" wrapText="1"/>
    </xf>
    <xf numFmtId="0" fontId="52" fillId="0" borderId="0" xfId="0" applyFont="1" applyBorder="1" applyAlignment="1">
      <alignment horizontal="center"/>
    </xf>
    <xf numFmtId="0" fontId="52" fillId="0" borderId="0" xfId="0" applyFont="1" applyAlignment="1">
      <alignment horizontal="center"/>
    </xf>
    <xf numFmtId="0" fontId="54" fillId="0" borderId="12" xfId="0" applyFont="1" applyFill="1" applyBorder="1" applyAlignment="1">
      <alignment horizontal="left"/>
    </xf>
    <xf numFmtId="3" fontId="54" fillId="0" borderId="25" xfId="0" applyNumberFormat="1" applyFont="1" applyFill="1" applyBorder="1" applyAlignment="1">
      <alignment horizontal="right" indent="1"/>
    </xf>
    <xf numFmtId="3" fontId="54" fillId="0" borderId="27" xfId="0" applyNumberFormat="1" applyFont="1" applyFill="1" applyBorder="1" applyAlignment="1">
      <alignment horizontal="right" indent="1"/>
    </xf>
    <xf numFmtId="3" fontId="54" fillId="0" borderId="26" xfId="0" applyNumberFormat="1" applyFont="1" applyFill="1" applyBorder="1" applyAlignment="1">
      <alignment horizontal="right" indent="1"/>
    </xf>
    <xf numFmtId="0" fontId="54" fillId="0" borderId="0" xfId="0" applyFont="1" applyFill="1" applyBorder="1" applyAlignment="1">
      <alignment horizontal="center"/>
    </xf>
    <xf numFmtId="164" fontId="70" fillId="0" borderId="40" xfId="16" applyNumberFormat="1" applyFont="1" applyFill="1" applyBorder="1" applyAlignment="1">
      <alignment wrapText="1"/>
    </xf>
    <xf numFmtId="0" fontId="69" fillId="0" borderId="93" xfId="11" applyFont="1" applyFill="1" applyBorder="1" applyAlignment="1">
      <alignment horizontal="center"/>
    </xf>
    <xf numFmtId="0" fontId="69" fillId="0" borderId="94" xfId="11" applyFont="1" applyFill="1" applyBorder="1" applyAlignment="1">
      <alignment horizontal="center"/>
    </xf>
    <xf numFmtId="164" fontId="69" fillId="6" borderId="95" xfId="16" applyNumberFormat="1" applyFont="1" applyFill="1" applyBorder="1" applyAlignment="1">
      <alignment wrapText="1"/>
    </xf>
    <xf numFmtId="164" fontId="70" fillId="0" borderId="38" xfId="16" applyNumberFormat="1" applyFont="1" applyFill="1" applyBorder="1" applyAlignment="1">
      <alignment wrapText="1"/>
    </xf>
    <xf numFmtId="164" fontId="70" fillId="0" borderId="96" xfId="16" applyNumberFormat="1" applyFont="1" applyFill="1" applyBorder="1" applyAlignment="1">
      <alignment wrapText="1"/>
    </xf>
    <xf numFmtId="164" fontId="69" fillId="6" borderId="58" xfId="16" applyNumberFormat="1" applyFont="1" applyFill="1" applyBorder="1" applyAlignment="1">
      <alignment wrapText="1"/>
    </xf>
    <xf numFmtId="0" fontId="53" fillId="0" borderId="0" xfId="0" applyFont="1" applyAlignment="1">
      <alignment wrapText="1"/>
    </xf>
    <xf numFmtId="3" fontId="71" fillId="0" borderId="0" xfId="0" applyNumberFormat="1" applyFont="1"/>
    <xf numFmtId="176" fontId="69" fillId="0" borderId="59" xfId="1" applyNumberFormat="1" applyFont="1" applyFill="1" applyBorder="1" applyAlignment="1">
      <alignment horizontal="center"/>
    </xf>
    <xf numFmtId="3" fontId="69" fillId="6" borderId="97" xfId="16" applyNumberFormat="1" applyFont="1" applyFill="1" applyBorder="1"/>
    <xf numFmtId="3" fontId="70" fillId="0" borderId="62" xfId="0" applyNumberFormat="1" applyFont="1" applyFill="1" applyBorder="1" applyAlignment="1">
      <alignment horizontal="right" wrapText="1"/>
    </xf>
    <xf numFmtId="3" fontId="70" fillId="0" borderId="64" xfId="0" applyNumberFormat="1" applyFont="1" applyFill="1" applyBorder="1" applyAlignment="1">
      <alignment horizontal="right" wrapText="1"/>
    </xf>
    <xf numFmtId="3" fontId="79" fillId="0" borderId="136" xfId="14" applyNumberFormat="1" applyFont="1" applyBorder="1"/>
    <xf numFmtId="171" fontId="70" fillId="0" borderId="116" xfId="1" applyNumberFormat="1" applyFont="1" applyBorder="1"/>
    <xf numFmtId="0" fontId="54" fillId="0" borderId="137" xfId="0" applyFont="1" applyFill="1" applyBorder="1" applyAlignment="1">
      <alignment horizontal="left" indent="1"/>
    </xf>
    <xf numFmtId="164" fontId="54" fillId="0" borderId="138" xfId="0" applyNumberFormat="1" applyFont="1" applyFill="1" applyBorder="1" applyAlignment="1">
      <alignment horizontal="center"/>
    </xf>
    <xf numFmtId="164" fontId="54" fillId="0" borderId="138" xfId="39" applyNumberFormat="1" applyFont="1" applyFill="1" applyBorder="1" applyAlignment="1">
      <alignment horizontal="center"/>
    </xf>
    <xf numFmtId="164" fontId="54" fillId="0" borderId="139" xfId="39" applyNumberFormat="1" applyFont="1" applyFill="1" applyBorder="1" applyAlignment="1">
      <alignment horizontal="center"/>
    </xf>
    <xf numFmtId="164" fontId="73" fillId="8" borderId="45" xfId="39" applyNumberFormat="1" applyFont="1" applyFill="1" applyBorder="1"/>
    <xf numFmtId="164" fontId="73" fillId="8" borderId="21" xfId="39" applyNumberFormat="1" applyFont="1" applyFill="1" applyBorder="1"/>
    <xf numFmtId="171" fontId="73" fillId="8" borderId="45" xfId="1" applyNumberFormat="1" applyFont="1" applyFill="1" applyBorder="1"/>
    <xf numFmtId="171" fontId="73" fillId="8" borderId="23" xfId="1" applyNumberFormat="1" applyFont="1" applyFill="1" applyBorder="1"/>
    <xf numFmtId="171" fontId="73" fillId="0" borderId="23" xfId="1" applyNumberFormat="1" applyFont="1" applyFill="1" applyBorder="1"/>
    <xf numFmtId="0" fontId="26" fillId="0" borderId="0" xfId="16" applyFont="1"/>
    <xf numFmtId="0" fontId="54" fillId="9" borderId="34" xfId="0" applyFont="1" applyFill="1" applyBorder="1" applyAlignment="1">
      <alignment horizontal="left" indent="1"/>
    </xf>
    <xf numFmtId="37" fontId="54" fillId="9" borderId="22" xfId="1" applyNumberFormat="1" applyFont="1" applyFill="1" applyBorder="1" applyAlignment="1">
      <alignment horizontal="center"/>
    </xf>
    <xf numFmtId="164" fontId="54" fillId="9" borderId="23" xfId="39" applyNumberFormat="1" applyFont="1" applyFill="1" applyBorder="1" applyAlignment="1">
      <alignment horizontal="center"/>
    </xf>
    <xf numFmtId="164" fontId="54" fillId="9" borderId="30" xfId="0" applyNumberFormat="1" applyFont="1" applyFill="1" applyBorder="1" applyAlignment="1">
      <alignment horizontal="center"/>
    </xf>
    <xf numFmtId="164" fontId="54" fillId="9" borderId="30" xfId="39" applyNumberFormat="1" applyFont="1" applyFill="1" applyBorder="1" applyAlignment="1">
      <alignment horizontal="center"/>
    </xf>
    <xf numFmtId="0" fontId="54" fillId="16" borderId="36" xfId="0" applyFont="1" applyFill="1" applyBorder="1" applyAlignment="1">
      <alignment horizontal="left" indent="1"/>
    </xf>
    <xf numFmtId="37" fontId="54" fillId="16" borderId="25" xfId="1" applyNumberFormat="1" applyFont="1" applyFill="1" applyBorder="1" applyAlignment="1">
      <alignment horizontal="center"/>
    </xf>
    <xf numFmtId="164" fontId="54" fillId="16" borderId="26" xfId="39" applyNumberFormat="1" applyFont="1" applyFill="1" applyBorder="1" applyAlignment="1">
      <alignment horizontal="center"/>
    </xf>
    <xf numFmtId="164" fontId="54" fillId="16" borderId="31" xfId="0" applyNumberFormat="1" applyFont="1" applyFill="1" applyBorder="1" applyAlignment="1">
      <alignment horizontal="center"/>
    </xf>
    <xf numFmtId="164" fontId="54" fillId="16" borderId="31" xfId="39" applyNumberFormat="1" applyFont="1" applyFill="1" applyBorder="1" applyAlignment="1">
      <alignment horizontal="center"/>
    </xf>
    <xf numFmtId="0" fontId="69" fillId="0" borderId="50" xfId="14" quotePrefix="1" applyFont="1" applyFill="1" applyBorder="1" applyAlignment="1">
      <alignment horizontal="center" wrapText="1"/>
    </xf>
    <xf numFmtId="164" fontId="70" fillId="0" borderId="30" xfId="14" applyNumberFormat="1" applyFont="1" applyFill="1" applyBorder="1" applyAlignment="1">
      <alignment horizontal="center" wrapText="1"/>
    </xf>
    <xf numFmtId="0" fontId="69" fillId="0" borderId="46" xfId="14" applyFont="1" applyFill="1" applyBorder="1" applyAlignment="1">
      <alignment horizontal="center" wrapText="1"/>
    </xf>
    <xf numFmtId="0" fontId="69" fillId="0" borderId="48" xfId="14" applyFont="1" applyFill="1" applyBorder="1" applyAlignment="1">
      <alignment horizontal="center" wrapText="1"/>
    </xf>
    <xf numFmtId="171" fontId="79" fillId="0" borderId="24" xfId="1" applyNumberFormat="1" applyFont="1" applyBorder="1"/>
    <xf numFmtId="44" fontId="73" fillId="0" borderId="0" xfId="3" applyFont="1"/>
    <xf numFmtId="44" fontId="70" fillId="0" borderId="0" xfId="3" applyFont="1"/>
    <xf numFmtId="44" fontId="79" fillId="0" borderId="0" xfId="3" applyFont="1"/>
    <xf numFmtId="7" fontId="73" fillId="0" borderId="0" xfId="3" applyNumberFormat="1" applyFont="1" applyAlignment="1"/>
    <xf numFmtId="7" fontId="69" fillId="0" borderId="2" xfId="27" applyNumberFormat="1" applyFont="1" applyFill="1" applyBorder="1" applyAlignment="1">
      <alignment horizontal="center" wrapText="1"/>
    </xf>
    <xf numFmtId="7" fontId="69" fillId="0" borderId="6" xfId="34" applyNumberFormat="1" applyFont="1" applyFill="1" applyBorder="1" applyAlignment="1">
      <alignment horizontal="center" wrapText="1"/>
    </xf>
    <xf numFmtId="7" fontId="69" fillId="0" borderId="2" xfId="27" applyNumberFormat="1" applyFont="1" applyFill="1" applyBorder="1" applyAlignment="1">
      <alignment horizontal="center"/>
    </xf>
    <xf numFmtId="7" fontId="69" fillId="0" borderId="2" xfId="3" applyNumberFormat="1" applyFont="1" applyFill="1" applyBorder="1" applyAlignment="1"/>
    <xf numFmtId="7" fontId="73" fillId="0" borderId="3" xfId="7" applyNumberFormat="1" applyFont="1" applyBorder="1"/>
    <xf numFmtId="7" fontId="73" fillId="0" borderId="3" xfId="3" applyNumberFormat="1" applyFont="1" applyBorder="1" applyAlignment="1"/>
    <xf numFmtId="7" fontId="70" fillId="0" borderId="0" xfId="16" applyNumberFormat="1" applyFont="1"/>
    <xf numFmtId="7" fontId="70" fillId="0" borderId="0" xfId="3" applyNumberFormat="1" applyFont="1" applyAlignment="1"/>
    <xf numFmtId="7" fontId="79" fillId="0" borderId="0" xfId="14" applyNumberFormat="1" applyFont="1"/>
    <xf numFmtId="7" fontId="79" fillId="0" borderId="0" xfId="3" applyNumberFormat="1" applyFont="1" applyAlignment="1"/>
    <xf numFmtId="7" fontId="69" fillId="0" borderId="58" xfId="21" applyNumberFormat="1" applyFont="1" applyFill="1" applyBorder="1" applyAlignment="1">
      <alignment horizontal="center"/>
    </xf>
    <xf numFmtId="5" fontId="52" fillId="6" borderId="38" xfId="0" applyNumberFormat="1" applyFont="1" applyFill="1" applyBorder="1" applyAlignment="1"/>
    <xf numFmtId="5" fontId="52" fillId="6" borderId="39" xfId="0" applyNumberFormat="1" applyFont="1" applyFill="1" applyBorder="1" applyAlignment="1"/>
    <xf numFmtId="5" fontId="52" fillId="6" borderId="37" xfId="0" applyNumberFormat="1" applyFont="1" applyFill="1" applyBorder="1" applyAlignment="1"/>
    <xf numFmtId="5" fontId="70" fillId="0" borderId="60" xfId="28" applyNumberFormat="1" applyFont="1" applyFill="1" applyBorder="1" applyAlignment="1">
      <alignment wrapText="1"/>
    </xf>
    <xf numFmtId="5" fontId="70" fillId="0" borderId="73" xfId="28" applyNumberFormat="1" applyFont="1" applyFill="1" applyBorder="1" applyAlignment="1">
      <alignment wrapText="1"/>
    </xf>
    <xf numFmtId="5" fontId="70" fillId="0" borderId="37" xfId="28" applyNumberFormat="1" applyFont="1" applyBorder="1" applyAlignment="1"/>
    <xf numFmtId="5" fontId="70" fillId="0" borderId="38" xfId="28" applyNumberFormat="1" applyFont="1" applyBorder="1" applyAlignment="1"/>
    <xf numFmtId="5" fontId="70" fillId="0" borderId="72" xfId="28" applyNumberFormat="1" applyFont="1" applyFill="1" applyBorder="1" applyAlignment="1">
      <alignment wrapText="1"/>
    </xf>
    <xf numFmtId="5" fontId="69" fillId="6" borderId="72" xfId="34" applyNumberFormat="1" applyFont="1" applyFill="1" applyBorder="1" applyAlignment="1">
      <alignment wrapText="1"/>
    </xf>
    <xf numFmtId="5" fontId="69" fillId="6" borderId="60" xfId="34" applyNumberFormat="1" applyFont="1" applyFill="1" applyBorder="1" applyAlignment="1">
      <alignment wrapText="1"/>
    </xf>
    <xf numFmtId="5" fontId="69" fillId="6" borderId="73" xfId="34" applyNumberFormat="1" applyFont="1" applyFill="1" applyBorder="1" applyAlignment="1">
      <alignment wrapText="1"/>
    </xf>
    <xf numFmtId="5" fontId="69" fillId="6" borderId="74" xfId="34" applyNumberFormat="1" applyFont="1" applyFill="1" applyBorder="1" applyAlignment="1">
      <alignment wrapText="1"/>
    </xf>
    <xf numFmtId="5" fontId="70" fillId="0" borderId="72" xfId="34" applyNumberFormat="1" applyFont="1" applyFill="1" applyBorder="1" applyAlignment="1">
      <alignment wrapText="1"/>
    </xf>
    <xf numFmtId="5" fontId="70" fillId="0" borderId="73" xfId="34" applyNumberFormat="1" applyFont="1" applyFill="1" applyBorder="1" applyAlignment="1">
      <alignment wrapText="1"/>
    </xf>
    <xf numFmtId="5" fontId="70" fillId="0" borderId="74" xfId="34" applyNumberFormat="1" applyFont="1" applyFill="1" applyBorder="1" applyAlignment="1">
      <alignment wrapText="1"/>
    </xf>
    <xf numFmtId="5" fontId="70" fillId="0" borderId="72" xfId="3" applyNumberFormat="1" applyFont="1" applyFill="1" applyBorder="1" applyAlignment="1">
      <alignment wrapText="1"/>
    </xf>
    <xf numFmtId="5" fontId="70" fillId="0" borderId="37" xfId="3" applyNumberFormat="1" applyFont="1" applyBorder="1" applyAlignment="1"/>
    <xf numFmtId="5" fontId="52" fillId="6" borderId="22" xfId="0" applyNumberFormat="1" applyFont="1" applyFill="1" applyBorder="1" applyAlignment="1"/>
    <xf numFmtId="5" fontId="52" fillId="6" borderId="24" xfId="0" applyNumberFormat="1" applyFont="1" applyFill="1" applyBorder="1" applyAlignment="1"/>
    <xf numFmtId="5" fontId="52" fillId="6" borderId="23" xfId="0" applyNumberFormat="1" applyFont="1" applyFill="1" applyBorder="1" applyAlignment="1"/>
    <xf numFmtId="5" fontId="52" fillId="6" borderId="3" xfId="0" applyNumberFormat="1" applyFont="1" applyFill="1" applyBorder="1" applyAlignment="1"/>
    <xf numFmtId="5" fontId="52" fillId="6" borderId="3" xfId="3" applyNumberFormat="1" applyFont="1" applyFill="1" applyBorder="1" applyAlignment="1"/>
    <xf numFmtId="5" fontId="73" fillId="0" borderId="22" xfId="0" applyNumberFormat="1" applyFont="1" applyBorder="1" applyAlignment="1"/>
    <xf numFmtId="5" fontId="73" fillId="0" borderId="24" xfId="0" applyNumberFormat="1" applyFont="1" applyBorder="1" applyAlignment="1"/>
    <xf numFmtId="5" fontId="73" fillId="0" borderId="23" xfId="0" applyNumberFormat="1" applyFont="1" applyBorder="1" applyAlignment="1"/>
    <xf numFmtId="5" fontId="70" fillId="0" borderId="84" xfId="26" applyNumberFormat="1" applyFont="1" applyFill="1" applyBorder="1" applyAlignment="1">
      <alignment wrapText="1"/>
    </xf>
    <xf numFmtId="5" fontId="70" fillId="0" borderId="84" xfId="3" applyNumberFormat="1" applyFont="1" applyFill="1" applyBorder="1" applyAlignment="1">
      <alignment wrapText="1"/>
    </xf>
    <xf numFmtId="5" fontId="70" fillId="0" borderId="3" xfId="3" applyNumberFormat="1" applyFont="1" applyBorder="1" applyAlignment="1"/>
    <xf numFmtId="5" fontId="33" fillId="0" borderId="9" xfId="30" applyNumberFormat="1" applyFont="1" applyBorder="1" applyAlignment="1"/>
    <xf numFmtId="5" fontId="33" fillId="0" borderId="0" xfId="30" applyNumberFormat="1" applyFont="1" applyBorder="1" applyAlignment="1"/>
    <xf numFmtId="5" fontId="33" fillId="0" borderId="82" xfId="30" applyNumberFormat="1" applyFont="1" applyBorder="1" applyAlignment="1"/>
    <xf numFmtId="5" fontId="30" fillId="0" borderId="99" xfId="30" applyNumberFormat="1" applyFont="1" applyFill="1" applyBorder="1" applyAlignment="1">
      <alignment wrapText="1"/>
    </xf>
    <xf numFmtId="5" fontId="30" fillId="0" borderId="1" xfId="30" applyNumberFormat="1" applyFont="1" applyFill="1" applyBorder="1" applyAlignment="1">
      <alignment wrapText="1"/>
    </xf>
    <xf numFmtId="5" fontId="42" fillId="0" borderId="0" xfId="3" applyNumberFormat="1" applyFont="1" applyAlignment="1"/>
    <xf numFmtId="167" fontId="30" fillId="0" borderId="100" xfId="30" applyNumberFormat="1" applyFont="1" applyFill="1" applyBorder="1" applyAlignment="1">
      <alignment wrapText="1"/>
    </xf>
    <xf numFmtId="167" fontId="30" fillId="0" borderId="10" xfId="30" applyNumberFormat="1" applyFont="1" applyFill="1" applyBorder="1" applyAlignment="1">
      <alignment wrapText="1"/>
    </xf>
    <xf numFmtId="167" fontId="30" fillId="0" borderId="101" xfId="30" applyNumberFormat="1" applyFont="1" applyFill="1" applyBorder="1" applyAlignment="1">
      <alignment wrapText="1"/>
    </xf>
    <xf numFmtId="167" fontId="33" fillId="0" borderId="9" xfId="30" applyNumberFormat="1" applyFont="1" applyBorder="1" applyAlignment="1"/>
    <xf numFmtId="167" fontId="33" fillId="0" borderId="0" xfId="30" applyNumberFormat="1" applyFont="1" applyBorder="1" applyAlignment="1"/>
    <xf numFmtId="167" fontId="30" fillId="0" borderId="99" xfId="30" applyNumberFormat="1" applyFont="1" applyFill="1" applyBorder="1" applyAlignment="1">
      <alignment wrapText="1"/>
    </xf>
    <xf numFmtId="167" fontId="30" fillId="0" borderId="1" xfId="30" applyNumberFormat="1" applyFont="1" applyFill="1" applyBorder="1" applyAlignment="1">
      <alignment wrapText="1"/>
    </xf>
    <xf numFmtId="167" fontId="26" fillId="0" borderId="100" xfId="30" applyNumberFormat="1" applyFont="1" applyFill="1" applyBorder="1" applyAlignment="1">
      <alignment wrapText="1"/>
    </xf>
    <xf numFmtId="167" fontId="26" fillId="0" borderId="10" xfId="30" applyNumberFormat="1" applyFont="1" applyFill="1" applyBorder="1" applyAlignment="1">
      <alignment wrapText="1"/>
    </xf>
    <xf numFmtId="167" fontId="61" fillId="0" borderId="0" xfId="3" applyNumberFormat="1" applyFont="1" applyAlignment="1"/>
    <xf numFmtId="167" fontId="26" fillId="0" borderId="101" xfId="30" applyNumberFormat="1" applyFont="1" applyFill="1" applyBorder="1" applyAlignment="1">
      <alignment wrapText="1"/>
    </xf>
    <xf numFmtId="167" fontId="26" fillId="0" borderId="9" xfId="30" applyNumberFormat="1" applyFont="1" applyBorder="1" applyAlignment="1"/>
    <xf numFmtId="167" fontId="26" fillId="0" borderId="0" xfId="30" applyNumberFormat="1" applyFont="1" applyBorder="1" applyAlignment="1"/>
    <xf numFmtId="167" fontId="26" fillId="0" borderId="99" xfId="30" applyNumberFormat="1" applyFont="1" applyFill="1" applyBorder="1" applyAlignment="1">
      <alignment wrapText="1"/>
    </xf>
    <xf numFmtId="167" fontId="26" fillId="0" borderId="1" xfId="30" applyNumberFormat="1" applyFont="1" applyFill="1" applyBorder="1" applyAlignment="1">
      <alignment wrapText="1"/>
    </xf>
    <xf numFmtId="167" fontId="33" fillId="0" borderId="82" xfId="30" applyNumberFormat="1" applyFont="1" applyBorder="1" applyAlignment="1"/>
    <xf numFmtId="167" fontId="70" fillId="0" borderId="9" xfId="30" applyNumberFormat="1" applyFont="1" applyBorder="1" applyAlignment="1"/>
    <xf numFmtId="167" fontId="70" fillId="0" borderId="0" xfId="30" applyNumberFormat="1" applyFont="1" applyBorder="1" applyAlignment="1"/>
    <xf numFmtId="167" fontId="70" fillId="0" borderId="82" xfId="30" applyNumberFormat="1" applyFont="1" applyBorder="1" applyAlignment="1"/>
    <xf numFmtId="167" fontId="70" fillId="0" borderId="99" xfId="30" applyNumberFormat="1" applyFont="1" applyFill="1" applyBorder="1" applyAlignment="1">
      <alignment wrapText="1"/>
    </xf>
    <xf numFmtId="167" fontId="70" fillId="0" borderId="1" xfId="30" applyNumberFormat="1" applyFont="1" applyFill="1" applyBorder="1" applyAlignment="1">
      <alignment wrapText="1"/>
    </xf>
    <xf numFmtId="167" fontId="30" fillId="0" borderId="4" xfId="30" applyNumberFormat="1" applyFont="1" applyFill="1" applyBorder="1" applyAlignment="1">
      <alignment horizontal="center"/>
    </xf>
    <xf numFmtId="167" fontId="69" fillId="0" borderId="2" xfId="25" applyNumberFormat="1" applyFont="1" applyFill="1" applyBorder="1" applyAlignment="1">
      <alignment horizontal="center"/>
    </xf>
    <xf numFmtId="167" fontId="33" fillId="0" borderId="9" xfId="30" applyNumberFormat="1" applyFont="1" applyBorder="1"/>
    <xf numFmtId="167" fontId="33" fillId="0" borderId="0" xfId="30" applyNumberFormat="1" applyFont="1" applyBorder="1"/>
    <xf numFmtId="167" fontId="33" fillId="0" borderId="82" xfId="30" applyNumberFormat="1" applyFont="1" applyBorder="1"/>
    <xf numFmtId="167" fontId="30" fillId="0" borderId="99" xfId="30" applyNumberFormat="1" applyFont="1" applyFill="1" applyBorder="1" applyAlignment="1">
      <alignment horizontal="right" wrapText="1"/>
    </xf>
    <xf numFmtId="167" fontId="30" fillId="0" borderId="1" xfId="30" applyNumberFormat="1" applyFont="1" applyFill="1" applyBorder="1" applyAlignment="1">
      <alignment horizontal="right" wrapText="1"/>
    </xf>
    <xf numFmtId="167" fontId="70" fillId="0" borderId="0" xfId="16" applyNumberFormat="1" applyFont="1"/>
    <xf numFmtId="167" fontId="79" fillId="0" borderId="0" xfId="14" applyNumberFormat="1" applyFont="1"/>
    <xf numFmtId="167" fontId="30" fillId="0" borderId="100" xfId="30" applyNumberFormat="1" applyFont="1" applyFill="1" applyBorder="1" applyAlignment="1">
      <alignment horizontal="right" wrapText="1"/>
    </xf>
    <xf numFmtId="167" fontId="30" fillId="0" borderId="10" xfId="30" applyNumberFormat="1" applyFont="1" applyFill="1" applyBorder="1" applyAlignment="1">
      <alignment horizontal="right" wrapText="1"/>
    </xf>
    <xf numFmtId="167" fontId="30" fillId="0" borderId="101" xfId="30" applyNumberFormat="1" applyFont="1" applyFill="1" applyBorder="1" applyAlignment="1">
      <alignment horizontal="right" wrapText="1"/>
    </xf>
    <xf numFmtId="5" fontId="30" fillId="0" borderId="101" xfId="30" applyNumberFormat="1" applyFont="1" applyFill="1" applyBorder="1" applyAlignment="1">
      <alignment horizontal="right" wrapText="1"/>
    </xf>
    <xf numFmtId="5" fontId="30" fillId="0" borderId="84" xfId="34" applyNumberFormat="1" applyFont="1" applyFill="1" applyBorder="1" applyAlignment="1">
      <alignment horizontal="right" wrapText="1"/>
    </xf>
    <xf numFmtId="167" fontId="30" fillId="0" borderId="1" xfId="31" applyNumberFormat="1" applyFont="1" applyFill="1" applyBorder="1" applyAlignment="1">
      <alignment horizontal="right" wrapText="1"/>
    </xf>
    <xf numFmtId="167" fontId="73" fillId="0" borderId="0" xfId="3" applyNumberFormat="1" applyFont="1"/>
    <xf numFmtId="167" fontId="69" fillId="22" borderId="3" xfId="24" applyNumberFormat="1" applyFont="1" applyFill="1" applyBorder="1" applyAlignment="1"/>
    <xf numFmtId="167" fontId="30" fillId="0" borderId="3" xfId="35" applyNumberFormat="1" applyFont="1" applyFill="1" applyBorder="1" applyAlignment="1">
      <alignment horizontal="right" wrapText="1"/>
    </xf>
    <xf numFmtId="167" fontId="30" fillId="0" borderId="86" xfId="35" applyNumberFormat="1" applyFont="1" applyFill="1" applyBorder="1" applyAlignment="1">
      <alignment horizontal="right" wrapText="1"/>
    </xf>
    <xf numFmtId="0" fontId="45" fillId="0" borderId="0" xfId="0" applyFont="1" applyBorder="1"/>
    <xf numFmtId="167" fontId="71" fillId="0" borderId="0" xfId="0" applyNumberFormat="1" applyFont="1"/>
    <xf numFmtId="0" fontId="84" fillId="0" borderId="0" xfId="36" applyFont="1" applyFill="1" applyBorder="1" applyAlignment="1">
      <alignment horizontal="center"/>
    </xf>
    <xf numFmtId="0" fontId="84" fillId="0" borderId="4" xfId="36" applyFont="1" applyFill="1" applyBorder="1" applyAlignment="1">
      <alignment horizontal="center"/>
    </xf>
    <xf numFmtId="0" fontId="85" fillId="0" borderId="85" xfId="23" applyFont="1" applyFill="1" applyBorder="1" applyAlignment="1">
      <alignment horizontal="center" wrapText="1"/>
    </xf>
    <xf numFmtId="0" fontId="85" fillId="0" borderId="89" xfId="35" applyFont="1" applyFill="1" applyBorder="1" applyAlignment="1">
      <alignment horizontal="left"/>
    </xf>
    <xf numFmtId="0" fontId="85" fillId="0" borderId="102" xfId="35" applyFont="1" applyFill="1" applyBorder="1" applyAlignment="1">
      <alignment horizontal="center" wrapText="1"/>
    </xf>
    <xf numFmtId="0" fontId="85" fillId="0" borderId="95" xfId="35" applyFont="1" applyFill="1" applyBorder="1" applyAlignment="1">
      <alignment horizontal="center" wrapText="1"/>
    </xf>
    <xf numFmtId="0" fontId="85" fillId="0" borderId="103" xfId="35" applyFont="1" applyFill="1" applyBorder="1" applyAlignment="1">
      <alignment horizontal="center" wrapText="1"/>
    </xf>
    <xf numFmtId="0" fontId="85" fillId="0" borderId="98" xfId="35" applyFont="1" applyFill="1" applyBorder="1" applyAlignment="1">
      <alignment horizontal="center" wrapText="1"/>
    </xf>
    <xf numFmtId="0" fontId="85" fillId="22" borderId="69" xfId="23" applyFont="1" applyFill="1" applyBorder="1" applyAlignment="1">
      <alignment horizontal="center"/>
    </xf>
    <xf numFmtId="0" fontId="85" fillId="6" borderId="104" xfId="35" applyFont="1" applyFill="1" applyBorder="1" applyAlignment="1">
      <alignment wrapText="1"/>
    </xf>
    <xf numFmtId="0" fontId="85" fillId="6" borderId="69" xfId="35" applyFont="1" applyFill="1" applyBorder="1" applyAlignment="1">
      <alignment wrapText="1"/>
    </xf>
    <xf numFmtId="167" fontId="85" fillId="6" borderId="75" xfId="3" applyNumberFormat="1" applyFont="1" applyFill="1" applyBorder="1" applyAlignment="1">
      <alignment horizontal="right" wrapText="1"/>
    </xf>
    <xf numFmtId="167" fontId="85" fillId="6" borderId="58" xfId="3" applyNumberFormat="1" applyFont="1" applyFill="1" applyBorder="1" applyAlignment="1">
      <alignment horizontal="right" wrapText="1"/>
    </xf>
    <xf numFmtId="167" fontId="85" fillId="6" borderId="59" xfId="3" applyNumberFormat="1" applyFont="1" applyFill="1" applyBorder="1" applyAlignment="1">
      <alignment horizontal="right" wrapText="1"/>
    </xf>
    <xf numFmtId="167" fontId="85" fillId="6" borderId="76" xfId="3" applyNumberFormat="1" applyFont="1" applyFill="1" applyBorder="1" applyAlignment="1">
      <alignment horizontal="right" wrapText="1"/>
    </xf>
    <xf numFmtId="0" fontId="84" fillId="0" borderId="105" xfId="23" applyFont="1" applyFill="1" applyBorder="1" applyAlignment="1">
      <alignment horizontal="center" wrapText="1"/>
    </xf>
    <xf numFmtId="167" fontId="84" fillId="0" borderId="43" xfId="35" applyNumberFormat="1" applyFont="1" applyFill="1" applyBorder="1" applyAlignment="1">
      <alignment wrapText="1"/>
    </xf>
    <xf numFmtId="167" fontId="84" fillId="0" borderId="37" xfId="3" applyNumberFormat="1" applyFont="1" applyFill="1" applyBorder="1" applyAlignment="1">
      <alignment wrapText="1"/>
    </xf>
    <xf numFmtId="167" fontId="84" fillId="0" borderId="38" xfId="3" applyNumberFormat="1" applyFont="1" applyFill="1" applyBorder="1" applyAlignment="1">
      <alignment wrapText="1"/>
    </xf>
    <xf numFmtId="167" fontId="84" fillId="0" borderId="37" xfId="36" applyNumberFormat="1" applyFont="1" applyFill="1" applyBorder="1" applyAlignment="1">
      <alignment horizontal="right" wrapText="1"/>
    </xf>
    <xf numFmtId="167" fontId="84" fillId="0" borderId="38" xfId="36" applyNumberFormat="1" applyFont="1" applyFill="1" applyBorder="1" applyAlignment="1">
      <alignment horizontal="right" wrapText="1"/>
    </xf>
    <xf numFmtId="167" fontId="84" fillId="0" borderId="61" xfId="36" applyNumberFormat="1" applyFont="1" applyFill="1" applyBorder="1" applyAlignment="1">
      <alignment horizontal="right" wrapText="1"/>
    </xf>
    <xf numFmtId="167" fontId="84" fillId="0" borderId="39" xfId="36" applyNumberFormat="1" applyFont="1" applyFill="1" applyBorder="1" applyAlignment="1">
      <alignment horizontal="right" wrapText="1"/>
    </xf>
    <xf numFmtId="167" fontId="84" fillId="0" borderId="37" xfId="36" applyNumberFormat="1" applyFont="1" applyBorder="1"/>
    <xf numFmtId="167" fontId="84" fillId="0" borderId="38" xfId="36" applyNumberFormat="1" applyFont="1" applyBorder="1"/>
    <xf numFmtId="167" fontId="84" fillId="0" borderId="39" xfId="36" applyNumberFormat="1" applyFont="1" applyBorder="1"/>
    <xf numFmtId="167" fontId="71" fillId="0" borderId="106" xfId="0" applyNumberFormat="1" applyFont="1" applyBorder="1"/>
    <xf numFmtId="167" fontId="71" fillId="0" borderId="38" xfId="0" applyNumberFormat="1" applyFont="1" applyBorder="1"/>
    <xf numFmtId="167" fontId="71" fillId="0" borderId="37" xfId="0" applyNumberFormat="1" applyFont="1" applyBorder="1"/>
    <xf numFmtId="167" fontId="71" fillId="0" borderId="61" xfId="0" applyNumberFormat="1" applyFont="1" applyBorder="1"/>
    <xf numFmtId="167" fontId="71" fillId="0" borderId="0" xfId="0" applyNumberFormat="1" applyFont="1" applyBorder="1"/>
    <xf numFmtId="0" fontId="84" fillId="0" borderId="0" xfId="16" applyFont="1"/>
    <xf numFmtId="0" fontId="84" fillId="0" borderId="0" xfId="16" applyFont="1" applyAlignment="1">
      <alignment horizontal="left"/>
    </xf>
    <xf numFmtId="3" fontId="84" fillId="0" borderId="0" xfId="16" applyNumberFormat="1" applyFont="1"/>
    <xf numFmtId="167" fontId="86" fillId="0" borderId="37" xfId="38" applyNumberFormat="1" applyFont="1" applyBorder="1"/>
    <xf numFmtId="167" fontId="86" fillId="0" borderId="38" xfId="38" applyNumberFormat="1" applyFont="1" applyBorder="1"/>
    <xf numFmtId="167" fontId="86" fillId="0" borderId="39" xfId="38" applyNumberFormat="1" applyFont="1" applyBorder="1"/>
    <xf numFmtId="167" fontId="86" fillId="0" borderId="37" xfId="38" applyNumberFormat="1" applyFont="1" applyFill="1" applyBorder="1" applyAlignment="1">
      <alignment horizontal="right" wrapText="1"/>
    </xf>
    <xf numFmtId="167" fontId="86" fillId="0" borderId="38" xfId="38" applyNumberFormat="1" applyFont="1" applyFill="1" applyBorder="1" applyAlignment="1">
      <alignment horizontal="right" wrapText="1"/>
    </xf>
    <xf numFmtId="5" fontId="86" fillId="0" borderId="39" xfId="38" applyNumberFormat="1" applyFont="1" applyFill="1" applyBorder="1" applyAlignment="1">
      <alignment horizontal="right" wrapText="1"/>
    </xf>
    <xf numFmtId="0" fontId="87" fillId="0" borderId="85" xfId="37" applyFont="1" applyFill="1" applyBorder="1" applyAlignment="1">
      <alignment horizontal="left"/>
    </xf>
    <xf numFmtId="0" fontId="87" fillId="0" borderId="89" xfId="37" applyFont="1" applyFill="1" applyBorder="1" applyAlignment="1">
      <alignment horizontal="left"/>
    </xf>
    <xf numFmtId="0" fontId="87" fillId="0" borderId="102" xfId="37" applyFont="1" applyFill="1" applyBorder="1" applyAlignment="1">
      <alignment horizontal="center" wrapText="1"/>
    </xf>
    <xf numFmtId="0" fontId="87" fillId="0" borderId="95" xfId="37" applyFont="1" applyFill="1" applyBorder="1" applyAlignment="1">
      <alignment horizontal="center" wrapText="1"/>
    </xf>
    <xf numFmtId="0" fontId="87" fillId="0" borderId="98" xfId="37" applyFont="1" applyFill="1" applyBorder="1" applyAlignment="1">
      <alignment horizontal="center" wrapText="1"/>
    </xf>
    <xf numFmtId="0" fontId="87" fillId="0" borderId="102" xfId="20" applyFont="1" applyFill="1" applyBorder="1" applyAlignment="1">
      <alignment horizontal="center" wrapText="1"/>
    </xf>
    <xf numFmtId="0" fontId="87" fillId="0" borderId="95" xfId="20" applyFont="1" applyFill="1" applyBorder="1" applyAlignment="1">
      <alignment horizontal="center" wrapText="1"/>
    </xf>
    <xf numFmtId="0" fontId="87" fillId="22" borderId="2" xfId="37" applyFont="1" applyFill="1" applyBorder="1" applyAlignment="1">
      <alignment horizontal="left"/>
    </xf>
    <xf numFmtId="0" fontId="87" fillId="22" borderId="6" xfId="37" applyFont="1" applyFill="1" applyBorder="1" applyAlignment="1">
      <alignment horizontal="left"/>
    </xf>
    <xf numFmtId="177" fontId="87" fillId="6" borderId="58" xfId="3" applyNumberFormat="1" applyFont="1" applyFill="1" applyBorder="1" applyAlignment="1">
      <alignment wrapText="1"/>
    </xf>
    <xf numFmtId="177" fontId="87" fillId="22" borderId="59" xfId="3" applyNumberFormat="1" applyFont="1" applyFill="1" applyBorder="1" applyAlignment="1">
      <alignment horizontal="center"/>
    </xf>
    <xf numFmtId="177" fontId="87" fillId="22" borderId="75" xfId="3" applyNumberFormat="1" applyFont="1" applyFill="1" applyBorder="1" applyAlignment="1">
      <alignment horizontal="center"/>
    </xf>
    <xf numFmtId="177" fontId="87" fillId="22" borderId="58" xfId="3" applyNumberFormat="1" applyFont="1" applyFill="1" applyBorder="1" applyAlignment="1">
      <alignment horizontal="center"/>
    </xf>
    <xf numFmtId="177" fontId="87" fillId="22" borderId="76" xfId="3" applyNumberFormat="1" applyFont="1" applyFill="1" applyBorder="1" applyAlignment="1">
      <alignment horizontal="center"/>
    </xf>
    <xf numFmtId="167" fontId="86" fillId="0" borderId="3" xfId="37" applyNumberFormat="1" applyFont="1" applyFill="1" applyBorder="1" applyAlignment="1">
      <alignment wrapText="1"/>
    </xf>
    <xf numFmtId="5" fontId="86" fillId="0" borderId="105" xfId="38" applyNumberFormat="1" applyFont="1" applyFill="1" applyBorder="1" applyAlignment="1">
      <alignment horizontal="right" wrapText="1"/>
    </xf>
    <xf numFmtId="5" fontId="86" fillId="0" borderId="43" xfId="38" applyNumberFormat="1" applyFont="1" applyFill="1" applyBorder="1" applyAlignment="1">
      <alignment horizontal="right" wrapText="1"/>
    </xf>
    <xf numFmtId="177" fontId="86" fillId="0" borderId="3" xfId="3" applyNumberFormat="1" applyFont="1" applyFill="1" applyBorder="1" applyAlignment="1">
      <alignment wrapText="1"/>
    </xf>
    <xf numFmtId="0" fontId="45" fillId="0" borderId="12" xfId="0" applyFont="1" applyBorder="1"/>
    <xf numFmtId="167" fontId="70" fillId="0" borderId="37" xfId="37" applyNumberFormat="1" applyFont="1" applyBorder="1"/>
    <xf numFmtId="167" fontId="70" fillId="0" borderId="38" xfId="37" applyNumberFormat="1" applyFont="1" applyBorder="1"/>
    <xf numFmtId="167" fontId="70" fillId="0" borderId="37" xfId="37" applyNumberFormat="1" applyFont="1" applyFill="1" applyBorder="1" applyAlignment="1">
      <alignment horizontal="right" wrapText="1"/>
    </xf>
    <xf numFmtId="167" fontId="70" fillId="0" borderId="38" xfId="37" applyNumberFormat="1" applyFont="1" applyFill="1" applyBorder="1" applyAlignment="1">
      <alignment horizontal="right" wrapText="1"/>
    </xf>
    <xf numFmtId="167" fontId="70" fillId="0" borderId="79" xfId="37" applyNumberFormat="1" applyFont="1" applyFill="1" applyBorder="1" applyAlignment="1">
      <alignment horizontal="right" wrapText="1"/>
    </xf>
    <xf numFmtId="167" fontId="70" fillId="0" borderId="80" xfId="37" applyNumberFormat="1" applyFont="1" applyFill="1" applyBorder="1" applyAlignment="1">
      <alignment horizontal="right" wrapText="1"/>
    </xf>
    <xf numFmtId="167" fontId="70" fillId="0" borderId="87" xfId="37" applyNumberFormat="1" applyFont="1" applyFill="1" applyBorder="1" applyAlignment="1">
      <alignment horizontal="right" wrapText="1"/>
    </xf>
    <xf numFmtId="167" fontId="70" fillId="0" borderId="63" xfId="37" applyNumberFormat="1" applyFont="1" applyFill="1" applyBorder="1" applyAlignment="1">
      <alignment horizontal="right" wrapText="1"/>
    </xf>
    <xf numFmtId="167" fontId="26" fillId="0" borderId="88" xfId="30" applyNumberFormat="1" applyFont="1" applyFill="1" applyBorder="1" applyAlignment="1">
      <alignment wrapText="1"/>
    </xf>
    <xf numFmtId="167" fontId="26" fillId="0" borderId="0" xfId="30" applyNumberFormat="1" applyFont="1" applyFill="1" applyBorder="1" applyAlignment="1">
      <alignment wrapText="1"/>
    </xf>
    <xf numFmtId="167" fontId="30" fillId="0" borderId="88" xfId="30" applyNumberFormat="1" applyFont="1" applyFill="1" applyBorder="1" applyAlignment="1">
      <alignment horizontal="right" wrapText="1"/>
    </xf>
    <xf numFmtId="167" fontId="30" fillId="0" borderId="0" xfId="30" applyNumberFormat="1" applyFont="1" applyFill="1" applyBorder="1" applyAlignment="1">
      <alignment horizontal="right" wrapText="1"/>
    </xf>
    <xf numFmtId="49" fontId="41" fillId="0" borderId="0" xfId="9" applyNumberFormat="1" applyFont="1" applyAlignment="1">
      <alignment horizontal="center"/>
    </xf>
    <xf numFmtId="0" fontId="41" fillId="0" borderId="0" xfId="9" applyFont="1" applyAlignment="1">
      <alignment horizontal="center"/>
    </xf>
    <xf numFmtId="49" fontId="45" fillId="0" borderId="0" xfId="9" applyNumberFormat="1" applyAlignment="1">
      <alignment horizontal="center"/>
    </xf>
    <xf numFmtId="0" fontId="45" fillId="0" borderId="0" xfId="9"/>
    <xf numFmtId="171" fontId="42" fillId="0" borderId="0" xfId="2" applyNumberFormat="1" applyFont="1"/>
    <xf numFmtId="171" fontId="40" fillId="0" borderId="0" xfId="1" applyNumberFormat="1" applyFont="1"/>
    <xf numFmtId="0" fontId="45" fillId="0" borderId="0" xfId="9" applyFont="1"/>
    <xf numFmtId="49" fontId="88" fillId="0" borderId="0" xfId="9" applyNumberFormat="1" applyFont="1" applyAlignment="1">
      <alignment horizontal="left"/>
    </xf>
    <xf numFmtId="49" fontId="41" fillId="8" borderId="0" xfId="9" applyNumberFormat="1" applyFont="1" applyFill="1" applyAlignment="1">
      <alignment horizontal="center"/>
    </xf>
    <xf numFmtId="0" fontId="41" fillId="8" borderId="0" xfId="9" applyFont="1" applyFill="1" applyAlignment="1">
      <alignment horizontal="center"/>
    </xf>
    <xf numFmtId="171" fontId="89" fillId="0" borderId="0" xfId="2" applyNumberFormat="1" applyFont="1" applyAlignment="1">
      <alignment horizontal="center"/>
    </xf>
    <xf numFmtId="171" fontId="89" fillId="24" borderId="0" xfId="1" applyNumberFormat="1" applyFont="1" applyFill="1" applyAlignment="1">
      <alignment horizontal="center"/>
    </xf>
    <xf numFmtId="171" fontId="89" fillId="0" borderId="0" xfId="1" applyNumberFormat="1" applyFont="1" applyAlignment="1">
      <alignment horizontal="center"/>
    </xf>
    <xf numFmtId="171" fontId="89" fillId="8" borderId="0" xfId="2" applyNumberFormat="1" applyFont="1" applyFill="1" applyAlignment="1">
      <alignment horizontal="center"/>
    </xf>
    <xf numFmtId="171" fontId="45" fillId="0" borderId="0" xfId="2" applyNumberFormat="1" applyFont="1"/>
    <xf numFmtId="171" fontId="90" fillId="24" borderId="0" xfId="1" applyNumberFormat="1" applyFont="1" applyFill="1"/>
    <xf numFmtId="171" fontId="90" fillId="0" borderId="0" xfId="1" applyNumberFormat="1" applyFont="1"/>
    <xf numFmtId="0" fontId="66" fillId="0" borderId="0" xfId="9" applyFont="1" applyAlignment="1">
      <alignment horizontal="left" vertical="top" wrapText="1"/>
    </xf>
    <xf numFmtId="0" fontId="66" fillId="0" borderId="0" xfId="9" applyFont="1" applyAlignment="1">
      <alignment horizontal="left" vertical="top" wrapText="1"/>
    </xf>
    <xf numFmtId="0" fontId="66" fillId="0" borderId="0" xfId="9" applyFont="1" applyBorder="1" applyAlignment="1">
      <alignment horizontal="left"/>
    </xf>
    <xf numFmtId="49" fontId="61" fillId="0" borderId="0" xfId="9" applyNumberFormat="1" applyFont="1" applyBorder="1" applyAlignment="1">
      <alignment horizontal="center"/>
    </xf>
    <xf numFmtId="0" fontId="61" fillId="0" borderId="0" xfId="9" applyFont="1" applyBorder="1" applyAlignment="1">
      <alignment horizontal="left" wrapText="1"/>
    </xf>
    <xf numFmtId="3" fontId="61" fillId="0" borderId="0" xfId="9" applyNumberFormat="1" applyFont="1" applyBorder="1" applyAlignment="1">
      <alignment horizontal="right" indent="1"/>
    </xf>
    <xf numFmtId="3" fontId="61" fillId="0" borderId="0" xfId="9" applyNumberFormat="1" applyFont="1" applyBorder="1" applyAlignment="1">
      <alignment horizontal="right" indent="2"/>
    </xf>
    <xf numFmtId="0" fontId="66" fillId="0" borderId="12" xfId="9" applyFont="1" applyBorder="1" applyAlignment="1">
      <alignment wrapText="1"/>
    </xf>
    <xf numFmtId="0" fontId="66" fillId="0" borderId="12" xfId="9" applyFont="1" applyBorder="1" applyAlignment="1">
      <alignment horizontal="center" wrapText="1"/>
    </xf>
    <xf numFmtId="3" fontId="61" fillId="0" borderId="12" xfId="9" applyNumberFormat="1" applyFont="1" applyBorder="1" applyAlignment="1">
      <alignment horizontal="right" indent="1"/>
    </xf>
    <xf numFmtId="0" fontId="66" fillId="0" borderId="0" xfId="9" applyFont="1" applyBorder="1" applyAlignment="1"/>
    <xf numFmtId="0" fontId="69" fillId="0" borderId="12" xfId="14" applyFont="1" applyFill="1" applyBorder="1" applyAlignment="1">
      <alignment horizontal="center"/>
    </xf>
    <xf numFmtId="3" fontId="73" fillId="0" borderId="12" xfId="0" applyNumberFormat="1" applyFont="1" applyBorder="1"/>
    <xf numFmtId="3" fontId="70" fillId="0" borderId="24" xfId="33" applyNumberFormat="1" applyFont="1" applyFill="1" applyBorder="1" applyAlignment="1">
      <alignment horizontal="right" wrapText="1"/>
    </xf>
    <xf numFmtId="3" fontId="70" fillId="0" borderId="0" xfId="16" applyNumberFormat="1" applyFont="1" applyBorder="1"/>
    <xf numFmtId="0" fontId="69" fillId="0" borderId="48" xfId="33" applyFont="1" applyFill="1" applyBorder="1" applyAlignment="1">
      <alignment horizontal="center" wrapText="1"/>
    </xf>
    <xf numFmtId="3" fontId="70" fillId="0" borderId="0" xfId="16" applyNumberFormat="1" applyFont="1" applyFill="1" applyBorder="1" applyAlignment="1">
      <alignment horizontal="center" vertical="center"/>
    </xf>
    <xf numFmtId="0" fontId="55" fillId="19" borderId="27" xfId="0" applyFont="1" applyFill="1" applyBorder="1" applyAlignment="1">
      <alignment horizontal="center"/>
    </xf>
    <xf numFmtId="0" fontId="55" fillId="19" borderId="26" xfId="0" applyFont="1" applyFill="1" applyBorder="1" applyAlignment="1">
      <alignment horizontal="center"/>
    </xf>
    <xf numFmtId="0" fontId="55" fillId="19" borderId="140" xfId="0" applyFont="1" applyFill="1" applyBorder="1" applyAlignment="1">
      <alignment horizontal="center"/>
    </xf>
    <xf numFmtId="3" fontId="54" fillId="0" borderId="123" xfId="0" applyNumberFormat="1" applyFont="1" applyFill="1" applyBorder="1" applyAlignment="1">
      <alignment horizontal="right" indent="1"/>
    </xf>
    <xf numFmtId="3" fontId="54" fillId="0" borderId="143" xfId="0" applyNumberFormat="1" applyFont="1" applyFill="1" applyBorder="1" applyAlignment="1">
      <alignment horizontal="right" indent="1"/>
    </xf>
    <xf numFmtId="3" fontId="70" fillId="0" borderId="24" xfId="33" applyNumberFormat="1" applyFont="1" applyFill="1" applyBorder="1"/>
    <xf numFmtId="0" fontId="57" fillId="0" borderId="0" xfId="0" applyFont="1" applyBorder="1" applyAlignment="1">
      <alignment horizontal="left" vertical="top" wrapText="1"/>
    </xf>
    <xf numFmtId="0" fontId="54" fillId="0" borderId="0" xfId="0" applyFont="1" applyFill="1" applyBorder="1" applyAlignment="1">
      <alignment horizontal="left"/>
    </xf>
    <xf numFmtId="0" fontId="26" fillId="0" borderId="0" xfId="15" applyFont="1" applyAlignment="1">
      <alignment horizontal="left" wrapText="1"/>
    </xf>
    <xf numFmtId="0" fontId="73" fillId="0" borderId="0" xfId="15" applyFont="1" applyAlignment="1">
      <alignment horizontal="left" wrapText="1"/>
    </xf>
    <xf numFmtId="0" fontId="24" fillId="0" borderId="0" xfId="9" applyFont="1"/>
    <xf numFmtId="3" fontId="73" fillId="23" borderId="0" xfId="0" applyNumberFormat="1" applyFont="1" applyFill="1"/>
    <xf numFmtId="9" fontId="73" fillId="23" borderId="34" xfId="39" applyFont="1" applyFill="1" applyBorder="1"/>
    <xf numFmtId="9" fontId="73" fillId="23" borderId="0" xfId="39" applyFont="1" applyFill="1" applyBorder="1"/>
    <xf numFmtId="9" fontId="73" fillId="23" borderId="33" xfId="39" applyFont="1" applyFill="1" applyBorder="1"/>
    <xf numFmtId="9" fontId="73" fillId="23" borderId="0" xfId="39" applyFont="1" applyFill="1"/>
    <xf numFmtId="171" fontId="69" fillId="23" borderId="22" xfId="1" applyNumberFormat="1" applyFont="1" applyFill="1" applyBorder="1" applyAlignment="1">
      <alignment horizontal="center" wrapText="1"/>
    </xf>
    <xf numFmtId="171" fontId="69" fillId="23" borderId="24" xfId="1" applyNumberFormat="1" applyFont="1" applyFill="1" applyBorder="1" applyAlignment="1">
      <alignment horizontal="center" wrapText="1"/>
    </xf>
    <xf numFmtId="3" fontId="69" fillId="23" borderId="22" xfId="14" applyNumberFormat="1" applyFont="1" applyFill="1" applyBorder="1" applyAlignment="1">
      <alignment horizontal="right" wrapText="1"/>
    </xf>
    <xf numFmtId="3" fontId="69" fillId="23" borderId="24" xfId="14" applyNumberFormat="1" applyFont="1" applyFill="1" applyBorder="1" applyAlignment="1">
      <alignment horizontal="right" wrapText="1"/>
    </xf>
    <xf numFmtId="3" fontId="69" fillId="23" borderId="53" xfId="14" applyNumberFormat="1" applyFont="1" applyFill="1" applyBorder="1" applyAlignment="1">
      <alignment horizontal="right" wrapText="1"/>
    </xf>
    <xf numFmtId="171" fontId="67" fillId="23" borderId="22" xfId="1" applyNumberFormat="1" applyFont="1" applyFill="1" applyBorder="1"/>
    <xf numFmtId="3" fontId="52" fillId="23" borderId="24" xfId="0" applyNumberFormat="1" applyFont="1" applyFill="1" applyBorder="1"/>
    <xf numFmtId="0" fontId="69" fillId="23" borderId="0" xfId="14" quotePrefix="1" applyFont="1" applyFill="1" applyBorder="1" applyAlignment="1">
      <alignment horizontal="right" wrapText="1" indent="1"/>
    </xf>
    <xf numFmtId="0" fontId="69" fillId="23" borderId="0" xfId="14" applyFont="1" applyFill="1" applyBorder="1" applyAlignment="1">
      <alignment horizontal="left" wrapText="1"/>
    </xf>
    <xf numFmtId="0" fontId="69" fillId="23" borderId="0" xfId="14" applyFont="1" applyFill="1" applyBorder="1" applyAlignment="1">
      <alignment horizontal="center" wrapText="1"/>
    </xf>
    <xf numFmtId="164" fontId="69" fillId="23" borderId="22" xfId="14" applyNumberFormat="1" applyFont="1" applyFill="1" applyBorder="1" applyAlignment="1">
      <alignment horizontal="center" wrapText="1"/>
    </xf>
    <xf numFmtId="164" fontId="69" fillId="23" borderId="53" xfId="14" applyNumberFormat="1" applyFont="1" applyFill="1" applyBorder="1" applyAlignment="1">
      <alignment horizontal="center" wrapText="1"/>
    </xf>
    <xf numFmtId="164" fontId="69" fillId="23" borderId="24" xfId="14" applyNumberFormat="1" applyFont="1" applyFill="1" applyBorder="1" applyAlignment="1">
      <alignment horizontal="center" wrapText="1"/>
    </xf>
    <xf numFmtId="164" fontId="69" fillId="23" borderId="23" xfId="14" applyNumberFormat="1" applyFont="1" applyFill="1" applyBorder="1" applyAlignment="1">
      <alignment horizontal="center" wrapText="1"/>
    </xf>
    <xf numFmtId="164" fontId="69" fillId="23" borderId="30" xfId="14" applyNumberFormat="1" applyFont="1" applyFill="1" applyBorder="1" applyAlignment="1">
      <alignment horizontal="center" wrapText="1"/>
    </xf>
    <xf numFmtId="9" fontId="94" fillId="0" borderId="0" xfId="39" applyFont="1" applyAlignment="1">
      <alignment vertical="center"/>
    </xf>
    <xf numFmtId="0" fontId="65" fillId="0" borderId="0" xfId="0" applyFont="1" applyFill="1" applyBorder="1" applyAlignment="1">
      <alignment vertical="center" wrapText="1"/>
    </xf>
    <xf numFmtId="171" fontId="95" fillId="0" borderId="0" xfId="1" applyNumberFormat="1" applyFont="1" applyFill="1" applyAlignment="1">
      <alignment vertical="center"/>
    </xf>
    <xf numFmtId="0" fontId="55" fillId="0" borderId="0" xfId="0" applyFont="1" applyFill="1" applyBorder="1" applyAlignment="1">
      <alignment vertical="center"/>
    </xf>
    <xf numFmtId="171" fontId="54" fillId="0" borderId="0" xfId="1" applyNumberFormat="1" applyFont="1" applyFill="1" applyBorder="1"/>
    <xf numFmtId="0" fontId="57" fillId="0" borderId="0" xfId="0" applyFont="1" applyBorder="1" applyAlignment="1">
      <alignment horizontal="center" vertical="top" wrapText="1"/>
    </xf>
    <xf numFmtId="3" fontId="52" fillId="6" borderId="30" xfId="15" applyNumberFormat="1" applyFont="1" applyFill="1" applyBorder="1"/>
    <xf numFmtId="0" fontId="57" fillId="0" borderId="12" xfId="0" applyFont="1" applyBorder="1" applyAlignment="1">
      <alignment vertical="top" wrapText="1"/>
    </xf>
    <xf numFmtId="3" fontId="54" fillId="0" borderId="0" xfId="0" applyNumberFormat="1" applyFont="1" applyBorder="1" applyAlignment="1">
      <alignment horizontal="right" indent="1"/>
    </xf>
    <xf numFmtId="3" fontId="54" fillId="0" borderId="34" xfId="0" applyNumberFormat="1" applyFont="1" applyFill="1" applyBorder="1" applyAlignment="1">
      <alignment horizontal="right" indent="1"/>
    </xf>
    <xf numFmtId="3" fontId="54" fillId="0" borderId="0" xfId="1" applyNumberFormat="1" applyFont="1" applyFill="1" applyBorder="1" applyAlignment="1">
      <alignment horizontal="right" indent="1"/>
    </xf>
    <xf numFmtId="0" fontId="54" fillId="0" borderId="36" xfId="0" applyFont="1" applyFill="1" applyBorder="1" applyAlignment="1">
      <alignment horizontal="left"/>
    </xf>
    <xf numFmtId="3" fontId="54" fillId="0" borderId="35" xfId="0" applyNumberFormat="1" applyFont="1" applyFill="1" applyBorder="1" applyAlignment="1">
      <alignment horizontal="right" indent="1"/>
    </xf>
    <xf numFmtId="0" fontId="55" fillId="18" borderId="78" xfId="0" applyFont="1" applyFill="1" applyBorder="1" applyAlignment="1">
      <alignment horizontal="center"/>
    </xf>
    <xf numFmtId="3" fontId="54" fillId="0" borderId="33" xfId="0" applyNumberFormat="1" applyFont="1" applyFill="1" applyBorder="1" applyAlignment="1">
      <alignment horizontal="right" indent="1"/>
    </xf>
    <xf numFmtId="3" fontId="54" fillId="0" borderId="16" xfId="0" applyNumberFormat="1" applyFont="1" applyFill="1" applyBorder="1" applyAlignment="1">
      <alignment horizontal="right" indent="1"/>
    </xf>
    <xf numFmtId="3" fontId="54" fillId="0" borderId="18" xfId="0" applyNumberFormat="1" applyFont="1" applyFill="1" applyBorder="1" applyAlignment="1">
      <alignment horizontal="right" indent="1"/>
    </xf>
    <xf numFmtId="49" fontId="81" fillId="0" borderId="0" xfId="19" applyNumberFormat="1" applyFont="1" applyBorder="1" applyAlignment="1">
      <alignment horizontal="center" wrapText="1"/>
    </xf>
    <xf numFmtId="0" fontId="26" fillId="0" borderId="0" xfId="0" applyFont="1" applyAlignment="1">
      <alignment horizontal="left" vertical="top" wrapText="1"/>
    </xf>
    <xf numFmtId="0" fontId="26" fillId="0" borderId="0" xfId="15" applyFont="1" applyAlignment="1">
      <alignment horizontal="left" wrapText="1"/>
    </xf>
    <xf numFmtId="3" fontId="54" fillId="0" borderId="45" xfId="0" applyNumberFormat="1" applyFont="1" applyFill="1" applyBorder="1" applyAlignment="1">
      <alignment horizontal="right" indent="1"/>
    </xf>
    <xf numFmtId="3" fontId="54" fillId="0" borderId="44" xfId="0" applyNumberFormat="1" applyFont="1" applyFill="1" applyBorder="1" applyAlignment="1">
      <alignment horizontal="right" indent="1"/>
    </xf>
    <xf numFmtId="3" fontId="54" fillId="0" borderId="92" xfId="0" applyNumberFormat="1" applyFont="1" applyFill="1" applyBorder="1" applyAlignment="1">
      <alignment horizontal="right" indent="1"/>
    </xf>
    <xf numFmtId="3" fontId="54" fillId="0" borderId="17" xfId="0" applyNumberFormat="1" applyFont="1" applyFill="1" applyBorder="1" applyAlignment="1">
      <alignment horizontal="right" indent="1"/>
    </xf>
    <xf numFmtId="0" fontId="104" fillId="7" borderId="163" xfId="0" applyFont="1" applyFill="1" applyBorder="1" applyAlignment="1"/>
    <xf numFmtId="0" fontId="105" fillId="0" borderId="34" xfId="0" applyFont="1" applyFill="1" applyBorder="1" applyAlignment="1"/>
    <xf numFmtId="0" fontId="105" fillId="0" borderId="36" xfId="0" applyFont="1" applyFill="1" applyBorder="1" applyAlignment="1"/>
    <xf numFmtId="0" fontId="106" fillId="0" borderId="0" xfId="0" applyFont="1" applyBorder="1" applyAlignment="1">
      <alignment horizontal="left" vertical="top" wrapText="1"/>
    </xf>
    <xf numFmtId="0" fontId="107" fillId="0" borderId="34" xfId="0" applyFont="1" applyFill="1" applyBorder="1" applyAlignment="1">
      <alignment vertical="center" wrapText="1"/>
    </xf>
    <xf numFmtId="0" fontId="104" fillId="0" borderId="34" xfId="0" applyFont="1" applyFill="1" applyBorder="1" applyAlignment="1"/>
    <xf numFmtId="37" fontId="104" fillId="7" borderId="145" xfId="1" applyNumberFormat="1" applyFont="1" applyFill="1" applyBorder="1" applyAlignment="1">
      <alignment horizontal="center"/>
    </xf>
    <xf numFmtId="9" fontId="104" fillId="7" borderId="145" xfId="39" applyNumberFormat="1" applyFont="1" applyFill="1" applyBorder="1" applyAlignment="1">
      <alignment horizontal="center"/>
    </xf>
    <xf numFmtId="9" fontId="104" fillId="7" borderId="145" xfId="39" applyFont="1" applyFill="1" applyBorder="1" applyAlignment="1">
      <alignment horizontal="center"/>
    </xf>
    <xf numFmtId="37" fontId="105" fillId="0" borderId="30" xfId="1" applyNumberFormat="1" applyFont="1" applyFill="1" applyBorder="1" applyAlignment="1">
      <alignment horizontal="center"/>
    </xf>
    <xf numFmtId="9" fontId="105" fillId="0" borderId="30" xfId="39" applyNumberFormat="1" applyFont="1" applyFill="1" applyBorder="1" applyAlignment="1">
      <alignment horizontal="center"/>
    </xf>
    <xf numFmtId="9" fontId="105" fillId="0" borderId="30" xfId="39" applyFont="1" applyBorder="1" applyAlignment="1">
      <alignment horizontal="center"/>
    </xf>
    <xf numFmtId="37" fontId="105" fillId="0" borderId="31" xfId="1" applyNumberFormat="1" applyFont="1" applyFill="1" applyBorder="1" applyAlignment="1">
      <alignment horizontal="center"/>
    </xf>
    <xf numFmtId="9" fontId="105" fillId="0" borderId="31" xfId="39" applyNumberFormat="1" applyFont="1" applyFill="1" applyBorder="1" applyAlignment="1">
      <alignment horizontal="center"/>
    </xf>
    <xf numFmtId="9" fontId="105" fillId="0" borderId="31" xfId="39" applyFont="1" applyBorder="1" applyAlignment="1">
      <alignment horizontal="center"/>
    </xf>
    <xf numFmtId="0" fontId="67" fillId="23" borderId="175" xfId="19" quotePrefix="1" applyFont="1" applyFill="1" applyBorder="1" applyAlignment="1">
      <alignment horizontal="center" vertical="top"/>
    </xf>
    <xf numFmtId="49" fontId="81" fillId="23" borderId="176" xfId="19" applyNumberFormat="1" applyFont="1" applyFill="1" applyBorder="1" applyAlignment="1">
      <alignment vertical="top" wrapText="1"/>
    </xf>
    <xf numFmtId="49" fontId="81" fillId="23" borderId="175" xfId="19" applyNumberFormat="1" applyFont="1" applyFill="1" applyBorder="1" applyAlignment="1">
      <alignment vertical="top" wrapText="1"/>
    </xf>
    <xf numFmtId="3" fontId="81" fillId="23" borderId="175" xfId="19" applyNumberFormat="1" applyFont="1" applyFill="1" applyBorder="1" applyAlignment="1">
      <alignment vertical="top" wrapText="1"/>
    </xf>
    <xf numFmtId="3" fontId="67" fillId="8" borderId="175" xfId="19" applyNumberFormat="1" applyFont="1" applyFill="1" applyBorder="1" applyAlignment="1">
      <alignment vertical="top"/>
    </xf>
    <xf numFmtId="0" fontId="26" fillId="0" borderId="0" xfId="0" applyFont="1" applyAlignment="1">
      <alignment vertical="top" wrapText="1"/>
    </xf>
    <xf numFmtId="0" fontId="26" fillId="0" borderId="0" xfId="0" applyFont="1" applyAlignment="1">
      <alignment vertical="top"/>
    </xf>
    <xf numFmtId="0" fontId="52" fillId="0" borderId="177" xfId="15" applyFont="1" applyBorder="1" applyAlignment="1">
      <alignment horizontal="left" wrapText="1"/>
    </xf>
    <xf numFmtId="0" fontId="52" fillId="6" borderId="177" xfId="15" applyFont="1" applyFill="1" applyBorder="1" applyAlignment="1">
      <alignment horizontal="left" wrapText="1"/>
    </xf>
    <xf numFmtId="0" fontId="73" fillId="0" borderId="41" xfId="15" applyFont="1" applyFill="1" applyBorder="1" applyAlignment="1">
      <alignment vertical="top"/>
    </xf>
    <xf numFmtId="0" fontId="73" fillId="0" borderId="34" xfId="15" applyFont="1" applyFill="1" applyBorder="1" applyAlignment="1">
      <alignment vertical="top"/>
    </xf>
    <xf numFmtId="0" fontId="73" fillId="0" borderId="36" xfId="15" applyFont="1" applyFill="1" applyBorder="1" applyAlignment="1">
      <alignment vertical="top"/>
    </xf>
    <xf numFmtId="0" fontId="52" fillId="0" borderId="20" xfId="15" applyFont="1" applyFill="1" applyBorder="1" applyAlignment="1">
      <alignment horizontal="center" wrapText="1"/>
    </xf>
    <xf numFmtId="0" fontId="52" fillId="0" borderId="21" xfId="15" applyFont="1" applyFill="1" applyBorder="1" applyAlignment="1">
      <alignment horizontal="center" wrapText="1"/>
    </xf>
    <xf numFmtId="3" fontId="52" fillId="11" borderId="20" xfId="15" applyNumberFormat="1" applyFont="1" applyFill="1" applyBorder="1" applyAlignment="1">
      <alignment horizontal="right" vertical="top"/>
    </xf>
    <xf numFmtId="171" fontId="73" fillId="0" borderId="24" xfId="1" applyNumberFormat="1" applyFont="1" applyFill="1" applyBorder="1"/>
    <xf numFmtId="171" fontId="73" fillId="0" borderId="27" xfId="1" applyNumberFormat="1" applyFont="1" applyFill="1" applyBorder="1"/>
    <xf numFmtId="171" fontId="73" fillId="0" borderId="26" xfId="1" applyNumberFormat="1" applyFont="1" applyFill="1" applyBorder="1"/>
    <xf numFmtId="3" fontId="52" fillId="11" borderId="21" xfId="15" applyNumberFormat="1" applyFont="1" applyFill="1" applyBorder="1" applyAlignment="1">
      <alignment horizontal="right" vertical="top"/>
    </xf>
    <xf numFmtId="3" fontId="20" fillId="0" borderId="23" xfId="0" applyNumberFormat="1" applyFont="1" applyFill="1" applyBorder="1" applyAlignment="1" applyProtection="1">
      <alignment horizontal="right" vertical="center"/>
    </xf>
    <xf numFmtId="3" fontId="20" fillId="0" borderId="22" xfId="0" applyNumberFormat="1" applyFont="1" applyFill="1" applyBorder="1" applyAlignment="1" applyProtection="1">
      <alignment horizontal="right" vertical="center"/>
      <protection locked="0"/>
    </xf>
    <xf numFmtId="3" fontId="20" fillId="0" borderId="24" xfId="0" applyNumberFormat="1" applyFont="1" applyFill="1" applyBorder="1" applyAlignment="1" applyProtection="1">
      <alignment horizontal="right" vertical="center"/>
    </xf>
    <xf numFmtId="3" fontId="20" fillId="0" borderId="24" xfId="0" applyNumberFormat="1" applyFont="1" applyFill="1" applyBorder="1" applyAlignment="1" applyProtection="1">
      <alignment horizontal="right" vertical="center"/>
      <protection locked="0"/>
    </xf>
    <xf numFmtId="3" fontId="20" fillId="0" borderId="25" xfId="0" applyNumberFormat="1" applyFont="1" applyFill="1" applyBorder="1" applyAlignment="1" applyProtection="1">
      <alignment horizontal="right" vertical="center"/>
      <protection locked="0"/>
    </xf>
    <xf numFmtId="3" fontId="20" fillId="0" borderId="27" xfId="0" applyNumberFormat="1" applyFont="1" applyFill="1" applyBorder="1" applyAlignment="1" applyProtection="1">
      <alignment horizontal="right" vertical="center"/>
    </xf>
    <xf numFmtId="3" fontId="20" fillId="0" borderId="27" xfId="0" applyNumberFormat="1" applyFont="1" applyFill="1" applyBorder="1" applyAlignment="1" applyProtection="1">
      <alignment horizontal="right" vertical="center"/>
      <protection locked="0"/>
    </xf>
    <xf numFmtId="3" fontId="20" fillId="0" borderId="26" xfId="0" applyNumberFormat="1" applyFont="1" applyFill="1" applyBorder="1" applyAlignment="1" applyProtection="1">
      <alignment horizontal="right" vertical="center"/>
    </xf>
    <xf numFmtId="173" fontId="20" fillId="0" borderId="29" xfId="0" applyNumberFormat="1" applyFont="1" applyFill="1" applyBorder="1" applyAlignment="1" applyProtection="1">
      <alignment vertical="center"/>
    </xf>
    <xf numFmtId="49" fontId="20" fillId="0" borderId="29" xfId="0" applyNumberFormat="1" applyFont="1" applyFill="1" applyBorder="1" applyAlignment="1">
      <alignment vertical="center"/>
    </xf>
    <xf numFmtId="3" fontId="20" fillId="0" borderId="24" xfId="39" applyNumberFormat="1" applyFont="1" applyFill="1" applyBorder="1" applyAlignment="1" applyProtection="1">
      <alignment horizontal="center" vertical="center"/>
    </xf>
    <xf numFmtId="3" fontId="22" fillId="6" borderId="178" xfId="0" applyNumberFormat="1" applyFont="1" applyFill="1" applyBorder="1" applyAlignment="1" applyProtection="1">
      <alignment horizontal="right" vertical="center"/>
    </xf>
    <xf numFmtId="3" fontId="22" fillId="6" borderId="20" xfId="0" applyNumberFormat="1" applyFont="1" applyFill="1" applyBorder="1" applyAlignment="1" applyProtection="1">
      <alignment horizontal="right" vertical="center"/>
    </xf>
    <xf numFmtId="3" fontId="22" fillId="6" borderId="20" xfId="39" applyNumberFormat="1" applyFont="1" applyFill="1" applyBorder="1" applyAlignment="1" applyProtection="1">
      <alignment horizontal="right" vertical="center"/>
    </xf>
    <xf numFmtId="3" fontId="22" fillId="6" borderId="20" xfId="0" applyNumberFormat="1" applyFont="1" applyFill="1" applyBorder="1" applyAlignment="1">
      <alignment horizontal="right" vertical="center"/>
    </xf>
    <xf numFmtId="3" fontId="22" fillId="6" borderId="21" xfId="0" applyNumberFormat="1" applyFont="1" applyFill="1" applyBorder="1" applyAlignment="1">
      <alignment horizontal="right" vertical="center"/>
    </xf>
    <xf numFmtId="3" fontId="20" fillId="0" borderId="24" xfId="39" applyNumberFormat="1" applyFont="1" applyFill="1" applyBorder="1" applyAlignment="1" applyProtection="1">
      <alignment horizontal="right" vertical="center"/>
    </xf>
    <xf numFmtId="3" fontId="20" fillId="0" borderId="24" xfId="0" applyNumberFormat="1" applyFont="1" applyFill="1" applyBorder="1" applyAlignment="1">
      <alignment horizontal="right" vertical="center"/>
    </xf>
    <xf numFmtId="3" fontId="20" fillId="0" borderId="23" xfId="0" applyNumberFormat="1" applyFont="1" applyFill="1" applyBorder="1" applyAlignment="1">
      <alignment horizontal="right" vertical="center"/>
    </xf>
    <xf numFmtId="3" fontId="20" fillId="0" borderId="27" xfId="39" applyNumberFormat="1" applyFont="1" applyFill="1" applyBorder="1" applyAlignment="1" applyProtection="1">
      <alignment horizontal="right" vertical="center"/>
    </xf>
    <xf numFmtId="173" fontId="22" fillId="0" borderId="178" xfId="0" applyNumberFormat="1" applyFont="1" applyFill="1" applyBorder="1" applyAlignment="1" applyProtection="1">
      <alignment horizontal="center" vertical="center"/>
    </xf>
    <xf numFmtId="173" fontId="22" fillId="0" borderId="20" xfId="0" applyNumberFormat="1" applyFont="1" applyFill="1" applyBorder="1" applyAlignment="1" applyProtection="1">
      <alignment horizontal="center" vertical="center"/>
    </xf>
    <xf numFmtId="173" fontId="22" fillId="0" borderId="20" xfId="0" applyNumberFormat="1" applyFont="1" applyFill="1" applyBorder="1" applyAlignment="1">
      <alignment horizontal="center" vertical="center"/>
    </xf>
    <xf numFmtId="173" fontId="22" fillId="0" borderId="20" xfId="0" applyNumberFormat="1" applyFont="1" applyFill="1" applyBorder="1"/>
    <xf numFmtId="173" fontId="22" fillId="0" borderId="21" xfId="0" applyNumberFormat="1" applyFont="1" applyFill="1" applyBorder="1"/>
    <xf numFmtId="3" fontId="20" fillId="0" borderId="22" xfId="0" applyNumberFormat="1" applyFont="1" applyFill="1" applyBorder="1"/>
    <xf numFmtId="3" fontId="20" fillId="0" borderId="24" xfId="0" applyNumberFormat="1" applyFont="1" applyFill="1" applyBorder="1"/>
    <xf numFmtId="3" fontId="20" fillId="0" borderId="23" xfId="0" applyNumberFormat="1" applyFont="1" applyFill="1" applyBorder="1"/>
    <xf numFmtId="3" fontId="22" fillId="6" borderId="178" xfId="0" applyNumberFormat="1" applyFont="1" applyFill="1" applyBorder="1"/>
    <xf numFmtId="3" fontId="22" fillId="6" borderId="20" xfId="0" applyNumberFormat="1" applyFont="1" applyFill="1" applyBorder="1"/>
    <xf numFmtId="3" fontId="22" fillId="6" borderId="21" xfId="0" applyNumberFormat="1" applyFont="1" applyFill="1" applyBorder="1"/>
    <xf numFmtId="173" fontId="22" fillId="0" borderId="178" xfId="0" applyNumberFormat="1" applyFont="1" applyFill="1" applyBorder="1"/>
    <xf numFmtId="9" fontId="20" fillId="0" borderId="22" xfId="39" applyFont="1" applyFill="1" applyBorder="1"/>
    <xf numFmtId="9" fontId="20" fillId="0" borderId="24" xfId="39" applyFont="1" applyFill="1" applyBorder="1"/>
    <xf numFmtId="9" fontId="20" fillId="0" borderId="23" xfId="39" applyFont="1" applyFill="1" applyBorder="1"/>
    <xf numFmtId="9" fontId="20" fillId="0" borderId="22" xfId="0" applyNumberFormat="1" applyFont="1" applyFill="1" applyBorder="1"/>
    <xf numFmtId="9" fontId="20" fillId="0" borderId="24" xfId="0" applyNumberFormat="1" applyFont="1" applyFill="1" applyBorder="1"/>
    <xf numFmtId="9" fontId="20" fillId="0" borderId="23" xfId="0" applyNumberFormat="1" applyFont="1" applyFill="1" applyBorder="1"/>
    <xf numFmtId="9" fontId="22" fillId="6" borderId="178" xfId="39" applyFont="1" applyFill="1" applyBorder="1"/>
    <xf numFmtId="9" fontId="22" fillId="6" borderId="20" xfId="39" applyFont="1" applyFill="1" applyBorder="1"/>
    <xf numFmtId="9" fontId="22" fillId="6" borderId="21" xfId="39" applyFont="1" applyFill="1" applyBorder="1"/>
    <xf numFmtId="3" fontId="20" fillId="0" borderId="22" xfId="0" applyNumberFormat="1" applyFont="1" applyFill="1" applyBorder="1" applyAlignment="1" applyProtection="1">
      <alignment vertical="center"/>
      <protection locked="0"/>
    </xf>
    <xf numFmtId="3" fontId="20" fillId="0" borderId="24" xfId="0" applyNumberFormat="1" applyFont="1" applyFill="1" applyBorder="1" applyAlignment="1" applyProtection="1">
      <alignment vertical="center"/>
    </xf>
    <xf numFmtId="3" fontId="20" fillId="0" borderId="24" xfId="0" applyNumberFormat="1" applyFont="1" applyFill="1" applyBorder="1" applyAlignment="1" applyProtection="1">
      <alignment vertical="center"/>
      <protection locked="0"/>
    </xf>
    <xf numFmtId="9" fontId="0" fillId="0" borderId="0" xfId="39" applyFont="1"/>
    <xf numFmtId="49" fontId="73" fillId="0" borderId="0" xfId="9" applyNumberFormat="1" applyFont="1" applyBorder="1" applyAlignment="1">
      <alignment horizontal="center"/>
    </xf>
    <xf numFmtId="49" fontId="73" fillId="0" borderId="0" xfId="9" quotePrefix="1" applyNumberFormat="1" applyFont="1" applyBorder="1" applyAlignment="1">
      <alignment horizontal="center"/>
    </xf>
    <xf numFmtId="0" fontId="52" fillId="0" borderId="0" xfId="9" applyFont="1" applyBorder="1" applyAlignment="1">
      <alignment horizontal="right" wrapText="1"/>
    </xf>
    <xf numFmtId="3" fontId="54" fillId="0" borderId="22" xfId="0" applyNumberFormat="1" applyFont="1" applyBorder="1" applyAlignment="1">
      <alignment horizontal="right" indent="1"/>
    </xf>
    <xf numFmtId="3" fontId="54" fillId="11" borderId="22" xfId="0" applyNumberFormat="1" applyFont="1" applyFill="1" applyBorder="1" applyAlignment="1">
      <alignment horizontal="right" indent="1"/>
    </xf>
    <xf numFmtId="3" fontId="54" fillId="9" borderId="25" xfId="0" applyNumberFormat="1" applyFont="1" applyFill="1" applyBorder="1" applyAlignment="1">
      <alignment horizontal="right" indent="1"/>
    </xf>
    <xf numFmtId="3" fontId="54" fillId="0" borderId="24" xfId="0" applyNumberFormat="1" applyFont="1" applyBorder="1" applyAlignment="1">
      <alignment horizontal="right" indent="1"/>
    </xf>
    <xf numFmtId="3" fontId="54" fillId="11" borderId="24" xfId="0" applyNumberFormat="1" applyFont="1" applyFill="1" applyBorder="1" applyAlignment="1">
      <alignment horizontal="right" indent="1"/>
    </xf>
    <xf numFmtId="3" fontId="54" fillId="9" borderId="27" xfId="0" applyNumberFormat="1" applyFont="1" applyFill="1" applyBorder="1" applyAlignment="1">
      <alignment horizontal="right" indent="1"/>
    </xf>
    <xf numFmtId="3" fontId="54" fillId="0" borderId="44" xfId="0" quotePrefix="1" applyNumberFormat="1" applyFont="1" applyFill="1" applyBorder="1" applyAlignment="1">
      <alignment horizontal="right" indent="1"/>
    </xf>
    <xf numFmtId="3" fontId="54" fillId="11" borderId="44" xfId="0" quotePrefix="1" applyNumberFormat="1" applyFont="1" applyFill="1" applyBorder="1" applyAlignment="1">
      <alignment horizontal="right" indent="1"/>
    </xf>
    <xf numFmtId="3" fontId="54" fillId="9" borderId="92" xfId="0" quotePrefix="1" applyNumberFormat="1" applyFont="1" applyFill="1" applyBorder="1" applyAlignment="1">
      <alignment horizontal="right" indent="1"/>
    </xf>
    <xf numFmtId="9" fontId="55" fillId="18" borderId="16" xfId="39" applyFont="1" applyFill="1" applyBorder="1" applyAlignment="1">
      <alignment horizontal="center" vertical="center"/>
    </xf>
    <xf numFmtId="9" fontId="55" fillId="18" borderId="17" xfId="39" applyFont="1" applyFill="1" applyBorder="1" applyAlignment="1">
      <alignment horizontal="center" vertical="center"/>
    </xf>
    <xf numFmtId="0" fontId="92" fillId="18" borderId="45" xfId="0" applyFont="1" applyFill="1" applyBorder="1" applyAlignment="1">
      <alignment horizontal="center" vertical="center" wrapText="1"/>
    </xf>
    <xf numFmtId="9" fontId="55" fillId="18" borderId="25" xfId="39" applyFont="1" applyFill="1" applyBorder="1" applyAlignment="1">
      <alignment horizontal="center" vertical="center"/>
    </xf>
    <xf numFmtId="9" fontId="55" fillId="18" borderId="27" xfId="39" applyFont="1" applyFill="1" applyBorder="1" applyAlignment="1">
      <alignment horizontal="center" vertical="center"/>
    </xf>
    <xf numFmtId="0" fontId="92" fillId="18" borderId="92" xfId="0" applyFont="1" applyFill="1" applyBorder="1" applyAlignment="1">
      <alignment horizontal="center" vertical="center" wrapText="1"/>
    </xf>
    <xf numFmtId="0" fontId="104" fillId="31" borderId="174" xfId="0" applyFont="1" applyFill="1" applyBorder="1" applyAlignment="1">
      <alignment horizontal="center" vertical="center"/>
    </xf>
    <xf numFmtId="0" fontId="104" fillId="31" borderId="161" xfId="0" applyFont="1" applyFill="1" applyBorder="1" applyAlignment="1">
      <alignment horizontal="center"/>
    </xf>
    <xf numFmtId="165" fontId="22" fillId="6" borderId="178" xfId="39" applyNumberFormat="1" applyFont="1" applyFill="1" applyBorder="1"/>
    <xf numFmtId="165" fontId="22" fillId="6" borderId="20" xfId="39" applyNumberFormat="1" applyFont="1" applyFill="1" applyBorder="1"/>
    <xf numFmtId="165" fontId="22" fillId="6" borderId="21" xfId="39" applyNumberFormat="1" applyFont="1" applyFill="1" applyBorder="1"/>
    <xf numFmtId="165" fontId="20" fillId="0" borderId="22" xfId="39" applyNumberFormat="1" applyFont="1" applyFill="1" applyBorder="1"/>
    <xf numFmtId="165" fontId="20" fillId="0" borderId="24" xfId="39" applyNumberFormat="1" applyFont="1" applyFill="1" applyBorder="1"/>
    <xf numFmtId="165" fontId="20" fillId="0" borderId="23" xfId="39" applyNumberFormat="1" applyFont="1" applyFill="1" applyBorder="1"/>
    <xf numFmtId="165" fontId="20" fillId="0" borderId="22" xfId="0" applyNumberFormat="1" applyFont="1" applyFill="1" applyBorder="1"/>
    <xf numFmtId="165" fontId="20" fillId="0" borderId="24" xfId="0" applyNumberFormat="1" applyFont="1" applyFill="1" applyBorder="1"/>
    <xf numFmtId="165" fontId="20" fillId="0" borderId="23" xfId="0" applyNumberFormat="1" applyFont="1" applyFill="1" applyBorder="1"/>
    <xf numFmtId="3" fontId="20" fillId="21" borderId="22" xfId="0" applyNumberFormat="1" applyFont="1" applyFill="1" applyBorder="1"/>
    <xf numFmtId="3" fontId="20" fillId="21" borderId="24" xfId="0" applyNumberFormat="1" applyFont="1" applyFill="1" applyBorder="1"/>
    <xf numFmtId="165" fontId="0" fillId="0" borderId="0" xfId="39" applyNumberFormat="1" applyFont="1"/>
    <xf numFmtId="0" fontId="67" fillId="0" borderId="0" xfId="0" applyFont="1"/>
    <xf numFmtId="0" fontId="68" fillId="0" borderId="0" xfId="0" applyFont="1"/>
    <xf numFmtId="0" fontId="112" fillId="0" borderId="0" xfId="0" applyFont="1"/>
    <xf numFmtId="0" fontId="112" fillId="0" borderId="12" xfId="0" applyFont="1" applyBorder="1"/>
    <xf numFmtId="0" fontId="112" fillId="0" borderId="178" xfId="0" applyFont="1" applyBorder="1"/>
    <xf numFmtId="0" fontId="112" fillId="0" borderId="20" xfId="0" applyFont="1" applyBorder="1"/>
    <xf numFmtId="0" fontId="112" fillId="0" borderId="21" xfId="0" applyFont="1" applyBorder="1"/>
    <xf numFmtId="3" fontId="68" fillId="0" borderId="22" xfId="0" applyNumberFormat="1" applyFont="1" applyBorder="1"/>
    <xf numFmtId="3" fontId="68" fillId="0" borderId="180" xfId="0" applyNumberFormat="1" applyFont="1" applyBorder="1"/>
    <xf numFmtId="3" fontId="68" fillId="0" borderId="179" xfId="0" applyNumberFormat="1" applyFont="1" applyBorder="1"/>
    <xf numFmtId="0" fontId="113" fillId="0" borderId="0" xfId="4" applyFont="1" applyAlignment="1" applyProtection="1"/>
    <xf numFmtId="49" fontId="68" fillId="7" borderId="0" xfId="0" applyNumberFormat="1" applyFont="1" applyFill="1"/>
    <xf numFmtId="0" fontId="112" fillId="7" borderId="0" xfId="0" applyFont="1" applyFill="1"/>
    <xf numFmtId="3" fontId="112" fillId="7" borderId="22" xfId="0" applyNumberFormat="1" applyFont="1" applyFill="1" applyBorder="1"/>
    <xf numFmtId="3" fontId="112" fillId="7" borderId="24" xfId="0" applyNumberFormat="1" applyFont="1" applyFill="1" applyBorder="1"/>
    <xf numFmtId="3" fontId="112" fillId="7" borderId="179" xfId="0" applyNumberFormat="1" applyFont="1" applyFill="1" applyBorder="1"/>
    <xf numFmtId="3" fontId="112" fillId="7" borderId="180" xfId="0" applyNumberFormat="1" applyFont="1" applyFill="1" applyBorder="1"/>
    <xf numFmtId="0" fontId="68" fillId="0" borderId="12" xfId="0" applyFont="1" applyBorder="1"/>
    <xf numFmtId="3" fontId="68" fillId="0" borderId="25" xfId="0" applyNumberFormat="1" applyFont="1" applyBorder="1"/>
    <xf numFmtId="3" fontId="68" fillId="0" borderId="27" xfId="0" applyNumberFormat="1" applyFont="1" applyBorder="1"/>
    <xf numFmtId="3" fontId="68" fillId="0" borderId="181" xfId="0" applyNumberFormat="1" applyFont="1" applyBorder="1"/>
    <xf numFmtId="3" fontId="68" fillId="0" borderId="182" xfId="0" applyNumberFormat="1" applyFont="1" applyBorder="1"/>
    <xf numFmtId="3" fontId="68" fillId="0" borderId="183" xfId="0" applyNumberFormat="1" applyFont="1" applyBorder="1"/>
    <xf numFmtId="165" fontId="68" fillId="0" borderId="22" xfId="0" applyNumberFormat="1" applyFont="1" applyBorder="1"/>
    <xf numFmtId="165" fontId="68" fillId="0" borderId="180" xfId="0" applyNumberFormat="1" applyFont="1" applyBorder="1"/>
    <xf numFmtId="165" fontId="68" fillId="0" borderId="179" xfId="0" applyNumberFormat="1" applyFont="1" applyBorder="1"/>
    <xf numFmtId="165" fontId="112" fillId="7" borderId="22" xfId="0" applyNumberFormat="1" applyFont="1" applyFill="1" applyBorder="1" applyAlignment="1">
      <alignment horizontal="right"/>
    </xf>
    <xf numFmtId="165" fontId="112" fillId="7" borderId="180" xfId="0" applyNumberFormat="1" applyFont="1" applyFill="1" applyBorder="1" applyAlignment="1">
      <alignment horizontal="right"/>
    </xf>
    <xf numFmtId="165" fontId="112" fillId="7" borderId="179" xfId="0" applyNumberFormat="1" applyFont="1" applyFill="1" applyBorder="1" applyAlignment="1">
      <alignment horizontal="right"/>
    </xf>
    <xf numFmtId="165" fontId="68" fillId="0" borderId="22" xfId="0" applyNumberFormat="1" applyFont="1" applyBorder="1" applyAlignment="1">
      <alignment horizontal="right"/>
    </xf>
    <xf numFmtId="165" fontId="68" fillId="0" borderId="180" xfId="0" applyNumberFormat="1" applyFont="1" applyBorder="1" applyAlignment="1">
      <alignment horizontal="right"/>
    </xf>
    <xf numFmtId="165" fontId="68" fillId="0" borderId="179" xfId="0" applyNumberFormat="1" applyFont="1" applyBorder="1" applyAlignment="1">
      <alignment horizontal="right"/>
    </xf>
    <xf numFmtId="165" fontId="68" fillId="0" borderId="25" xfId="0" applyNumberFormat="1" applyFont="1" applyBorder="1" applyAlignment="1">
      <alignment horizontal="right"/>
    </xf>
    <xf numFmtId="165" fontId="68" fillId="0" borderId="27" xfId="0" applyNumberFormat="1" applyFont="1" applyBorder="1" applyAlignment="1">
      <alignment horizontal="right"/>
    </xf>
    <xf numFmtId="165" fontId="68" fillId="0" borderId="181" xfId="0" applyNumberFormat="1" applyFont="1" applyBorder="1" applyAlignment="1">
      <alignment horizontal="right"/>
    </xf>
    <xf numFmtId="165" fontId="104" fillId="7" borderId="145" xfId="39" applyNumberFormat="1" applyFont="1" applyFill="1" applyBorder="1" applyAlignment="1">
      <alignment horizontal="center"/>
    </xf>
    <xf numFmtId="165" fontId="105" fillId="0" borderId="30" xfId="39" applyNumberFormat="1" applyFont="1" applyFill="1" applyBorder="1" applyAlignment="1">
      <alignment horizontal="center"/>
    </xf>
    <xf numFmtId="165" fontId="105" fillId="0" borderId="31" xfId="39" applyNumberFormat="1" applyFont="1" applyFill="1" applyBorder="1" applyAlignment="1">
      <alignment horizontal="center"/>
    </xf>
    <xf numFmtId="165" fontId="105" fillId="0" borderId="30" xfId="39" applyNumberFormat="1" applyFont="1" applyBorder="1" applyAlignment="1">
      <alignment horizontal="center"/>
    </xf>
    <xf numFmtId="165" fontId="105" fillId="0" borderId="31" xfId="39" applyNumberFormat="1" applyFont="1" applyBorder="1" applyAlignment="1">
      <alignment horizontal="center"/>
    </xf>
    <xf numFmtId="49" fontId="55" fillId="19" borderId="130" xfId="0" applyNumberFormat="1" applyFont="1" applyFill="1" applyBorder="1" applyAlignment="1">
      <alignment horizontal="center"/>
    </xf>
    <xf numFmtId="3" fontId="54" fillId="0" borderId="120" xfId="0" applyNumberFormat="1" applyFont="1" applyFill="1" applyBorder="1" applyAlignment="1">
      <alignment horizontal="right" indent="1"/>
    </xf>
    <xf numFmtId="3" fontId="54" fillId="0" borderId="121" xfId="0" applyNumberFormat="1" applyFont="1" applyFill="1" applyBorder="1" applyAlignment="1">
      <alignment horizontal="right" indent="1"/>
    </xf>
    <xf numFmtId="3" fontId="54" fillId="0" borderId="187" xfId="0" applyNumberFormat="1" applyFont="1" applyFill="1" applyBorder="1" applyAlignment="1">
      <alignment horizontal="right" indent="1"/>
    </xf>
    <xf numFmtId="3" fontId="54" fillId="0" borderId="180" xfId="0" applyNumberFormat="1" applyFont="1" applyFill="1" applyBorder="1" applyAlignment="1">
      <alignment horizontal="right" indent="1"/>
    </xf>
    <xf numFmtId="3" fontId="54" fillId="0" borderId="188" xfId="0" applyNumberFormat="1" applyFont="1" applyFill="1" applyBorder="1" applyAlignment="1">
      <alignment horizontal="right" indent="1"/>
    </xf>
    <xf numFmtId="0" fontId="54" fillId="0" borderId="160" xfId="0" applyFont="1" applyFill="1" applyBorder="1" applyAlignment="1">
      <alignment horizontal="right" indent="1"/>
    </xf>
    <xf numFmtId="0" fontId="54" fillId="0" borderId="157" xfId="0" applyFont="1" applyFill="1" applyBorder="1" applyAlignment="1">
      <alignment horizontal="right" indent="1"/>
    </xf>
    <xf numFmtId="0" fontId="54" fillId="0" borderId="189" xfId="0" applyFont="1" applyFill="1" applyBorder="1" applyAlignment="1">
      <alignment horizontal="right" indent="1"/>
    </xf>
    <xf numFmtId="171" fontId="67" fillId="23" borderId="22" xfId="14" applyNumberFormat="1" applyFont="1" applyFill="1" applyBorder="1"/>
    <xf numFmtId="171" fontId="67" fillId="23" borderId="24" xfId="14" applyNumberFormat="1" applyFont="1" applyFill="1" applyBorder="1"/>
    <xf numFmtId="0" fontId="73" fillId="0" borderId="0" xfId="0" applyFont="1" applyFill="1"/>
    <xf numFmtId="9" fontId="71" fillId="0" borderId="0" xfId="1" applyNumberFormat="1" applyFont="1"/>
    <xf numFmtId="37" fontId="71" fillId="0" borderId="0" xfId="1" applyNumberFormat="1" applyFont="1"/>
    <xf numFmtId="9" fontId="71" fillId="0" borderId="0" xfId="0" applyNumberFormat="1" applyFont="1"/>
    <xf numFmtId="171" fontId="53" fillId="6" borderId="177" xfId="1" applyNumberFormat="1" applyFont="1" applyFill="1" applyBorder="1"/>
    <xf numFmtId="171" fontId="53" fillId="6" borderId="175" xfId="1" applyNumberFormat="1" applyFont="1" applyFill="1" applyBorder="1"/>
    <xf numFmtId="9" fontId="53" fillId="6" borderId="175" xfId="39" applyFont="1" applyFill="1" applyBorder="1"/>
    <xf numFmtId="0" fontId="0" fillId="0" borderId="175" xfId="0" applyBorder="1"/>
    <xf numFmtId="37" fontId="53" fillId="6" borderId="175" xfId="1" applyNumberFormat="1" applyFont="1" applyFill="1" applyBorder="1"/>
    <xf numFmtId="0" fontId="114" fillId="6" borderId="175" xfId="0" applyFont="1" applyFill="1" applyBorder="1"/>
    <xf numFmtId="49" fontId="22" fillId="0" borderId="29" xfId="0" applyNumberFormat="1" applyFont="1" applyFill="1" applyBorder="1" applyAlignment="1">
      <alignment vertical="center"/>
    </xf>
    <xf numFmtId="173" fontId="22" fillId="0" borderId="29" xfId="0" applyNumberFormat="1" applyFont="1" applyFill="1" applyBorder="1" applyAlignment="1" applyProtection="1">
      <alignment vertical="center"/>
    </xf>
    <xf numFmtId="0" fontId="20" fillId="0" borderId="0" xfId="0" applyNumberFormat="1" applyFont="1" applyFill="1" applyBorder="1" applyAlignment="1">
      <alignment horizontal="left"/>
    </xf>
    <xf numFmtId="3" fontId="71" fillId="0" borderId="0" xfId="1" applyNumberFormat="1" applyFont="1" applyFill="1" applyBorder="1"/>
    <xf numFmtId="3" fontId="71" fillId="0" borderId="0" xfId="1" applyNumberFormat="1" applyFont="1"/>
    <xf numFmtId="9" fontId="115" fillId="0" borderId="0" xfId="0" applyNumberFormat="1" applyFont="1" applyAlignment="1">
      <alignment vertical="center"/>
    </xf>
    <xf numFmtId="0" fontId="73" fillId="0" borderId="0" xfId="15" applyFont="1" applyAlignment="1">
      <alignment horizontal="left" wrapText="1"/>
    </xf>
    <xf numFmtId="0" fontId="52" fillId="0" borderId="0" xfId="0" applyFont="1" applyBorder="1" applyAlignment="1">
      <alignment horizontal="center"/>
    </xf>
    <xf numFmtId="0" fontId="52" fillId="0" borderId="0" xfId="0" applyFont="1" applyAlignment="1">
      <alignment horizontal="center"/>
    </xf>
    <xf numFmtId="0" fontId="52" fillId="0" borderId="21" xfId="0" applyFont="1" applyBorder="1" applyAlignment="1">
      <alignment horizontal="center"/>
    </xf>
    <xf numFmtId="171" fontId="54" fillId="11" borderId="0" xfId="1" applyNumberFormat="1" applyFont="1" applyFill="1"/>
    <xf numFmtId="171" fontId="54" fillId="0" borderId="0" xfId="1" applyNumberFormat="1" applyFont="1"/>
    <xf numFmtId="171" fontId="54" fillId="0" borderId="135" xfId="1" applyNumberFormat="1" applyFont="1" applyBorder="1" applyAlignment="1">
      <alignment horizontal="right"/>
    </xf>
    <xf numFmtId="171" fontId="54" fillId="0" borderId="30" xfId="1" applyNumberFormat="1" applyFont="1" applyBorder="1" applyAlignment="1">
      <alignment horizontal="right"/>
    </xf>
    <xf numFmtId="171" fontId="54" fillId="11" borderId="135" xfId="1" applyNumberFormat="1" applyFont="1" applyFill="1" applyBorder="1" applyAlignment="1">
      <alignment horizontal="right"/>
    </xf>
    <xf numFmtId="171" fontId="54" fillId="11" borderId="30" xfId="1" applyNumberFormat="1" applyFont="1" applyFill="1" applyBorder="1" applyAlignment="1">
      <alignment horizontal="right"/>
    </xf>
    <xf numFmtId="0" fontId="54" fillId="0" borderId="0" xfId="0" applyFont="1" applyAlignment="1">
      <alignment horizontal="right" indent="1"/>
    </xf>
    <xf numFmtId="0" fontId="54" fillId="11" borderId="0" xfId="0" applyFont="1" applyFill="1" applyAlignment="1">
      <alignment horizontal="right" indent="1"/>
    </xf>
    <xf numFmtId="0" fontId="55" fillId="0" borderId="0" xfId="0" applyFont="1" applyFill="1" applyBorder="1" applyAlignment="1">
      <alignment vertical="center" wrapText="1"/>
    </xf>
    <xf numFmtId="0" fontId="88" fillId="0" borderId="0" xfId="0" applyFont="1"/>
    <xf numFmtId="0" fontId="53" fillId="6" borderId="0" xfId="0" applyFont="1" applyFill="1"/>
    <xf numFmtId="0" fontId="53" fillId="6" borderId="0" xfId="0" applyFont="1" applyFill="1" applyAlignment="1">
      <alignment horizontal="left"/>
    </xf>
    <xf numFmtId="3" fontId="53" fillId="6" borderId="0" xfId="0" applyNumberFormat="1" applyFont="1" applyFill="1"/>
    <xf numFmtId="164" fontId="53" fillId="6" borderId="0" xfId="39" applyNumberFormat="1" applyFont="1" applyFill="1"/>
    <xf numFmtId="171" fontId="71" fillId="0" borderId="0" xfId="1" applyNumberFormat="1" applyFont="1" applyFill="1"/>
    <xf numFmtId="0" fontId="69" fillId="0" borderId="95" xfId="11" applyFont="1" applyFill="1" applyBorder="1" applyAlignment="1">
      <alignment horizontal="center"/>
    </xf>
    <xf numFmtId="164" fontId="70" fillId="0" borderId="190" xfId="16" applyNumberFormat="1" applyFont="1" applyFill="1" applyBorder="1" applyAlignment="1">
      <alignment wrapText="1"/>
    </xf>
    <xf numFmtId="0" fontId="69" fillId="0" borderId="103" xfId="16" applyFont="1" applyBorder="1" applyAlignment="1">
      <alignment horizontal="center"/>
    </xf>
    <xf numFmtId="171" fontId="69" fillId="6" borderId="59" xfId="1" applyNumberFormat="1" applyFont="1" applyFill="1" applyBorder="1"/>
    <xf numFmtId="171" fontId="70" fillId="0" borderId="61" xfId="1" applyNumberFormat="1" applyFont="1" applyBorder="1"/>
    <xf numFmtId="171" fontId="70" fillId="0" borderId="191" xfId="1" applyNumberFormat="1" applyFont="1" applyBorder="1"/>
    <xf numFmtId="164" fontId="70" fillId="0" borderId="38" xfId="39" applyNumberFormat="1" applyFont="1" applyFill="1" applyBorder="1" applyAlignment="1">
      <alignment wrapText="1"/>
    </xf>
    <xf numFmtId="0" fontId="69" fillId="0" borderId="58" xfId="16" applyFont="1" applyBorder="1" applyAlignment="1">
      <alignment horizontal="center"/>
    </xf>
    <xf numFmtId="3" fontId="70" fillId="0" borderId="38" xfId="16" applyNumberFormat="1" applyFont="1" applyBorder="1"/>
    <xf numFmtId="3" fontId="70" fillId="0" borderId="192" xfId="16" applyNumberFormat="1" applyFont="1" applyBorder="1"/>
    <xf numFmtId="3" fontId="69" fillId="6" borderId="58" xfId="16" applyNumberFormat="1" applyFont="1" applyFill="1" applyBorder="1"/>
    <xf numFmtId="171" fontId="73" fillId="0" borderId="0" xfId="1" applyNumberFormat="1" applyFont="1" applyBorder="1"/>
    <xf numFmtId="0" fontId="52" fillId="0" borderId="28" xfId="0" applyFont="1" applyBorder="1"/>
    <xf numFmtId="171" fontId="73" fillId="8" borderId="28" xfId="1" applyNumberFormat="1" applyFont="1" applyFill="1" applyBorder="1"/>
    <xf numFmtId="164" fontId="73" fillId="0" borderId="0" xfId="39" applyNumberFormat="1" applyFont="1" applyBorder="1"/>
    <xf numFmtId="0" fontId="52" fillId="0" borderId="45" xfId="0" applyFont="1" applyBorder="1" applyAlignment="1">
      <alignment horizontal="center"/>
    </xf>
    <xf numFmtId="164" fontId="73" fillId="8" borderId="42" xfId="39" applyNumberFormat="1" applyFont="1" applyFill="1" applyBorder="1"/>
    <xf numFmtId="171" fontId="73" fillId="0" borderId="18" xfId="1" applyNumberFormat="1" applyFont="1" applyBorder="1"/>
    <xf numFmtId="0" fontId="54" fillId="0" borderId="0" xfId="0" applyFont="1" applyAlignment="1">
      <alignment horizontal="left" wrapText="1"/>
    </xf>
    <xf numFmtId="0" fontId="70" fillId="0" borderId="4" xfId="37" applyFont="1" applyFill="1" applyBorder="1" applyAlignment="1">
      <alignment horizontal="center"/>
    </xf>
    <xf numFmtId="167" fontId="57" fillId="9" borderId="183" xfId="0" applyNumberFormat="1" applyFont="1" applyFill="1" applyBorder="1"/>
    <xf numFmtId="5" fontId="70" fillId="0" borderId="3" xfId="3" applyNumberFormat="1" applyFont="1" applyFill="1" applyBorder="1" applyAlignment="1">
      <alignment wrapText="1"/>
    </xf>
    <xf numFmtId="7" fontId="73" fillId="0" borderId="0" xfId="3" applyNumberFormat="1" applyFont="1" applyBorder="1" applyAlignment="1"/>
    <xf numFmtId="0" fontId="54" fillId="0" borderId="0" xfId="0" applyFont="1" applyAlignment="1">
      <alignment horizontal="left" wrapText="1"/>
    </xf>
    <xf numFmtId="7" fontId="69" fillId="0" borderId="6" xfId="27" applyNumberFormat="1" applyFont="1" applyFill="1" applyBorder="1" applyAlignment="1">
      <alignment horizontal="center" wrapText="1"/>
    </xf>
    <xf numFmtId="5" fontId="52" fillId="6" borderId="0" xfId="0" applyNumberFormat="1" applyFont="1" applyFill="1" applyBorder="1" applyAlignment="1"/>
    <xf numFmtId="5" fontId="73" fillId="0" borderId="0" xfId="0" applyNumberFormat="1" applyFont="1" applyFill="1" applyBorder="1" applyAlignment="1"/>
    <xf numFmtId="5" fontId="52" fillId="6" borderId="34" xfId="0" applyNumberFormat="1" applyFont="1" applyFill="1" applyBorder="1" applyAlignment="1"/>
    <xf numFmtId="5" fontId="73" fillId="0" borderId="34" xfId="0" applyNumberFormat="1" applyFont="1" applyBorder="1" applyAlignment="1"/>
    <xf numFmtId="5" fontId="52" fillId="6" borderId="9" xfId="0" applyNumberFormat="1" applyFont="1" applyFill="1" applyBorder="1" applyAlignment="1"/>
    <xf numFmtId="5" fontId="73" fillId="0" borderId="3" xfId="0" applyNumberFormat="1" applyFont="1" applyBorder="1" applyAlignment="1"/>
    <xf numFmtId="5" fontId="73" fillId="0" borderId="9" xfId="0" applyNumberFormat="1" applyFont="1" applyFill="1" applyBorder="1" applyAlignment="1"/>
    <xf numFmtId="0" fontId="69" fillId="0" borderId="58" xfId="21" applyFont="1" applyFill="1" applyBorder="1" applyAlignment="1">
      <alignment horizontal="center" wrapText="1"/>
    </xf>
    <xf numFmtId="0" fontId="69" fillId="0" borderId="69" xfId="34" applyFont="1" applyFill="1" applyBorder="1" applyAlignment="1">
      <alignment horizontal="center" wrapText="1"/>
    </xf>
    <xf numFmtId="5" fontId="70" fillId="0" borderId="32" xfId="34" applyNumberFormat="1" applyFont="1" applyFill="1" applyBorder="1" applyAlignment="1">
      <alignment wrapText="1"/>
    </xf>
    <xf numFmtId="5" fontId="52" fillId="6" borderId="37" xfId="3" applyNumberFormat="1" applyFont="1" applyFill="1" applyBorder="1"/>
    <xf numFmtId="0" fontId="54" fillId="0" borderId="0" xfId="0" applyFont="1" applyAlignment="1">
      <alignment horizontal="left" wrapText="1"/>
    </xf>
    <xf numFmtId="0" fontId="84" fillId="0" borderId="193" xfId="36" applyFont="1" applyFill="1" applyBorder="1" applyAlignment="1">
      <alignment horizontal="center"/>
    </xf>
    <xf numFmtId="0" fontId="85" fillId="0" borderId="5" xfId="35" applyFont="1" applyFill="1" applyBorder="1" applyAlignment="1">
      <alignment horizontal="center" wrapText="1"/>
    </xf>
    <xf numFmtId="167" fontId="84" fillId="0" borderId="0" xfId="36" applyNumberFormat="1" applyFont="1" applyFill="1" applyBorder="1" applyAlignment="1">
      <alignment horizontal="right" wrapText="1"/>
    </xf>
    <xf numFmtId="167" fontId="84" fillId="0" borderId="0" xfId="3" applyNumberFormat="1" applyFont="1" applyFill="1" applyBorder="1" applyAlignment="1">
      <alignment wrapText="1"/>
    </xf>
    <xf numFmtId="5" fontId="86" fillId="0" borderId="37" xfId="3" applyNumberFormat="1" applyFont="1" applyFill="1" applyBorder="1" applyAlignment="1">
      <alignment wrapText="1"/>
    </xf>
    <xf numFmtId="5" fontId="87" fillId="6" borderId="75" xfId="3" applyNumberFormat="1" applyFont="1" applyFill="1" applyBorder="1" applyAlignment="1">
      <alignment wrapText="1"/>
    </xf>
    <xf numFmtId="5" fontId="86" fillId="0" borderId="38" xfId="3" applyNumberFormat="1" applyFont="1" applyFill="1" applyBorder="1" applyAlignment="1">
      <alignment wrapText="1"/>
    </xf>
    <xf numFmtId="5" fontId="87" fillId="6" borderId="58" xfId="3" applyNumberFormat="1" applyFont="1" applyFill="1" applyBorder="1" applyAlignment="1">
      <alignment wrapText="1"/>
    </xf>
    <xf numFmtId="0" fontId="87" fillId="0" borderId="5" xfId="37" applyFont="1" applyFill="1" applyBorder="1" applyAlignment="1">
      <alignment horizontal="center" wrapText="1"/>
    </xf>
    <xf numFmtId="5" fontId="86" fillId="0" borderId="39" xfId="3" applyNumberFormat="1" applyFont="1" applyFill="1" applyBorder="1" applyAlignment="1">
      <alignment wrapText="1"/>
    </xf>
    <xf numFmtId="5" fontId="86" fillId="0" borderId="0" xfId="3" applyNumberFormat="1" applyFont="1" applyFill="1" applyBorder="1" applyAlignment="1">
      <alignment wrapText="1"/>
    </xf>
    <xf numFmtId="0" fontId="69" fillId="0" borderId="2" xfId="25" applyFont="1" applyFill="1" applyBorder="1" applyAlignment="1">
      <alignment horizontal="center" wrapText="1"/>
    </xf>
    <xf numFmtId="0" fontId="69" fillId="21" borderId="2" xfId="25" applyFont="1" applyFill="1" applyBorder="1" applyAlignment="1">
      <alignment horizontal="center"/>
    </xf>
    <xf numFmtId="167" fontId="69" fillId="0" borderId="2" xfId="25" applyNumberFormat="1" applyFont="1" applyFill="1" applyBorder="1" applyAlignment="1">
      <alignment horizontal="center" wrapText="1"/>
    </xf>
    <xf numFmtId="167" fontId="69" fillId="21" borderId="2" xfId="25" applyNumberFormat="1" applyFont="1" applyFill="1" applyBorder="1" applyAlignment="1">
      <alignment horizontal="center"/>
    </xf>
    <xf numFmtId="0" fontId="54" fillId="9" borderId="0" xfId="0" applyFont="1" applyFill="1" applyBorder="1" applyAlignment="1">
      <alignment horizontal="left" indent="1"/>
    </xf>
    <xf numFmtId="0" fontId="97" fillId="18" borderId="29" xfId="0" applyFont="1" applyFill="1" applyBorder="1" applyAlignment="1">
      <alignment horizontal="center" wrapText="1"/>
    </xf>
    <xf numFmtId="0" fontId="97" fillId="18" borderId="31" xfId="0" applyFont="1" applyFill="1" applyBorder="1" applyAlignment="1">
      <alignment horizontal="center" wrapText="1"/>
    </xf>
    <xf numFmtId="0" fontId="73" fillId="0" borderId="0" xfId="15" applyFont="1" applyAlignment="1">
      <alignment horizontal="left" wrapText="1"/>
    </xf>
    <xf numFmtId="0" fontId="66" fillId="0" borderId="12" xfId="9" applyFont="1" applyBorder="1" applyAlignment="1">
      <alignment horizontal="center" wrapText="1"/>
    </xf>
    <xf numFmtId="167" fontId="70" fillId="0" borderId="194" xfId="25" applyNumberFormat="1" applyFont="1" applyFill="1" applyBorder="1" applyAlignment="1">
      <alignment wrapText="1"/>
    </xf>
    <xf numFmtId="167" fontId="70" fillId="0" borderId="0" xfId="25" applyNumberFormat="1" applyFont="1" applyFill="1" applyBorder="1" applyAlignment="1">
      <alignment wrapText="1"/>
    </xf>
    <xf numFmtId="0" fontId="87" fillId="21" borderId="98" xfId="20" applyFont="1" applyFill="1" applyBorder="1" applyAlignment="1">
      <alignment horizontal="center" wrapText="1"/>
    </xf>
    <xf numFmtId="0" fontId="87" fillId="21" borderId="103" xfId="20" applyFont="1" applyFill="1" applyBorder="1" applyAlignment="1">
      <alignment horizontal="center" wrapText="1"/>
    </xf>
    <xf numFmtId="5" fontId="87" fillId="22" borderId="75" xfId="3" applyNumberFormat="1" applyFont="1" applyFill="1" applyBorder="1" applyAlignment="1">
      <alignment horizontal="center"/>
    </xf>
    <xf numFmtId="5" fontId="87" fillId="22" borderId="58" xfId="3" applyNumberFormat="1" applyFont="1" applyFill="1" applyBorder="1" applyAlignment="1">
      <alignment horizontal="center"/>
    </xf>
    <xf numFmtId="0" fontId="55" fillId="15" borderId="197" xfId="0" applyFont="1" applyFill="1" applyBorder="1" applyAlignment="1"/>
    <xf numFmtId="0" fontId="74" fillId="15" borderId="196" xfId="0" applyFont="1" applyFill="1" applyBorder="1" applyAlignment="1"/>
    <xf numFmtId="9" fontId="77" fillId="15" borderId="195" xfId="39" applyFont="1" applyFill="1" applyBorder="1"/>
    <xf numFmtId="9" fontId="77" fillId="15" borderId="198" xfId="39" applyFont="1" applyFill="1" applyBorder="1"/>
    <xf numFmtId="9" fontId="77" fillId="15" borderId="199" xfId="39" applyFont="1" applyFill="1" applyBorder="1"/>
    <xf numFmtId="9" fontId="77" fillId="15" borderId="200" xfId="39" applyFont="1" applyFill="1" applyBorder="1"/>
    <xf numFmtId="167" fontId="116" fillId="10" borderId="16" xfId="0" applyNumberFormat="1" applyFont="1" applyFill="1" applyBorder="1"/>
    <xf numFmtId="167" fontId="116" fillId="10" borderId="17" xfId="0" applyNumberFormat="1" applyFont="1" applyFill="1" applyBorder="1"/>
    <xf numFmtId="167" fontId="116" fillId="10" borderId="18" xfId="0" applyNumberFormat="1" applyFont="1" applyFill="1" applyBorder="1"/>
    <xf numFmtId="167" fontId="116" fillId="10" borderId="120" xfId="0" applyNumberFormat="1" applyFont="1" applyFill="1" applyBorder="1"/>
    <xf numFmtId="167" fontId="117" fillId="10" borderId="132" xfId="0" applyNumberFormat="1" applyFont="1" applyFill="1" applyBorder="1"/>
    <xf numFmtId="164" fontId="54" fillId="0" borderId="0" xfId="39" applyNumberFormat="1" applyFont="1"/>
    <xf numFmtId="5" fontId="52" fillId="13" borderId="175" xfId="3" applyNumberFormat="1" applyFont="1" applyFill="1" applyBorder="1"/>
    <xf numFmtId="5" fontId="73" fillId="0" borderId="0" xfId="3" applyNumberFormat="1" applyFont="1"/>
    <xf numFmtId="167" fontId="69" fillId="6" borderId="201" xfId="29" applyNumberFormat="1" applyFont="1" applyFill="1" applyBorder="1" applyAlignment="1">
      <alignment wrapText="1"/>
    </xf>
    <xf numFmtId="0" fontId="52" fillId="0" borderId="2" xfId="0" applyFont="1" applyBorder="1"/>
    <xf numFmtId="5" fontId="86" fillId="0" borderId="0" xfId="38" applyNumberFormat="1" applyFont="1" applyFill="1" applyBorder="1" applyAlignment="1">
      <alignment horizontal="right" wrapText="1"/>
    </xf>
    <xf numFmtId="5" fontId="87" fillId="22" borderId="59" xfId="3" applyNumberFormat="1" applyFont="1" applyFill="1" applyBorder="1" applyAlignment="1">
      <alignment horizontal="center"/>
    </xf>
    <xf numFmtId="0" fontId="87" fillId="0" borderId="202" xfId="20" applyFont="1" applyFill="1" applyBorder="1" applyAlignment="1">
      <alignment horizontal="center" wrapText="1"/>
    </xf>
    <xf numFmtId="5" fontId="87" fillId="22" borderId="6" xfId="3" applyNumberFormat="1" applyFont="1" applyFill="1" applyBorder="1" applyAlignment="1">
      <alignment horizontal="center"/>
    </xf>
    <xf numFmtId="5" fontId="87" fillId="22" borderId="76" xfId="3" applyNumberFormat="1" applyFont="1" applyFill="1" applyBorder="1" applyAlignment="1">
      <alignment horizontal="center"/>
    </xf>
    <xf numFmtId="5" fontId="86" fillId="0" borderId="203" xfId="38" applyNumberFormat="1" applyFont="1" applyFill="1" applyBorder="1" applyAlignment="1">
      <alignment horizontal="right" wrapText="1"/>
    </xf>
    <xf numFmtId="5" fontId="86" fillId="0" borderId="82" xfId="38" applyNumberFormat="1" applyFont="1" applyFill="1" applyBorder="1" applyAlignment="1">
      <alignment horizontal="right" wrapText="1"/>
    </xf>
    <xf numFmtId="5" fontId="86" fillId="0" borderId="9" xfId="38" applyNumberFormat="1" applyFont="1" applyFill="1" applyBorder="1" applyAlignment="1">
      <alignment horizontal="right" wrapText="1"/>
    </xf>
    <xf numFmtId="5" fontId="86" fillId="0" borderId="204" xfId="38" applyNumberFormat="1" applyFont="1" applyFill="1" applyBorder="1" applyAlignment="1">
      <alignment horizontal="right" wrapText="1"/>
    </xf>
    <xf numFmtId="5" fontId="86" fillId="0" borderId="194" xfId="38" applyNumberFormat="1" applyFont="1" applyFill="1" applyBorder="1" applyAlignment="1">
      <alignment horizontal="right" wrapText="1"/>
    </xf>
    <xf numFmtId="5" fontId="86" fillId="0" borderId="205" xfId="38" applyNumberFormat="1" applyFont="1" applyFill="1" applyBorder="1" applyAlignment="1">
      <alignment horizontal="right" wrapText="1"/>
    </xf>
    <xf numFmtId="167" fontId="87" fillId="22" borderId="75" xfId="3" applyNumberFormat="1" applyFont="1" applyFill="1" applyBorder="1" applyAlignment="1">
      <alignment horizontal="center"/>
    </xf>
    <xf numFmtId="167" fontId="87" fillId="22" borderId="58" xfId="3" applyNumberFormat="1" applyFont="1" applyFill="1" applyBorder="1" applyAlignment="1">
      <alignment horizontal="center"/>
    </xf>
    <xf numFmtId="0" fontId="69" fillId="0" borderId="59" xfId="36" applyFont="1" applyFill="1" applyBorder="1" applyAlignment="1">
      <alignment horizontal="center" wrapText="1"/>
    </xf>
    <xf numFmtId="5" fontId="52" fillId="6" borderId="9" xfId="3" applyNumberFormat="1" applyFont="1" applyFill="1" applyBorder="1"/>
    <xf numFmtId="5" fontId="70" fillId="0" borderId="64" xfId="37" applyNumberFormat="1" applyFont="1" applyFill="1" applyBorder="1" applyAlignment="1">
      <alignment horizontal="right" wrapText="1"/>
    </xf>
    <xf numFmtId="5" fontId="73" fillId="0" borderId="206" xfId="0" applyNumberFormat="1" applyFont="1" applyBorder="1"/>
    <xf numFmtId="0" fontId="52" fillId="0" borderId="207" xfId="0" applyFont="1" applyBorder="1" applyAlignment="1">
      <alignment wrapText="1"/>
    </xf>
    <xf numFmtId="5" fontId="52" fillId="6" borderId="207" xfId="0" applyNumberFormat="1" applyFont="1" applyFill="1" applyBorder="1"/>
    <xf numFmtId="0" fontId="54" fillId="9" borderId="208" xfId="0" applyFont="1" applyFill="1" applyBorder="1" applyAlignment="1">
      <alignment horizontal="left" indent="1"/>
    </xf>
    <xf numFmtId="5" fontId="52" fillId="13" borderId="177" xfId="3" applyNumberFormat="1" applyFont="1" applyFill="1" applyBorder="1"/>
    <xf numFmtId="5" fontId="52" fillId="13" borderId="15" xfId="3" applyNumberFormat="1" applyFont="1" applyFill="1" applyBorder="1"/>
    <xf numFmtId="177" fontId="73" fillId="0" borderId="208" xfId="3" applyNumberFormat="1" applyFont="1" applyBorder="1"/>
    <xf numFmtId="177" fontId="52" fillId="0" borderId="177" xfId="3" applyNumberFormat="1" applyFont="1" applyBorder="1"/>
    <xf numFmtId="177" fontId="52" fillId="0" borderId="175" xfId="3" applyNumberFormat="1" applyFont="1" applyBorder="1" applyAlignment="1">
      <alignment wrapText="1"/>
    </xf>
    <xf numFmtId="177" fontId="52" fillId="0" borderId="175" xfId="3" applyNumberFormat="1" applyFont="1" applyBorder="1"/>
    <xf numFmtId="177" fontId="52" fillId="0" borderId="15" xfId="3" applyNumberFormat="1" applyFont="1" applyBorder="1"/>
    <xf numFmtId="164" fontId="52" fillId="13" borderId="13" xfId="39" applyNumberFormat="1" applyFont="1" applyFill="1" applyBorder="1"/>
    <xf numFmtId="164" fontId="52" fillId="13" borderId="14" xfId="39" applyNumberFormat="1" applyFont="1" applyFill="1" applyBorder="1"/>
    <xf numFmtId="164" fontId="52" fillId="13" borderId="15" xfId="39" applyNumberFormat="1" applyFont="1" applyFill="1" applyBorder="1"/>
    <xf numFmtId="164" fontId="73" fillId="0" borderId="12" xfId="39" applyNumberFormat="1" applyFont="1" applyBorder="1"/>
    <xf numFmtId="164" fontId="73" fillId="0" borderId="34" xfId="39" applyNumberFormat="1" applyFont="1" applyBorder="1"/>
    <xf numFmtId="164" fontId="73" fillId="0" borderId="36" xfId="39" applyNumberFormat="1" applyFont="1" applyBorder="1"/>
    <xf numFmtId="164" fontId="73" fillId="0" borderId="33" xfId="39" applyNumberFormat="1" applyFont="1" applyBorder="1"/>
    <xf numFmtId="164" fontId="73" fillId="0" borderId="35" xfId="39" applyNumberFormat="1" applyFont="1" applyBorder="1"/>
    <xf numFmtId="9" fontId="52" fillId="0" borderId="34" xfId="39" applyFont="1" applyBorder="1" applyAlignment="1">
      <alignment wrapText="1"/>
    </xf>
    <xf numFmtId="0" fontId="69" fillId="0" borderId="0" xfId="14" applyFont="1" applyFill="1" applyBorder="1" applyAlignment="1">
      <alignment horizontal="center" wrapText="1"/>
    </xf>
    <xf numFmtId="3" fontId="54" fillId="0" borderId="183" xfId="0" applyNumberFormat="1" applyFont="1" applyBorder="1" applyAlignment="1">
      <alignment horizontal="right" indent="1"/>
    </xf>
    <xf numFmtId="3" fontId="54" fillId="0" borderId="180" xfId="0" applyNumberFormat="1" applyFont="1" applyBorder="1" applyAlignment="1">
      <alignment horizontal="right" indent="1"/>
    </xf>
    <xf numFmtId="171" fontId="54" fillId="0" borderId="206" xfId="1" applyNumberFormat="1" applyFont="1" applyBorder="1" applyAlignment="1">
      <alignment horizontal="right"/>
    </xf>
    <xf numFmtId="3" fontId="54" fillId="11" borderId="183" xfId="0" applyNumberFormat="1" applyFont="1" applyFill="1" applyBorder="1" applyAlignment="1">
      <alignment horizontal="right" indent="1"/>
    </xf>
    <xf numFmtId="3" fontId="54" fillId="11" borderId="180" xfId="0" applyNumberFormat="1" applyFont="1" applyFill="1" applyBorder="1" applyAlignment="1">
      <alignment horizontal="right" indent="1"/>
    </xf>
    <xf numFmtId="171" fontId="54" fillId="11" borderId="206" xfId="1" applyNumberFormat="1" applyFont="1" applyFill="1" applyBorder="1" applyAlignment="1">
      <alignment horizontal="right"/>
    </xf>
    <xf numFmtId="171" fontId="54" fillId="11" borderId="206" xfId="1" applyNumberFormat="1" applyFont="1" applyFill="1" applyBorder="1"/>
    <xf numFmtId="3" fontId="54" fillId="9" borderId="212" xfId="0" applyNumberFormat="1" applyFont="1" applyFill="1" applyBorder="1" applyAlignment="1">
      <alignment horizontal="right" indent="1"/>
    </xf>
    <xf numFmtId="171" fontId="54" fillId="9" borderId="211" xfId="1" applyNumberFormat="1" applyFont="1" applyFill="1" applyBorder="1"/>
    <xf numFmtId="167" fontId="116" fillId="10" borderId="183" xfId="0" applyNumberFormat="1" applyFont="1" applyFill="1" applyBorder="1"/>
    <xf numFmtId="167" fontId="116" fillId="10" borderId="206" xfId="0" applyNumberFormat="1" applyFont="1" applyFill="1" applyBorder="1"/>
    <xf numFmtId="167" fontId="57" fillId="9" borderId="180" xfId="0" applyNumberFormat="1" applyFont="1" applyFill="1" applyBorder="1"/>
    <xf numFmtId="9" fontId="77" fillId="15" borderId="183" xfId="0" applyNumberFormat="1" applyFont="1" applyFill="1" applyBorder="1"/>
    <xf numFmtId="9" fontId="77" fillId="15" borderId="206" xfId="0" applyNumberFormat="1" applyFont="1" applyFill="1" applyBorder="1"/>
    <xf numFmtId="9" fontId="77" fillId="15" borderId="212" xfId="39" applyFont="1" applyFill="1" applyBorder="1"/>
    <xf numFmtId="164" fontId="77" fillId="15" borderId="212" xfId="39" applyNumberFormat="1" applyFont="1" applyFill="1" applyBorder="1"/>
    <xf numFmtId="164" fontId="77" fillId="15" borderId="211" xfId="39" applyNumberFormat="1" applyFont="1" applyFill="1" applyBorder="1"/>
    <xf numFmtId="167" fontId="57" fillId="9" borderId="206" xfId="0" applyNumberFormat="1" applyFont="1" applyFill="1" applyBorder="1"/>
    <xf numFmtId="9" fontId="77" fillId="15" borderId="183" xfId="39" applyFont="1" applyFill="1" applyBorder="1"/>
    <xf numFmtId="9" fontId="77" fillId="15" borderId="206" xfId="39" applyFont="1" applyFill="1" applyBorder="1"/>
    <xf numFmtId="0" fontId="55" fillId="0" borderId="209" xfId="0" applyFont="1" applyFill="1" applyBorder="1" applyAlignment="1"/>
    <xf numFmtId="0" fontId="54" fillId="0" borderId="213" xfId="0" applyFont="1" applyBorder="1" applyAlignment="1"/>
    <xf numFmtId="0" fontId="55" fillId="0" borderId="213" xfId="0" applyFont="1" applyFill="1" applyBorder="1" applyAlignment="1"/>
    <xf numFmtId="9" fontId="57" fillId="0" borderId="212" xfId="39" applyFont="1" applyFill="1" applyBorder="1"/>
    <xf numFmtId="0" fontId="66" fillId="0" borderId="0" xfId="9" applyFont="1"/>
    <xf numFmtId="49" fontId="55" fillId="19" borderId="131" xfId="0" applyNumberFormat="1" applyFont="1" applyFill="1" applyBorder="1" applyAlignment="1">
      <alignment horizontal="center"/>
    </xf>
    <xf numFmtId="0" fontId="54" fillId="0" borderId="184" xfId="0" applyFont="1" applyBorder="1" applyAlignment="1">
      <alignment horizontal="right" indent="1"/>
    </xf>
    <xf numFmtId="3" fontId="54" fillId="0" borderId="185" xfId="0" applyNumberFormat="1" applyFont="1" applyFill="1" applyBorder="1" applyAlignment="1">
      <alignment horizontal="right" indent="1"/>
    </xf>
    <xf numFmtId="3" fontId="54" fillId="0" borderId="186" xfId="0" applyNumberFormat="1" applyFont="1" applyFill="1" applyBorder="1" applyAlignment="1">
      <alignment horizontal="right" indent="1"/>
    </xf>
    <xf numFmtId="0" fontId="54" fillId="0" borderId="114" xfId="0" applyFont="1" applyBorder="1" applyAlignment="1">
      <alignment horizontal="right" indent="1"/>
    </xf>
    <xf numFmtId="3" fontId="54" fillId="0" borderId="115" xfId="0" applyNumberFormat="1" applyFont="1" applyFill="1" applyBorder="1" applyAlignment="1">
      <alignment horizontal="right" indent="1"/>
    </xf>
    <xf numFmtId="3" fontId="54" fillId="0" borderId="116" xfId="0" applyNumberFormat="1" applyFont="1" applyFill="1" applyBorder="1" applyAlignment="1">
      <alignment horizontal="right" indent="1"/>
    </xf>
    <xf numFmtId="0" fontId="54" fillId="0" borderId="137" xfId="0" applyFont="1" applyBorder="1" applyAlignment="1">
      <alignment horizontal="right" indent="1"/>
    </xf>
    <xf numFmtId="0" fontId="54" fillId="0" borderId="138" xfId="0" applyFont="1" applyFill="1" applyBorder="1" applyAlignment="1">
      <alignment horizontal="right" indent="1"/>
    </xf>
    <xf numFmtId="0" fontId="54" fillId="0" borderId="139" xfId="0" applyFont="1" applyFill="1" applyBorder="1" applyAlignment="1">
      <alignment horizontal="right" indent="1"/>
    </xf>
    <xf numFmtId="0" fontId="55" fillId="19" borderId="212" xfId="0" applyFont="1" applyFill="1" applyBorder="1" applyAlignment="1">
      <alignment horizontal="center"/>
    </xf>
    <xf numFmtId="171" fontId="52" fillId="6" borderId="14" xfId="1" applyNumberFormat="1" applyFont="1" applyFill="1" applyBorder="1"/>
    <xf numFmtId="0" fontId="18" fillId="0" borderId="0" xfId="0" applyFont="1"/>
    <xf numFmtId="0" fontId="18" fillId="0" borderId="0" xfId="0" applyFont="1" applyAlignment="1">
      <alignment horizontal="left"/>
    </xf>
    <xf numFmtId="0" fontId="18" fillId="0" borderId="0" xfId="0" applyFont="1" applyAlignment="1"/>
    <xf numFmtId="0" fontId="118" fillId="9" borderId="0" xfId="0" applyFont="1" applyFill="1" applyAlignment="1">
      <alignment vertical="top" wrapText="1"/>
    </xf>
    <xf numFmtId="0" fontId="69" fillId="0" borderId="0" xfId="16" applyFont="1" applyFill="1" applyBorder="1" applyAlignment="1">
      <alignment horizontal="center" vertical="center"/>
    </xf>
    <xf numFmtId="0" fontId="69" fillId="0" borderId="0" xfId="16" applyFont="1" applyAlignment="1">
      <alignment vertical="center"/>
    </xf>
    <xf numFmtId="0" fontId="69" fillId="0" borderId="219" xfId="33" applyFont="1" applyFill="1" applyBorder="1" applyAlignment="1">
      <alignment horizontal="center" wrapText="1"/>
    </xf>
    <xf numFmtId="3" fontId="70" fillId="0" borderId="180" xfId="33" applyNumberFormat="1" applyFont="1" applyFill="1" applyBorder="1" applyAlignment="1">
      <alignment horizontal="right" wrapText="1"/>
    </xf>
    <xf numFmtId="9" fontId="73" fillId="21" borderId="0" xfId="39" applyFont="1" applyFill="1"/>
    <xf numFmtId="0" fontId="73" fillId="0" borderId="34" xfId="0" applyFont="1" applyBorder="1"/>
    <xf numFmtId="3" fontId="79" fillId="0" borderId="22" xfId="14" applyNumberFormat="1" applyFont="1" applyBorder="1"/>
    <xf numFmtId="3" fontId="79" fillId="0" borderId="24" xfId="14" applyNumberFormat="1" applyFont="1" applyBorder="1"/>
    <xf numFmtId="3" fontId="79" fillId="0" borderId="53" xfId="14" applyNumberFormat="1" applyFont="1" applyBorder="1"/>
    <xf numFmtId="3" fontId="70" fillId="0" borderId="180" xfId="33" applyNumberFormat="1" applyFont="1" applyFill="1" applyBorder="1"/>
    <xf numFmtId="0" fontId="54" fillId="9" borderId="208" xfId="0" applyFont="1" applyFill="1" applyBorder="1" applyAlignment="1">
      <alignment horizontal="left" indent="1"/>
    </xf>
    <xf numFmtId="0" fontId="54" fillId="9" borderId="0" xfId="0" applyFont="1" applyFill="1" applyBorder="1" applyAlignment="1">
      <alignment horizontal="left" indent="1"/>
    </xf>
    <xf numFmtId="49" fontId="54" fillId="0" borderId="0" xfId="0" applyNumberFormat="1" applyFont="1" applyAlignment="1">
      <alignment horizontal="left" wrapText="1"/>
    </xf>
    <xf numFmtId="0" fontId="54" fillId="0" borderId="0" xfId="0" applyFont="1" applyAlignment="1">
      <alignment horizontal="left" wrapText="1"/>
    </xf>
    <xf numFmtId="0" fontId="54" fillId="0" borderId="141" xfId="0" applyFont="1" applyFill="1" applyBorder="1" applyAlignment="1">
      <alignment horizontal="left"/>
    </xf>
    <xf numFmtId="0" fontId="54" fillId="0" borderId="142" xfId="0" applyFont="1" applyFill="1" applyBorder="1" applyAlignment="1">
      <alignment horizontal="left"/>
    </xf>
    <xf numFmtId="9" fontId="55" fillId="19" borderId="149" xfId="0" applyNumberFormat="1" applyFont="1" applyFill="1" applyBorder="1" applyAlignment="1">
      <alignment horizontal="center"/>
    </xf>
    <xf numFmtId="9" fontId="55" fillId="19" borderId="150" xfId="0" applyNumberFormat="1" applyFont="1" applyFill="1" applyBorder="1" applyAlignment="1">
      <alignment horizontal="center"/>
    </xf>
    <xf numFmtId="9" fontId="55" fillId="19" borderId="151" xfId="0" applyNumberFormat="1" applyFont="1" applyFill="1" applyBorder="1" applyAlignment="1">
      <alignment horizontal="center"/>
    </xf>
    <xf numFmtId="0" fontId="54" fillId="0" borderId="124" xfId="0" applyFont="1" applyFill="1" applyBorder="1" applyAlignment="1">
      <alignment horizontal="left"/>
    </xf>
    <xf numFmtId="0" fontId="54" fillId="0" borderId="0" xfId="0" applyFont="1" applyFill="1" applyBorder="1" applyAlignment="1">
      <alignment horizontal="left"/>
    </xf>
    <xf numFmtId="0" fontId="54" fillId="0" borderId="33" xfId="0" applyFont="1" applyFill="1" applyBorder="1" applyAlignment="1">
      <alignment horizontal="left"/>
    </xf>
    <xf numFmtId="9" fontId="55" fillId="18" borderId="177" xfId="39" applyFont="1" applyFill="1" applyBorder="1" applyAlignment="1">
      <alignment horizontal="center"/>
    </xf>
    <xf numFmtId="9" fontId="55" fillId="18" borderId="175" xfId="39" applyFont="1" applyFill="1" applyBorder="1" applyAlignment="1">
      <alignment horizontal="center"/>
    </xf>
    <xf numFmtId="9" fontId="55" fillId="18" borderId="15" xfId="39" applyFont="1" applyFill="1" applyBorder="1" applyAlignment="1">
      <alignment horizontal="center"/>
    </xf>
    <xf numFmtId="0" fontId="91" fillId="26" borderId="41" xfId="0" applyFont="1" applyFill="1" applyBorder="1" applyAlignment="1">
      <alignment horizontal="left" vertical="center" wrapText="1"/>
    </xf>
    <xf numFmtId="0" fontId="91" fillId="26" borderId="68" xfId="0" applyFont="1" applyFill="1" applyBorder="1" applyAlignment="1">
      <alignment horizontal="left" vertical="center" wrapText="1"/>
    </xf>
    <xf numFmtId="0" fontId="91" fillId="26" borderId="208" xfId="0" applyFont="1" applyFill="1" applyBorder="1" applyAlignment="1">
      <alignment horizontal="left" vertical="center" wrapText="1"/>
    </xf>
    <xf numFmtId="0" fontId="91" fillId="26" borderId="33" xfId="0" applyFont="1" applyFill="1" applyBorder="1" applyAlignment="1">
      <alignment horizontal="left" vertical="center" wrapText="1"/>
    </xf>
    <xf numFmtId="0" fontId="54" fillId="0" borderId="208" xfId="0" quotePrefix="1" applyFont="1" applyBorder="1" applyAlignment="1">
      <alignment horizontal="left"/>
    </xf>
    <xf numFmtId="0" fontId="54" fillId="0" borderId="33" xfId="0" quotePrefix="1" applyFont="1" applyBorder="1" applyAlignment="1">
      <alignment horizontal="left"/>
    </xf>
    <xf numFmtId="0" fontId="54" fillId="11" borderId="208" xfId="0" quotePrefix="1" applyFont="1" applyFill="1" applyBorder="1" applyAlignment="1">
      <alignment horizontal="left"/>
    </xf>
    <xf numFmtId="0" fontId="54" fillId="11" borderId="33" xfId="0" quotePrefix="1" applyFont="1" applyFill="1" applyBorder="1" applyAlignment="1">
      <alignment horizontal="left"/>
    </xf>
    <xf numFmtId="0" fontId="54" fillId="9" borderId="209" xfId="0" quotePrefix="1" applyFont="1" applyFill="1" applyBorder="1" applyAlignment="1">
      <alignment horizontal="left"/>
    </xf>
    <xf numFmtId="0" fontId="54" fillId="9" borderId="210" xfId="0" quotePrefix="1" applyFont="1" applyFill="1" applyBorder="1" applyAlignment="1">
      <alignment horizontal="left"/>
    </xf>
    <xf numFmtId="0" fontId="57" fillId="0" borderId="40" xfId="0" applyFont="1" applyBorder="1" applyAlignment="1">
      <alignment horizontal="left" vertical="top" wrapText="1"/>
    </xf>
    <xf numFmtId="0" fontId="57" fillId="0" borderId="0" xfId="0" applyFont="1" applyBorder="1" applyAlignment="1">
      <alignment horizontal="left" vertical="top" wrapText="1"/>
    </xf>
    <xf numFmtId="0" fontId="57" fillId="0" borderId="142" xfId="0" applyFont="1" applyBorder="1" applyAlignment="1">
      <alignment horizontal="left" vertical="top" wrapText="1"/>
    </xf>
    <xf numFmtId="0" fontId="55" fillId="19" borderId="177" xfId="0" applyFont="1" applyFill="1" applyBorder="1" applyAlignment="1">
      <alignment horizontal="center" vertical="center"/>
    </xf>
    <xf numFmtId="0" fontId="55" fillId="19" borderId="175" xfId="0" applyFont="1" applyFill="1" applyBorder="1" applyAlignment="1">
      <alignment horizontal="center" vertical="center"/>
    </xf>
    <xf numFmtId="0" fontId="55" fillId="19" borderId="15" xfId="0" applyFont="1" applyFill="1" applyBorder="1" applyAlignment="1">
      <alignment horizontal="center" vertical="center"/>
    </xf>
    <xf numFmtId="9" fontId="55" fillId="19" borderId="177" xfId="39" applyFont="1" applyFill="1" applyBorder="1" applyAlignment="1">
      <alignment horizontal="center"/>
    </xf>
    <xf numFmtId="9" fontId="55" fillId="19" borderId="175" xfId="39" applyFont="1" applyFill="1" applyBorder="1" applyAlignment="1">
      <alignment horizontal="center"/>
    </xf>
    <xf numFmtId="9" fontId="55" fillId="19" borderId="15" xfId="39" applyFont="1" applyFill="1" applyBorder="1" applyAlignment="1">
      <alignment horizontal="center"/>
    </xf>
    <xf numFmtId="0" fontId="91" fillId="26" borderId="158" xfId="0" applyFont="1" applyFill="1" applyBorder="1" applyAlignment="1">
      <alignment horizontal="left" vertical="center"/>
    </xf>
    <xf numFmtId="0" fontId="91" fillId="26" borderId="150" xfId="0" applyFont="1" applyFill="1" applyBorder="1" applyAlignment="1">
      <alignment horizontal="left" vertical="center"/>
    </xf>
    <xf numFmtId="9" fontId="55" fillId="19" borderId="158" xfId="0" applyNumberFormat="1" applyFont="1" applyFill="1" applyBorder="1" applyAlignment="1">
      <alignment horizontal="center"/>
    </xf>
    <xf numFmtId="0" fontId="57" fillId="0" borderId="0" xfId="0" applyFont="1" applyFill="1" applyBorder="1" applyAlignment="1">
      <alignment horizontal="left" vertical="top" wrapText="1"/>
    </xf>
    <xf numFmtId="0" fontId="54" fillId="0" borderId="0" xfId="0" applyFont="1" applyBorder="1" applyAlignment="1">
      <alignment horizontal="center"/>
    </xf>
    <xf numFmtId="0" fontId="54" fillId="10" borderId="13" xfId="0" applyFont="1" applyFill="1" applyBorder="1" applyAlignment="1">
      <alignment horizontal="left"/>
    </xf>
    <xf numFmtId="0" fontId="54" fillId="10" borderId="14" xfId="0" applyFont="1" applyFill="1" applyBorder="1" applyAlignment="1">
      <alignment horizontal="left"/>
    </xf>
    <xf numFmtId="0" fontId="54" fillId="10" borderId="154" xfId="0" applyFont="1" applyFill="1" applyBorder="1" applyAlignment="1">
      <alignment horizontal="left"/>
    </xf>
    <xf numFmtId="0" fontId="54" fillId="28" borderId="155" xfId="0" applyFont="1" applyFill="1" applyBorder="1" applyAlignment="1">
      <alignment horizontal="center"/>
    </xf>
    <xf numFmtId="0" fontId="54" fillId="28" borderId="156" xfId="0" applyFont="1" applyFill="1" applyBorder="1" applyAlignment="1">
      <alignment horizontal="center"/>
    </xf>
    <xf numFmtId="0" fontId="55" fillId="0" borderId="34" xfId="0" applyFont="1" applyFill="1" applyBorder="1" applyAlignment="1">
      <alignment horizontal="center" vertical="center" wrapText="1"/>
    </xf>
    <xf numFmtId="0" fontId="55" fillId="10" borderId="166" xfId="0" applyFont="1" applyFill="1" applyBorder="1" applyAlignment="1">
      <alignment horizontal="center" vertical="center" wrapText="1"/>
    </xf>
    <xf numFmtId="0" fontId="55" fillId="10" borderId="167" xfId="0" applyFont="1" applyFill="1" applyBorder="1" applyAlignment="1">
      <alignment horizontal="center" vertical="center" wrapText="1"/>
    </xf>
    <xf numFmtId="0" fontId="55" fillId="10" borderId="168" xfId="0" applyFont="1" applyFill="1" applyBorder="1" applyAlignment="1">
      <alignment horizontal="center" vertical="center" wrapText="1"/>
    </xf>
    <xf numFmtId="0" fontId="55" fillId="10" borderId="169" xfId="0" applyFont="1" applyFill="1" applyBorder="1" applyAlignment="1">
      <alignment horizontal="center" vertical="center" wrapText="1"/>
    </xf>
    <xf numFmtId="0" fontId="55" fillId="10" borderId="170" xfId="0" applyFont="1" applyFill="1" applyBorder="1" applyAlignment="1">
      <alignment horizontal="center" vertical="center" wrapText="1"/>
    </xf>
    <xf numFmtId="0" fontId="55" fillId="10" borderId="171" xfId="0" applyFont="1" applyFill="1" applyBorder="1" applyAlignment="1">
      <alignment horizontal="center" vertical="center" wrapText="1"/>
    </xf>
    <xf numFmtId="0" fontId="55" fillId="10" borderId="172" xfId="0" applyFont="1" applyFill="1" applyBorder="1" applyAlignment="1">
      <alignment horizontal="center" wrapText="1"/>
    </xf>
    <xf numFmtId="0" fontId="55" fillId="10" borderId="173" xfId="0" applyFont="1" applyFill="1" applyBorder="1" applyAlignment="1">
      <alignment horizontal="center" wrapText="1"/>
    </xf>
    <xf numFmtId="0" fontId="54" fillId="0" borderId="0" xfId="0" applyNumberFormat="1" applyFont="1" applyAlignment="1">
      <alignment horizontal="left" wrapText="1"/>
    </xf>
    <xf numFmtId="0" fontId="74" fillId="15" borderId="208" xfId="0" applyFont="1" applyFill="1" applyBorder="1" applyAlignment="1"/>
    <xf numFmtId="0" fontId="74" fillId="15" borderId="0" xfId="0" applyFont="1" applyFill="1" applyBorder="1" applyAlignment="1"/>
    <xf numFmtId="0" fontId="55" fillId="10" borderId="163" xfId="0" applyFont="1" applyFill="1" applyBorder="1" applyAlignment="1"/>
    <xf numFmtId="0" fontId="55" fillId="10" borderId="152" xfId="0" applyFont="1" applyFill="1" applyBorder="1" applyAlignment="1"/>
    <xf numFmtId="0" fontId="55" fillId="29" borderId="18" xfId="0" applyFont="1" applyFill="1" applyBorder="1" applyAlignment="1">
      <alignment horizontal="center" vertical="center"/>
    </xf>
    <xf numFmtId="0" fontId="55" fillId="29" borderId="159" xfId="0" applyFont="1" applyFill="1" applyBorder="1" applyAlignment="1">
      <alignment horizontal="center" vertical="center"/>
    </xf>
    <xf numFmtId="0" fontId="55" fillId="29" borderId="16" xfId="0" applyFont="1" applyFill="1" applyBorder="1" applyAlignment="1">
      <alignment horizontal="center" vertical="center"/>
    </xf>
    <xf numFmtId="0" fontId="55" fillId="29" borderId="160" xfId="0" applyFont="1" applyFill="1" applyBorder="1" applyAlignment="1">
      <alignment horizontal="center" vertical="center"/>
    </xf>
    <xf numFmtId="0" fontId="55" fillId="19" borderId="161" xfId="0" applyFont="1" applyFill="1" applyBorder="1" applyAlignment="1">
      <alignment horizontal="center" wrapText="1"/>
    </xf>
    <xf numFmtId="0" fontId="93" fillId="0" borderId="34" xfId="0" applyFont="1" applyBorder="1" applyAlignment="1">
      <alignment horizontal="left"/>
    </xf>
    <xf numFmtId="0" fontId="93" fillId="0" borderId="0" xfId="0" applyFont="1" applyBorder="1" applyAlignment="1">
      <alignment horizontal="left"/>
    </xf>
    <xf numFmtId="0" fontId="57" fillId="0" borderId="40" xfId="0" applyFont="1" applyFill="1" applyBorder="1" applyAlignment="1">
      <alignment horizontal="left" vertical="top" wrapText="1"/>
    </xf>
    <xf numFmtId="0" fontId="74" fillId="15" borderId="196" xfId="0" applyFont="1" applyFill="1" applyBorder="1" applyAlignment="1"/>
    <xf numFmtId="0" fontId="74" fillId="15" borderId="197" xfId="0" applyFont="1" applyFill="1" applyBorder="1" applyAlignment="1"/>
    <xf numFmtId="0" fontId="55" fillId="19" borderId="29" xfId="0" applyFont="1" applyFill="1" applyBorder="1" applyAlignment="1">
      <alignment horizontal="center" vertical="center"/>
    </xf>
    <xf numFmtId="0" fontId="55" fillId="19" borderId="206" xfId="0" applyFont="1" applyFill="1" applyBorder="1" applyAlignment="1">
      <alignment horizontal="center" vertical="center"/>
    </xf>
    <xf numFmtId="0" fontId="55" fillId="19" borderId="211" xfId="0" applyFont="1" applyFill="1" applyBorder="1" applyAlignment="1">
      <alignment horizontal="center" vertical="center"/>
    </xf>
    <xf numFmtId="9" fontId="55" fillId="19" borderId="178" xfId="39" applyFont="1" applyFill="1" applyBorder="1" applyAlignment="1">
      <alignment horizontal="center" vertical="center"/>
    </xf>
    <xf numFmtId="9" fontId="55" fillId="19" borderId="20" xfId="39" applyFont="1" applyFill="1" applyBorder="1" applyAlignment="1">
      <alignment horizontal="center" vertical="center"/>
    </xf>
    <xf numFmtId="0" fontId="92" fillId="19" borderId="42" xfId="0" applyFont="1" applyFill="1" applyBorder="1" applyAlignment="1">
      <alignment horizontal="center" vertical="center" wrapText="1"/>
    </xf>
    <xf numFmtId="0" fontId="96" fillId="28" borderId="41" xfId="0" applyFont="1" applyFill="1" applyBorder="1" applyAlignment="1">
      <alignment horizontal="left" wrapText="1"/>
    </xf>
    <xf numFmtId="0" fontId="96" fillId="28" borderId="40" xfId="0" applyFont="1" applyFill="1" applyBorder="1" applyAlignment="1">
      <alignment horizontal="left" wrapText="1"/>
    </xf>
    <xf numFmtId="0" fontId="96" fillId="28" borderId="162" xfId="0" applyFont="1" applyFill="1" applyBorder="1" applyAlignment="1">
      <alignment horizontal="left" wrapText="1"/>
    </xf>
    <xf numFmtId="0" fontId="96" fillId="28" borderId="142" xfId="0" applyFont="1" applyFill="1" applyBorder="1" applyAlignment="1">
      <alignment horizontal="left" wrapText="1"/>
    </xf>
    <xf numFmtId="0" fontId="55" fillId="29" borderId="17" xfId="0" applyFont="1" applyFill="1" applyBorder="1" applyAlignment="1">
      <alignment horizontal="center" vertical="center" wrapText="1"/>
    </xf>
    <xf numFmtId="0" fontId="55" fillId="29" borderId="157" xfId="0" applyFont="1" applyFill="1" applyBorder="1" applyAlignment="1">
      <alignment horizontal="center" vertical="center" wrapText="1"/>
    </xf>
    <xf numFmtId="0" fontId="55" fillId="29" borderId="17" xfId="0" applyFont="1" applyFill="1" applyBorder="1" applyAlignment="1">
      <alignment horizontal="center" vertical="center"/>
    </xf>
    <xf numFmtId="0" fontId="55" fillId="29" borderId="157" xfId="0" applyFont="1" applyFill="1" applyBorder="1" applyAlignment="1">
      <alignment horizontal="center" vertical="center"/>
    </xf>
    <xf numFmtId="0" fontId="55" fillId="18" borderId="19" xfId="0" applyFont="1" applyFill="1" applyBorder="1" applyAlignment="1">
      <alignment horizontal="center"/>
    </xf>
    <xf numFmtId="0" fontId="55" fillId="18" borderId="20" xfId="0" applyFont="1" applyFill="1" applyBorder="1" applyAlignment="1">
      <alignment horizontal="center"/>
    </xf>
    <xf numFmtId="0" fontId="55" fillId="18" borderId="21" xfId="0" applyFont="1" applyFill="1" applyBorder="1" applyAlignment="1">
      <alignment horizontal="center"/>
    </xf>
    <xf numFmtId="9" fontId="101" fillId="30" borderId="0" xfId="39" applyFont="1" applyFill="1" applyAlignment="1">
      <alignment horizontal="center" vertical="center" wrapText="1"/>
    </xf>
    <xf numFmtId="37" fontId="100" fillId="0" borderId="0" xfId="39" applyNumberFormat="1" applyFont="1" applyAlignment="1">
      <alignment horizontal="center" vertical="center"/>
    </xf>
    <xf numFmtId="0" fontId="55" fillId="18" borderId="13" xfId="0" applyFont="1" applyFill="1" applyBorder="1" applyAlignment="1">
      <alignment horizontal="center"/>
    </xf>
    <xf numFmtId="0" fontId="55" fillId="18" borderId="14" xfId="0" applyFont="1" applyFill="1" applyBorder="1" applyAlignment="1">
      <alignment horizontal="center"/>
    </xf>
    <xf numFmtId="0" fontId="55" fillId="18" borderId="15" xfId="0" applyFont="1" applyFill="1" applyBorder="1" applyAlignment="1">
      <alignment horizontal="center"/>
    </xf>
    <xf numFmtId="0" fontId="55" fillId="18" borderId="68" xfId="0" applyFont="1" applyFill="1" applyBorder="1" applyAlignment="1">
      <alignment horizontal="center"/>
    </xf>
    <xf numFmtId="0" fontId="55" fillId="18" borderId="35" xfId="0" applyFont="1" applyFill="1" applyBorder="1" applyAlignment="1">
      <alignment horizontal="center"/>
    </xf>
    <xf numFmtId="0" fontId="55" fillId="19" borderId="145" xfId="0" applyFont="1" applyFill="1" applyBorder="1" applyAlignment="1">
      <alignment horizontal="center" wrapText="1"/>
    </xf>
    <xf numFmtId="0" fontId="55" fillId="19" borderId="211" xfId="0" applyFont="1" applyFill="1" applyBorder="1" applyAlignment="1">
      <alignment horizontal="center" wrapText="1"/>
    </xf>
    <xf numFmtId="0" fontId="106" fillId="0" borderId="0" xfId="0" applyFont="1" applyBorder="1" applyAlignment="1">
      <alignment horizontal="left" vertical="top" wrapText="1"/>
    </xf>
    <xf numFmtId="0" fontId="107" fillId="27" borderId="41" xfId="0" applyFont="1" applyFill="1" applyBorder="1" applyAlignment="1">
      <alignment horizontal="center" vertical="center" wrapText="1"/>
    </xf>
    <xf numFmtId="0" fontId="107" fillId="27" borderId="34" xfId="0" applyFont="1" applyFill="1" applyBorder="1" applyAlignment="1">
      <alignment horizontal="center" vertical="center" wrapText="1"/>
    </xf>
    <xf numFmtId="0" fontId="107" fillId="27" borderId="162" xfId="0" applyFont="1" applyFill="1" applyBorder="1" applyAlignment="1">
      <alignment horizontal="center" vertical="center" wrapText="1"/>
    </xf>
    <xf numFmtId="0" fontId="65" fillId="0" borderId="12" xfId="0" applyFont="1" applyBorder="1" applyAlignment="1">
      <alignment horizontal="center"/>
    </xf>
    <xf numFmtId="0" fontId="62" fillId="14" borderId="177" xfId="0" applyFont="1" applyFill="1" applyBorder="1" applyAlignment="1" applyProtection="1">
      <alignment horizontal="center" vertical="center"/>
      <protection locked="0"/>
    </xf>
    <xf numFmtId="0" fontId="62" fillId="14" borderId="175" xfId="0" applyFont="1" applyFill="1" applyBorder="1" applyAlignment="1" applyProtection="1">
      <alignment horizontal="center" vertical="center"/>
      <protection locked="0"/>
    </xf>
    <xf numFmtId="0" fontId="62" fillId="14" borderId="15" xfId="0" applyFont="1" applyFill="1" applyBorder="1" applyAlignment="1" applyProtection="1">
      <alignment horizontal="center" vertical="center"/>
      <protection locked="0"/>
    </xf>
    <xf numFmtId="0" fontId="55" fillId="0" borderId="0" xfId="0" applyFont="1" applyAlignment="1">
      <alignment horizontal="right"/>
    </xf>
    <xf numFmtId="0" fontId="54" fillId="14" borderId="0" xfId="0" applyFont="1" applyFill="1" applyAlignment="1">
      <alignment horizontal="left"/>
    </xf>
    <xf numFmtId="0" fontId="62" fillId="0" borderId="0" xfId="0" applyFont="1" applyAlignment="1">
      <alignment horizontal="right"/>
    </xf>
    <xf numFmtId="0" fontId="65" fillId="16" borderId="40" xfId="0" applyFont="1" applyFill="1" applyBorder="1" applyAlignment="1">
      <alignment horizontal="center" vertical="center" wrapText="1"/>
    </xf>
    <xf numFmtId="0" fontId="65" fillId="16" borderId="0" xfId="0" applyFont="1" applyFill="1" applyBorder="1" applyAlignment="1">
      <alignment horizontal="center" vertical="center" wrapText="1"/>
    </xf>
    <xf numFmtId="0" fontId="65" fillId="16" borderId="107" xfId="0" applyFont="1" applyFill="1" applyBorder="1" applyAlignment="1">
      <alignment horizontal="center" vertical="center" wrapText="1"/>
    </xf>
    <xf numFmtId="0" fontId="65" fillId="16" borderId="108" xfId="0" applyFont="1" applyFill="1" applyBorder="1" applyAlignment="1">
      <alignment horizontal="center" vertical="center" wrapText="1"/>
    </xf>
    <xf numFmtId="9" fontId="94" fillId="0" borderId="0" xfId="39" applyFont="1" applyAlignment="1">
      <alignment horizontal="center" vertical="center"/>
    </xf>
    <xf numFmtId="0" fontId="55" fillId="0" borderId="0" xfId="0" applyFont="1" applyAlignment="1">
      <alignment horizontal="center"/>
    </xf>
    <xf numFmtId="171" fontId="95" fillId="0" borderId="0" xfId="1" applyNumberFormat="1" applyFont="1" applyAlignment="1">
      <alignment horizontal="center" vertical="center"/>
    </xf>
    <xf numFmtId="0" fontId="96" fillId="27" borderId="41" xfId="0" applyFont="1" applyFill="1" applyBorder="1" applyAlignment="1">
      <alignment horizontal="left" vertical="center"/>
    </xf>
    <xf numFmtId="0" fontId="96" fillId="27" borderId="40" xfId="0" applyFont="1" applyFill="1" applyBorder="1" applyAlignment="1">
      <alignment horizontal="left" vertical="center"/>
    </xf>
    <xf numFmtId="0" fontId="96" fillId="27" borderId="34" xfId="0" applyFont="1" applyFill="1" applyBorder="1" applyAlignment="1">
      <alignment horizontal="left" vertical="center"/>
    </xf>
    <xf numFmtId="0" fontId="96" fillId="27" borderId="0" xfId="0" applyFont="1" applyFill="1" applyBorder="1" applyAlignment="1">
      <alignment horizontal="left" vertical="center"/>
    </xf>
    <xf numFmtId="0" fontId="96" fillId="27" borderId="36" xfId="0" applyFont="1" applyFill="1" applyBorder="1" applyAlignment="1">
      <alignment horizontal="left" vertical="center"/>
    </xf>
    <xf numFmtId="0" fontId="96" fillId="27" borderId="12" xfId="0" applyFont="1" applyFill="1" applyBorder="1" applyAlignment="1">
      <alignment horizontal="left" vertical="center"/>
    </xf>
    <xf numFmtId="0" fontId="62" fillId="6" borderId="29" xfId="0" applyFont="1" applyFill="1" applyBorder="1" applyAlignment="1">
      <alignment horizontal="center" vertical="center"/>
    </xf>
    <xf numFmtId="0" fontId="62" fillId="6" borderId="31" xfId="0" applyFont="1" applyFill="1" applyBorder="1" applyAlignment="1">
      <alignment horizontal="center" vertical="center"/>
    </xf>
    <xf numFmtId="0" fontId="55" fillId="6" borderId="41" xfId="0" applyFont="1" applyFill="1" applyBorder="1" applyAlignment="1">
      <alignment horizontal="center" vertical="center" wrapText="1"/>
    </xf>
    <xf numFmtId="0" fontId="55" fillId="6" borderId="68" xfId="0" applyFont="1" applyFill="1" applyBorder="1" applyAlignment="1">
      <alignment horizontal="center" vertical="center" wrapText="1"/>
    </xf>
    <xf numFmtId="0" fontId="55" fillId="6" borderId="36" xfId="0" applyFont="1" applyFill="1" applyBorder="1" applyAlignment="1">
      <alignment horizontal="center" vertical="center" wrapText="1"/>
    </xf>
    <xf numFmtId="0" fontId="55" fillId="6" borderId="35" xfId="0" applyFont="1" applyFill="1" applyBorder="1" applyAlignment="1">
      <alignment horizontal="center" vertical="center" wrapText="1"/>
    </xf>
    <xf numFmtId="37" fontId="95" fillId="0" borderId="0" xfId="1" applyNumberFormat="1" applyFont="1" applyFill="1" applyAlignment="1">
      <alignment horizontal="center" vertical="center"/>
    </xf>
    <xf numFmtId="0" fontId="93" fillId="0" borderId="36" xfId="0" applyFont="1" applyBorder="1" applyAlignment="1">
      <alignment horizontal="left"/>
    </xf>
    <xf numFmtId="0" fontId="93" fillId="0" borderId="12" xfId="0" applyFont="1" applyBorder="1" applyAlignment="1">
      <alignment horizontal="left"/>
    </xf>
    <xf numFmtId="0" fontId="65" fillId="16" borderId="109" xfId="0" applyFont="1" applyFill="1" applyBorder="1" applyAlignment="1">
      <alignment horizontal="center" vertical="center" wrapText="1"/>
    </xf>
    <xf numFmtId="0" fontId="118" fillId="9" borderId="0" xfId="0" applyFont="1" applyFill="1" applyAlignment="1">
      <alignment horizontal="left" vertical="top" wrapText="1"/>
    </xf>
    <xf numFmtId="0" fontId="91" fillId="25" borderId="144" xfId="0" applyFont="1" applyFill="1" applyBorder="1" applyAlignment="1">
      <alignment horizontal="left" vertical="center" wrapText="1"/>
    </xf>
    <xf numFmtId="0" fontId="91" fillId="25" borderId="124" xfId="0" applyFont="1" applyFill="1" applyBorder="1" applyAlignment="1">
      <alignment horizontal="left" vertical="center" wrapText="1"/>
    </xf>
    <xf numFmtId="0" fontId="97" fillId="19" borderId="29" xfId="0" applyFont="1" applyFill="1" applyBorder="1" applyAlignment="1">
      <alignment horizontal="center" vertical="center" wrapText="1"/>
    </xf>
    <xf numFmtId="0" fontId="97" fillId="19" borderId="211" xfId="0" applyFont="1" applyFill="1" applyBorder="1" applyAlignment="1">
      <alignment horizontal="center" vertical="center" wrapText="1"/>
    </xf>
    <xf numFmtId="0" fontId="108" fillId="6" borderId="0" xfId="0" applyFont="1" applyFill="1" applyAlignment="1">
      <alignment horizontal="left" vertical="top" wrapText="1" indent="1"/>
    </xf>
    <xf numFmtId="0" fontId="55" fillId="18" borderId="29" xfId="0" applyFont="1" applyFill="1" applyBorder="1" applyAlignment="1">
      <alignment horizontal="center" vertical="center" wrapText="1"/>
    </xf>
    <xf numFmtId="0" fontId="55" fillId="18" borderId="30" xfId="0" applyFont="1" applyFill="1" applyBorder="1" applyAlignment="1">
      <alignment horizontal="center" vertical="center" wrapText="1"/>
    </xf>
    <xf numFmtId="0" fontId="55" fillId="18" borderId="31" xfId="0" applyFont="1" applyFill="1" applyBorder="1" applyAlignment="1">
      <alignment horizontal="center" vertical="center" wrapText="1"/>
    </xf>
    <xf numFmtId="0" fontId="54" fillId="0" borderId="0" xfId="0" applyFont="1" applyAlignment="1">
      <alignment horizontal="center"/>
    </xf>
    <xf numFmtId="0" fontId="55" fillId="10" borderId="208" xfId="0" applyFont="1" applyFill="1" applyBorder="1" applyAlignment="1"/>
    <xf numFmtId="0" fontId="55" fillId="10" borderId="0" xfId="0" applyFont="1" applyFill="1" applyBorder="1" applyAlignment="1"/>
    <xf numFmtId="0" fontId="78" fillId="0" borderId="0" xfId="0" applyFont="1" applyAlignment="1">
      <alignment horizontal="center" vertical="center" wrapText="1"/>
    </xf>
    <xf numFmtId="0" fontId="74" fillId="15" borderId="209" xfId="0" applyFont="1" applyFill="1" applyBorder="1" applyAlignment="1"/>
    <xf numFmtId="0" fontId="74" fillId="15" borderId="213" xfId="0" applyFont="1" applyFill="1" applyBorder="1" applyAlignment="1"/>
    <xf numFmtId="0" fontId="55" fillId="10" borderId="41" xfId="0" applyFont="1" applyFill="1" applyBorder="1" applyAlignment="1"/>
    <xf numFmtId="0" fontId="55" fillId="10" borderId="40" xfId="0" applyFont="1" applyFill="1" applyBorder="1" applyAlignment="1"/>
    <xf numFmtId="0" fontId="55" fillId="10" borderId="208" xfId="0" applyFont="1" applyFill="1" applyBorder="1" applyAlignment="1">
      <alignment horizontal="left"/>
    </xf>
    <xf numFmtId="0" fontId="55" fillId="10" borderId="0" xfId="0" applyFont="1" applyFill="1" applyBorder="1" applyAlignment="1">
      <alignment horizontal="left"/>
    </xf>
    <xf numFmtId="0" fontId="55" fillId="0" borderId="0" xfId="0" applyFont="1" applyFill="1" applyBorder="1" applyAlignment="1">
      <alignment horizontal="center" vertical="center" wrapText="1"/>
    </xf>
    <xf numFmtId="164" fontId="54" fillId="0" borderId="0" xfId="39" applyNumberFormat="1" applyFont="1" applyFill="1" applyBorder="1" applyAlignment="1">
      <alignment horizontal="center"/>
    </xf>
    <xf numFmtId="0" fontId="96" fillId="28" borderId="41" xfId="0" applyFont="1" applyFill="1" applyBorder="1" applyAlignment="1">
      <alignment horizontal="left" vertical="center" wrapText="1"/>
    </xf>
    <xf numFmtId="0" fontId="96" fillId="28" borderId="40" xfId="0" applyFont="1" applyFill="1" applyBorder="1" applyAlignment="1">
      <alignment horizontal="left" vertical="center" wrapText="1"/>
    </xf>
    <xf numFmtId="0" fontId="96" fillId="28" borderId="164" xfId="0" applyFont="1" applyFill="1" applyBorder="1" applyAlignment="1">
      <alignment horizontal="left" vertical="center" wrapText="1"/>
    </xf>
    <xf numFmtId="0" fontId="96" fillId="28" borderId="36" xfId="0" applyFont="1" applyFill="1" applyBorder="1" applyAlignment="1">
      <alignment horizontal="left" vertical="center" wrapText="1"/>
    </xf>
    <xf numFmtId="0" fontId="96" fillId="28" borderId="12" xfId="0" applyFont="1" applyFill="1" applyBorder="1" applyAlignment="1">
      <alignment horizontal="left" vertical="center" wrapText="1"/>
    </xf>
    <xf numFmtId="0" fontId="96" fillId="28" borderId="165" xfId="0" applyFont="1" applyFill="1" applyBorder="1" applyAlignment="1">
      <alignment horizontal="left" vertical="center" wrapText="1"/>
    </xf>
    <xf numFmtId="0" fontId="54" fillId="0" borderId="214" xfId="0" applyFont="1" applyFill="1" applyBorder="1" applyAlignment="1">
      <alignment horizontal="left"/>
    </xf>
    <xf numFmtId="0" fontId="54" fillId="0" borderId="215" xfId="0" applyFont="1" applyFill="1" applyBorder="1" applyAlignment="1">
      <alignment horizontal="left"/>
    </xf>
    <xf numFmtId="0" fontId="54" fillId="0" borderId="216" xfId="0" applyFont="1" applyFill="1" applyBorder="1" applyAlignment="1">
      <alignment horizontal="left"/>
    </xf>
    <xf numFmtId="0" fontId="55" fillId="19" borderId="146" xfId="0" applyFont="1" applyFill="1" applyBorder="1" applyAlignment="1">
      <alignment horizontal="center"/>
    </xf>
    <xf numFmtId="0" fontId="55" fillId="19" borderId="148" xfId="0" applyFont="1" applyFill="1" applyBorder="1" applyAlignment="1">
      <alignment horizontal="center"/>
    </xf>
    <xf numFmtId="0" fontId="91" fillId="26" borderId="144" xfId="0" applyFont="1" applyFill="1" applyBorder="1" applyAlignment="1">
      <alignment horizontal="left" vertical="center" wrapText="1"/>
    </xf>
    <xf numFmtId="0" fontId="91" fillId="26" borderId="152" xfId="0" applyFont="1" applyFill="1" applyBorder="1" applyAlignment="1">
      <alignment horizontal="left" vertical="center" wrapText="1"/>
    </xf>
    <xf numFmtId="0" fontId="91" fillId="26" borderId="217" xfId="0" applyFont="1" applyFill="1" applyBorder="1" applyAlignment="1">
      <alignment horizontal="left" vertical="center" wrapText="1"/>
    </xf>
    <xf numFmtId="0" fontId="91" fillId="26" borderId="218" xfId="0" applyFont="1" applyFill="1" applyBorder="1" applyAlignment="1">
      <alignment horizontal="left" vertical="center" wrapText="1"/>
    </xf>
    <xf numFmtId="0" fontId="91" fillId="26" borderId="213" xfId="0" applyFont="1" applyFill="1" applyBorder="1" applyAlignment="1">
      <alignment horizontal="left" vertical="center" wrapText="1"/>
    </xf>
    <xf numFmtId="0" fontId="91" fillId="26" borderId="210" xfId="0" applyFont="1" applyFill="1" applyBorder="1" applyAlignment="1">
      <alignment horizontal="left" vertical="center" wrapText="1"/>
    </xf>
    <xf numFmtId="0" fontId="55" fillId="19" borderId="147" xfId="0" applyFont="1" applyFill="1" applyBorder="1" applyAlignment="1">
      <alignment horizontal="center"/>
    </xf>
    <xf numFmtId="0" fontId="55" fillId="19" borderId="153" xfId="0" applyFont="1" applyFill="1" applyBorder="1" applyAlignment="1">
      <alignment horizontal="center"/>
    </xf>
    <xf numFmtId="0" fontId="103" fillId="26" borderId="13" xfId="0" applyFont="1" applyFill="1" applyBorder="1" applyAlignment="1">
      <alignment horizontal="left" vertical="center" wrapText="1"/>
    </xf>
    <xf numFmtId="0" fontId="103" fillId="26" borderId="14" xfId="0" applyFont="1" applyFill="1" applyBorder="1" applyAlignment="1">
      <alignment horizontal="left" vertical="center" wrapText="1"/>
    </xf>
    <xf numFmtId="0" fontId="57" fillId="0" borderId="40" xfId="0" applyFont="1" applyBorder="1" applyAlignment="1">
      <alignment horizontal="center" vertical="top" wrapText="1"/>
    </xf>
    <xf numFmtId="0" fontId="55" fillId="18" borderId="29" xfId="0" applyFont="1" applyFill="1" applyBorder="1" applyAlignment="1">
      <alignment horizontal="center" vertical="center"/>
    </xf>
    <xf numFmtId="0" fontId="55" fillId="18" borderId="30" xfId="0" applyFont="1" applyFill="1" applyBorder="1" applyAlignment="1">
      <alignment horizontal="center" vertical="center"/>
    </xf>
    <xf numFmtId="0" fontId="55" fillId="18" borderId="31" xfId="0" applyFont="1" applyFill="1" applyBorder="1" applyAlignment="1">
      <alignment horizontal="center" vertical="center"/>
    </xf>
    <xf numFmtId="0" fontId="57" fillId="0" borderId="40" xfId="0" applyFont="1" applyBorder="1" applyAlignment="1">
      <alignment horizontal="center"/>
    </xf>
    <xf numFmtId="0" fontId="104" fillId="31" borderId="174" xfId="0" applyFont="1" applyFill="1" applyBorder="1" applyAlignment="1">
      <alignment horizontal="center" vertical="center" wrapText="1"/>
    </xf>
    <xf numFmtId="0" fontId="107" fillId="31" borderId="28" xfId="0" applyFont="1" applyFill="1" applyBorder="1" applyAlignment="1">
      <alignment horizontal="center" vertical="top" wrapText="1"/>
    </xf>
    <xf numFmtId="0" fontId="107" fillId="31" borderId="177" xfId="0" applyFont="1" applyFill="1" applyBorder="1" applyAlignment="1">
      <alignment horizontal="center" vertical="top"/>
    </xf>
    <xf numFmtId="0" fontId="107" fillId="31" borderId="175" xfId="0" applyFont="1" applyFill="1" applyBorder="1" applyAlignment="1">
      <alignment horizontal="center" vertical="top"/>
    </xf>
    <xf numFmtId="0" fontId="107" fillId="31" borderId="15" xfId="0" applyFont="1" applyFill="1" applyBorder="1" applyAlignment="1">
      <alignment horizontal="center" vertical="top"/>
    </xf>
    <xf numFmtId="9" fontId="115" fillId="0" borderId="0" xfId="0" applyNumberFormat="1" applyFont="1" applyAlignment="1">
      <alignment horizontal="center" vertical="center"/>
    </xf>
    <xf numFmtId="0" fontId="57" fillId="0" borderId="0" xfId="0" applyFont="1" applyFill="1" applyAlignment="1">
      <alignment horizontal="left" vertical="top" wrapText="1"/>
    </xf>
    <xf numFmtId="0" fontId="55" fillId="17" borderId="120" xfId="0" applyFont="1" applyFill="1" applyBorder="1" applyAlignment="1">
      <alignment horizontal="center" vertical="center" wrapText="1"/>
    </xf>
    <xf numFmtId="0" fontId="55" fillId="17" borderId="132" xfId="0" applyFont="1" applyFill="1" applyBorder="1" applyAlignment="1">
      <alignment horizontal="center" vertical="center" wrapText="1"/>
    </xf>
    <xf numFmtId="0" fontId="55" fillId="17" borderId="22" xfId="0" applyFont="1" applyFill="1" applyBorder="1" applyAlignment="1">
      <alignment horizontal="center" vertical="center" wrapText="1"/>
    </xf>
    <xf numFmtId="0" fontId="55" fillId="17" borderId="23" xfId="0" applyFont="1" applyFill="1" applyBorder="1" applyAlignment="1">
      <alignment horizontal="center" vertical="center" wrapText="1"/>
    </xf>
    <xf numFmtId="0" fontId="55" fillId="17" borderId="120" xfId="0" applyFont="1" applyFill="1" applyBorder="1" applyAlignment="1">
      <alignment horizontal="center" vertical="center"/>
    </xf>
    <xf numFmtId="0" fontId="55" fillId="17" borderId="132" xfId="0" applyFont="1" applyFill="1" applyBorder="1" applyAlignment="1">
      <alignment horizontal="center" vertical="center"/>
    </xf>
    <xf numFmtId="0" fontId="55" fillId="17" borderId="22" xfId="0" applyFont="1" applyFill="1" applyBorder="1" applyAlignment="1">
      <alignment horizontal="center" vertical="center"/>
    </xf>
    <xf numFmtId="0" fontId="55" fillId="17" borderId="23" xfId="0" applyFont="1" applyFill="1" applyBorder="1" applyAlignment="1">
      <alignment horizontal="center" vertical="center"/>
    </xf>
    <xf numFmtId="0" fontId="55" fillId="17" borderId="29" xfId="0" applyFont="1" applyFill="1" applyBorder="1" applyAlignment="1">
      <alignment horizontal="center" vertical="center" wrapText="1"/>
    </xf>
    <xf numFmtId="0" fontId="55" fillId="17" borderId="126" xfId="0" applyFont="1" applyFill="1" applyBorder="1" applyAlignment="1">
      <alignment horizontal="center" vertical="center" wrapText="1"/>
    </xf>
    <xf numFmtId="0" fontId="91" fillId="25" borderId="41" xfId="0" applyFont="1" applyFill="1" applyBorder="1" applyAlignment="1">
      <alignment horizontal="left" vertical="center" wrapText="1"/>
    </xf>
    <xf numFmtId="0" fontId="91" fillId="25" borderId="34" xfId="0" applyFont="1" applyFill="1" applyBorder="1" applyAlignment="1">
      <alignment horizontal="left" vertical="center" wrapText="1"/>
    </xf>
    <xf numFmtId="0" fontId="55" fillId="0" borderId="0" xfId="0" applyFont="1" applyFill="1" applyBorder="1" applyAlignment="1">
      <alignment horizontal="center" vertical="center"/>
    </xf>
    <xf numFmtId="49" fontId="67" fillId="0" borderId="0" xfId="0" applyNumberFormat="1" applyFont="1" applyFill="1" applyBorder="1" applyAlignment="1">
      <alignment horizontal="left" wrapText="1"/>
    </xf>
    <xf numFmtId="0" fontId="52" fillId="0" borderId="0" xfId="0" applyFont="1" applyBorder="1" applyAlignment="1">
      <alignment horizontal="center"/>
    </xf>
    <xf numFmtId="0" fontId="52" fillId="0" borderId="33" xfId="0" applyFont="1" applyBorder="1" applyAlignment="1">
      <alignment horizontal="center"/>
    </xf>
    <xf numFmtId="0" fontId="52" fillId="0" borderId="34" xfId="0" applyFont="1" applyBorder="1" applyAlignment="1">
      <alignment horizontal="center"/>
    </xf>
    <xf numFmtId="9" fontId="52" fillId="0" borderId="34" xfId="39" applyFont="1" applyBorder="1" applyAlignment="1">
      <alignment horizontal="center"/>
    </xf>
    <xf numFmtId="9" fontId="52" fillId="0" borderId="0" xfId="39" applyFont="1" applyBorder="1" applyAlignment="1">
      <alignment horizontal="center"/>
    </xf>
    <xf numFmtId="9" fontId="52" fillId="0" borderId="33" xfId="39" applyFont="1" applyBorder="1" applyAlignment="1">
      <alignment horizontal="center"/>
    </xf>
    <xf numFmtId="0" fontId="53" fillId="0" borderId="0" xfId="0" applyFont="1" applyAlignment="1">
      <alignment horizontal="center"/>
    </xf>
    <xf numFmtId="0" fontId="69" fillId="0" borderId="4" xfId="16" applyFont="1" applyBorder="1" applyAlignment="1">
      <alignment horizontal="center"/>
    </xf>
    <xf numFmtId="0" fontId="52" fillId="0" borderId="0" xfId="0" applyFont="1" applyAlignment="1">
      <alignment horizontal="center"/>
    </xf>
    <xf numFmtId="0" fontId="52" fillId="0" borderId="12" xfId="0" applyFont="1" applyBorder="1" applyAlignment="1">
      <alignment horizontal="center"/>
    </xf>
    <xf numFmtId="0" fontId="29" fillId="0" borderId="12" xfId="0" applyFont="1" applyBorder="1" applyAlignment="1">
      <alignment horizontal="center"/>
    </xf>
    <xf numFmtId="0" fontId="29" fillId="0" borderId="0" xfId="0" applyFont="1" applyAlignment="1">
      <alignment horizontal="center"/>
    </xf>
    <xf numFmtId="16" fontId="29" fillId="0" borderId="12" xfId="0" applyNumberFormat="1" applyFont="1" applyBorder="1" applyAlignment="1">
      <alignment horizontal="center"/>
    </xf>
    <xf numFmtId="0" fontId="24" fillId="0" borderId="0" xfId="14" applyFont="1" applyFill="1" applyBorder="1" applyAlignment="1">
      <alignment horizontal="left" vertical="top" wrapText="1"/>
    </xf>
    <xf numFmtId="0" fontId="79" fillId="0" borderId="0" xfId="14" applyFont="1" applyFill="1" applyBorder="1" applyAlignment="1">
      <alignment horizontal="left" vertical="top" wrapText="1"/>
    </xf>
    <xf numFmtId="0" fontId="60" fillId="0" borderId="0" xfId="0" applyFont="1" applyAlignment="1">
      <alignment horizontal="left" vertical="top" wrapText="1"/>
    </xf>
    <xf numFmtId="173" fontId="20" fillId="0" borderId="13" xfId="0" applyNumberFormat="1" applyFont="1" applyFill="1" applyBorder="1" applyAlignment="1" applyProtection="1">
      <alignment horizontal="center" vertical="center"/>
    </xf>
    <xf numFmtId="173" fontId="20" fillId="0" borderId="14" xfId="0" applyNumberFormat="1" applyFont="1" applyFill="1" applyBorder="1" applyAlignment="1" applyProtection="1">
      <alignment horizontal="center" vertical="center"/>
    </xf>
    <xf numFmtId="173" fontId="20" fillId="0" borderId="15" xfId="0" applyNumberFormat="1" applyFont="1" applyFill="1" applyBorder="1" applyAlignment="1" applyProtection="1">
      <alignment horizontal="center" vertical="center"/>
    </xf>
    <xf numFmtId="0" fontId="59" fillId="0" borderId="12" xfId="0" applyFont="1" applyBorder="1" applyAlignment="1">
      <alignment horizontal="center" wrapText="1"/>
    </xf>
    <xf numFmtId="49" fontId="20" fillId="0" borderId="29" xfId="0" applyNumberFormat="1" applyFont="1" applyFill="1" applyBorder="1" applyAlignment="1">
      <alignment horizontal="center" vertical="center"/>
    </xf>
    <xf numFmtId="49" fontId="20" fillId="0" borderId="31" xfId="0" applyNumberFormat="1" applyFont="1" applyFill="1" applyBorder="1" applyAlignment="1">
      <alignment horizontal="center" vertical="center"/>
    </xf>
    <xf numFmtId="173" fontId="20" fillId="0" borderId="29" xfId="0" applyNumberFormat="1" applyFont="1" applyFill="1" applyBorder="1" applyAlignment="1" applyProtection="1">
      <alignment horizontal="center" vertical="center"/>
    </xf>
    <xf numFmtId="173" fontId="20" fillId="0" borderId="31" xfId="0" applyNumberFormat="1" applyFont="1" applyFill="1" applyBorder="1" applyAlignment="1" applyProtection="1">
      <alignment horizontal="center" vertical="center"/>
    </xf>
    <xf numFmtId="0" fontId="112" fillId="0" borderId="178" xfId="0" applyFont="1" applyBorder="1" applyAlignment="1">
      <alignment horizontal="center"/>
    </xf>
    <xf numFmtId="0" fontId="112" fillId="0" borderId="20" xfId="0" applyFont="1" applyBorder="1" applyAlignment="1">
      <alignment horizontal="center"/>
    </xf>
    <xf numFmtId="0" fontId="112" fillId="0" borderId="21" xfId="0" applyFont="1" applyBorder="1" applyAlignment="1">
      <alignment horizontal="center"/>
    </xf>
    <xf numFmtId="0" fontId="112" fillId="0" borderId="175" xfId="0" applyFont="1" applyBorder="1" applyAlignment="1">
      <alignment horizontal="center"/>
    </xf>
    <xf numFmtId="0" fontId="66" fillId="0" borderId="12" xfId="0" applyFont="1" applyBorder="1" applyAlignment="1">
      <alignment horizontal="center" wrapText="1"/>
    </xf>
    <xf numFmtId="0" fontId="66" fillId="0" borderId="0" xfId="0" applyFont="1" applyAlignment="1">
      <alignment horizontal="center"/>
    </xf>
    <xf numFmtId="0" fontId="66" fillId="0" borderId="12" xfId="0" applyFont="1" applyBorder="1" applyAlignment="1">
      <alignment horizontal="center"/>
    </xf>
    <xf numFmtId="0" fontId="59" fillId="0" borderId="0" xfId="0" applyFont="1" applyBorder="1" applyAlignment="1">
      <alignment horizontal="center" wrapText="1"/>
    </xf>
    <xf numFmtId="0" fontId="26" fillId="0" borderId="0" xfId="15" applyFont="1" applyAlignment="1">
      <alignment horizontal="left" wrapText="1"/>
    </xf>
    <xf numFmtId="0" fontId="73" fillId="0" borderId="0" xfId="15" applyFont="1" applyAlignment="1">
      <alignment horizontal="left" wrapText="1"/>
    </xf>
    <xf numFmtId="0" fontId="52" fillId="0" borderId="20" xfId="15" applyFont="1" applyBorder="1" applyAlignment="1">
      <alignment horizontal="center"/>
    </xf>
    <xf numFmtId="0" fontId="52" fillId="0" borderId="21" xfId="15" applyFont="1" applyBorder="1" applyAlignment="1">
      <alignment horizontal="center"/>
    </xf>
    <xf numFmtId="49" fontId="81" fillId="0" borderId="0" xfId="19" applyNumberFormat="1" applyFont="1" applyBorder="1" applyAlignment="1">
      <alignment horizontal="center" wrapText="1"/>
    </xf>
    <xf numFmtId="0" fontId="58" fillId="0" borderId="0" xfId="0" applyFont="1" applyAlignment="1">
      <alignment horizontal="center"/>
    </xf>
    <xf numFmtId="0" fontId="76" fillId="0" borderId="0" xfId="0" applyFont="1" applyAlignment="1">
      <alignment horizontal="center"/>
    </xf>
    <xf numFmtId="0" fontId="66" fillId="0" borderId="12" xfId="9" applyFont="1" applyBorder="1" applyAlignment="1">
      <alignment horizontal="center" wrapText="1"/>
    </xf>
    <xf numFmtId="0" fontId="66" fillId="0" borderId="0" xfId="9" applyFont="1" applyAlignment="1">
      <alignment horizontal="left" vertical="top" wrapText="1"/>
    </xf>
    <xf numFmtId="0" fontId="24" fillId="0" borderId="0" xfId="9" applyFont="1" applyAlignment="1">
      <alignment horizontal="left" vertical="top" wrapText="1"/>
    </xf>
    <xf numFmtId="0" fontId="66" fillId="0" borderId="14" xfId="9" applyFont="1" applyBorder="1" applyAlignment="1">
      <alignment horizontal="center"/>
    </xf>
    <xf numFmtId="0" fontId="70" fillId="0" borderId="0" xfId="16" applyFont="1" applyAlignment="1">
      <alignment horizontal="left" wrapText="1"/>
    </xf>
    <xf numFmtId="0" fontId="26" fillId="0" borderId="0" xfId="16" applyFont="1" applyAlignment="1">
      <alignment horizontal="left" wrapText="1"/>
    </xf>
    <xf numFmtId="0" fontId="30" fillId="0" borderId="0" xfId="14" applyFont="1" applyFill="1" applyBorder="1" applyAlignment="1">
      <alignment horizontal="left" wrapText="1"/>
    </xf>
    <xf numFmtId="0" fontId="79" fillId="0" borderId="0" xfId="14" applyFont="1" applyAlignment="1">
      <alignment horizontal="left" vertical="top" wrapText="1"/>
    </xf>
    <xf numFmtId="0" fontId="26" fillId="0" borderId="0" xfId="14" applyFont="1" applyFill="1" applyBorder="1" applyAlignment="1">
      <alignment horizontal="left" wrapText="1"/>
    </xf>
    <xf numFmtId="0" fontId="66" fillId="0" borderId="0" xfId="9" applyFont="1" applyBorder="1" applyAlignment="1">
      <alignment horizontal="left"/>
    </xf>
    <xf numFmtId="0" fontId="13" fillId="0" borderId="4" xfId="18" applyFont="1" applyBorder="1" applyAlignment="1">
      <alignment horizontal="center"/>
    </xf>
    <xf numFmtId="0" fontId="14" fillId="0" borderId="0" xfId="18" applyFont="1" applyBorder="1" applyAlignment="1">
      <alignment horizontal="center"/>
    </xf>
    <xf numFmtId="0" fontId="5" fillId="0" borderId="0" xfId="18" applyFont="1" applyFill="1" applyBorder="1" applyAlignment="1">
      <alignment horizontal="left" wrapText="1"/>
    </xf>
    <xf numFmtId="0" fontId="5" fillId="0" borderId="33" xfId="18" applyFont="1" applyFill="1" applyBorder="1" applyAlignment="1">
      <alignment horizontal="left" wrapText="1"/>
    </xf>
    <xf numFmtId="0" fontId="14" fillId="0" borderId="12" xfId="18" applyFont="1" applyBorder="1" applyAlignment="1">
      <alignment horizontal="center"/>
    </xf>
    <xf numFmtId="0" fontId="14" fillId="0" borderId="4" xfId="18" applyFont="1" applyBorder="1" applyAlignment="1">
      <alignment horizontal="center"/>
    </xf>
    <xf numFmtId="0" fontId="13" fillId="0" borderId="69" xfId="18" applyFont="1" applyBorder="1" applyAlignment="1">
      <alignment horizontal="center"/>
    </xf>
    <xf numFmtId="9" fontId="52" fillId="0" borderId="41" xfId="39" applyFont="1" applyBorder="1" applyAlignment="1">
      <alignment horizontal="center"/>
    </xf>
    <xf numFmtId="9" fontId="52" fillId="0" borderId="40" xfId="39" applyFont="1" applyBorder="1" applyAlignment="1">
      <alignment horizontal="center"/>
    </xf>
    <xf numFmtId="9" fontId="52" fillId="0" borderId="68" xfId="39" applyFont="1" applyBorder="1" applyAlignment="1">
      <alignment horizontal="center"/>
    </xf>
    <xf numFmtId="177" fontId="52" fillId="0" borderId="41" xfId="3" applyNumberFormat="1" applyFont="1" applyBorder="1" applyAlignment="1">
      <alignment horizontal="center"/>
    </xf>
    <xf numFmtId="177" fontId="52" fillId="0" borderId="40" xfId="3" applyNumberFormat="1" applyFont="1" applyBorder="1" applyAlignment="1">
      <alignment horizontal="center"/>
    </xf>
    <xf numFmtId="177" fontId="52" fillId="0" borderId="68" xfId="3" applyNumberFormat="1" applyFont="1" applyBorder="1" applyAlignment="1">
      <alignment horizontal="center"/>
    </xf>
    <xf numFmtId="0" fontId="52" fillId="0" borderId="41" xfId="0" applyFont="1" applyBorder="1" applyAlignment="1">
      <alignment horizontal="center"/>
    </xf>
    <xf numFmtId="0" fontId="52" fillId="0" borderId="40" xfId="0" applyFont="1" applyBorder="1" applyAlignment="1">
      <alignment horizontal="center"/>
    </xf>
    <xf numFmtId="0" fontId="52" fillId="0" borderId="68" xfId="0" applyFont="1" applyBorder="1" applyAlignment="1">
      <alignment horizontal="center"/>
    </xf>
    <xf numFmtId="177" fontId="52" fillId="0" borderId="177" xfId="3" applyNumberFormat="1" applyFont="1" applyBorder="1" applyAlignment="1">
      <alignment horizontal="center"/>
    </xf>
    <xf numFmtId="177" fontId="52" fillId="0" borderId="175" xfId="3" applyNumberFormat="1" applyFont="1" applyBorder="1" applyAlignment="1">
      <alignment horizontal="center"/>
    </xf>
    <xf numFmtId="177" fontId="52" fillId="0" borderId="15" xfId="3" applyNumberFormat="1" applyFont="1" applyBorder="1" applyAlignment="1">
      <alignment horizontal="center"/>
    </xf>
    <xf numFmtId="0" fontId="52" fillId="0" borderId="19" xfId="0" applyFont="1" applyBorder="1" applyAlignment="1">
      <alignment horizontal="center"/>
    </xf>
    <xf numFmtId="0" fontId="52" fillId="0" borderId="78" xfId="0" applyFont="1" applyBorder="1" applyAlignment="1">
      <alignment horizontal="center"/>
    </xf>
    <xf numFmtId="0" fontId="52" fillId="0" borderId="20" xfId="0" applyFont="1" applyBorder="1" applyAlignment="1">
      <alignment horizontal="center"/>
    </xf>
    <xf numFmtId="0" fontId="52" fillId="0" borderId="21" xfId="0" applyFont="1" applyBorder="1" applyAlignment="1">
      <alignment horizontal="center"/>
    </xf>
    <xf numFmtId="0" fontId="52" fillId="0" borderId="29" xfId="0" applyFont="1" applyBorder="1" applyAlignment="1">
      <alignment horizontal="center" wrapText="1"/>
    </xf>
    <xf numFmtId="0" fontId="52" fillId="0" borderId="31" xfId="0" applyFont="1" applyBorder="1" applyAlignment="1">
      <alignment horizontal="center" wrapText="1"/>
    </xf>
    <xf numFmtId="0" fontId="52" fillId="0" borderId="28" xfId="0" applyFont="1" applyBorder="1" applyAlignment="1">
      <alignment horizontal="center" wrapText="1"/>
    </xf>
    <xf numFmtId="0" fontId="52" fillId="0" borderId="41" xfId="0" applyFont="1" applyBorder="1" applyAlignment="1">
      <alignment horizontal="center" wrapText="1"/>
    </xf>
    <xf numFmtId="0" fontId="52" fillId="0" borderId="40" xfId="0" applyFont="1" applyBorder="1" applyAlignment="1">
      <alignment horizontal="center" wrapText="1"/>
    </xf>
    <xf numFmtId="0" fontId="52" fillId="0" borderId="68" xfId="0" applyFont="1" applyBorder="1" applyAlignment="1">
      <alignment horizontal="center" wrapText="1"/>
    </xf>
    <xf numFmtId="0" fontId="59" fillId="0" borderId="28" xfId="0" applyFont="1" applyBorder="1" applyAlignment="1">
      <alignment horizontal="center" wrapText="1"/>
    </xf>
    <xf numFmtId="0" fontId="20" fillId="0" borderId="0" xfId="0" applyFont="1" applyBorder="1" applyAlignment="1">
      <alignment horizontal="left" vertical="top" wrapText="1"/>
    </xf>
    <xf numFmtId="0" fontId="21" fillId="0" borderId="0" xfId="4" applyFont="1" applyFill="1" applyBorder="1" applyAlignment="1" applyProtection="1">
      <alignment horizontal="left" wrapText="1"/>
    </xf>
    <xf numFmtId="0" fontId="66" fillId="0" borderId="0" xfId="0" applyFont="1" applyBorder="1" applyAlignment="1">
      <alignment horizontal="left" wrapText="1"/>
    </xf>
    <xf numFmtId="0" fontId="53" fillId="0" borderId="14" xfId="0" applyFont="1" applyBorder="1" applyAlignment="1">
      <alignment horizontal="center" wrapText="1"/>
    </xf>
    <xf numFmtId="0" fontId="24" fillId="0" borderId="0" xfId="14" applyFont="1" applyAlignment="1">
      <alignment horizontal="left" vertical="top" wrapText="1"/>
    </xf>
    <xf numFmtId="1" fontId="52" fillId="0" borderId="12" xfId="0" applyNumberFormat="1" applyFont="1" applyBorder="1" applyAlignment="1">
      <alignment horizontal="center"/>
    </xf>
    <xf numFmtId="1" fontId="52" fillId="0" borderId="0" xfId="0" applyNumberFormat="1" applyFont="1" applyAlignment="1">
      <alignment horizontal="center"/>
    </xf>
    <xf numFmtId="0" fontId="73" fillId="0" borderId="0" xfId="9" applyFont="1" applyAlignment="1">
      <alignment horizontal="left" vertical="top" wrapText="1"/>
    </xf>
    <xf numFmtId="0" fontId="79" fillId="0" borderId="0" xfId="9" applyFont="1" applyAlignment="1">
      <alignment horizontal="left" vertical="top" wrapText="1"/>
    </xf>
  </cellXfs>
  <cellStyles count="40">
    <cellStyle name="Comma" xfId="1" builtinId="3"/>
    <cellStyle name="Comma 2" xfId="2"/>
    <cellStyle name="Currency" xfId="3" builtinId="4"/>
    <cellStyle name="Hyperlink" xfId="4" builtinId="8"/>
    <cellStyle name="Hyperlink 2" xfId="5"/>
    <cellStyle name="Normal" xfId="0" builtinId="0"/>
    <cellStyle name="Normal 10" xfId="6"/>
    <cellStyle name="Normal 11" xfId="7"/>
    <cellStyle name="Normal 12" xfId="8"/>
    <cellStyle name="Normal 2" xfId="9"/>
    <cellStyle name="Normal 2 2" xfId="10"/>
    <cellStyle name="Normal 2 3" xfId="11"/>
    <cellStyle name="Normal 2 4" xfId="12"/>
    <cellStyle name="Normal 3" xfId="13"/>
    <cellStyle name="Normal 4" xfId="14"/>
    <cellStyle name="Normal 5" xfId="15"/>
    <cellStyle name="Normal 6" xfId="16"/>
    <cellStyle name="Normal 7" xfId="17"/>
    <cellStyle name="Normal 8" xfId="18"/>
    <cellStyle name="Normal 9" xfId="19"/>
    <cellStyle name="Normal_10 Other Benefits LASER 2011" xfId="20"/>
    <cellStyle name="Normal_3 Other Exp LASER 2011" xfId="21"/>
    <cellStyle name="Normal_5 Medicaid &amp; FAMIS 2011" xfId="22"/>
    <cellStyle name="Normal_6 SNAP LASER 2011" xfId="23"/>
    <cellStyle name="Normal_7 LIHEAP LASER 2011" xfId="24"/>
    <cellStyle name="Normal_Sheet1" xfId="25"/>
    <cellStyle name="Normal_Sheet1 2" xfId="26"/>
    <cellStyle name="Normal_Sheet2" xfId="27"/>
    <cellStyle name="Normal_Sheet2 2" xfId="28"/>
    <cellStyle name="Normal_Sheet2_1" xfId="29"/>
    <cellStyle name="Normal_Sheet3" xfId="30"/>
    <cellStyle name="Normal_Sheet4" xfId="31"/>
    <cellStyle name="Normal_Sheet4_1" xfId="32"/>
    <cellStyle name="Normal_Sheet4_2" xfId="33"/>
    <cellStyle name="Normal_Sheet5" xfId="34"/>
    <cellStyle name="Normal_Sheet6" xfId="35"/>
    <cellStyle name="Normal_Sheet7" xfId="36"/>
    <cellStyle name="Normal_Sheet8" xfId="37"/>
    <cellStyle name="Normal_Sheet9" xfId="38"/>
    <cellStyle name="Percent" xfId="39" builtinId="5"/>
  </cellStyles>
  <dxfs count="6">
    <dxf>
      <font>
        <b/>
        <i val="0"/>
        <color rgb="FFFF0000"/>
      </font>
    </dxf>
    <dxf>
      <font>
        <condense val="0"/>
        <extend val="0"/>
        <color rgb="FF9C0006"/>
      </font>
      <fill>
        <patternFill>
          <bgColor rgb="FFFFC7CE"/>
        </patternFill>
      </fill>
    </dxf>
    <dxf>
      <font>
        <b/>
        <i val="0"/>
        <color rgb="FFFF0000"/>
      </font>
    </dxf>
    <dxf>
      <font>
        <condense val="0"/>
        <extend val="0"/>
        <color rgb="FF9C0006"/>
      </font>
      <fill>
        <patternFill>
          <bgColor rgb="FFFFC7CE"/>
        </patternFill>
      </fill>
    </dxf>
    <dxf>
      <font>
        <b/>
        <i val="0"/>
        <color rgb="FFFF0000"/>
      </font>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1"/>
  <c:style val="7"/>
  <c:chart>
    <c:title>
      <c:tx>
        <c:rich>
          <a:bodyPr/>
          <a:lstStyle/>
          <a:p>
            <a:pPr>
              <a:defRPr sz="1000">
                <a:latin typeface="+mj-lt"/>
              </a:defRPr>
            </a:pPr>
            <a:r>
              <a:rPr lang="en-US" sz="1000">
                <a:latin typeface="+mj-lt"/>
              </a:rPr>
              <a:t>Percent of Work-Eligible Adults who are Unemployed, 2003-2013</a:t>
            </a:r>
          </a:p>
        </c:rich>
      </c:tx>
      <c:layout>
        <c:manualLayout>
          <c:xMode val="edge"/>
          <c:yMode val="edge"/>
          <c:x val="0.17044581383848839"/>
          <c:y val="7.1399491094148032E-2"/>
        </c:manualLayout>
      </c:layout>
    </c:title>
    <c:plotArea>
      <c:layout>
        <c:manualLayout>
          <c:layoutTarget val="inner"/>
          <c:xMode val="edge"/>
          <c:yMode val="edge"/>
          <c:x val="0.13897504893237494"/>
          <c:y val="0.1526807893783152"/>
          <c:w val="0.80175410152944593"/>
          <c:h val="0.48432633420823118"/>
        </c:manualLayout>
      </c:layout>
      <c:lineChart>
        <c:grouping val="standard"/>
        <c:ser>
          <c:idx val="0"/>
          <c:order val="0"/>
          <c:tx>
            <c:strRef>
              <c:f>Profile!$D$3</c:f>
              <c:strCache>
                <c:ptCount val="1"/>
                <c:pt idx="0">
                  <c:v>Galax</c:v>
                </c:pt>
              </c:strCache>
            </c:strRef>
          </c:tx>
          <c:marker>
            <c:symbol val="none"/>
          </c:marker>
          <c:cat>
            <c:numRef>
              <c:f>Profile!$B$45:$B$55</c:f>
              <c:numCache>
                <c:formatCode>General</c:formatCode>
                <c:ptCount val="11"/>
                <c:pt idx="0">
                  <c:v>2003</c:v>
                </c:pt>
                <c:pt idx="1">
                  <c:v>2004</c:v>
                </c:pt>
                <c:pt idx="2">
                  <c:v>2005</c:v>
                </c:pt>
                <c:pt idx="3">
                  <c:v>2006</c:v>
                </c:pt>
                <c:pt idx="4">
                  <c:v>2007</c:v>
                </c:pt>
                <c:pt idx="5">
                  <c:v>2008</c:v>
                </c:pt>
                <c:pt idx="6">
                  <c:v>2009</c:v>
                </c:pt>
                <c:pt idx="7">
                  <c:v>2010</c:v>
                </c:pt>
                <c:pt idx="8">
                  <c:v>2011</c:v>
                </c:pt>
                <c:pt idx="9">
                  <c:v>2012</c:v>
                </c:pt>
                <c:pt idx="10">
                  <c:v>2013</c:v>
                </c:pt>
              </c:numCache>
            </c:numRef>
          </c:cat>
          <c:val>
            <c:numRef>
              <c:f>Profile!$D$45:$D$55</c:f>
              <c:numCache>
                <c:formatCode>0.0%</c:formatCode>
                <c:ptCount val="11"/>
                <c:pt idx="0">
                  <c:v>6.3804052010886E-2</c:v>
                </c:pt>
                <c:pt idx="1">
                  <c:v>5.520702634880803E-2</c:v>
                </c:pt>
                <c:pt idx="2">
                  <c:v>5.0814956855225309E-2</c:v>
                </c:pt>
                <c:pt idx="3">
                  <c:v>6.025683240039513E-2</c:v>
                </c:pt>
                <c:pt idx="4">
                  <c:v>5.6913183279742763E-2</c:v>
                </c:pt>
                <c:pt idx="5">
                  <c:v>6.1263560944479899E-2</c:v>
                </c:pt>
                <c:pt idx="6">
                  <c:v>0.10040036957191253</c:v>
                </c:pt>
                <c:pt idx="7">
                  <c:v>0.11121524523586379</c:v>
                </c:pt>
                <c:pt idx="8">
                  <c:v>0.10094936708860759</c:v>
                </c:pt>
                <c:pt idx="9">
                  <c:v>8.7131367292225204E-2</c:v>
                </c:pt>
                <c:pt idx="10">
                  <c:v>8.5438829787234036E-2</c:v>
                </c:pt>
              </c:numCache>
            </c:numRef>
          </c:val>
        </c:ser>
        <c:ser>
          <c:idx val="1"/>
          <c:order val="1"/>
          <c:tx>
            <c:strRef>
              <c:f>Profile!$E$42</c:f>
              <c:strCache>
                <c:ptCount val="1"/>
                <c:pt idx="0">
                  <c:v>Western</c:v>
                </c:pt>
              </c:strCache>
            </c:strRef>
          </c:tx>
          <c:spPr>
            <a:ln>
              <a:prstDash val="sysDot"/>
            </a:ln>
          </c:spPr>
          <c:marker>
            <c:symbol val="none"/>
          </c:marker>
          <c:cat>
            <c:numRef>
              <c:f>Profile!$B$45:$B$55</c:f>
              <c:numCache>
                <c:formatCode>General</c:formatCode>
                <c:ptCount val="11"/>
                <c:pt idx="0">
                  <c:v>2003</c:v>
                </c:pt>
                <c:pt idx="1">
                  <c:v>2004</c:v>
                </c:pt>
                <c:pt idx="2">
                  <c:v>2005</c:v>
                </c:pt>
                <c:pt idx="3">
                  <c:v>2006</c:v>
                </c:pt>
                <c:pt idx="4">
                  <c:v>2007</c:v>
                </c:pt>
                <c:pt idx="5">
                  <c:v>2008</c:v>
                </c:pt>
                <c:pt idx="6">
                  <c:v>2009</c:v>
                </c:pt>
                <c:pt idx="7">
                  <c:v>2010</c:v>
                </c:pt>
                <c:pt idx="8">
                  <c:v>2011</c:v>
                </c:pt>
                <c:pt idx="9">
                  <c:v>2012</c:v>
                </c:pt>
                <c:pt idx="10">
                  <c:v>2013</c:v>
                </c:pt>
              </c:numCache>
            </c:numRef>
          </c:cat>
          <c:val>
            <c:numRef>
              <c:f>Profile!$E$45:$E$55</c:f>
              <c:numCache>
                <c:formatCode>0.0%</c:formatCode>
                <c:ptCount val="11"/>
                <c:pt idx="0">
                  <c:v>5.6062505678204776E-2</c:v>
                </c:pt>
                <c:pt idx="1">
                  <c:v>4.9803733701727221E-2</c:v>
                </c:pt>
                <c:pt idx="2">
                  <c:v>4.6585865926137393E-2</c:v>
                </c:pt>
                <c:pt idx="3">
                  <c:v>4.2236984855915705E-2</c:v>
                </c:pt>
                <c:pt idx="4">
                  <c:v>4.4953707811991601E-2</c:v>
                </c:pt>
                <c:pt idx="5">
                  <c:v>5.2288495169289871E-2</c:v>
                </c:pt>
                <c:pt idx="6">
                  <c:v>9.1706631941871258E-2</c:v>
                </c:pt>
                <c:pt idx="7">
                  <c:v>9.1026399268777897E-2</c:v>
                </c:pt>
                <c:pt idx="8">
                  <c:v>7.946351107255116E-2</c:v>
                </c:pt>
                <c:pt idx="9">
                  <c:v>7.4349172729448798E-2</c:v>
                </c:pt>
                <c:pt idx="10">
                  <c:v>7.3725547232928512E-2</c:v>
                </c:pt>
              </c:numCache>
            </c:numRef>
          </c:val>
        </c:ser>
        <c:ser>
          <c:idx val="2"/>
          <c:order val="2"/>
          <c:tx>
            <c:strRef>
              <c:f>Profile!$F$42</c:f>
              <c:strCache>
                <c:ptCount val="1"/>
                <c:pt idx="0">
                  <c:v>Statewide</c:v>
                </c:pt>
              </c:strCache>
            </c:strRef>
          </c:tx>
          <c:marker>
            <c:symbol val="none"/>
          </c:marker>
          <c:cat>
            <c:numRef>
              <c:f>Profile!$B$45:$B$55</c:f>
              <c:numCache>
                <c:formatCode>General</c:formatCode>
                <c:ptCount val="11"/>
                <c:pt idx="0">
                  <c:v>2003</c:v>
                </c:pt>
                <c:pt idx="1">
                  <c:v>2004</c:v>
                </c:pt>
                <c:pt idx="2">
                  <c:v>2005</c:v>
                </c:pt>
                <c:pt idx="3">
                  <c:v>2006</c:v>
                </c:pt>
                <c:pt idx="4">
                  <c:v>2007</c:v>
                </c:pt>
                <c:pt idx="5">
                  <c:v>2008</c:v>
                </c:pt>
                <c:pt idx="6">
                  <c:v>2009</c:v>
                </c:pt>
                <c:pt idx="7">
                  <c:v>2010</c:v>
                </c:pt>
                <c:pt idx="8">
                  <c:v>2011</c:v>
                </c:pt>
                <c:pt idx="9">
                  <c:v>2012</c:v>
                </c:pt>
                <c:pt idx="10">
                  <c:v>2013</c:v>
                </c:pt>
              </c:numCache>
            </c:numRef>
          </c:cat>
          <c:val>
            <c:numRef>
              <c:f>Profile!$F$45:$F$55</c:f>
              <c:numCache>
                <c:formatCode>0.0%</c:formatCode>
                <c:ptCount val="11"/>
                <c:pt idx="0">
                  <c:v>4.0951027325666245E-2</c:v>
                </c:pt>
                <c:pt idx="1">
                  <c:v>3.6983564098822252E-2</c:v>
                </c:pt>
                <c:pt idx="2">
                  <c:v>3.5184099138150848E-2</c:v>
                </c:pt>
                <c:pt idx="3">
                  <c:v>3.042605361214783E-2</c:v>
                </c:pt>
                <c:pt idx="4">
                  <c:v>3.0637117624127935E-2</c:v>
                </c:pt>
                <c:pt idx="5">
                  <c:v>3.9533104507533175E-2</c:v>
                </c:pt>
                <c:pt idx="6">
                  <c:v>6.9500899241383113E-2</c:v>
                </c:pt>
                <c:pt idx="7">
                  <c:v>7.0996273411972191E-2</c:v>
                </c:pt>
                <c:pt idx="8">
                  <c:v>6.4437374190308969E-2</c:v>
                </c:pt>
                <c:pt idx="9">
                  <c:v>5.8774345474193433E-2</c:v>
                </c:pt>
                <c:pt idx="10">
                  <c:v>5.5454654156622714E-2</c:v>
                </c:pt>
              </c:numCache>
            </c:numRef>
          </c:val>
        </c:ser>
        <c:marker val="1"/>
        <c:axId val="108603264"/>
        <c:axId val="108604800"/>
      </c:lineChart>
      <c:catAx>
        <c:axId val="108603264"/>
        <c:scaling>
          <c:orientation val="minMax"/>
        </c:scaling>
        <c:axPos val="b"/>
        <c:numFmt formatCode="General" sourceLinked="1"/>
        <c:tickLblPos val="nextTo"/>
        <c:txPr>
          <a:bodyPr rot="-1500000" vert="horz"/>
          <a:lstStyle/>
          <a:p>
            <a:pPr>
              <a:defRPr/>
            </a:pPr>
            <a:endParaRPr lang="en-US"/>
          </a:p>
        </c:txPr>
        <c:crossAx val="108604800"/>
        <c:crosses val="autoZero"/>
        <c:auto val="1"/>
        <c:lblAlgn val="ctr"/>
        <c:lblOffset val="100"/>
        <c:tickLblSkip val="1"/>
        <c:tickMarkSkip val="1"/>
      </c:catAx>
      <c:valAx>
        <c:axId val="108604800"/>
        <c:scaling>
          <c:orientation val="minMax"/>
        </c:scaling>
        <c:axPos val="l"/>
        <c:majorGridlines>
          <c:spPr>
            <a:ln>
              <a:solidFill>
                <a:schemeClr val="bg1"/>
              </a:solidFill>
            </a:ln>
          </c:spPr>
        </c:majorGridlines>
        <c:title>
          <c:tx>
            <c:rich>
              <a:bodyPr/>
              <a:lstStyle/>
              <a:p>
                <a:pPr>
                  <a:defRPr/>
                </a:pPr>
                <a:r>
                  <a:rPr lang="en-US"/>
                  <a:t>Percentage (%)</a:t>
                </a:r>
              </a:p>
            </c:rich>
          </c:tx>
          <c:layout>
            <c:manualLayout>
              <c:xMode val="edge"/>
              <c:yMode val="edge"/>
              <c:x val="3.704058731788961E-2"/>
              <c:y val="0.22067119472661337"/>
            </c:manualLayout>
          </c:layout>
        </c:title>
        <c:numFmt formatCode="0%" sourceLinked="0"/>
        <c:tickLblPos val="nextTo"/>
        <c:spPr>
          <a:ln>
            <a:noFill/>
          </a:ln>
        </c:spPr>
        <c:txPr>
          <a:bodyPr rot="0" vert="horz"/>
          <a:lstStyle/>
          <a:p>
            <a:pPr>
              <a:defRPr/>
            </a:pPr>
            <a:endParaRPr lang="en-US"/>
          </a:p>
        </c:txPr>
        <c:crossAx val="108603264"/>
        <c:crosses val="autoZero"/>
        <c:crossBetween val="midCat"/>
      </c:valAx>
      <c:spPr>
        <a:noFill/>
        <a:ln>
          <a:solidFill>
            <a:schemeClr val="accent5">
              <a:lumMod val="75000"/>
            </a:schemeClr>
          </a:solidFill>
        </a:ln>
      </c:spPr>
    </c:plotArea>
    <c:legend>
      <c:legendPos val="b"/>
      <c:layout>
        <c:manualLayout>
          <c:xMode val="edge"/>
          <c:yMode val="edge"/>
          <c:x val="9.0534063676824175E-3"/>
          <c:y val="0.77115986455891872"/>
          <c:w val="0.97708775533493097"/>
          <c:h val="8.8239065536656169E-2"/>
        </c:manualLayout>
      </c:layout>
    </c:legend>
    <c:plotVisOnly val="1"/>
    <c:dispBlanksAs val="gap"/>
  </c:chart>
  <c:spPr>
    <a:ln w="15875">
      <a:solidFill>
        <a:schemeClr val="accent5">
          <a:lumMod val="75000"/>
        </a:schemeClr>
      </a:solidFill>
    </a:ln>
  </c:spPr>
  <c:printSettings>
    <c:headerFooter/>
    <c:pageMargins b="0.75000000000001388" l="0.70000000000000062" r="0.70000000000000062" t="0.75000000000001388" header="0.30000000000000032" footer="0.30000000000000032"/>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1"/>
  <c:style val="6"/>
  <c:chart>
    <c:title>
      <c:tx>
        <c:rich>
          <a:bodyPr/>
          <a:lstStyle/>
          <a:p>
            <a:pPr>
              <a:defRPr sz="1000">
                <a:latin typeface="+mj-lt"/>
                <a:cs typeface="Times New Roman" pitchFamily="18" charset="0"/>
              </a:defRPr>
            </a:pPr>
            <a:r>
              <a:rPr lang="en-US" sz="1000">
                <a:latin typeface="+mj-lt"/>
                <a:cs typeface="Times New Roman" pitchFamily="18" charset="0"/>
              </a:rPr>
              <a:t>TANF Clients by State Fiscal Year</a:t>
            </a:r>
          </a:p>
        </c:rich>
      </c:tx>
      <c:layout>
        <c:manualLayout>
          <c:xMode val="edge"/>
          <c:yMode val="edge"/>
          <c:x val="0.15003927611673928"/>
          <c:y val="1.6872477147253259E-2"/>
        </c:manualLayout>
      </c:layout>
    </c:title>
    <c:plotArea>
      <c:layout>
        <c:manualLayout>
          <c:layoutTarget val="inner"/>
          <c:xMode val="edge"/>
          <c:yMode val="edge"/>
          <c:x val="0.19573838473054841"/>
          <c:y val="0.16463268228884667"/>
          <c:w val="0.75290123340788417"/>
          <c:h val="0.57219804959714204"/>
        </c:manualLayout>
      </c:layout>
      <c:barChart>
        <c:barDir val="col"/>
        <c:grouping val="clustered"/>
        <c:ser>
          <c:idx val="0"/>
          <c:order val="0"/>
          <c:tx>
            <c:strRef>
              <c:f>Profile!$E$80</c:f>
              <c:strCache>
                <c:ptCount val="1"/>
                <c:pt idx="0">
                  <c:v>TANF</c:v>
                </c:pt>
              </c:strCache>
            </c:strRef>
          </c:tx>
          <c:spPr>
            <a:ln>
              <a:noFill/>
              <a:prstDash val="lgDashDotDot"/>
            </a:ln>
          </c:spPr>
          <c:dLbls>
            <c:showVal val="1"/>
          </c:dLbls>
          <c:cat>
            <c:numRef>
              <c:f>Profile!$B$82:$B$86</c:f>
              <c:numCache>
                <c:formatCode>General</c:formatCode>
                <c:ptCount val="5"/>
                <c:pt idx="0">
                  <c:v>2010</c:v>
                </c:pt>
                <c:pt idx="1">
                  <c:v>2011</c:v>
                </c:pt>
                <c:pt idx="2">
                  <c:v>2012</c:v>
                </c:pt>
                <c:pt idx="3">
                  <c:v>2013</c:v>
                </c:pt>
                <c:pt idx="4">
                  <c:v>2014</c:v>
                </c:pt>
              </c:numCache>
            </c:numRef>
          </c:cat>
          <c:val>
            <c:numRef>
              <c:f>Profile!$E$82:$E$86</c:f>
              <c:numCache>
                <c:formatCode>#,##0</c:formatCode>
                <c:ptCount val="5"/>
                <c:pt idx="0">
                  <c:v>559</c:v>
                </c:pt>
                <c:pt idx="1">
                  <c:v>480</c:v>
                </c:pt>
                <c:pt idx="2">
                  <c:v>426</c:v>
                </c:pt>
                <c:pt idx="3">
                  <c:v>368</c:v>
                </c:pt>
                <c:pt idx="4">
                  <c:v>280</c:v>
                </c:pt>
              </c:numCache>
            </c:numRef>
          </c:val>
        </c:ser>
        <c:axId val="110498560"/>
        <c:axId val="110500096"/>
      </c:barChart>
      <c:catAx>
        <c:axId val="110498560"/>
        <c:scaling>
          <c:orientation val="minMax"/>
        </c:scaling>
        <c:axPos val="b"/>
        <c:numFmt formatCode="General" sourceLinked="1"/>
        <c:tickLblPos val="nextTo"/>
        <c:txPr>
          <a:bodyPr rot="0" vert="horz"/>
          <a:lstStyle/>
          <a:p>
            <a:pPr>
              <a:defRPr/>
            </a:pPr>
            <a:endParaRPr lang="en-US"/>
          </a:p>
        </c:txPr>
        <c:crossAx val="110500096"/>
        <c:crosses val="autoZero"/>
        <c:auto val="1"/>
        <c:lblAlgn val="ctr"/>
        <c:lblOffset val="100"/>
      </c:catAx>
      <c:valAx>
        <c:axId val="110500096"/>
        <c:scaling>
          <c:orientation val="minMax"/>
        </c:scaling>
        <c:axPos val="l"/>
        <c:majorGridlines>
          <c:spPr>
            <a:ln>
              <a:solidFill>
                <a:schemeClr val="bg1"/>
              </a:solidFill>
            </a:ln>
          </c:spPr>
        </c:majorGridlines>
        <c:numFmt formatCode="#,##0" sourceLinked="1"/>
        <c:tickLblPos val="nextTo"/>
        <c:txPr>
          <a:bodyPr rot="0" vert="horz"/>
          <a:lstStyle/>
          <a:p>
            <a:pPr>
              <a:defRPr/>
            </a:pPr>
            <a:endParaRPr lang="en-US"/>
          </a:p>
        </c:txPr>
        <c:crossAx val="110498560"/>
        <c:crosses val="autoZero"/>
        <c:crossBetween val="between"/>
      </c:valAx>
    </c:plotArea>
    <c:plotVisOnly val="1"/>
    <c:dispBlanksAs val="gap"/>
  </c:chart>
  <c:spPr>
    <a:ln w="19050">
      <a:solidFill>
        <a:srgbClr val="8064A2">
          <a:lumMod val="75000"/>
        </a:srgbClr>
      </a:solidFill>
    </a:ln>
  </c:spPr>
  <c:printSettings>
    <c:headerFooter/>
    <c:pageMargins b="0.75000000000001388" l="0.25" r="0.25" t="0.75000000000001388" header="0.30000000000000032" footer="0.30000000000000032"/>
    <c:pageSetup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1"/>
  <c:style val="7"/>
  <c:chart>
    <c:title>
      <c:tx>
        <c:rich>
          <a:bodyPr/>
          <a:lstStyle/>
          <a:p>
            <a:pPr>
              <a:defRPr sz="1000">
                <a:latin typeface="+mj-lt"/>
              </a:defRPr>
            </a:pPr>
            <a:r>
              <a:rPr lang="en-US" sz="1000">
                <a:latin typeface="+mj-lt"/>
              </a:rPr>
              <a:t>Percentage of People (All Ages) Living in Poverty, </a:t>
            </a:r>
          </a:p>
          <a:p>
            <a:pPr>
              <a:defRPr sz="1000">
                <a:latin typeface="+mj-lt"/>
              </a:defRPr>
            </a:pPr>
            <a:r>
              <a:rPr lang="en-US" sz="1000">
                <a:latin typeface="+mj-lt"/>
              </a:rPr>
              <a:t>2003-2013</a:t>
            </a:r>
          </a:p>
        </c:rich>
      </c:tx>
    </c:title>
    <c:plotArea>
      <c:layout>
        <c:manualLayout>
          <c:layoutTarget val="inner"/>
          <c:xMode val="edge"/>
          <c:yMode val="edge"/>
          <c:x val="0.13416343936028979"/>
          <c:y val="0.19261056920123787"/>
          <c:w val="0.80380179750258907"/>
          <c:h val="0.47897637795275994"/>
        </c:manualLayout>
      </c:layout>
      <c:lineChart>
        <c:grouping val="standard"/>
        <c:ser>
          <c:idx val="0"/>
          <c:order val="0"/>
          <c:tx>
            <c:strRef>
              <c:f>Profile!$C$27</c:f>
              <c:strCache>
                <c:ptCount val="1"/>
                <c:pt idx="0">
                  <c:v>Galax</c:v>
                </c:pt>
              </c:strCache>
            </c:strRef>
          </c:tx>
          <c:marker>
            <c:symbol val="none"/>
          </c:marker>
          <c:cat>
            <c:numRef>
              <c:f>Profile!$B$30:$B$40</c:f>
              <c:numCache>
                <c:formatCode>General</c:formatCode>
                <c:ptCount val="11"/>
                <c:pt idx="0">
                  <c:v>2003</c:v>
                </c:pt>
                <c:pt idx="1">
                  <c:v>2004</c:v>
                </c:pt>
                <c:pt idx="2">
                  <c:v>2005</c:v>
                </c:pt>
                <c:pt idx="3">
                  <c:v>2006</c:v>
                </c:pt>
                <c:pt idx="4">
                  <c:v>2007</c:v>
                </c:pt>
                <c:pt idx="5">
                  <c:v>2008</c:v>
                </c:pt>
                <c:pt idx="6">
                  <c:v>2009</c:v>
                </c:pt>
                <c:pt idx="7">
                  <c:v>2010</c:v>
                </c:pt>
                <c:pt idx="8">
                  <c:v>2011</c:v>
                </c:pt>
                <c:pt idx="9">
                  <c:v>2012</c:v>
                </c:pt>
                <c:pt idx="10">
                  <c:v>2013</c:v>
                </c:pt>
              </c:numCache>
            </c:numRef>
          </c:cat>
          <c:val>
            <c:numRef>
              <c:f>Profile!$C$30:$C$40</c:f>
              <c:numCache>
                <c:formatCode>0.0%</c:formatCode>
                <c:ptCount val="11"/>
                <c:pt idx="0">
                  <c:v>0.18</c:v>
                </c:pt>
                <c:pt idx="1">
                  <c:v>0.17</c:v>
                </c:pt>
                <c:pt idx="2">
                  <c:v>0.20699999999999999</c:v>
                </c:pt>
                <c:pt idx="3">
                  <c:v>0.23</c:v>
                </c:pt>
                <c:pt idx="4">
                  <c:v>0.19</c:v>
                </c:pt>
                <c:pt idx="5">
                  <c:v>0.20699999999999999</c:v>
                </c:pt>
                <c:pt idx="6">
                  <c:v>0.191</c:v>
                </c:pt>
                <c:pt idx="7">
                  <c:v>0.223</c:v>
                </c:pt>
                <c:pt idx="8">
                  <c:v>0.22899999999999998</c:v>
                </c:pt>
                <c:pt idx="9">
                  <c:v>0.22800000000000001</c:v>
                </c:pt>
                <c:pt idx="10">
                  <c:v>0.22763744427934621</c:v>
                </c:pt>
              </c:numCache>
            </c:numRef>
          </c:val>
        </c:ser>
        <c:ser>
          <c:idx val="1"/>
          <c:order val="1"/>
          <c:tx>
            <c:strRef>
              <c:f>Profile!$E$27</c:f>
              <c:strCache>
                <c:ptCount val="1"/>
                <c:pt idx="0">
                  <c:v>Western</c:v>
                </c:pt>
              </c:strCache>
            </c:strRef>
          </c:tx>
          <c:spPr>
            <a:ln>
              <a:prstDash val="sysDot"/>
            </a:ln>
          </c:spPr>
          <c:marker>
            <c:symbol val="none"/>
          </c:marker>
          <c:cat>
            <c:numRef>
              <c:f>Profile!$B$30:$B$40</c:f>
              <c:numCache>
                <c:formatCode>General</c:formatCode>
                <c:ptCount val="11"/>
                <c:pt idx="0">
                  <c:v>2003</c:v>
                </c:pt>
                <c:pt idx="1">
                  <c:v>2004</c:v>
                </c:pt>
                <c:pt idx="2">
                  <c:v>2005</c:v>
                </c:pt>
                <c:pt idx="3">
                  <c:v>2006</c:v>
                </c:pt>
                <c:pt idx="4">
                  <c:v>2007</c:v>
                </c:pt>
                <c:pt idx="5">
                  <c:v>2008</c:v>
                </c:pt>
                <c:pt idx="6">
                  <c:v>2009</c:v>
                </c:pt>
                <c:pt idx="7">
                  <c:v>2010</c:v>
                </c:pt>
                <c:pt idx="8">
                  <c:v>2011</c:v>
                </c:pt>
                <c:pt idx="9">
                  <c:v>2012</c:v>
                </c:pt>
                <c:pt idx="10">
                  <c:v>2013</c:v>
                </c:pt>
              </c:numCache>
            </c:numRef>
          </c:cat>
          <c:val>
            <c:numRef>
              <c:f>Profile!$E$30:$E$40</c:f>
              <c:numCache>
                <c:formatCode>0.0%</c:formatCode>
                <c:ptCount val="11"/>
                <c:pt idx="0">
                  <c:v>0.15499536649748308</c:v>
                </c:pt>
                <c:pt idx="1">
                  <c:v>0.15195219671506743</c:v>
                </c:pt>
                <c:pt idx="2">
                  <c:v>0.18084455028541141</c:v>
                </c:pt>
                <c:pt idx="3">
                  <c:v>0.17204522870846353</c:v>
                </c:pt>
                <c:pt idx="4">
                  <c:v>0.17744474990181727</c:v>
                </c:pt>
                <c:pt idx="5">
                  <c:v>0.18285150683367846</c:v>
                </c:pt>
                <c:pt idx="6">
                  <c:v>0.18067404001948281</c:v>
                </c:pt>
                <c:pt idx="7">
                  <c:v>0.18929818575976814</c:v>
                </c:pt>
                <c:pt idx="8">
                  <c:v>0.19649936328107848</c:v>
                </c:pt>
                <c:pt idx="9">
                  <c:v>0.20300000000000001</c:v>
                </c:pt>
                <c:pt idx="10">
                  <c:v>0.20300000000000001</c:v>
                </c:pt>
              </c:numCache>
            </c:numRef>
          </c:val>
        </c:ser>
        <c:ser>
          <c:idx val="2"/>
          <c:order val="2"/>
          <c:tx>
            <c:strRef>
              <c:f>Profile!$G$27</c:f>
              <c:strCache>
                <c:ptCount val="1"/>
                <c:pt idx="0">
                  <c:v>Statewide</c:v>
                </c:pt>
              </c:strCache>
            </c:strRef>
          </c:tx>
          <c:marker>
            <c:symbol val="none"/>
          </c:marker>
          <c:cat>
            <c:numRef>
              <c:f>Profile!$B$30:$B$40</c:f>
              <c:numCache>
                <c:formatCode>General</c:formatCode>
                <c:ptCount val="11"/>
                <c:pt idx="0">
                  <c:v>2003</c:v>
                </c:pt>
                <c:pt idx="1">
                  <c:v>2004</c:v>
                </c:pt>
                <c:pt idx="2">
                  <c:v>2005</c:v>
                </c:pt>
                <c:pt idx="3">
                  <c:v>2006</c:v>
                </c:pt>
                <c:pt idx="4">
                  <c:v>2007</c:v>
                </c:pt>
                <c:pt idx="5">
                  <c:v>2008</c:v>
                </c:pt>
                <c:pt idx="6">
                  <c:v>2009</c:v>
                </c:pt>
                <c:pt idx="7">
                  <c:v>2010</c:v>
                </c:pt>
                <c:pt idx="8">
                  <c:v>2011</c:v>
                </c:pt>
                <c:pt idx="9">
                  <c:v>2012</c:v>
                </c:pt>
                <c:pt idx="10">
                  <c:v>2013</c:v>
                </c:pt>
              </c:numCache>
            </c:numRef>
          </c:cat>
          <c:val>
            <c:numRef>
              <c:f>Profile!$G$30:$G$40</c:f>
              <c:numCache>
                <c:formatCode>0.0%</c:formatCode>
                <c:ptCount val="11"/>
                <c:pt idx="0">
                  <c:v>9.9399999999999988E-2</c:v>
                </c:pt>
                <c:pt idx="1">
                  <c:v>9.5199999999999993E-2</c:v>
                </c:pt>
                <c:pt idx="2">
                  <c:v>9.9600000000000008E-2</c:v>
                </c:pt>
                <c:pt idx="3">
                  <c:v>9.6199999999999994E-2</c:v>
                </c:pt>
                <c:pt idx="4">
                  <c:v>9.9000000000000005E-2</c:v>
                </c:pt>
                <c:pt idx="5">
                  <c:v>0.10210000000000001</c:v>
                </c:pt>
                <c:pt idx="6">
                  <c:v>0.1057</c:v>
                </c:pt>
                <c:pt idx="7">
                  <c:v>0.11118840014389482</c:v>
                </c:pt>
                <c:pt idx="8">
                  <c:v>0.11600000000000001</c:v>
                </c:pt>
                <c:pt idx="9">
                  <c:v>0.11799999999999999</c:v>
                </c:pt>
                <c:pt idx="10">
                  <c:v>0.11747751027208382</c:v>
                </c:pt>
              </c:numCache>
            </c:numRef>
          </c:val>
        </c:ser>
        <c:marker val="1"/>
        <c:axId val="110545920"/>
        <c:axId val="110547712"/>
      </c:lineChart>
      <c:catAx>
        <c:axId val="110545920"/>
        <c:scaling>
          <c:orientation val="minMax"/>
        </c:scaling>
        <c:axPos val="b"/>
        <c:numFmt formatCode="General" sourceLinked="1"/>
        <c:tickLblPos val="nextTo"/>
        <c:txPr>
          <a:bodyPr rot="-1200000" vert="horz"/>
          <a:lstStyle/>
          <a:p>
            <a:pPr>
              <a:defRPr/>
            </a:pPr>
            <a:endParaRPr lang="en-US"/>
          </a:p>
        </c:txPr>
        <c:crossAx val="110547712"/>
        <c:crosses val="autoZero"/>
        <c:auto val="1"/>
        <c:lblAlgn val="ctr"/>
        <c:lblOffset val="100"/>
        <c:tickLblSkip val="1"/>
      </c:catAx>
      <c:valAx>
        <c:axId val="110547712"/>
        <c:scaling>
          <c:orientation val="minMax"/>
        </c:scaling>
        <c:axPos val="l"/>
        <c:title>
          <c:tx>
            <c:rich>
              <a:bodyPr/>
              <a:lstStyle/>
              <a:p>
                <a:pPr>
                  <a:defRPr/>
                </a:pPr>
                <a:r>
                  <a:rPr lang="en-US"/>
                  <a:t>Percentage (%)</a:t>
                </a:r>
              </a:p>
            </c:rich>
          </c:tx>
        </c:title>
        <c:numFmt formatCode="0%" sourceLinked="0"/>
        <c:tickLblPos val="nextTo"/>
        <c:txPr>
          <a:bodyPr rot="0" vert="horz"/>
          <a:lstStyle/>
          <a:p>
            <a:pPr>
              <a:defRPr/>
            </a:pPr>
            <a:endParaRPr lang="en-US"/>
          </a:p>
        </c:txPr>
        <c:crossAx val="110545920"/>
        <c:crosses val="autoZero"/>
        <c:crossBetween val="midCat"/>
      </c:valAx>
    </c:plotArea>
    <c:legend>
      <c:legendPos val="r"/>
      <c:layout>
        <c:manualLayout>
          <c:xMode val="edge"/>
          <c:yMode val="edge"/>
          <c:x val="1.0978558074672261E-3"/>
          <c:y val="0.7947236259646645"/>
          <c:w val="0.99890214419252932"/>
          <c:h val="0.13174716966349442"/>
        </c:manualLayout>
      </c:layout>
      <c:txPr>
        <a:bodyPr/>
        <a:lstStyle/>
        <a:p>
          <a:pPr>
            <a:defRPr sz="900"/>
          </a:pPr>
          <a:endParaRPr lang="en-US"/>
        </a:p>
      </c:txPr>
    </c:legend>
    <c:plotVisOnly val="1"/>
    <c:dispBlanksAs val="gap"/>
  </c:chart>
  <c:spPr>
    <a:ln w="15875">
      <a:solidFill>
        <a:schemeClr val="accent5">
          <a:lumMod val="75000"/>
        </a:schemeClr>
      </a:solidFill>
    </a:ln>
  </c:spPr>
  <c:printSettings>
    <c:headerFooter/>
    <c:pageMargins b="0.5" l="0.45" r="0.45" t="0.5" header="0.30000000000000032" footer="0.30000000000000032"/>
    <c:pageSetup orientation="portrait"/>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1"/>
  <c:style val="5"/>
  <c:chart>
    <c:title>
      <c:tx>
        <c:rich>
          <a:bodyPr/>
          <a:lstStyle/>
          <a:p>
            <a:pPr>
              <a:defRPr sz="1000"/>
            </a:pPr>
            <a:r>
              <a:rPr lang="en-US" sz="1000"/>
              <a:t>Total Social Services Spending by Funding Source in Locality, SFY 2014</a:t>
            </a:r>
          </a:p>
          <a:p>
            <a:pPr>
              <a:defRPr sz="1000"/>
            </a:pPr>
            <a:endParaRPr lang="en-US" sz="1000"/>
          </a:p>
        </c:rich>
      </c:tx>
    </c:title>
    <c:plotArea>
      <c:layout>
        <c:manualLayout>
          <c:layoutTarget val="inner"/>
          <c:xMode val="edge"/>
          <c:yMode val="edge"/>
          <c:x val="0.27425227728886953"/>
          <c:y val="0.32725632596896392"/>
          <c:w val="0.35985178323298023"/>
          <c:h val="0.59393012766608055"/>
        </c:manualLayout>
      </c:layout>
      <c:pieChart>
        <c:varyColors val="1"/>
        <c:ser>
          <c:idx val="0"/>
          <c:order val="0"/>
          <c:tx>
            <c:v>Pct of Total SS Spending by Source</c:v>
          </c:tx>
          <c:spPr>
            <a:ln>
              <a:solidFill>
                <a:schemeClr val="tx1"/>
              </a:solidFill>
            </a:ln>
          </c:spPr>
          <c:dLbls>
            <c:dLblPos val="outEnd"/>
            <c:showVal val="1"/>
            <c:showCatName val="1"/>
            <c:showLeaderLines val="1"/>
          </c:dLbls>
          <c:cat>
            <c:strRef>
              <c:f>Profile!$J$135:$L$135</c:f>
              <c:strCache>
                <c:ptCount val="3"/>
                <c:pt idx="0">
                  <c:v>Federal</c:v>
                </c:pt>
                <c:pt idx="1">
                  <c:v>State</c:v>
                </c:pt>
                <c:pt idx="2">
                  <c:v>Local/NER</c:v>
                </c:pt>
              </c:strCache>
            </c:strRef>
          </c:cat>
          <c:val>
            <c:numRef>
              <c:f>Profile!$J$157:$L$157</c:f>
              <c:numCache>
                <c:formatCode>0%</c:formatCode>
                <c:ptCount val="3"/>
                <c:pt idx="0">
                  <c:v>0.57560005760672106</c:v>
                </c:pt>
                <c:pt idx="1">
                  <c:v>0.41063599078445345</c:v>
                </c:pt>
                <c:pt idx="2">
                  <c:v>1.3763951608825424E-2</c:v>
                </c:pt>
              </c:numCache>
            </c:numRef>
          </c:val>
        </c:ser>
        <c:firstSliceAng val="129"/>
      </c:pieChart>
      <c:spPr>
        <a:noFill/>
        <a:ln w="25400">
          <a:noFill/>
        </a:ln>
      </c:spPr>
    </c:plotArea>
    <c:plotVisOnly val="1"/>
    <c:dispBlanksAs val="zero"/>
  </c:chart>
  <c:spPr>
    <a:ln w="25400">
      <a:solidFill>
        <a:schemeClr val="accent3">
          <a:lumMod val="75000"/>
        </a:schemeClr>
      </a:solidFill>
    </a:ln>
  </c:spPr>
  <c:printSettings>
    <c:headerFooter/>
    <c:pageMargins b="0.75000000000001121" l="0.70000000000000062" r="0.70000000000000062" t="0.75000000000001121"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roundedCorners val="1"/>
  <c:style val="5"/>
  <c:chart>
    <c:title>
      <c:tx>
        <c:rich>
          <a:bodyPr/>
          <a:lstStyle/>
          <a:p>
            <a:pPr>
              <a:defRPr sz="1000"/>
            </a:pPr>
            <a:r>
              <a:rPr lang="en-US" sz="1000"/>
              <a:t>Distribution</a:t>
            </a:r>
            <a:r>
              <a:rPr lang="en-US" sz="1000" baseline="0"/>
              <a:t> of </a:t>
            </a:r>
            <a:r>
              <a:rPr lang="en-US" sz="1000"/>
              <a:t>Social Services Spending in Locality, SFY 2014</a:t>
            </a:r>
          </a:p>
        </c:rich>
      </c:tx>
      <c:layout/>
    </c:title>
    <c:plotArea>
      <c:layout>
        <c:manualLayout>
          <c:layoutTarget val="inner"/>
          <c:xMode val="edge"/>
          <c:yMode val="edge"/>
          <c:x val="0.23836208157264874"/>
          <c:y val="0.29413666575260361"/>
          <c:w val="0.38742528151723127"/>
          <c:h val="0.65727373630535191"/>
        </c:manualLayout>
      </c:layout>
      <c:pieChart>
        <c:varyColors val="1"/>
        <c:ser>
          <c:idx val="0"/>
          <c:order val="0"/>
          <c:tx>
            <c:v>% Total SS Spending</c:v>
          </c:tx>
          <c:spPr>
            <a:solidFill>
              <a:schemeClr val="accent3">
                <a:lumMod val="75000"/>
              </a:schemeClr>
            </a:solidFill>
            <a:ln>
              <a:solidFill>
                <a:schemeClr val="tx1"/>
              </a:solidFill>
            </a:ln>
          </c:spPr>
          <c:dPt>
            <c:idx val="0"/>
            <c:spPr>
              <a:solidFill>
                <a:schemeClr val="accent3">
                  <a:lumMod val="60000"/>
                  <a:lumOff val="40000"/>
                </a:schemeClr>
              </a:solidFill>
              <a:ln>
                <a:solidFill>
                  <a:schemeClr val="tx1"/>
                </a:solidFill>
              </a:ln>
            </c:spPr>
          </c:dPt>
          <c:dLbls>
            <c:dLbl>
              <c:idx val="0"/>
              <c:layout/>
              <c:spPr/>
              <c:txPr>
                <a:bodyPr/>
                <a:lstStyle/>
                <a:p>
                  <a:pPr>
                    <a:defRPr/>
                  </a:pPr>
                  <a:endParaRPr lang="en-US"/>
                </a:p>
              </c:txPr>
              <c:dLblPos val="outEnd"/>
              <c:showVal val="1"/>
              <c:showCatName val="1"/>
            </c:dLbl>
            <c:dLbl>
              <c:idx val="1"/>
              <c:layout>
                <c:manualLayout>
                  <c:x val="5.4514974484494431E-2"/>
                  <c:y val="0.11940298507462686"/>
                </c:manualLayout>
              </c:layout>
              <c:spPr/>
              <c:txPr>
                <a:bodyPr/>
                <a:lstStyle/>
                <a:p>
                  <a:pPr>
                    <a:defRPr/>
                  </a:pPr>
                  <a:endParaRPr lang="en-US"/>
                </a:p>
              </c:txPr>
              <c:dLblPos val="bestFit"/>
              <c:showVal val="1"/>
              <c:showCatName val="1"/>
              <c:separator>, </c:separator>
            </c:dLbl>
            <c:dLbl>
              <c:idx val="2"/>
              <c:layout>
                <c:manualLayout>
                  <c:x val="-4.6920821114369467E-2"/>
                  <c:y val="-3.9800995024875795E-2"/>
                </c:manualLayout>
              </c:layout>
              <c:dLblPos val="bestFit"/>
              <c:showVal val="1"/>
              <c:showCatName val="1"/>
              <c:separator>, </c:separator>
            </c:dLbl>
            <c:dLblPos val="outEnd"/>
            <c:showVal val="1"/>
            <c:showCatName val="1"/>
            <c:separator>, </c:separator>
            <c:showLeaderLines val="1"/>
          </c:dLbls>
          <c:cat>
            <c:strRef>
              <c:f>Profile!$V$142:$X$142</c:f>
              <c:strCache>
                <c:ptCount val="3"/>
                <c:pt idx="0">
                  <c:v>Admini-stration</c:v>
                </c:pt>
                <c:pt idx="1">
                  <c:v>Services</c:v>
                </c:pt>
                <c:pt idx="2">
                  <c:v>Benefits</c:v>
                </c:pt>
              </c:strCache>
            </c:strRef>
          </c:cat>
          <c:val>
            <c:numRef>
              <c:f>Profile!$V$147:$X$147</c:f>
              <c:numCache>
                <c:formatCode>0.0%</c:formatCode>
                <c:ptCount val="3"/>
                <c:pt idx="0">
                  <c:v>4.3487077396675643E-2</c:v>
                </c:pt>
                <c:pt idx="1">
                  <c:v>2.9693790803623165E-3</c:v>
                </c:pt>
                <c:pt idx="2">
                  <c:v>0.953543543522962</c:v>
                </c:pt>
              </c:numCache>
            </c:numRef>
          </c:val>
        </c:ser>
        <c:firstSliceAng val="45"/>
      </c:pieChart>
      <c:spPr>
        <a:noFill/>
        <a:ln w="25400">
          <a:noFill/>
        </a:ln>
      </c:spPr>
    </c:plotArea>
    <c:plotVisOnly val="1"/>
    <c:dispBlanksAs val="zero"/>
  </c:chart>
  <c:spPr>
    <a:ln w="25400">
      <a:solidFill>
        <a:schemeClr val="accent3">
          <a:lumMod val="75000"/>
        </a:schemeClr>
      </a:solidFill>
    </a:ln>
  </c:spPr>
  <c:printSettings>
    <c:headerFooter/>
    <c:pageMargins b="0.75000000000001144" l="0.70000000000000062" r="0.70000000000000062" t="0.75000000000001144"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1"/>
  <c:style val="6"/>
  <c:chart>
    <c:title>
      <c:tx>
        <c:rich>
          <a:bodyPr/>
          <a:lstStyle/>
          <a:p>
            <a:pPr>
              <a:defRPr sz="1000">
                <a:latin typeface="+mj-lt"/>
                <a:cs typeface="Times New Roman" pitchFamily="18" charset="0"/>
              </a:defRPr>
            </a:pPr>
            <a:r>
              <a:rPr lang="en-US" sz="1000">
                <a:latin typeface="+mj-lt"/>
                <a:cs typeface="Times New Roman" pitchFamily="18" charset="0"/>
              </a:rPr>
              <a:t>Medicaid Clients by State Fiscal Year</a:t>
            </a:r>
          </a:p>
        </c:rich>
      </c:tx>
      <c:layout>
        <c:manualLayout>
          <c:xMode val="edge"/>
          <c:yMode val="edge"/>
          <c:x val="0.15003927611673928"/>
          <c:y val="1.6872477147253259E-2"/>
        </c:manualLayout>
      </c:layout>
    </c:title>
    <c:plotArea>
      <c:layout>
        <c:manualLayout>
          <c:layoutTarget val="inner"/>
          <c:xMode val="edge"/>
          <c:yMode val="edge"/>
          <c:x val="0.19573838473054841"/>
          <c:y val="0.16463268228884667"/>
          <c:w val="0.75290123340788417"/>
          <c:h val="0.57219804959714204"/>
        </c:manualLayout>
      </c:layout>
      <c:barChart>
        <c:barDir val="col"/>
        <c:grouping val="clustered"/>
        <c:ser>
          <c:idx val="0"/>
          <c:order val="0"/>
          <c:tx>
            <c:strRef>
              <c:f>Profile!$F$80</c:f>
              <c:strCache>
                <c:ptCount val="1"/>
                <c:pt idx="0">
                  <c:v>Medicaid</c:v>
                </c:pt>
              </c:strCache>
            </c:strRef>
          </c:tx>
          <c:spPr>
            <a:ln>
              <a:noFill/>
              <a:prstDash val="lgDashDotDot"/>
            </a:ln>
          </c:spPr>
          <c:dLbls>
            <c:showVal val="1"/>
          </c:dLbls>
          <c:cat>
            <c:numRef>
              <c:f>Profile!$B$82:$B$86</c:f>
              <c:numCache>
                <c:formatCode>General</c:formatCode>
                <c:ptCount val="5"/>
                <c:pt idx="0">
                  <c:v>2010</c:v>
                </c:pt>
                <c:pt idx="1">
                  <c:v>2011</c:v>
                </c:pt>
                <c:pt idx="2">
                  <c:v>2012</c:v>
                </c:pt>
                <c:pt idx="3">
                  <c:v>2013</c:v>
                </c:pt>
                <c:pt idx="4">
                  <c:v>2014</c:v>
                </c:pt>
              </c:numCache>
            </c:numRef>
          </c:cat>
          <c:val>
            <c:numRef>
              <c:f>Profile!$F$82:$F$86</c:f>
              <c:numCache>
                <c:formatCode>#,##0</c:formatCode>
                <c:ptCount val="5"/>
                <c:pt idx="0">
                  <c:v>2574</c:v>
                </c:pt>
                <c:pt idx="1">
                  <c:v>2486</c:v>
                </c:pt>
                <c:pt idx="2">
                  <c:v>2518</c:v>
                </c:pt>
                <c:pt idx="3">
                  <c:v>2566</c:v>
                </c:pt>
                <c:pt idx="4">
                  <c:v>2682</c:v>
                </c:pt>
              </c:numCache>
            </c:numRef>
          </c:val>
        </c:ser>
        <c:axId val="110966272"/>
        <c:axId val="110967808"/>
      </c:barChart>
      <c:catAx>
        <c:axId val="110966272"/>
        <c:scaling>
          <c:orientation val="minMax"/>
        </c:scaling>
        <c:axPos val="b"/>
        <c:numFmt formatCode="General" sourceLinked="1"/>
        <c:tickLblPos val="nextTo"/>
        <c:txPr>
          <a:bodyPr rot="0" vert="horz"/>
          <a:lstStyle/>
          <a:p>
            <a:pPr>
              <a:defRPr/>
            </a:pPr>
            <a:endParaRPr lang="en-US"/>
          </a:p>
        </c:txPr>
        <c:crossAx val="110967808"/>
        <c:crosses val="autoZero"/>
        <c:auto val="1"/>
        <c:lblAlgn val="ctr"/>
        <c:lblOffset val="100"/>
      </c:catAx>
      <c:valAx>
        <c:axId val="110967808"/>
        <c:scaling>
          <c:orientation val="minMax"/>
        </c:scaling>
        <c:axPos val="l"/>
        <c:majorGridlines>
          <c:spPr>
            <a:ln>
              <a:solidFill>
                <a:schemeClr val="bg1"/>
              </a:solidFill>
            </a:ln>
          </c:spPr>
        </c:majorGridlines>
        <c:numFmt formatCode="#,##0" sourceLinked="1"/>
        <c:tickLblPos val="nextTo"/>
        <c:txPr>
          <a:bodyPr rot="0" vert="horz"/>
          <a:lstStyle/>
          <a:p>
            <a:pPr>
              <a:defRPr/>
            </a:pPr>
            <a:endParaRPr lang="en-US"/>
          </a:p>
        </c:txPr>
        <c:crossAx val="110966272"/>
        <c:crosses val="autoZero"/>
        <c:crossBetween val="between"/>
      </c:valAx>
    </c:plotArea>
    <c:plotVisOnly val="1"/>
    <c:dispBlanksAs val="gap"/>
  </c:chart>
  <c:spPr>
    <a:ln w="19050">
      <a:solidFill>
        <a:srgbClr val="8064A2">
          <a:lumMod val="75000"/>
        </a:srgbClr>
      </a:solidFill>
    </a:ln>
  </c:spPr>
  <c:printSettings>
    <c:headerFooter/>
    <c:pageMargins b="0.75000000000001388" l="0.25" r="0.25" t="0.75000000000001388" header="0.30000000000000032" footer="0.30000000000000032"/>
    <c:pageSetup orientation="landscape"/>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lang val="en-US"/>
  <c:roundedCorners val="1"/>
  <c:style val="6"/>
  <c:chart>
    <c:title>
      <c:tx>
        <c:rich>
          <a:bodyPr/>
          <a:lstStyle/>
          <a:p>
            <a:pPr>
              <a:defRPr sz="1000">
                <a:latin typeface="+mj-lt"/>
                <a:cs typeface="Times New Roman" pitchFamily="18" charset="0"/>
              </a:defRPr>
            </a:pPr>
            <a:r>
              <a:rPr lang="en-US" sz="1000">
                <a:latin typeface="+mj-lt"/>
                <a:cs typeface="Times New Roman" pitchFamily="18" charset="0"/>
              </a:rPr>
              <a:t>SNAP Clients by State Fiscal Year</a:t>
            </a:r>
          </a:p>
        </c:rich>
      </c:tx>
      <c:layout>
        <c:manualLayout>
          <c:xMode val="edge"/>
          <c:yMode val="edge"/>
          <c:x val="0.15003927611673928"/>
          <c:y val="1.6872477147253259E-2"/>
        </c:manualLayout>
      </c:layout>
    </c:title>
    <c:plotArea>
      <c:layout>
        <c:manualLayout>
          <c:layoutTarget val="inner"/>
          <c:xMode val="edge"/>
          <c:yMode val="edge"/>
          <c:x val="0.19573838473054841"/>
          <c:y val="0.16463268228884667"/>
          <c:w val="0.75290123340788417"/>
          <c:h val="0.57219804959714204"/>
        </c:manualLayout>
      </c:layout>
      <c:barChart>
        <c:barDir val="col"/>
        <c:grouping val="clustered"/>
        <c:ser>
          <c:idx val="0"/>
          <c:order val="0"/>
          <c:tx>
            <c:strRef>
              <c:f>Profile!$D$80</c:f>
              <c:strCache>
                <c:ptCount val="1"/>
                <c:pt idx="0">
                  <c:v>SNAP</c:v>
                </c:pt>
              </c:strCache>
            </c:strRef>
          </c:tx>
          <c:spPr>
            <a:ln>
              <a:noFill/>
              <a:prstDash val="lgDashDotDot"/>
            </a:ln>
          </c:spPr>
          <c:dLbls>
            <c:showVal val="1"/>
          </c:dLbls>
          <c:cat>
            <c:numRef>
              <c:f>Profile!$B$82:$B$86</c:f>
              <c:numCache>
                <c:formatCode>General</c:formatCode>
                <c:ptCount val="5"/>
                <c:pt idx="0">
                  <c:v>2010</c:v>
                </c:pt>
                <c:pt idx="1">
                  <c:v>2011</c:v>
                </c:pt>
                <c:pt idx="2">
                  <c:v>2012</c:v>
                </c:pt>
                <c:pt idx="3">
                  <c:v>2013</c:v>
                </c:pt>
                <c:pt idx="4">
                  <c:v>2014</c:v>
                </c:pt>
              </c:numCache>
            </c:numRef>
          </c:cat>
          <c:val>
            <c:numRef>
              <c:f>Profile!$D$82:$D$86</c:f>
              <c:numCache>
                <c:formatCode>#,##0</c:formatCode>
                <c:ptCount val="5"/>
                <c:pt idx="0">
                  <c:v>2723</c:v>
                </c:pt>
                <c:pt idx="1">
                  <c:v>2793</c:v>
                </c:pt>
                <c:pt idx="2">
                  <c:v>2935</c:v>
                </c:pt>
                <c:pt idx="3">
                  <c:v>2975</c:v>
                </c:pt>
                <c:pt idx="4">
                  <c:v>2964</c:v>
                </c:pt>
              </c:numCache>
            </c:numRef>
          </c:val>
        </c:ser>
        <c:axId val="111000192"/>
        <c:axId val="116539776"/>
      </c:barChart>
      <c:catAx>
        <c:axId val="111000192"/>
        <c:scaling>
          <c:orientation val="minMax"/>
        </c:scaling>
        <c:axPos val="b"/>
        <c:numFmt formatCode="General" sourceLinked="1"/>
        <c:tickLblPos val="nextTo"/>
        <c:txPr>
          <a:bodyPr rot="0" vert="horz"/>
          <a:lstStyle/>
          <a:p>
            <a:pPr>
              <a:defRPr/>
            </a:pPr>
            <a:endParaRPr lang="en-US"/>
          </a:p>
        </c:txPr>
        <c:crossAx val="116539776"/>
        <c:crosses val="autoZero"/>
        <c:auto val="1"/>
        <c:lblAlgn val="ctr"/>
        <c:lblOffset val="100"/>
      </c:catAx>
      <c:valAx>
        <c:axId val="116539776"/>
        <c:scaling>
          <c:orientation val="minMax"/>
        </c:scaling>
        <c:axPos val="l"/>
        <c:majorGridlines>
          <c:spPr>
            <a:ln>
              <a:solidFill>
                <a:schemeClr val="bg1"/>
              </a:solidFill>
            </a:ln>
          </c:spPr>
        </c:majorGridlines>
        <c:numFmt formatCode="#,##0" sourceLinked="1"/>
        <c:tickLblPos val="nextTo"/>
        <c:txPr>
          <a:bodyPr rot="0" vert="horz"/>
          <a:lstStyle/>
          <a:p>
            <a:pPr>
              <a:defRPr/>
            </a:pPr>
            <a:endParaRPr lang="en-US"/>
          </a:p>
        </c:txPr>
        <c:crossAx val="111000192"/>
        <c:crosses val="autoZero"/>
        <c:crossBetween val="between"/>
      </c:valAx>
    </c:plotArea>
    <c:plotVisOnly val="1"/>
    <c:dispBlanksAs val="gap"/>
  </c:chart>
  <c:spPr>
    <a:ln w="19050">
      <a:solidFill>
        <a:srgbClr val="8064A2">
          <a:lumMod val="75000"/>
        </a:srgbClr>
      </a:solidFill>
    </a:ln>
  </c:spPr>
  <c:printSettings>
    <c:headerFooter/>
    <c:pageMargins b="0.75000000000001388" l="0.25" r="0.25" t="0.75000000000001388" header="0.30000000000000032" footer="0.30000000000000032"/>
    <c:pageSetup orientation="landscape"/>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c:lang val="en-US"/>
  <c:roundedCorners val="1"/>
  <c:chart>
    <c:title>
      <c:tx>
        <c:rich>
          <a:bodyPr/>
          <a:lstStyle/>
          <a:p>
            <a:pPr>
              <a:defRPr sz="1200"/>
            </a:pPr>
            <a:r>
              <a:rPr lang="en-US" sz="1200"/>
              <a:t>Non-Marital</a:t>
            </a:r>
            <a:r>
              <a:rPr lang="en-US" sz="1200" baseline="0"/>
              <a:t> </a:t>
            </a:r>
            <a:r>
              <a:rPr lang="en-US" sz="1200"/>
              <a:t>Births, 1998-2012</a:t>
            </a:r>
          </a:p>
        </c:rich>
      </c:tx>
      <c:layout>
        <c:manualLayout>
          <c:xMode val="edge"/>
          <c:yMode val="edge"/>
          <c:x val="0.27221727718817756"/>
          <c:y val="1.6666666666666701E-2"/>
        </c:manualLayout>
      </c:layout>
      <c:overlay val="1"/>
    </c:title>
    <c:plotArea>
      <c:layout>
        <c:manualLayout>
          <c:layoutTarget val="inner"/>
          <c:xMode val="edge"/>
          <c:yMode val="edge"/>
          <c:x val="0.13912009250591928"/>
          <c:y val="0.20532280214199244"/>
          <c:w val="0.8329426304229457"/>
          <c:h val="0.5588455818022745"/>
        </c:manualLayout>
      </c:layout>
      <c:lineChart>
        <c:grouping val="standard"/>
        <c:ser>
          <c:idx val="0"/>
          <c:order val="0"/>
          <c:tx>
            <c:strRef>
              <c:f>'Data for Graphs'!$B$2</c:f>
              <c:strCache>
                <c:ptCount val="1"/>
                <c:pt idx="0">
                  <c:v>Galax</c:v>
                </c:pt>
              </c:strCache>
            </c:strRef>
          </c:tx>
          <c:spPr>
            <a:ln>
              <a:solidFill>
                <a:schemeClr val="accent2"/>
              </a:solidFill>
            </a:ln>
          </c:spPr>
          <c:marker>
            <c:symbol val="none"/>
          </c:marker>
          <c:cat>
            <c:numRef>
              <c:f>'Data for Graphs'!$A$3:$A$17</c:f>
              <c:numCache>
                <c:formatCode>General</c:formatCode>
                <c:ptCount val="15"/>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numCache>
            </c:numRef>
          </c:cat>
          <c:val>
            <c:numRef>
              <c:f>'Data for Graphs'!$B$3:$B$17</c:f>
              <c:numCache>
                <c:formatCode>0%</c:formatCode>
                <c:ptCount val="15"/>
                <c:pt idx="0">
                  <c:v>0.43103448275862066</c:v>
                </c:pt>
                <c:pt idx="1">
                  <c:v>0.3247863247863248</c:v>
                </c:pt>
                <c:pt idx="2">
                  <c:v>0.40157480314960631</c:v>
                </c:pt>
                <c:pt idx="3">
                  <c:v>0.49090909090909091</c:v>
                </c:pt>
                <c:pt idx="4">
                  <c:v>0.51351351351351349</c:v>
                </c:pt>
                <c:pt idx="5">
                  <c:v>0.54545454545454541</c:v>
                </c:pt>
                <c:pt idx="6">
                  <c:v>0.52941176470588236</c:v>
                </c:pt>
                <c:pt idx="7">
                  <c:v>0.5</c:v>
                </c:pt>
                <c:pt idx="8">
                  <c:v>0.50649350649350644</c:v>
                </c:pt>
                <c:pt idx="9">
                  <c:v>0.60439560439560436</c:v>
                </c:pt>
                <c:pt idx="10">
                  <c:v>0.57831325301204817</c:v>
                </c:pt>
                <c:pt idx="11">
                  <c:v>0.63779527559055116</c:v>
                </c:pt>
                <c:pt idx="12">
                  <c:v>0.53030303030303028</c:v>
                </c:pt>
                <c:pt idx="13">
                  <c:v>0.45945945945945948</c:v>
                </c:pt>
                <c:pt idx="14">
                  <c:v>0.52459016393442626</c:v>
                </c:pt>
              </c:numCache>
            </c:numRef>
          </c:val>
        </c:ser>
        <c:ser>
          <c:idx val="2"/>
          <c:order val="1"/>
          <c:tx>
            <c:strRef>
              <c:f>'Data for Graphs'!$C$2</c:f>
              <c:strCache>
                <c:ptCount val="1"/>
                <c:pt idx="0">
                  <c:v>Western</c:v>
                </c:pt>
              </c:strCache>
            </c:strRef>
          </c:tx>
          <c:spPr>
            <a:ln>
              <a:solidFill>
                <a:schemeClr val="accent3">
                  <a:lumMod val="50000"/>
                </a:schemeClr>
              </a:solidFill>
              <a:prstDash val="sysDot"/>
            </a:ln>
          </c:spPr>
          <c:marker>
            <c:symbol val="none"/>
          </c:marker>
          <c:cat>
            <c:numRef>
              <c:f>'Data for Graphs'!$A$3:$A$17</c:f>
              <c:numCache>
                <c:formatCode>General</c:formatCode>
                <c:ptCount val="15"/>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numCache>
            </c:numRef>
          </c:cat>
          <c:val>
            <c:numRef>
              <c:f>'Data for Graphs'!$C$3:$C$17</c:f>
              <c:numCache>
                <c:formatCode>0%</c:formatCode>
                <c:ptCount val="15"/>
                <c:pt idx="0">
                  <c:v>0.26538273216908764</c:v>
                </c:pt>
                <c:pt idx="1">
                  <c:v>0.25361620057859208</c:v>
                </c:pt>
                <c:pt idx="2">
                  <c:v>0.25800682815802306</c:v>
                </c:pt>
                <c:pt idx="3">
                  <c:v>0.25921562026594852</c:v>
                </c:pt>
                <c:pt idx="4">
                  <c:v>0.27491582491582489</c:v>
                </c:pt>
                <c:pt idx="5">
                  <c:v>0.28196941690472188</c:v>
                </c:pt>
                <c:pt idx="6">
                  <c:v>0.28078565328778821</c:v>
                </c:pt>
                <c:pt idx="7">
                  <c:v>0.30613975576662145</c:v>
                </c:pt>
                <c:pt idx="8">
                  <c:v>0.31618257261410787</c:v>
                </c:pt>
                <c:pt idx="9">
                  <c:v>0.34643893006767645</c:v>
                </c:pt>
                <c:pt idx="10">
                  <c:v>0.34771241830065358</c:v>
                </c:pt>
                <c:pt idx="11">
                  <c:v>0.37218363543960697</c:v>
                </c:pt>
                <c:pt idx="12">
                  <c:v>0.37925141001538198</c:v>
                </c:pt>
                <c:pt idx="13">
                  <c:v>0.37677809388335703</c:v>
                </c:pt>
                <c:pt idx="14">
                  <c:v>0.37574824696425518</c:v>
                </c:pt>
              </c:numCache>
            </c:numRef>
          </c:val>
        </c:ser>
        <c:ser>
          <c:idx val="1"/>
          <c:order val="2"/>
          <c:tx>
            <c:strRef>
              <c:f>'Data for Graphs'!$D$2</c:f>
              <c:strCache>
                <c:ptCount val="1"/>
                <c:pt idx="0">
                  <c:v>STATE</c:v>
                </c:pt>
              </c:strCache>
            </c:strRef>
          </c:tx>
          <c:spPr>
            <a:ln>
              <a:solidFill>
                <a:schemeClr val="accent1"/>
              </a:solidFill>
            </a:ln>
          </c:spPr>
          <c:marker>
            <c:symbol val="none"/>
          </c:marker>
          <c:cat>
            <c:numRef>
              <c:f>'Data for Graphs'!$A$3:$A$17</c:f>
              <c:numCache>
                <c:formatCode>General</c:formatCode>
                <c:ptCount val="15"/>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numCache>
            </c:numRef>
          </c:cat>
          <c:val>
            <c:numRef>
              <c:f>'Data for Graphs'!$D$3:$D$17</c:f>
              <c:numCache>
                <c:formatCode>0%</c:formatCode>
                <c:ptCount val="15"/>
                <c:pt idx="0">
                  <c:v>0.2981171770406103</c:v>
                </c:pt>
                <c:pt idx="1">
                  <c:v>0.29729956830905291</c:v>
                </c:pt>
                <c:pt idx="2">
                  <c:v>0.29975521929114746</c:v>
                </c:pt>
                <c:pt idx="3">
                  <c:v>0.303681074991627</c:v>
                </c:pt>
                <c:pt idx="4">
                  <c:v>0.30455988310575904</c:v>
                </c:pt>
                <c:pt idx="5">
                  <c:v>0.3059734887282346</c:v>
                </c:pt>
                <c:pt idx="6">
                  <c:v>0.31002600404507369</c:v>
                </c:pt>
                <c:pt idx="7">
                  <c:v>0.32234323558686168</c:v>
                </c:pt>
                <c:pt idx="8">
                  <c:v>0.34083438210267297</c:v>
                </c:pt>
                <c:pt idx="9">
                  <c:v>0.35309038250458874</c:v>
                </c:pt>
                <c:pt idx="10">
                  <c:v>0.35843232186755242</c:v>
                </c:pt>
                <c:pt idx="11">
                  <c:v>0.35824307718686593</c:v>
                </c:pt>
                <c:pt idx="12">
                  <c:v>0.35490702780422406</c:v>
                </c:pt>
                <c:pt idx="13">
                  <c:v>0.35493782004389174</c:v>
                </c:pt>
                <c:pt idx="14">
                  <c:v>0.35279298907704426</c:v>
                </c:pt>
              </c:numCache>
            </c:numRef>
          </c:val>
        </c:ser>
        <c:marker val="1"/>
        <c:axId val="116581504"/>
        <c:axId val="116583040"/>
      </c:lineChart>
      <c:catAx>
        <c:axId val="116581504"/>
        <c:scaling>
          <c:orientation val="minMax"/>
        </c:scaling>
        <c:axPos val="b"/>
        <c:numFmt formatCode="General" sourceLinked="1"/>
        <c:tickLblPos val="nextTo"/>
        <c:txPr>
          <a:bodyPr rot="-2100000"/>
          <a:lstStyle/>
          <a:p>
            <a:pPr>
              <a:defRPr/>
            </a:pPr>
            <a:endParaRPr lang="en-US"/>
          </a:p>
        </c:txPr>
        <c:crossAx val="116583040"/>
        <c:crosses val="autoZero"/>
        <c:auto val="1"/>
        <c:lblAlgn val="ctr"/>
        <c:lblOffset val="100"/>
        <c:tickLblSkip val="1"/>
      </c:catAx>
      <c:valAx>
        <c:axId val="116583040"/>
        <c:scaling>
          <c:orientation val="minMax"/>
        </c:scaling>
        <c:axPos val="l"/>
        <c:majorGridlines>
          <c:spPr>
            <a:ln>
              <a:solidFill>
                <a:schemeClr val="bg1">
                  <a:lumMod val="95000"/>
                </a:schemeClr>
              </a:solidFill>
            </a:ln>
          </c:spPr>
        </c:majorGridlines>
        <c:title>
          <c:tx>
            <c:rich>
              <a:bodyPr rot="-5400000" vert="horz"/>
              <a:lstStyle/>
              <a:p>
                <a:pPr>
                  <a:defRPr/>
                </a:pPr>
                <a:r>
                  <a:rPr lang="en-US"/>
                  <a:t>Percentage</a:t>
                </a:r>
              </a:p>
            </c:rich>
          </c:tx>
          <c:layout>
            <c:manualLayout>
              <c:xMode val="edge"/>
              <c:yMode val="edge"/>
              <c:x val="2.0830962563246256E-3"/>
              <c:y val="0.36937051618547995"/>
            </c:manualLayout>
          </c:layout>
        </c:title>
        <c:numFmt formatCode="0%" sourceLinked="1"/>
        <c:tickLblPos val="nextTo"/>
        <c:crossAx val="116581504"/>
        <c:crosses val="autoZero"/>
        <c:crossBetween val="between"/>
      </c:valAx>
    </c:plotArea>
    <c:legend>
      <c:legendPos val="r"/>
      <c:layout>
        <c:manualLayout>
          <c:xMode val="edge"/>
          <c:yMode val="edge"/>
          <c:x val="7.0718083316508931E-2"/>
          <c:y val="0.12406035932814929"/>
          <c:w val="0.91713672154617021"/>
          <c:h val="8.209098862642171E-2"/>
        </c:manualLayout>
      </c:layout>
    </c:legend>
    <c:plotVisOnly val="1"/>
    <c:dispBlanksAs val="gap"/>
  </c:chart>
  <c:spPr>
    <a:ln w="15875">
      <a:solidFill>
        <a:schemeClr val="accent1"/>
      </a:solidFill>
    </a:ln>
  </c:spPr>
  <c:printSettings>
    <c:headerFooter/>
    <c:pageMargins b="0.75000000000000477" l="0.70000000000000062" r="0.70000000000000062" t="0.75000000000000477" header="0.30000000000000032" footer="0.30000000000000032"/>
    <c:pageSetup orientation="portrait"/>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c:lang val="en-US"/>
  <c:roundedCorners val="1"/>
  <c:chart>
    <c:title>
      <c:tx>
        <c:rich>
          <a:bodyPr/>
          <a:lstStyle/>
          <a:p>
            <a:pPr>
              <a:defRPr sz="1200"/>
            </a:pPr>
            <a:r>
              <a:rPr lang="en-US" sz="1200"/>
              <a:t>Teen Birth</a:t>
            </a:r>
            <a:r>
              <a:rPr lang="en-US" sz="1200" baseline="0"/>
              <a:t> Rate</a:t>
            </a:r>
            <a:r>
              <a:rPr lang="en-US" sz="1200"/>
              <a:t>, 1998-2012</a:t>
            </a:r>
          </a:p>
        </c:rich>
      </c:tx>
      <c:layout>
        <c:manualLayout>
          <c:xMode val="edge"/>
          <c:yMode val="edge"/>
          <c:x val="0.29777777777777986"/>
          <c:y val="1.6666666666666701E-2"/>
        </c:manualLayout>
      </c:layout>
      <c:overlay val="1"/>
    </c:title>
    <c:plotArea>
      <c:layout>
        <c:manualLayout>
          <c:layoutTarget val="inner"/>
          <c:xMode val="edge"/>
          <c:yMode val="edge"/>
          <c:x val="0.11891808978423152"/>
          <c:y val="0.20532280214199244"/>
          <c:w val="0.85314472054629564"/>
          <c:h val="0.5588455818022745"/>
        </c:manualLayout>
      </c:layout>
      <c:lineChart>
        <c:grouping val="standard"/>
        <c:ser>
          <c:idx val="0"/>
          <c:order val="0"/>
          <c:tx>
            <c:strRef>
              <c:f>'Data for Graphs'!$B$20</c:f>
              <c:strCache>
                <c:ptCount val="1"/>
                <c:pt idx="0">
                  <c:v>Galax</c:v>
                </c:pt>
              </c:strCache>
            </c:strRef>
          </c:tx>
          <c:spPr>
            <a:ln>
              <a:solidFill>
                <a:schemeClr val="accent2"/>
              </a:solidFill>
            </a:ln>
          </c:spPr>
          <c:marker>
            <c:symbol val="none"/>
          </c:marker>
          <c:cat>
            <c:numRef>
              <c:f>'Data for Graphs'!$A$21:$A$35</c:f>
              <c:numCache>
                <c:formatCode>General</c:formatCode>
                <c:ptCount val="15"/>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numCache>
            </c:numRef>
          </c:cat>
          <c:val>
            <c:numRef>
              <c:f>'Data for Graphs'!$B$21:$B$35</c:f>
              <c:numCache>
                <c:formatCode>0.0</c:formatCode>
                <c:ptCount val="15"/>
                <c:pt idx="0">
                  <c:v>49.763033175355453</c:v>
                </c:pt>
                <c:pt idx="1">
                  <c:v>60.747663551401871</c:v>
                </c:pt>
                <c:pt idx="2">
                  <c:v>46.798029556650242</c:v>
                </c:pt>
                <c:pt idx="3">
                  <c:v>62.015503875968989</c:v>
                </c:pt>
                <c:pt idx="4">
                  <c:v>56</c:v>
                </c:pt>
                <c:pt idx="5">
                  <c:v>25.069637883008355</c:v>
                </c:pt>
                <c:pt idx="6">
                  <c:v>45.945945945945951</c:v>
                </c:pt>
                <c:pt idx="7">
                  <c:v>50</c:v>
                </c:pt>
                <c:pt idx="8">
                  <c:v>35.422343324250683</c:v>
                </c:pt>
                <c:pt idx="9">
                  <c:v>52.197802197802197</c:v>
                </c:pt>
                <c:pt idx="10">
                  <c:v>50.420168067226889</c:v>
                </c:pt>
                <c:pt idx="11">
                  <c:v>69.767441860465112</c:v>
                </c:pt>
                <c:pt idx="12">
                  <c:v>41.871921182266007</c:v>
                </c:pt>
                <c:pt idx="13">
                  <c:v>43.373493975903614</c:v>
                </c:pt>
                <c:pt idx="14">
                  <c:v>45.977011494252871</c:v>
                </c:pt>
              </c:numCache>
            </c:numRef>
          </c:val>
        </c:ser>
        <c:ser>
          <c:idx val="2"/>
          <c:order val="1"/>
          <c:tx>
            <c:strRef>
              <c:f>'Data for Graphs'!$C$20</c:f>
              <c:strCache>
                <c:ptCount val="1"/>
                <c:pt idx="0">
                  <c:v>Western</c:v>
                </c:pt>
              </c:strCache>
            </c:strRef>
          </c:tx>
          <c:spPr>
            <a:ln>
              <a:solidFill>
                <a:schemeClr val="accent3">
                  <a:lumMod val="50000"/>
                </a:schemeClr>
              </a:solidFill>
              <a:prstDash val="sysDot"/>
            </a:ln>
          </c:spPr>
          <c:marker>
            <c:symbol val="none"/>
          </c:marker>
          <c:cat>
            <c:numRef>
              <c:f>'Data for Graphs'!$A$21:$A$35</c:f>
              <c:numCache>
                <c:formatCode>General</c:formatCode>
                <c:ptCount val="15"/>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numCache>
            </c:numRef>
          </c:cat>
          <c:val>
            <c:numRef>
              <c:f>'Data for Graphs'!$C$21:$C$35</c:f>
              <c:numCache>
                <c:formatCode>0.0</c:formatCode>
                <c:ptCount val="15"/>
                <c:pt idx="0">
                  <c:v>23.944069177596131</c:v>
                </c:pt>
                <c:pt idx="1">
                  <c:v>23.337067264095587</c:v>
                </c:pt>
                <c:pt idx="2">
                  <c:v>22.588235294117649</c:v>
                </c:pt>
                <c:pt idx="3">
                  <c:v>21.740891781672833</c:v>
                </c:pt>
                <c:pt idx="4">
                  <c:v>20.27008518914181</c:v>
                </c:pt>
                <c:pt idx="5">
                  <c:v>18.822942366867185</c:v>
                </c:pt>
                <c:pt idx="6">
                  <c:v>19.717292898997474</c:v>
                </c:pt>
                <c:pt idx="7">
                  <c:v>19.798703984558113</c:v>
                </c:pt>
                <c:pt idx="8">
                  <c:v>20.067075029795724</c:v>
                </c:pt>
                <c:pt idx="9">
                  <c:v>22.691793041926854</c:v>
                </c:pt>
                <c:pt idx="10">
                  <c:v>23.714301808145102</c:v>
                </c:pt>
                <c:pt idx="11">
                  <c:v>22.311022311022313</c:v>
                </c:pt>
                <c:pt idx="12">
                  <c:v>22.179649766601006</c:v>
                </c:pt>
                <c:pt idx="13">
                  <c:v>18.868450390189523</c:v>
                </c:pt>
                <c:pt idx="14">
                  <c:v>19.05972045743329</c:v>
                </c:pt>
              </c:numCache>
            </c:numRef>
          </c:val>
        </c:ser>
        <c:ser>
          <c:idx val="1"/>
          <c:order val="2"/>
          <c:tx>
            <c:strRef>
              <c:f>'Data for Graphs'!$D$20</c:f>
              <c:strCache>
                <c:ptCount val="1"/>
                <c:pt idx="0">
                  <c:v>STATE</c:v>
                </c:pt>
              </c:strCache>
            </c:strRef>
          </c:tx>
          <c:spPr>
            <a:ln>
              <a:solidFill>
                <a:schemeClr val="accent1"/>
              </a:solidFill>
            </a:ln>
          </c:spPr>
          <c:marker>
            <c:symbol val="none"/>
          </c:marker>
          <c:cat>
            <c:numRef>
              <c:f>'Data for Graphs'!$A$21:$A$35</c:f>
              <c:numCache>
                <c:formatCode>General</c:formatCode>
                <c:ptCount val="15"/>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numCache>
            </c:numRef>
          </c:cat>
          <c:val>
            <c:numRef>
              <c:f>'Data for Graphs'!$D$21:$D$35</c:f>
              <c:numCache>
                <c:formatCode>0.0</c:formatCode>
                <c:ptCount val="15"/>
                <c:pt idx="0">
                  <c:v>21.993094229370861</c:v>
                </c:pt>
                <c:pt idx="1">
                  <c:v>21.672451714894493</c:v>
                </c:pt>
                <c:pt idx="2">
                  <c:v>20.498076279692203</c:v>
                </c:pt>
                <c:pt idx="3">
                  <c:v>19.688543968751606</c:v>
                </c:pt>
                <c:pt idx="4">
                  <c:v>18.674449210372391</c:v>
                </c:pt>
                <c:pt idx="5">
                  <c:v>17.903555881281065</c:v>
                </c:pt>
                <c:pt idx="6">
                  <c:v>17.707166297187989</c:v>
                </c:pt>
                <c:pt idx="7">
                  <c:v>17.591687162315662</c:v>
                </c:pt>
                <c:pt idx="8">
                  <c:v>18.306180625228926</c:v>
                </c:pt>
                <c:pt idx="9">
                  <c:v>18.39683066850121</c:v>
                </c:pt>
                <c:pt idx="10">
                  <c:v>17.690427455734188</c:v>
                </c:pt>
                <c:pt idx="11">
                  <c:v>16.372318054611284</c:v>
                </c:pt>
                <c:pt idx="12">
                  <c:v>14.340618588477803</c:v>
                </c:pt>
                <c:pt idx="13">
                  <c:v>12.702167795404645</c:v>
                </c:pt>
                <c:pt idx="14">
                  <c:v>11.846432840922917</c:v>
                </c:pt>
              </c:numCache>
            </c:numRef>
          </c:val>
        </c:ser>
        <c:marker val="1"/>
        <c:axId val="116629504"/>
        <c:axId val="116631040"/>
      </c:lineChart>
      <c:catAx>
        <c:axId val="116629504"/>
        <c:scaling>
          <c:orientation val="minMax"/>
        </c:scaling>
        <c:axPos val="b"/>
        <c:numFmt formatCode="General" sourceLinked="1"/>
        <c:tickLblPos val="nextTo"/>
        <c:txPr>
          <a:bodyPr rot="-2100000"/>
          <a:lstStyle/>
          <a:p>
            <a:pPr>
              <a:defRPr/>
            </a:pPr>
            <a:endParaRPr lang="en-US"/>
          </a:p>
        </c:txPr>
        <c:crossAx val="116631040"/>
        <c:crosses val="autoZero"/>
        <c:auto val="1"/>
        <c:lblAlgn val="ctr"/>
        <c:lblOffset val="100"/>
        <c:tickLblSkip val="1"/>
      </c:catAx>
      <c:valAx>
        <c:axId val="116631040"/>
        <c:scaling>
          <c:orientation val="minMax"/>
        </c:scaling>
        <c:axPos val="l"/>
        <c:majorGridlines>
          <c:spPr>
            <a:ln>
              <a:solidFill>
                <a:schemeClr val="bg1">
                  <a:lumMod val="95000"/>
                </a:schemeClr>
              </a:solidFill>
            </a:ln>
          </c:spPr>
        </c:majorGridlines>
        <c:title>
          <c:tx>
            <c:rich>
              <a:bodyPr rot="-5400000" vert="horz"/>
              <a:lstStyle/>
              <a:p>
                <a:pPr>
                  <a:defRPr/>
                </a:pPr>
                <a:r>
                  <a:rPr lang="en-US"/>
                  <a:t>Rate (per 1,000 pop.)</a:t>
                </a:r>
              </a:p>
            </c:rich>
          </c:tx>
          <c:layout>
            <c:manualLayout>
              <c:xMode val="edge"/>
              <c:yMode val="edge"/>
              <c:x val="5.1910993643277123E-3"/>
              <c:y val="0.20270384951881021"/>
            </c:manualLayout>
          </c:layout>
        </c:title>
        <c:numFmt formatCode="0" sourceLinked="0"/>
        <c:tickLblPos val="nextTo"/>
        <c:crossAx val="116629504"/>
        <c:crosses val="autoZero"/>
        <c:crossBetween val="between"/>
      </c:valAx>
    </c:plotArea>
    <c:legend>
      <c:legendPos val="r"/>
      <c:layout>
        <c:manualLayout>
          <c:xMode val="edge"/>
          <c:yMode val="edge"/>
          <c:x val="4.2079967276817683E-2"/>
          <c:y val="0.12406035932814929"/>
          <c:w val="0.94577473270387025"/>
          <c:h val="7.0979877515310569E-2"/>
        </c:manualLayout>
      </c:layout>
    </c:legend>
    <c:plotVisOnly val="1"/>
    <c:dispBlanksAs val="gap"/>
  </c:chart>
  <c:spPr>
    <a:ln w="15875">
      <a:solidFill>
        <a:schemeClr val="accent1"/>
      </a:solidFill>
    </a:ln>
  </c:spPr>
  <c:printSettings>
    <c:headerFooter/>
    <c:pageMargins b="0.750000000000005" l="0.70000000000000062" r="0.70000000000000062" t="0.750000000000005" header="0.30000000000000032" footer="0.30000000000000032"/>
    <c:pageSetup/>
  </c:printSettings>
  <c:userShapes r:id="rId1"/>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9.xml.rels><?xml version="1.0" encoding="UTF-8" standalone="yes"?>
<Relationships xmlns="http://schemas.openxmlformats.org/package/2006/relationships"><Relationship Id="rId1" Type="http://schemas.openxmlformats.org/officeDocument/2006/relationships/image" Target="http://dssdw.vita.virginia.gov:80/crn/common/images/filter.gif" TargetMode="External"/></Relationships>
</file>

<file path=xl/drawings/drawing1.xml><?xml version="1.0" encoding="utf-8"?>
<xdr:wsDr xmlns:xdr="http://schemas.openxmlformats.org/drawingml/2006/spreadsheetDrawing" xmlns:a="http://schemas.openxmlformats.org/drawingml/2006/main">
  <xdr:twoCellAnchor>
    <xdr:from>
      <xdr:col>6</xdr:col>
      <xdr:colOff>85725</xdr:colOff>
      <xdr:row>41</xdr:row>
      <xdr:rowOff>38100</xdr:rowOff>
    </xdr:from>
    <xdr:to>
      <xdr:col>13</xdr:col>
      <xdr:colOff>352425</xdr:colOff>
      <xdr:row>55</xdr:row>
      <xdr:rowOff>133350</xdr:rowOff>
    </xdr:to>
    <xdr:graphicFrame macro="">
      <xdr:nvGraphicFramePr>
        <xdr:cNvPr id="102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304802</xdr:colOff>
      <xdr:row>90</xdr:row>
      <xdr:rowOff>0</xdr:rowOff>
    </xdr:from>
    <xdr:to>
      <xdr:col>9</xdr:col>
      <xdr:colOff>638175</xdr:colOff>
      <xdr:row>102</xdr:row>
      <xdr:rowOff>85724</xdr:rowOff>
    </xdr:to>
    <xdr:graphicFrame macro="">
      <xdr:nvGraphicFramePr>
        <xdr:cNvPr id="1027"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47625</xdr:colOff>
      <xdr:row>25</xdr:row>
      <xdr:rowOff>28575</xdr:rowOff>
    </xdr:from>
    <xdr:to>
      <xdr:col>13</xdr:col>
      <xdr:colOff>657225</xdr:colOff>
      <xdr:row>40</xdr:row>
      <xdr:rowOff>9525</xdr:rowOff>
    </xdr:to>
    <xdr:graphicFrame macro="">
      <xdr:nvGraphicFramePr>
        <xdr:cNvPr id="102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85725</xdr:colOff>
      <xdr:row>134</xdr:row>
      <xdr:rowOff>85725</xdr:rowOff>
    </xdr:from>
    <xdr:to>
      <xdr:col>5</xdr:col>
      <xdr:colOff>542925</xdr:colOff>
      <xdr:row>145</xdr:row>
      <xdr:rowOff>161925</xdr:rowOff>
    </xdr:to>
    <xdr:graphicFrame macro="">
      <xdr:nvGraphicFramePr>
        <xdr:cNvPr id="1029"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66675</xdr:colOff>
      <xdr:row>146</xdr:row>
      <xdr:rowOff>47624</xdr:rowOff>
    </xdr:from>
    <xdr:to>
      <xdr:col>5</xdr:col>
      <xdr:colOff>533400</xdr:colOff>
      <xdr:row>157</xdr:row>
      <xdr:rowOff>76199</xdr:rowOff>
    </xdr:to>
    <xdr:graphicFrame macro="">
      <xdr:nvGraphicFramePr>
        <xdr:cNvPr id="1030"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19050</xdr:colOff>
      <xdr:row>11</xdr:row>
      <xdr:rowOff>19050</xdr:rowOff>
    </xdr:from>
    <xdr:to>
      <xdr:col>9</xdr:col>
      <xdr:colOff>0</xdr:colOff>
      <xdr:row>13</xdr:row>
      <xdr:rowOff>152400</xdr:rowOff>
    </xdr:to>
    <xdr:sp macro="" textlink="">
      <xdr:nvSpPr>
        <xdr:cNvPr id="24" name="Rounded Rectangle 23"/>
        <xdr:cNvSpPr/>
      </xdr:nvSpPr>
      <xdr:spPr>
        <a:xfrm>
          <a:off x="4933950" y="1762125"/>
          <a:ext cx="666750" cy="476250"/>
        </a:xfrm>
        <a:prstGeom prst="roundRect">
          <a:avLst/>
        </a:prstGeom>
        <a:noFill/>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endParaRPr lang="en-US"/>
        </a:p>
      </xdr:txBody>
    </xdr:sp>
    <xdr:clientData/>
  </xdr:twoCellAnchor>
  <xdr:twoCellAnchor>
    <xdr:from>
      <xdr:col>8</xdr:col>
      <xdr:colOff>0</xdr:colOff>
      <xdr:row>17</xdr:row>
      <xdr:rowOff>19050</xdr:rowOff>
    </xdr:from>
    <xdr:to>
      <xdr:col>8</xdr:col>
      <xdr:colOff>666750</xdr:colOff>
      <xdr:row>19</xdr:row>
      <xdr:rowOff>152400</xdr:rowOff>
    </xdr:to>
    <xdr:sp macro="" textlink="">
      <xdr:nvSpPr>
        <xdr:cNvPr id="29" name="Rounded Rectangle 28"/>
        <xdr:cNvSpPr/>
      </xdr:nvSpPr>
      <xdr:spPr>
        <a:xfrm>
          <a:off x="4914900" y="2790825"/>
          <a:ext cx="666750" cy="476250"/>
        </a:xfrm>
        <a:prstGeom prst="roundRect">
          <a:avLst/>
        </a:prstGeom>
        <a:noFill/>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endParaRPr lang="en-US"/>
        </a:p>
      </xdr:txBody>
    </xdr:sp>
    <xdr:clientData/>
  </xdr:twoCellAnchor>
  <xdr:twoCellAnchor>
    <xdr:from>
      <xdr:col>8</xdr:col>
      <xdr:colOff>0</xdr:colOff>
      <xdr:row>14</xdr:row>
      <xdr:rowOff>19050</xdr:rowOff>
    </xdr:from>
    <xdr:to>
      <xdr:col>8</xdr:col>
      <xdr:colOff>666750</xdr:colOff>
      <xdr:row>16</xdr:row>
      <xdr:rowOff>152400</xdr:rowOff>
    </xdr:to>
    <xdr:sp macro="" textlink="">
      <xdr:nvSpPr>
        <xdr:cNvPr id="31" name="Rounded Rectangle 30"/>
        <xdr:cNvSpPr/>
      </xdr:nvSpPr>
      <xdr:spPr>
        <a:xfrm>
          <a:off x="4914900" y="2790825"/>
          <a:ext cx="666750" cy="476250"/>
        </a:xfrm>
        <a:prstGeom prst="roundRect">
          <a:avLst/>
        </a:prstGeom>
        <a:noFill/>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endParaRPr lang="en-US"/>
        </a:p>
      </xdr:txBody>
    </xdr:sp>
    <xdr:clientData/>
  </xdr:twoCellAnchor>
  <xdr:twoCellAnchor>
    <xdr:from>
      <xdr:col>8</xdr:col>
      <xdr:colOff>0</xdr:colOff>
      <xdr:row>20</xdr:row>
      <xdr:rowOff>19050</xdr:rowOff>
    </xdr:from>
    <xdr:to>
      <xdr:col>8</xdr:col>
      <xdr:colOff>666750</xdr:colOff>
      <xdr:row>22</xdr:row>
      <xdr:rowOff>152400</xdr:rowOff>
    </xdr:to>
    <xdr:sp macro="" textlink="">
      <xdr:nvSpPr>
        <xdr:cNvPr id="32" name="Rounded Rectangle 31"/>
        <xdr:cNvSpPr/>
      </xdr:nvSpPr>
      <xdr:spPr>
        <a:xfrm>
          <a:off x="4914900" y="2790825"/>
          <a:ext cx="666750" cy="476250"/>
        </a:xfrm>
        <a:prstGeom prst="roundRect">
          <a:avLst/>
        </a:prstGeom>
        <a:noFill/>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endParaRPr lang="en-US"/>
        </a:p>
      </xdr:txBody>
    </xdr:sp>
    <xdr:clientData/>
  </xdr:twoCellAnchor>
  <xdr:twoCellAnchor>
    <xdr:from>
      <xdr:col>1</xdr:col>
      <xdr:colOff>19050</xdr:colOff>
      <xdr:row>158</xdr:row>
      <xdr:rowOff>28575</xdr:rowOff>
    </xdr:from>
    <xdr:to>
      <xdr:col>3</xdr:col>
      <xdr:colOff>666750</xdr:colOff>
      <xdr:row>161</xdr:row>
      <xdr:rowOff>152400</xdr:rowOff>
    </xdr:to>
    <xdr:sp macro="" textlink="$M$156">
      <xdr:nvSpPr>
        <xdr:cNvPr id="11" name="Rounded Rectangle 10"/>
        <xdr:cNvSpPr/>
      </xdr:nvSpPr>
      <xdr:spPr>
        <a:xfrm>
          <a:off x="95250" y="22174200"/>
          <a:ext cx="2057400" cy="638175"/>
        </a:xfrm>
        <a:prstGeom prst="roundRect">
          <a:avLst/>
        </a:prstGeom>
        <a:effectLst>
          <a:softEdge rad="63500"/>
        </a:effectLst>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fld id="{F0BD96E8-E6C8-4F1A-AEE8-8C7C3D486110}" type="TxLink">
            <a:rPr lang="en-US" sz="1600" b="1" i="0" u="none" strike="noStrike">
              <a:solidFill>
                <a:srgbClr val="FF0000"/>
              </a:solidFill>
              <a:latin typeface="Cambriaew Roman"/>
            </a:rPr>
            <a:pPr algn="ctr"/>
            <a:t>$19,879,513</a:t>
          </a:fld>
          <a:endParaRPr lang="en-US" sz="1600" b="1"/>
        </a:p>
      </xdr:txBody>
    </xdr:sp>
    <xdr:clientData/>
  </xdr:twoCellAnchor>
  <xdr:twoCellAnchor>
    <xdr:from>
      <xdr:col>5</xdr:col>
      <xdr:colOff>666750</xdr:colOff>
      <xdr:row>158</xdr:row>
      <xdr:rowOff>38100</xdr:rowOff>
    </xdr:from>
    <xdr:to>
      <xdr:col>8</xdr:col>
      <xdr:colOff>666750</xdr:colOff>
      <xdr:row>161</xdr:row>
      <xdr:rowOff>161925</xdr:rowOff>
    </xdr:to>
    <xdr:sp macro="" textlink="$L$156">
      <xdr:nvSpPr>
        <xdr:cNvPr id="37" name="Rounded Rectangle 36"/>
        <xdr:cNvSpPr/>
      </xdr:nvSpPr>
      <xdr:spPr>
        <a:xfrm>
          <a:off x="3524250" y="22183725"/>
          <a:ext cx="2057400" cy="638175"/>
        </a:xfrm>
        <a:prstGeom prst="roundRect">
          <a:avLst/>
        </a:prstGeom>
        <a:effectLst>
          <a:softEdge rad="63500"/>
        </a:effectLst>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fld id="{6E64D973-77A5-4A49-B64A-D205048FC130}" type="TxLink">
            <a:rPr lang="en-US" sz="1600" b="1" i="0" u="none" strike="noStrike">
              <a:solidFill>
                <a:srgbClr val="000000"/>
              </a:solidFill>
              <a:latin typeface="Cambriaew Roman"/>
            </a:rPr>
            <a:pPr algn="ctr"/>
            <a:t>$273,621</a:t>
          </a:fld>
          <a:endParaRPr lang="en-US" sz="1600" b="1"/>
        </a:p>
      </xdr:txBody>
    </xdr:sp>
    <xdr:clientData/>
  </xdr:twoCellAnchor>
  <xdr:twoCellAnchor>
    <xdr:from>
      <xdr:col>10</xdr:col>
      <xdr:colOff>247650</xdr:colOff>
      <xdr:row>78</xdr:row>
      <xdr:rowOff>19050</xdr:rowOff>
    </xdr:from>
    <xdr:to>
      <xdr:col>11</xdr:col>
      <xdr:colOff>400050</xdr:colOff>
      <xdr:row>80</xdr:row>
      <xdr:rowOff>152400</xdr:rowOff>
    </xdr:to>
    <xdr:sp macro="" textlink="">
      <xdr:nvSpPr>
        <xdr:cNvPr id="14" name="Rounded Rectangle 13"/>
        <xdr:cNvSpPr/>
      </xdr:nvSpPr>
      <xdr:spPr>
        <a:xfrm>
          <a:off x="7953375" y="12858750"/>
          <a:ext cx="838200" cy="476250"/>
        </a:xfrm>
        <a:prstGeom prst="roundRect">
          <a:avLst/>
        </a:prstGeom>
        <a:noFill/>
        <a:ln>
          <a:solidFill>
            <a:schemeClr val="accent4">
              <a:lumMod val="75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endParaRPr lang="en-US"/>
        </a:p>
      </xdr:txBody>
    </xdr:sp>
    <xdr:clientData/>
  </xdr:twoCellAnchor>
  <xdr:twoCellAnchor>
    <xdr:from>
      <xdr:col>9</xdr:col>
      <xdr:colOff>723900</xdr:colOff>
      <xdr:row>90</xdr:row>
      <xdr:rowOff>19050</xdr:rowOff>
    </xdr:from>
    <xdr:to>
      <xdr:col>13</xdr:col>
      <xdr:colOff>476249</xdr:colOff>
      <xdr:row>102</xdr:row>
      <xdr:rowOff>104774</xdr:rowOff>
    </xdr:to>
    <xdr:graphicFrame macro="">
      <xdr:nvGraphicFramePr>
        <xdr:cNvPr id="19"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47625</xdr:colOff>
      <xdr:row>90</xdr:row>
      <xdr:rowOff>0</xdr:rowOff>
    </xdr:from>
    <xdr:to>
      <xdr:col>5</xdr:col>
      <xdr:colOff>190500</xdr:colOff>
      <xdr:row>102</xdr:row>
      <xdr:rowOff>85724</xdr:rowOff>
    </xdr:to>
    <xdr:graphicFrame macro="">
      <xdr:nvGraphicFramePr>
        <xdr:cNvPr id="21"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38100</xdr:colOff>
      <xdr:row>64</xdr:row>
      <xdr:rowOff>19050</xdr:rowOff>
    </xdr:from>
    <xdr:to>
      <xdr:col>7</xdr:col>
      <xdr:colOff>266700</xdr:colOff>
      <xdr:row>76</xdr:row>
      <xdr:rowOff>133350</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314326</xdr:colOff>
      <xdr:row>64</xdr:row>
      <xdr:rowOff>19050</xdr:rowOff>
    </xdr:from>
    <xdr:to>
      <xdr:col>13</xdr:col>
      <xdr:colOff>552451</xdr:colOff>
      <xdr:row>76</xdr:row>
      <xdr:rowOff>133350</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704850</xdr:colOff>
      <xdr:row>55</xdr:row>
      <xdr:rowOff>171450</xdr:rowOff>
    </xdr:from>
    <xdr:to>
      <xdr:col>13</xdr:col>
      <xdr:colOff>19050</xdr:colOff>
      <xdr:row>58</xdr:row>
      <xdr:rowOff>9525</xdr:rowOff>
    </xdr:to>
    <xdr:sp macro="" textlink="">
      <xdr:nvSpPr>
        <xdr:cNvPr id="23" name="Rounded Rectangle 22"/>
        <xdr:cNvSpPr/>
      </xdr:nvSpPr>
      <xdr:spPr>
        <a:xfrm>
          <a:off x="7677150" y="9458325"/>
          <a:ext cx="733425" cy="476250"/>
        </a:xfrm>
        <a:prstGeom prst="roundRect">
          <a:avLst/>
        </a:prstGeom>
        <a:noFill/>
        <a:ln>
          <a:solidFill>
            <a:schemeClr val="accent4">
              <a:lumMod val="75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endParaRPr lang="en-US">
            <a:solidFill>
              <a:schemeClr val="tx2"/>
            </a:solidFill>
          </a:endParaRPr>
        </a:p>
      </xdr:txBody>
    </xdr:sp>
    <xdr:clientData/>
  </xdr:twoCellAnchor>
</xdr:wsDr>
</file>

<file path=xl/drawings/drawing2.xml><?xml version="1.0" encoding="utf-8"?>
<c:userShapes xmlns:c="http://schemas.openxmlformats.org/drawingml/2006/chart">
  <cdr:relSizeAnchor xmlns:cdr="http://schemas.openxmlformats.org/drawingml/2006/chartDrawing">
    <cdr:from>
      <cdr:x>0.0361</cdr:x>
      <cdr:y>0.88889</cdr:y>
    </cdr:from>
    <cdr:to>
      <cdr:x>0.98996</cdr:x>
      <cdr:y>0.97956</cdr:y>
    </cdr:to>
    <cdr:sp macro="" textlink="">
      <cdr:nvSpPr>
        <cdr:cNvPr id="3" name="TextBox 2"/>
        <cdr:cNvSpPr txBox="1"/>
      </cdr:nvSpPr>
      <cdr:spPr>
        <a:xfrm xmlns:a="http://schemas.openxmlformats.org/drawingml/2006/main">
          <a:off x="171239" y="2133600"/>
          <a:ext cx="4524586" cy="217646"/>
        </a:xfrm>
        <a:prstGeom xmlns:a="http://schemas.openxmlformats.org/drawingml/2006/main" prst="rect">
          <a:avLst/>
        </a:prstGeom>
      </cdr:spPr>
      <cdr:txBody>
        <a:bodyPr xmlns:a="http://schemas.openxmlformats.org/drawingml/2006/main" vertOverflow="clip" horzOverflow="clip" wrap="square" lIns="0" tIns="0" rIns="0" bIns="0" rtlCol="0" anchor="t" anchorCtr="0"/>
        <a:lstStyle xmlns:a="http://schemas.openxmlformats.org/drawingml/2006/main"/>
        <a:p xmlns:a="http://schemas.openxmlformats.org/drawingml/2006/main">
          <a:r>
            <a:rPr lang="en-US" sz="800">
              <a:latin typeface="+mj-lt"/>
              <a:cs typeface="Arial" pitchFamily="34" charset="0"/>
            </a:rPr>
            <a:t>Source: Virginia Employment Commission. Rates are</a:t>
          </a:r>
          <a:r>
            <a:rPr lang="en-US" sz="800" baseline="0">
              <a:latin typeface="+mj-lt"/>
              <a:cs typeface="Arial" pitchFamily="34" charset="0"/>
            </a:rPr>
            <a:t> for  each calendar year. </a:t>
          </a:r>
          <a:r>
            <a:rPr lang="en-US" sz="800">
              <a:latin typeface="+mj-lt"/>
              <a:cs typeface="Arial" pitchFamily="34" charset="0"/>
            </a:rPr>
            <a:t>Rates are not seasonally</a:t>
          </a:r>
          <a:r>
            <a:rPr lang="en-US" sz="800" baseline="0">
              <a:latin typeface="+mj-lt"/>
              <a:cs typeface="Arial" pitchFamily="34" charset="0"/>
            </a:rPr>
            <a:t> adjusted. </a:t>
          </a:r>
        </a:p>
        <a:p xmlns:a="http://schemas.openxmlformats.org/drawingml/2006/main">
          <a:r>
            <a:rPr lang="en-US" sz="800" baseline="0">
              <a:latin typeface="+mj-lt"/>
              <a:cs typeface="Arial" pitchFamily="34" charset="0"/>
            </a:rPr>
            <a:t>	</a:t>
          </a:r>
          <a:endParaRPr lang="en-US" sz="800">
            <a:latin typeface="+mj-lt"/>
            <a:cs typeface="Arial" pitchFamily="34" charset="0"/>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0.00829</cdr:x>
      <cdr:y>0.84753</cdr:y>
    </cdr:from>
    <cdr:to>
      <cdr:x>0.9625</cdr:x>
      <cdr:y>1</cdr:y>
    </cdr:to>
    <cdr:sp macro="" textlink="">
      <cdr:nvSpPr>
        <cdr:cNvPr id="2" name="TextBox 1"/>
        <cdr:cNvSpPr txBox="1"/>
      </cdr:nvSpPr>
      <cdr:spPr>
        <a:xfrm xmlns:a="http://schemas.openxmlformats.org/drawingml/2006/main">
          <a:off x="25270" y="1864807"/>
          <a:ext cx="2908430" cy="33546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700">
              <a:latin typeface="Arial" pitchFamily="34" charset="0"/>
              <a:cs typeface="Arial" pitchFamily="34" charset="0"/>
            </a:rPr>
            <a:t>Source: Benefit Programs, ADAPT</a:t>
          </a:r>
          <a:r>
            <a:rPr lang="en-US" sz="700" baseline="0">
              <a:latin typeface="Arial" pitchFamily="34" charset="0"/>
              <a:cs typeface="Arial" pitchFamily="34" charset="0"/>
            </a:rPr>
            <a:t> (Data Warehouse, Client Cross-</a:t>
          </a:r>
        </a:p>
        <a:p xmlns:a="http://schemas.openxmlformats.org/drawingml/2006/main">
          <a:r>
            <a:rPr lang="en-US" sz="700" baseline="0">
              <a:latin typeface="Arial" pitchFamily="34" charset="0"/>
              <a:cs typeface="Arial" pitchFamily="34" charset="0"/>
            </a:rPr>
            <a:t>Program Locality Yearly Analysis</a:t>
          </a:r>
          <a:r>
            <a:rPr lang="en-US" sz="700">
              <a:latin typeface="Arial" pitchFamily="34" charset="0"/>
              <a:cs typeface="Arial" pitchFamily="34" charset="0"/>
            </a:rPr>
            <a:t>)</a:t>
          </a:r>
          <a:r>
            <a:rPr lang="en-US" sz="700" baseline="0">
              <a:latin typeface="Arial" pitchFamily="34" charset="0"/>
              <a:cs typeface="Arial" pitchFamily="34" charset="0"/>
            </a:rPr>
            <a:t>. </a:t>
          </a:r>
          <a:endParaRPr lang="en-US" sz="700">
            <a:latin typeface="Arial" pitchFamily="34" charset="0"/>
            <a:cs typeface="Arial" pitchFamily="34" charset="0"/>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0.06118</cdr:x>
      <cdr:y>0.88686</cdr:y>
    </cdr:from>
    <cdr:to>
      <cdr:x>0.99335</cdr:x>
      <cdr:y>1</cdr:y>
    </cdr:to>
    <cdr:sp macro="" textlink="">
      <cdr:nvSpPr>
        <cdr:cNvPr id="2" name="TextBox 1"/>
        <cdr:cNvSpPr txBox="1"/>
      </cdr:nvSpPr>
      <cdr:spPr>
        <a:xfrm xmlns:a="http://schemas.openxmlformats.org/drawingml/2006/main">
          <a:off x="262816" y="2314575"/>
          <a:ext cx="4004385" cy="29527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0.03107</cdr:x>
      <cdr:y>0.93073</cdr:y>
    </cdr:from>
    <cdr:to>
      <cdr:x>0.94664</cdr:x>
      <cdr:y>0.99584</cdr:y>
    </cdr:to>
    <cdr:sp macro="" textlink="">
      <cdr:nvSpPr>
        <cdr:cNvPr id="3" name="TextBox 2"/>
        <cdr:cNvSpPr txBox="1"/>
      </cdr:nvSpPr>
      <cdr:spPr>
        <a:xfrm xmlns:a="http://schemas.openxmlformats.org/drawingml/2006/main">
          <a:off x="126091" y="2411324"/>
          <a:ext cx="3715062" cy="168687"/>
        </a:xfrm>
        <a:prstGeom xmlns:a="http://schemas.openxmlformats.org/drawingml/2006/main" prst="rect">
          <a:avLst/>
        </a:prstGeom>
      </cdr:spPr>
      <cdr:txBody>
        <a:bodyPr xmlns:a="http://schemas.openxmlformats.org/drawingml/2006/main" vertOverflow="clip" wrap="none" lIns="0" tIns="0" rIns="0" bIns="0" rtlCol="0"/>
        <a:lstStyle xmlns:a="http://schemas.openxmlformats.org/drawingml/2006/main"/>
        <a:p xmlns:a="http://schemas.openxmlformats.org/drawingml/2006/main">
          <a:r>
            <a:rPr lang="en-US" sz="700">
              <a:latin typeface="Arial" pitchFamily="34" charset="0"/>
              <a:cs typeface="Arial" pitchFamily="34" charset="0"/>
            </a:rPr>
            <a:t>Source:</a:t>
          </a:r>
          <a:r>
            <a:rPr lang="en-US" sz="700" baseline="0">
              <a:latin typeface="Arial" pitchFamily="34" charset="0"/>
              <a:cs typeface="Arial" pitchFamily="34" charset="0"/>
            </a:rPr>
            <a:t> U.S. Census Bureau, Small Area Income and </a:t>
          </a:r>
          <a:r>
            <a:rPr lang="en-US" sz="700" baseline="0">
              <a:latin typeface="+mj-lt"/>
              <a:cs typeface="Arial" pitchFamily="34" charset="0"/>
            </a:rPr>
            <a:t>Poverty</a:t>
          </a:r>
          <a:r>
            <a:rPr lang="en-US" sz="700" baseline="0">
              <a:latin typeface="Arial" pitchFamily="34" charset="0"/>
              <a:cs typeface="Arial" pitchFamily="34" charset="0"/>
            </a:rPr>
            <a:t> Estimates (SAIPE).</a:t>
          </a:r>
          <a:endParaRPr lang="en-US" sz="700">
            <a:latin typeface="Arial" pitchFamily="34" charset="0"/>
            <a:cs typeface="Arial" pitchFamily="34" charset="0"/>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0.00829</cdr:x>
      <cdr:y>0.84753</cdr:y>
    </cdr:from>
    <cdr:to>
      <cdr:x>0.9625</cdr:x>
      <cdr:y>1</cdr:y>
    </cdr:to>
    <cdr:sp macro="" textlink="">
      <cdr:nvSpPr>
        <cdr:cNvPr id="2" name="TextBox 1"/>
        <cdr:cNvSpPr txBox="1"/>
      </cdr:nvSpPr>
      <cdr:spPr>
        <a:xfrm xmlns:a="http://schemas.openxmlformats.org/drawingml/2006/main">
          <a:off x="25270" y="1864807"/>
          <a:ext cx="2908430" cy="33546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700">
              <a:latin typeface="Arial" pitchFamily="34" charset="0"/>
              <a:cs typeface="Arial" pitchFamily="34" charset="0"/>
            </a:rPr>
            <a:t>Source: Benefit Programs, ADAPT</a:t>
          </a:r>
          <a:r>
            <a:rPr lang="en-US" sz="700" baseline="0">
              <a:latin typeface="Arial" pitchFamily="34" charset="0"/>
              <a:cs typeface="Arial" pitchFamily="34" charset="0"/>
            </a:rPr>
            <a:t> (Data Warehouse, Client Cross-</a:t>
          </a:r>
        </a:p>
        <a:p xmlns:a="http://schemas.openxmlformats.org/drawingml/2006/main">
          <a:r>
            <a:rPr lang="en-US" sz="700" baseline="0">
              <a:latin typeface="Arial" pitchFamily="34" charset="0"/>
              <a:cs typeface="Arial" pitchFamily="34" charset="0"/>
            </a:rPr>
            <a:t>Program Locality Yearly Analysis</a:t>
          </a:r>
          <a:r>
            <a:rPr lang="en-US" sz="700">
              <a:latin typeface="Arial" pitchFamily="34" charset="0"/>
              <a:cs typeface="Arial" pitchFamily="34" charset="0"/>
            </a:rPr>
            <a:t>)</a:t>
          </a:r>
          <a:r>
            <a:rPr lang="en-US" sz="700" baseline="0">
              <a:latin typeface="Arial" pitchFamily="34" charset="0"/>
              <a:cs typeface="Arial" pitchFamily="34" charset="0"/>
            </a:rPr>
            <a:t>. </a:t>
          </a:r>
          <a:endParaRPr lang="en-US" sz="700">
            <a:latin typeface="Arial" pitchFamily="34" charset="0"/>
            <a:cs typeface="Arial" pitchFamily="34" charset="0"/>
          </a:endParaRPr>
        </a:p>
      </cdr:txBody>
    </cdr:sp>
  </cdr:relSizeAnchor>
</c:userShapes>
</file>

<file path=xl/drawings/drawing6.xml><?xml version="1.0" encoding="utf-8"?>
<c:userShapes xmlns:c="http://schemas.openxmlformats.org/drawingml/2006/chart">
  <cdr:relSizeAnchor xmlns:cdr="http://schemas.openxmlformats.org/drawingml/2006/chartDrawing">
    <cdr:from>
      <cdr:x>0.00829</cdr:x>
      <cdr:y>0.84753</cdr:y>
    </cdr:from>
    <cdr:to>
      <cdr:x>0.97183</cdr:x>
      <cdr:y>1</cdr:y>
    </cdr:to>
    <cdr:sp macro="" textlink="">
      <cdr:nvSpPr>
        <cdr:cNvPr id="2" name="TextBox 1"/>
        <cdr:cNvSpPr txBox="1"/>
      </cdr:nvSpPr>
      <cdr:spPr>
        <a:xfrm xmlns:a="http://schemas.openxmlformats.org/drawingml/2006/main">
          <a:off x="22425" y="1816362"/>
          <a:ext cx="2606475" cy="32676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l"/>
          <a:r>
            <a:rPr lang="en-US" sz="700">
              <a:latin typeface="Arial" pitchFamily="34" charset="0"/>
              <a:cs typeface="Arial" pitchFamily="34" charset="0"/>
            </a:rPr>
            <a:t>Source: Benefit Programs, ADAPT</a:t>
          </a:r>
          <a:r>
            <a:rPr lang="en-US" sz="700" baseline="0">
              <a:latin typeface="Arial" pitchFamily="34" charset="0"/>
              <a:cs typeface="Arial" pitchFamily="34" charset="0"/>
            </a:rPr>
            <a:t> (Data Warehouse, Client Cross-</a:t>
          </a:r>
        </a:p>
        <a:p xmlns:a="http://schemas.openxmlformats.org/drawingml/2006/main">
          <a:pPr algn="l"/>
          <a:r>
            <a:rPr lang="en-US" sz="700" baseline="0">
              <a:latin typeface="Arial" pitchFamily="34" charset="0"/>
              <a:cs typeface="Arial" pitchFamily="34" charset="0"/>
            </a:rPr>
            <a:t>Program Locality Yearly Analysis</a:t>
          </a:r>
          <a:r>
            <a:rPr lang="en-US" sz="700">
              <a:latin typeface="Arial" pitchFamily="34" charset="0"/>
              <a:cs typeface="Arial" pitchFamily="34" charset="0"/>
            </a:rPr>
            <a:t>)</a:t>
          </a:r>
          <a:r>
            <a:rPr lang="en-US" sz="700" baseline="0">
              <a:latin typeface="Arial" pitchFamily="34" charset="0"/>
              <a:cs typeface="Arial" pitchFamily="34" charset="0"/>
            </a:rPr>
            <a:t>. </a:t>
          </a:r>
          <a:endParaRPr lang="en-US" sz="700">
            <a:latin typeface="Arial" pitchFamily="34" charset="0"/>
            <a:cs typeface="Arial" pitchFamily="34" charset="0"/>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0.0085</cdr:x>
      <cdr:y>0.92057</cdr:y>
    </cdr:from>
    <cdr:to>
      <cdr:x>1</cdr:x>
      <cdr:y>1</cdr:y>
    </cdr:to>
    <cdr:sp macro="" textlink="">
      <cdr:nvSpPr>
        <cdr:cNvPr id="2" name="TextBox 1"/>
        <cdr:cNvSpPr txBox="1"/>
      </cdr:nvSpPr>
      <cdr:spPr>
        <a:xfrm xmlns:a="http://schemas.openxmlformats.org/drawingml/2006/main">
          <a:off x="533400" y="3400425"/>
          <a:ext cx="5080872" cy="29204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800"/>
            <a:t>Source: VDH, Division of Health Statistics.</a:t>
          </a:r>
          <a:r>
            <a:rPr lang="en-US" sz="800" baseline="0"/>
            <a:t>  Refers to live births to females aged 15-44 years.</a:t>
          </a:r>
          <a:endParaRPr lang="en-US" sz="800"/>
        </a:p>
      </cdr:txBody>
    </cdr:sp>
  </cdr:relSizeAnchor>
</c:userShapes>
</file>

<file path=xl/drawings/drawing8.xml><?xml version="1.0" encoding="utf-8"?>
<c:userShapes xmlns:c="http://schemas.openxmlformats.org/drawingml/2006/chart">
  <cdr:relSizeAnchor xmlns:cdr="http://schemas.openxmlformats.org/drawingml/2006/chartDrawing">
    <cdr:from>
      <cdr:x>0.0085</cdr:x>
      <cdr:y>0.92057</cdr:y>
    </cdr:from>
    <cdr:to>
      <cdr:x>1</cdr:x>
      <cdr:y>1</cdr:y>
    </cdr:to>
    <cdr:sp macro="" textlink="">
      <cdr:nvSpPr>
        <cdr:cNvPr id="2" name="TextBox 1"/>
        <cdr:cNvSpPr txBox="1"/>
      </cdr:nvSpPr>
      <cdr:spPr>
        <a:xfrm xmlns:a="http://schemas.openxmlformats.org/drawingml/2006/main">
          <a:off x="533400" y="3400425"/>
          <a:ext cx="5080872" cy="29204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800"/>
            <a:t>Source: VDH, Division of Health Statistics.</a:t>
          </a:r>
          <a:r>
            <a:rPr lang="en-US" sz="800" baseline="0"/>
            <a:t>  Refers to live births to females aged 10-19 years.</a:t>
          </a:r>
          <a:endParaRPr lang="en-US" sz="800"/>
        </a:p>
      </cdr:txBody>
    </cdr:sp>
  </cdr:relSizeAnchor>
</c:userShapes>
</file>

<file path=xl/drawings/drawing9.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152400</xdr:colOff>
      <xdr:row>0</xdr:row>
      <xdr:rowOff>152400</xdr:rowOff>
    </xdr:to>
    <xdr:pic>
      <xdr:nvPicPr>
        <xdr:cNvPr id="929793" name="Picture 1" descr="http://dssdw.vita.virginia.gov:80/crn/common/images/filter.gif"/>
        <xdr:cNvPicPr>
          <a:picLocks noChangeAspect="1" noChangeArrowheads="1"/>
        </xdr:cNvPicPr>
      </xdr:nvPicPr>
      <xdr:blipFill>
        <a:blip xmlns:r="http://schemas.openxmlformats.org/officeDocument/2006/relationships" r:link="rId1" cstate="print">
          <a:extLst>
            <a:ext uri="{28A0092B-C50C-407E-A947-70E740481C1C}">
              <a14:useLocalDpi xmlns:a14="http://schemas.microsoft.com/office/drawing/2010/main" xmlns="" val="0"/>
            </a:ext>
          </a:extLst>
        </a:blip>
        <a:srcRect/>
        <a:stretch>
          <a:fillRect/>
        </a:stretch>
      </xdr:blipFill>
      <xdr:spPr bwMode="auto">
        <a:xfrm>
          <a:off x="342900" y="0"/>
          <a:ext cx="152400" cy="1524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trategy_Management/Local%20Departments,%20Data/Profiles/Profile%20Report%202012/2012%20Local%20DSS%20Agency%20Profile%20Report%202012_05_2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rofile"/>
      <sheetName val="Agency Level"/>
      <sheetName val="HR Policy"/>
      <sheetName val="IT Support"/>
      <sheetName val="Board Type"/>
      <sheetName val="2010 Population"/>
      <sheetName val="Hispanic Population"/>
      <sheetName val="Unemployment 2001-2011"/>
      <sheetName val="Poverty 1998-2010"/>
      <sheetName val="SNAP Demographics 2011"/>
      <sheetName val="TANF DEMOGRAPHICS 2011"/>
      <sheetName val="SNAP Clients by SFY"/>
      <sheetName val="TANF Clients by SFY"/>
      <sheetName val="Medicaid 2011"/>
      <sheetName val="Adoption Child by Race"/>
      <sheetName val="CPS Referrals by Race 2011"/>
      <sheetName val="Compare Recipients Census Med"/>
      <sheetName val="Compare Recipients Census SNAP"/>
      <sheetName val="Compare Recipients Census TANF"/>
      <sheetName val="Adoption Counts Summed SFY 2010"/>
      <sheetName val="Foster Care Children Race-2011"/>
      <sheetName val="CPS Ref Child Demo 2010 (2)"/>
      <sheetName val="Eligibililty Staff LASER-2011"/>
      <sheetName val="Services Staff LASER 2011"/>
      <sheetName val="Other Exp. LASER 2011"/>
      <sheetName val="Services for Clients LASER 2011"/>
      <sheetName val="Medicaid &amp; FAMIS - LASER 2011"/>
      <sheetName val="SNAP - LASER 2011"/>
      <sheetName val="FC &amp; Adoptions LASER 2011"/>
      <sheetName val="LIHEAP LASER 2011"/>
      <sheetName val="TANF LASER 2011"/>
      <sheetName val="Other Benefits LASER 2011"/>
      <sheetName val="Benefits Spending Summary"/>
      <sheetName val="Position_Mar2012"/>
      <sheetName val="Medicaid Clients"/>
      <sheetName val="Children in Single-Parent Homes"/>
      <sheetName val="Non-marital births"/>
      <sheetName val="Cohabiting Couples"/>
      <sheetName val="SNAP Participation Rate"/>
      <sheetName val="Children in Foster Care"/>
      <sheetName val="Children in CPS Investigations"/>
      <sheetName val="Abuse and Neglect by Locality"/>
      <sheetName val="Locality Name"/>
      <sheetName val="Password"/>
      <sheetName val="AG Master"/>
      <sheetName val="APS Master"/>
    </sheetNames>
    <sheetDataSet>
      <sheetData sheetId="0"/>
      <sheetData sheetId="1"/>
      <sheetData sheetId="2"/>
      <sheetData sheetId="3"/>
      <sheetData sheetId="4"/>
      <sheetData sheetId="5"/>
      <sheetData sheetId="6"/>
      <sheetData sheetId="7"/>
      <sheetData sheetId="8"/>
      <sheetData sheetId="9">
        <row r="6">
          <cell r="A6" t="str">
            <v>001</v>
          </cell>
          <cell r="B6" t="str">
            <v>Accomack</v>
          </cell>
          <cell r="C6">
            <v>5384</v>
          </cell>
          <cell r="D6">
            <v>2692</v>
          </cell>
          <cell r="E6">
            <v>2470</v>
          </cell>
          <cell r="F6">
            <v>222</v>
          </cell>
          <cell r="G6">
            <v>3978</v>
          </cell>
          <cell r="H6">
            <v>1992</v>
          </cell>
          <cell r="I6">
            <v>1898</v>
          </cell>
          <cell r="J6">
            <v>88</v>
          </cell>
          <cell r="K6">
            <v>9362</v>
          </cell>
        </row>
        <row r="7">
          <cell r="A7" t="str">
            <v>003</v>
          </cell>
          <cell r="B7" t="str">
            <v>Albemarle</v>
          </cell>
          <cell r="C7">
            <v>5829</v>
          </cell>
          <cell r="D7">
            <v>2981</v>
          </cell>
          <cell r="E7">
            <v>1544</v>
          </cell>
          <cell r="F7">
            <v>1304</v>
          </cell>
          <cell r="G7">
            <v>4102</v>
          </cell>
          <cell r="H7">
            <v>1817</v>
          </cell>
          <cell r="I7">
            <v>1232</v>
          </cell>
          <cell r="J7">
            <v>1053</v>
          </cell>
          <cell r="K7">
            <v>9931</v>
          </cell>
        </row>
        <row r="8">
          <cell r="A8" t="str">
            <v>005</v>
          </cell>
          <cell r="B8" t="str">
            <v>Alleghany/Covington</v>
          </cell>
          <cell r="C8">
            <v>3013</v>
          </cell>
          <cell r="D8">
            <v>2600</v>
          </cell>
          <cell r="E8">
            <v>331</v>
          </cell>
          <cell r="F8">
            <v>82</v>
          </cell>
          <cell r="G8">
            <v>1974</v>
          </cell>
          <cell r="H8">
            <v>1572</v>
          </cell>
          <cell r="I8">
            <v>208</v>
          </cell>
          <cell r="J8">
            <v>194</v>
          </cell>
          <cell r="K8">
            <v>4987</v>
          </cell>
        </row>
        <row r="9">
          <cell r="A9" t="str">
            <v>007</v>
          </cell>
          <cell r="B9" t="str">
            <v>Amelia</v>
          </cell>
          <cell r="C9">
            <v>1825</v>
          </cell>
          <cell r="D9">
            <v>1091</v>
          </cell>
          <cell r="E9">
            <v>658</v>
          </cell>
          <cell r="F9">
            <v>76</v>
          </cell>
          <cell r="G9">
            <v>1103</v>
          </cell>
          <cell r="H9">
            <v>660</v>
          </cell>
          <cell r="I9">
            <v>372</v>
          </cell>
          <cell r="J9">
            <v>71</v>
          </cell>
          <cell r="K9">
            <v>2928</v>
          </cell>
        </row>
        <row r="10">
          <cell r="A10" t="str">
            <v>009</v>
          </cell>
          <cell r="B10" t="str">
            <v>Amherst</v>
          </cell>
          <cell r="C10">
            <v>3581</v>
          </cell>
          <cell r="D10">
            <v>2278</v>
          </cell>
          <cell r="E10">
            <v>1005</v>
          </cell>
          <cell r="F10">
            <v>298</v>
          </cell>
          <cell r="G10">
            <v>2398</v>
          </cell>
          <cell r="H10">
            <v>1479</v>
          </cell>
          <cell r="I10">
            <v>662</v>
          </cell>
          <cell r="J10">
            <v>257</v>
          </cell>
          <cell r="K10">
            <v>5979</v>
          </cell>
        </row>
        <row r="11">
          <cell r="A11" t="str">
            <v>011</v>
          </cell>
          <cell r="B11" t="str">
            <v>Appomattox</v>
          </cell>
          <cell r="C11">
            <v>2108</v>
          </cell>
          <cell r="D11">
            <v>1268</v>
          </cell>
          <cell r="E11">
            <v>812</v>
          </cell>
          <cell r="F11">
            <v>28</v>
          </cell>
          <cell r="G11">
            <v>1348</v>
          </cell>
          <cell r="H11">
            <v>781</v>
          </cell>
          <cell r="I11">
            <v>514</v>
          </cell>
          <cell r="J11">
            <v>53</v>
          </cell>
          <cell r="K11">
            <v>3456</v>
          </cell>
        </row>
        <row r="12">
          <cell r="A12" t="str">
            <v>013</v>
          </cell>
          <cell r="B12" t="str">
            <v>Arlington</v>
          </cell>
          <cell r="C12">
            <v>7242</v>
          </cell>
          <cell r="D12">
            <v>2991</v>
          </cell>
          <cell r="E12">
            <v>2182</v>
          </cell>
          <cell r="F12">
            <v>2069</v>
          </cell>
          <cell r="G12">
            <v>4283</v>
          </cell>
          <cell r="H12">
            <v>1997</v>
          </cell>
          <cell r="I12">
            <v>1115</v>
          </cell>
          <cell r="J12">
            <v>1171</v>
          </cell>
          <cell r="K12">
            <v>11525</v>
          </cell>
        </row>
        <row r="13">
          <cell r="A13" t="str">
            <v>015</v>
          </cell>
          <cell r="B13" t="str">
            <v>Augusta/ Staunton/ Waynesboro</v>
          </cell>
          <cell r="C13">
            <v>13362</v>
          </cell>
          <cell r="D13">
            <v>10344</v>
          </cell>
          <cell r="E13">
            <v>1786</v>
          </cell>
          <cell r="F13">
            <v>1232</v>
          </cell>
          <cell r="G13">
            <v>8859</v>
          </cell>
          <cell r="H13">
            <v>6515</v>
          </cell>
          <cell r="I13">
            <v>1356</v>
          </cell>
          <cell r="J13">
            <v>988</v>
          </cell>
          <cell r="K13">
            <v>22221</v>
          </cell>
        </row>
        <row r="14">
          <cell r="A14" t="str">
            <v>017</v>
          </cell>
          <cell r="B14" t="str">
            <v>Bath</v>
          </cell>
          <cell r="C14">
            <v>376</v>
          </cell>
          <cell r="D14">
            <v>347</v>
          </cell>
          <cell r="E14">
            <v>21</v>
          </cell>
          <cell r="F14">
            <v>8</v>
          </cell>
          <cell r="G14">
            <v>203</v>
          </cell>
          <cell r="H14">
            <v>183</v>
          </cell>
          <cell r="I14">
            <v>6</v>
          </cell>
          <cell r="J14">
            <v>14</v>
          </cell>
          <cell r="K14">
            <v>579</v>
          </cell>
        </row>
        <row r="15">
          <cell r="A15" t="str">
            <v>019</v>
          </cell>
          <cell r="B15" t="str">
            <v>Bedford County/City</v>
          </cell>
          <cell r="C15">
            <v>6199</v>
          </cell>
          <cell r="D15">
            <v>4614</v>
          </cell>
          <cell r="E15">
            <v>956</v>
          </cell>
          <cell r="F15">
            <v>629</v>
          </cell>
          <cell r="G15">
            <v>4170</v>
          </cell>
          <cell r="H15">
            <v>3100</v>
          </cell>
          <cell r="I15">
            <v>647</v>
          </cell>
          <cell r="J15">
            <v>423</v>
          </cell>
          <cell r="K15">
            <v>10369</v>
          </cell>
        </row>
        <row r="16">
          <cell r="A16" t="str">
            <v>021</v>
          </cell>
          <cell r="B16" t="str">
            <v>Bland</v>
          </cell>
          <cell r="C16">
            <v>627</v>
          </cell>
          <cell r="D16">
            <v>542</v>
          </cell>
          <cell r="E16">
            <v>8</v>
          </cell>
          <cell r="F16">
            <v>77</v>
          </cell>
          <cell r="G16">
            <v>343</v>
          </cell>
          <cell r="H16">
            <v>308</v>
          </cell>
          <cell r="I16">
            <v>9</v>
          </cell>
          <cell r="J16">
            <v>26</v>
          </cell>
          <cell r="K16">
            <v>970</v>
          </cell>
        </row>
        <row r="17">
          <cell r="A17" t="str">
            <v>023</v>
          </cell>
          <cell r="B17" t="str">
            <v>Botetourt</v>
          </cell>
          <cell r="C17">
            <v>1497</v>
          </cell>
          <cell r="D17">
            <v>1328</v>
          </cell>
          <cell r="E17">
            <v>64</v>
          </cell>
          <cell r="F17">
            <v>105</v>
          </cell>
          <cell r="G17">
            <v>1025</v>
          </cell>
          <cell r="H17">
            <v>878</v>
          </cell>
          <cell r="I17">
            <v>47</v>
          </cell>
          <cell r="J17">
            <v>100</v>
          </cell>
          <cell r="K17">
            <v>2522</v>
          </cell>
        </row>
        <row r="18">
          <cell r="A18" t="str">
            <v>025</v>
          </cell>
          <cell r="B18" t="str">
            <v>Brunswick</v>
          </cell>
          <cell r="C18">
            <v>3160</v>
          </cell>
          <cell r="D18">
            <v>737</v>
          </cell>
          <cell r="E18">
            <v>2315</v>
          </cell>
          <cell r="F18">
            <v>108</v>
          </cell>
          <cell r="G18">
            <v>1896</v>
          </cell>
          <cell r="H18">
            <v>376</v>
          </cell>
          <cell r="I18">
            <v>1436</v>
          </cell>
          <cell r="J18">
            <v>84</v>
          </cell>
          <cell r="K18">
            <v>5056</v>
          </cell>
        </row>
        <row r="19">
          <cell r="A19" t="str">
            <v>027</v>
          </cell>
          <cell r="B19" t="str">
            <v>Buchanan</v>
          </cell>
          <cell r="C19">
            <v>4002</v>
          </cell>
          <cell r="D19">
            <v>3831</v>
          </cell>
          <cell r="E19">
            <v>18</v>
          </cell>
          <cell r="F19">
            <v>153</v>
          </cell>
          <cell r="G19">
            <v>2033</v>
          </cell>
          <cell r="H19">
            <v>1905</v>
          </cell>
          <cell r="I19">
            <v>9</v>
          </cell>
          <cell r="J19">
            <v>119</v>
          </cell>
          <cell r="K19">
            <v>6035</v>
          </cell>
        </row>
        <row r="20">
          <cell r="A20" t="str">
            <v>029</v>
          </cell>
          <cell r="B20" t="str">
            <v>Buckingham</v>
          </cell>
          <cell r="C20">
            <v>2910</v>
          </cell>
          <cell r="D20">
            <v>1327</v>
          </cell>
          <cell r="E20">
            <v>1358</v>
          </cell>
          <cell r="F20">
            <v>225</v>
          </cell>
          <cell r="G20">
            <v>1566</v>
          </cell>
          <cell r="H20">
            <v>787</v>
          </cell>
          <cell r="I20">
            <v>658</v>
          </cell>
          <cell r="J20">
            <v>121</v>
          </cell>
          <cell r="K20">
            <v>4476</v>
          </cell>
        </row>
        <row r="21">
          <cell r="A21" t="str">
            <v>031</v>
          </cell>
          <cell r="B21" t="str">
            <v>Campbell</v>
          </cell>
          <cell r="C21">
            <v>6627</v>
          </cell>
          <cell r="D21">
            <v>4457</v>
          </cell>
          <cell r="E21">
            <v>1617</v>
          </cell>
          <cell r="F21">
            <v>553</v>
          </cell>
          <cell r="G21">
            <v>4251</v>
          </cell>
          <cell r="H21">
            <v>2755</v>
          </cell>
          <cell r="I21">
            <v>1060</v>
          </cell>
          <cell r="J21">
            <v>436</v>
          </cell>
          <cell r="K21">
            <v>10878</v>
          </cell>
        </row>
        <row r="22">
          <cell r="A22" t="str">
            <v>033</v>
          </cell>
          <cell r="B22" t="str">
            <v>Caroline</v>
          </cell>
          <cell r="C22">
            <v>4064</v>
          </cell>
          <cell r="D22">
            <v>2037</v>
          </cell>
          <cell r="E22">
            <v>1653</v>
          </cell>
          <cell r="F22">
            <v>374</v>
          </cell>
          <cell r="G22">
            <v>2853</v>
          </cell>
          <cell r="H22">
            <v>1441</v>
          </cell>
          <cell r="I22">
            <v>1089</v>
          </cell>
          <cell r="J22">
            <v>323</v>
          </cell>
          <cell r="K22">
            <v>6917</v>
          </cell>
        </row>
        <row r="23">
          <cell r="A23" t="str">
            <v>035</v>
          </cell>
          <cell r="B23" t="str">
            <v>Carroll</v>
          </cell>
          <cell r="C23">
            <v>4866</v>
          </cell>
          <cell r="D23">
            <v>4326</v>
          </cell>
          <cell r="E23">
            <v>43</v>
          </cell>
          <cell r="F23">
            <v>497</v>
          </cell>
          <cell r="G23">
            <v>2686</v>
          </cell>
          <cell r="H23">
            <v>2362</v>
          </cell>
          <cell r="I23">
            <v>42</v>
          </cell>
          <cell r="J23">
            <v>282</v>
          </cell>
          <cell r="K23">
            <v>7552</v>
          </cell>
        </row>
        <row r="24">
          <cell r="A24" t="str">
            <v>036</v>
          </cell>
          <cell r="B24" t="str">
            <v>Charles City</v>
          </cell>
          <cell r="C24">
            <v>883</v>
          </cell>
          <cell r="D24">
            <v>223</v>
          </cell>
          <cell r="E24">
            <v>465</v>
          </cell>
          <cell r="F24">
            <v>195</v>
          </cell>
          <cell r="G24">
            <v>478</v>
          </cell>
          <cell r="H24">
            <v>147</v>
          </cell>
          <cell r="I24">
            <v>265</v>
          </cell>
          <cell r="J24">
            <v>66</v>
          </cell>
          <cell r="K24">
            <v>1361</v>
          </cell>
        </row>
        <row r="25">
          <cell r="A25" t="str">
            <v>037</v>
          </cell>
          <cell r="B25" t="str">
            <v>Charlotte</v>
          </cell>
          <cell r="C25">
            <v>2104</v>
          </cell>
          <cell r="D25">
            <v>986</v>
          </cell>
          <cell r="E25">
            <v>1031</v>
          </cell>
          <cell r="F25">
            <v>87</v>
          </cell>
          <cell r="G25">
            <v>1288</v>
          </cell>
          <cell r="H25">
            <v>556</v>
          </cell>
          <cell r="I25">
            <v>645</v>
          </cell>
          <cell r="J25">
            <v>87</v>
          </cell>
          <cell r="K25">
            <v>3392</v>
          </cell>
        </row>
        <row r="26">
          <cell r="A26" t="str">
            <v>041</v>
          </cell>
          <cell r="B26" t="str">
            <v>Chesterfield/Colonial Heights</v>
          </cell>
          <cell r="C26">
            <v>24892</v>
          </cell>
          <cell r="D26">
            <v>12095</v>
          </cell>
          <cell r="E26">
            <v>8742</v>
          </cell>
          <cell r="F26">
            <v>4055</v>
          </cell>
          <cell r="G26">
            <v>20904</v>
          </cell>
          <cell r="H26">
            <v>9459</v>
          </cell>
          <cell r="I26">
            <v>8109</v>
          </cell>
          <cell r="J26">
            <v>3336</v>
          </cell>
          <cell r="K26">
            <v>45796</v>
          </cell>
        </row>
        <row r="27">
          <cell r="A27" t="str">
            <v>043</v>
          </cell>
          <cell r="B27" t="str">
            <v>Clarke</v>
          </cell>
          <cell r="C27">
            <v>816</v>
          </cell>
          <cell r="D27">
            <v>593</v>
          </cell>
          <cell r="E27">
            <v>124</v>
          </cell>
          <cell r="F27">
            <v>99</v>
          </cell>
          <cell r="G27">
            <v>472</v>
          </cell>
          <cell r="H27">
            <v>346</v>
          </cell>
          <cell r="I27">
            <v>62</v>
          </cell>
          <cell r="J27">
            <v>64</v>
          </cell>
          <cell r="K27">
            <v>1288</v>
          </cell>
        </row>
        <row r="28">
          <cell r="A28" t="str">
            <v>045</v>
          </cell>
          <cell r="B28" t="str">
            <v>Craig</v>
          </cell>
          <cell r="C28">
            <v>504</v>
          </cell>
          <cell r="D28">
            <v>497</v>
          </cell>
          <cell r="E28">
            <v>3</v>
          </cell>
          <cell r="F28">
            <v>4</v>
          </cell>
          <cell r="G28">
            <v>325</v>
          </cell>
          <cell r="H28">
            <v>306</v>
          </cell>
          <cell r="I28">
            <v>2</v>
          </cell>
          <cell r="J28">
            <v>17</v>
          </cell>
          <cell r="K28">
            <v>829</v>
          </cell>
        </row>
        <row r="29">
          <cell r="A29" t="str">
            <v>047</v>
          </cell>
          <cell r="B29" t="str">
            <v>Culpeper</v>
          </cell>
          <cell r="C29">
            <v>4728</v>
          </cell>
          <cell r="D29">
            <v>2667</v>
          </cell>
          <cell r="E29">
            <v>1568</v>
          </cell>
          <cell r="F29">
            <v>493</v>
          </cell>
          <cell r="G29">
            <v>3568</v>
          </cell>
          <cell r="H29">
            <v>1765</v>
          </cell>
          <cell r="I29">
            <v>1046</v>
          </cell>
          <cell r="J29">
            <v>757</v>
          </cell>
          <cell r="K29">
            <v>8296</v>
          </cell>
        </row>
        <row r="30">
          <cell r="A30" t="str">
            <v>049</v>
          </cell>
          <cell r="B30" t="str">
            <v>Cumberland</v>
          </cell>
          <cell r="C30">
            <v>1843</v>
          </cell>
          <cell r="D30">
            <v>843</v>
          </cell>
          <cell r="E30">
            <v>894</v>
          </cell>
          <cell r="F30">
            <v>106</v>
          </cell>
          <cell r="G30">
            <v>1143</v>
          </cell>
          <cell r="H30">
            <v>519</v>
          </cell>
          <cell r="I30">
            <v>555</v>
          </cell>
          <cell r="J30">
            <v>69</v>
          </cell>
          <cell r="K30">
            <v>2986</v>
          </cell>
        </row>
        <row r="31">
          <cell r="A31" t="str">
            <v>051</v>
          </cell>
          <cell r="B31" t="str">
            <v>Dickenson</v>
          </cell>
          <cell r="C31">
            <v>2920</v>
          </cell>
          <cell r="D31">
            <v>2776</v>
          </cell>
          <cell r="E31">
            <v>20</v>
          </cell>
          <cell r="F31">
            <v>124</v>
          </cell>
          <cell r="G31">
            <v>1517</v>
          </cell>
          <cell r="H31">
            <v>1466</v>
          </cell>
          <cell r="I31">
            <v>10</v>
          </cell>
          <cell r="J31">
            <v>41</v>
          </cell>
          <cell r="K31">
            <v>4437</v>
          </cell>
        </row>
        <row r="32">
          <cell r="A32" t="str">
            <v>053</v>
          </cell>
          <cell r="B32" t="str">
            <v>Dinwiddie</v>
          </cell>
          <cell r="C32">
            <v>3851</v>
          </cell>
          <cell r="D32">
            <v>1846</v>
          </cell>
          <cell r="E32">
            <v>1515</v>
          </cell>
          <cell r="F32">
            <v>490</v>
          </cell>
          <cell r="G32">
            <v>2499</v>
          </cell>
          <cell r="H32">
            <v>1206</v>
          </cell>
          <cell r="I32">
            <v>961</v>
          </cell>
          <cell r="J32">
            <v>332</v>
          </cell>
          <cell r="K32">
            <v>6350</v>
          </cell>
        </row>
        <row r="33">
          <cell r="A33" t="str">
            <v>057</v>
          </cell>
          <cell r="B33" t="str">
            <v>Essex</v>
          </cell>
          <cell r="C33">
            <v>1852</v>
          </cell>
          <cell r="D33">
            <v>534</v>
          </cell>
          <cell r="E33">
            <v>1018</v>
          </cell>
          <cell r="F33">
            <v>300</v>
          </cell>
          <cell r="G33">
            <v>1355</v>
          </cell>
          <cell r="H33">
            <v>358</v>
          </cell>
          <cell r="I33">
            <v>760</v>
          </cell>
          <cell r="J33">
            <v>237</v>
          </cell>
          <cell r="K33">
            <v>3207</v>
          </cell>
        </row>
        <row r="34">
          <cell r="A34" t="str">
            <v>059</v>
          </cell>
          <cell r="B34" t="str">
            <v>Fairfax County/City/Falls Church</v>
          </cell>
          <cell r="C34">
            <v>40309</v>
          </cell>
          <cell r="D34">
            <v>17858</v>
          </cell>
          <cell r="E34">
            <v>8157</v>
          </cell>
          <cell r="F34">
            <v>14294</v>
          </cell>
          <cell r="G34">
            <v>29871</v>
          </cell>
          <cell r="H34">
            <v>14413</v>
          </cell>
          <cell r="I34">
            <v>6670</v>
          </cell>
          <cell r="J34">
            <v>8788</v>
          </cell>
          <cell r="K34">
            <v>70180</v>
          </cell>
        </row>
        <row r="35">
          <cell r="A35" t="str">
            <v>061</v>
          </cell>
          <cell r="B35" t="str">
            <v>Fauquier</v>
          </cell>
          <cell r="C35">
            <v>3775</v>
          </cell>
          <cell r="D35">
            <v>2133</v>
          </cell>
          <cell r="E35">
            <v>908</v>
          </cell>
          <cell r="F35">
            <v>734</v>
          </cell>
          <cell r="G35">
            <v>2726</v>
          </cell>
          <cell r="H35">
            <v>1552</v>
          </cell>
          <cell r="I35">
            <v>662</v>
          </cell>
          <cell r="J35">
            <v>512</v>
          </cell>
          <cell r="K35">
            <v>6501</v>
          </cell>
        </row>
        <row r="36">
          <cell r="A36" t="str">
            <v>063</v>
          </cell>
          <cell r="B36" t="str">
            <v>Floyd</v>
          </cell>
          <cell r="C36">
            <v>1800</v>
          </cell>
          <cell r="D36">
            <v>1498</v>
          </cell>
          <cell r="E36">
            <v>70</v>
          </cell>
          <cell r="F36">
            <v>232</v>
          </cell>
          <cell r="G36">
            <v>1137</v>
          </cell>
          <cell r="H36">
            <v>984</v>
          </cell>
          <cell r="I36">
            <v>39</v>
          </cell>
          <cell r="J36">
            <v>114</v>
          </cell>
          <cell r="K36">
            <v>2937</v>
          </cell>
        </row>
        <row r="37">
          <cell r="A37" t="str">
            <v>065</v>
          </cell>
          <cell r="B37" t="str">
            <v>Fluvanna</v>
          </cell>
          <cell r="C37">
            <v>1465</v>
          </cell>
          <cell r="D37">
            <v>888</v>
          </cell>
          <cell r="E37">
            <v>507</v>
          </cell>
          <cell r="F37">
            <v>70</v>
          </cell>
          <cell r="G37">
            <v>1082</v>
          </cell>
          <cell r="H37">
            <v>587</v>
          </cell>
          <cell r="I37">
            <v>415</v>
          </cell>
          <cell r="J37">
            <v>80</v>
          </cell>
          <cell r="K37">
            <v>2547</v>
          </cell>
        </row>
        <row r="38">
          <cell r="A38" t="str">
            <v>067</v>
          </cell>
          <cell r="B38" t="str">
            <v>Franklin County</v>
          </cell>
          <cell r="C38">
            <v>7028</v>
          </cell>
          <cell r="D38">
            <v>5022</v>
          </cell>
          <cell r="E38">
            <v>985</v>
          </cell>
          <cell r="F38">
            <v>1021</v>
          </cell>
          <cell r="G38">
            <v>4414</v>
          </cell>
          <cell r="H38">
            <v>3095</v>
          </cell>
          <cell r="I38">
            <v>600</v>
          </cell>
          <cell r="J38">
            <v>719</v>
          </cell>
          <cell r="K38">
            <v>11442</v>
          </cell>
        </row>
        <row r="39">
          <cell r="A39" t="str">
            <v>069</v>
          </cell>
          <cell r="B39" t="str">
            <v>Frederick</v>
          </cell>
          <cell r="C39">
            <v>6222</v>
          </cell>
          <cell r="D39">
            <v>5233</v>
          </cell>
          <cell r="E39">
            <v>468</v>
          </cell>
          <cell r="F39">
            <v>521</v>
          </cell>
          <cell r="G39">
            <v>4781</v>
          </cell>
          <cell r="H39">
            <v>3729</v>
          </cell>
          <cell r="I39">
            <v>453</v>
          </cell>
          <cell r="J39">
            <v>599</v>
          </cell>
          <cell r="K39">
            <v>11003</v>
          </cell>
        </row>
        <row r="40">
          <cell r="A40" t="str">
            <v>071</v>
          </cell>
          <cell r="B40" t="str">
            <v>Giles</v>
          </cell>
          <cell r="C40">
            <v>2307</v>
          </cell>
          <cell r="D40">
            <v>2189</v>
          </cell>
          <cell r="E40">
            <v>43</v>
          </cell>
          <cell r="F40">
            <v>75</v>
          </cell>
          <cell r="G40">
            <v>1338</v>
          </cell>
          <cell r="H40">
            <v>1240</v>
          </cell>
          <cell r="I40">
            <v>45</v>
          </cell>
          <cell r="J40">
            <v>53</v>
          </cell>
          <cell r="K40">
            <v>3645</v>
          </cell>
        </row>
        <row r="41">
          <cell r="A41" t="str">
            <v>073</v>
          </cell>
          <cell r="B41" t="str">
            <v>Gloucester</v>
          </cell>
          <cell r="C41">
            <v>3752</v>
          </cell>
          <cell r="D41">
            <v>2974</v>
          </cell>
          <cell r="E41">
            <v>610</v>
          </cell>
          <cell r="F41">
            <v>168</v>
          </cell>
          <cell r="G41">
            <v>2327</v>
          </cell>
          <cell r="H41">
            <v>1785</v>
          </cell>
          <cell r="I41">
            <v>367</v>
          </cell>
          <cell r="J41">
            <v>175</v>
          </cell>
          <cell r="K41">
            <v>6079</v>
          </cell>
        </row>
        <row r="42">
          <cell r="A42" t="str">
            <v>075</v>
          </cell>
          <cell r="B42" t="str">
            <v>Goochland</v>
          </cell>
          <cell r="C42">
            <v>1227</v>
          </cell>
          <cell r="D42">
            <v>543</v>
          </cell>
          <cell r="E42">
            <v>562</v>
          </cell>
          <cell r="F42">
            <v>122</v>
          </cell>
          <cell r="G42">
            <v>719</v>
          </cell>
          <cell r="H42">
            <v>319</v>
          </cell>
          <cell r="I42">
            <v>319</v>
          </cell>
          <cell r="J42">
            <v>81</v>
          </cell>
          <cell r="K42">
            <v>1946</v>
          </cell>
        </row>
        <row r="43">
          <cell r="A43" t="str">
            <v>077</v>
          </cell>
          <cell r="B43" t="str">
            <v>Grayson</v>
          </cell>
          <cell r="C43">
            <v>2572</v>
          </cell>
          <cell r="D43">
            <v>2334</v>
          </cell>
          <cell r="E43">
            <v>113</v>
          </cell>
          <cell r="F43">
            <v>125</v>
          </cell>
          <cell r="G43">
            <v>1381</v>
          </cell>
          <cell r="H43">
            <v>1231</v>
          </cell>
          <cell r="I43">
            <v>64</v>
          </cell>
          <cell r="J43">
            <v>86</v>
          </cell>
          <cell r="K43">
            <v>3953</v>
          </cell>
        </row>
        <row r="44">
          <cell r="A44" t="str">
            <v>079</v>
          </cell>
          <cell r="B44" t="str">
            <v>Greene</v>
          </cell>
          <cell r="C44">
            <v>1709</v>
          </cell>
          <cell r="D44">
            <v>1305</v>
          </cell>
          <cell r="E44">
            <v>287</v>
          </cell>
          <cell r="F44">
            <v>117</v>
          </cell>
          <cell r="G44">
            <v>1215</v>
          </cell>
          <cell r="H44">
            <v>819</v>
          </cell>
          <cell r="I44">
            <v>196</v>
          </cell>
          <cell r="J44">
            <v>200</v>
          </cell>
          <cell r="K44">
            <v>2924</v>
          </cell>
        </row>
        <row r="45">
          <cell r="A45" t="str">
            <v>081</v>
          </cell>
          <cell r="B45" t="str">
            <v>Greensville/Emporia</v>
          </cell>
          <cell r="C45">
            <v>3257</v>
          </cell>
          <cell r="D45">
            <v>502</v>
          </cell>
          <cell r="E45">
            <v>2674</v>
          </cell>
          <cell r="F45">
            <v>81</v>
          </cell>
          <cell r="G45">
            <v>2300</v>
          </cell>
          <cell r="H45">
            <v>280</v>
          </cell>
          <cell r="I45">
            <v>1919</v>
          </cell>
          <cell r="J45">
            <v>101</v>
          </cell>
          <cell r="K45">
            <v>5557</v>
          </cell>
        </row>
        <row r="46">
          <cell r="A46" t="str">
            <v>083</v>
          </cell>
          <cell r="B46" t="str">
            <v>Halifax</v>
          </cell>
          <cell r="C46">
            <v>5764</v>
          </cell>
          <cell r="D46">
            <v>1961</v>
          </cell>
          <cell r="E46">
            <v>3087</v>
          </cell>
          <cell r="F46">
            <v>716</v>
          </cell>
          <cell r="G46">
            <v>3560</v>
          </cell>
          <cell r="H46">
            <v>1157</v>
          </cell>
          <cell r="I46">
            <v>2063</v>
          </cell>
          <cell r="J46">
            <v>340</v>
          </cell>
          <cell r="K46">
            <v>9324</v>
          </cell>
        </row>
        <row r="47">
          <cell r="A47" t="str">
            <v>085</v>
          </cell>
          <cell r="B47" t="str">
            <v>Hanover</v>
          </cell>
          <cell r="C47">
            <v>4867</v>
          </cell>
          <cell r="D47">
            <v>3052</v>
          </cell>
          <cell r="E47">
            <v>1245</v>
          </cell>
          <cell r="F47">
            <v>570</v>
          </cell>
          <cell r="G47">
            <v>3487</v>
          </cell>
          <cell r="H47">
            <v>1971</v>
          </cell>
          <cell r="I47">
            <v>1030</v>
          </cell>
          <cell r="J47">
            <v>486</v>
          </cell>
          <cell r="K47">
            <v>8354</v>
          </cell>
        </row>
        <row r="48">
          <cell r="A48" t="str">
            <v>087</v>
          </cell>
          <cell r="B48" t="str">
            <v>Henrico</v>
          </cell>
          <cell r="C48">
            <v>26050</v>
          </cell>
          <cell r="D48">
            <v>6621</v>
          </cell>
          <cell r="E48">
            <v>13136</v>
          </cell>
          <cell r="F48">
            <v>6293</v>
          </cell>
          <cell r="G48">
            <v>20367</v>
          </cell>
          <cell r="H48">
            <v>4001</v>
          </cell>
          <cell r="I48">
            <v>11586</v>
          </cell>
          <cell r="J48">
            <v>4780</v>
          </cell>
          <cell r="K48">
            <v>46417</v>
          </cell>
        </row>
        <row r="49">
          <cell r="A49" t="str">
            <v>089</v>
          </cell>
          <cell r="B49" t="str">
            <v>Henry/Martinsville</v>
          </cell>
          <cell r="C49">
            <v>14011</v>
          </cell>
          <cell r="D49">
            <v>7090</v>
          </cell>
          <cell r="E49">
            <v>5115</v>
          </cell>
          <cell r="F49">
            <v>1806</v>
          </cell>
          <cell r="G49">
            <v>8296</v>
          </cell>
          <cell r="H49">
            <v>3742</v>
          </cell>
          <cell r="I49">
            <v>3047</v>
          </cell>
          <cell r="J49">
            <v>1507</v>
          </cell>
          <cell r="K49">
            <v>22307</v>
          </cell>
        </row>
        <row r="50">
          <cell r="A50" t="str">
            <v>091</v>
          </cell>
          <cell r="B50" t="str">
            <v>Highland</v>
          </cell>
          <cell r="C50">
            <v>167</v>
          </cell>
          <cell r="D50">
            <v>148</v>
          </cell>
          <cell r="E50">
            <v>1</v>
          </cell>
          <cell r="F50">
            <v>18</v>
          </cell>
          <cell r="G50">
            <v>81</v>
          </cell>
          <cell r="H50">
            <v>69</v>
          </cell>
          <cell r="I50">
            <v>0</v>
          </cell>
          <cell r="J50">
            <v>12</v>
          </cell>
          <cell r="K50">
            <v>248</v>
          </cell>
        </row>
        <row r="51">
          <cell r="A51" t="str">
            <v>093</v>
          </cell>
          <cell r="B51" t="str">
            <v>Isle of Wight</v>
          </cell>
          <cell r="C51">
            <v>3421</v>
          </cell>
          <cell r="D51">
            <v>1394</v>
          </cell>
          <cell r="E51">
            <v>1738</v>
          </cell>
          <cell r="F51">
            <v>289</v>
          </cell>
          <cell r="G51">
            <v>2265</v>
          </cell>
          <cell r="H51">
            <v>888</v>
          </cell>
          <cell r="I51">
            <v>1143</v>
          </cell>
          <cell r="J51">
            <v>234</v>
          </cell>
          <cell r="K51">
            <v>5686</v>
          </cell>
        </row>
        <row r="52">
          <cell r="A52" t="str">
            <v>095</v>
          </cell>
          <cell r="B52" t="str">
            <v>James City</v>
          </cell>
          <cell r="C52">
            <v>3713</v>
          </cell>
          <cell r="D52">
            <v>1749</v>
          </cell>
          <cell r="E52">
            <v>1521</v>
          </cell>
          <cell r="F52">
            <v>443</v>
          </cell>
          <cell r="G52">
            <v>2902</v>
          </cell>
          <cell r="H52">
            <v>1195</v>
          </cell>
          <cell r="I52">
            <v>1309</v>
          </cell>
          <cell r="J52">
            <v>398</v>
          </cell>
          <cell r="K52">
            <v>6615</v>
          </cell>
        </row>
        <row r="53">
          <cell r="A53" t="str">
            <v>097</v>
          </cell>
          <cell r="B53" t="str">
            <v>King and Queen</v>
          </cell>
          <cell r="C53">
            <v>950</v>
          </cell>
          <cell r="D53">
            <v>430</v>
          </cell>
          <cell r="E53">
            <v>418</v>
          </cell>
          <cell r="F53">
            <v>102</v>
          </cell>
          <cell r="G53">
            <v>667</v>
          </cell>
          <cell r="H53">
            <v>306</v>
          </cell>
          <cell r="I53">
            <v>257</v>
          </cell>
          <cell r="J53">
            <v>104</v>
          </cell>
          <cell r="K53">
            <v>1617</v>
          </cell>
        </row>
        <row r="54">
          <cell r="A54" t="str">
            <v>099</v>
          </cell>
          <cell r="B54" t="str">
            <v>King George</v>
          </cell>
          <cell r="C54">
            <v>2136</v>
          </cell>
          <cell r="D54">
            <v>1191</v>
          </cell>
          <cell r="E54">
            <v>781</v>
          </cell>
          <cell r="F54">
            <v>164</v>
          </cell>
          <cell r="G54">
            <v>1686</v>
          </cell>
          <cell r="H54">
            <v>855</v>
          </cell>
          <cell r="I54">
            <v>630</v>
          </cell>
          <cell r="J54">
            <v>201</v>
          </cell>
          <cell r="K54">
            <v>3822</v>
          </cell>
        </row>
        <row r="55">
          <cell r="A55" t="str">
            <v>101</v>
          </cell>
          <cell r="B55" t="str">
            <v>King William</v>
          </cell>
          <cell r="C55">
            <v>1470</v>
          </cell>
          <cell r="D55">
            <v>707</v>
          </cell>
          <cell r="E55">
            <v>590</v>
          </cell>
          <cell r="F55">
            <v>173</v>
          </cell>
          <cell r="G55">
            <v>1133</v>
          </cell>
          <cell r="H55">
            <v>624</v>
          </cell>
          <cell r="I55">
            <v>411</v>
          </cell>
          <cell r="J55">
            <v>98</v>
          </cell>
          <cell r="K55">
            <v>2603</v>
          </cell>
        </row>
        <row r="56">
          <cell r="A56" t="str">
            <v>103</v>
          </cell>
          <cell r="B56" t="str">
            <v>Lancaster</v>
          </cell>
          <cell r="C56">
            <v>1390</v>
          </cell>
          <cell r="D56">
            <v>458</v>
          </cell>
          <cell r="E56">
            <v>913</v>
          </cell>
          <cell r="F56">
            <v>19</v>
          </cell>
          <cell r="G56">
            <v>916</v>
          </cell>
          <cell r="H56">
            <v>210</v>
          </cell>
          <cell r="I56">
            <v>660</v>
          </cell>
          <cell r="J56">
            <v>46</v>
          </cell>
          <cell r="K56">
            <v>2306</v>
          </cell>
        </row>
        <row r="57">
          <cell r="A57" t="str">
            <v>105</v>
          </cell>
          <cell r="B57" t="str">
            <v>Lee</v>
          </cell>
          <cell r="C57">
            <v>5304</v>
          </cell>
          <cell r="D57">
            <v>5066</v>
          </cell>
          <cell r="E57">
            <v>30</v>
          </cell>
          <cell r="F57">
            <v>208</v>
          </cell>
          <cell r="G57">
            <v>2539</v>
          </cell>
          <cell r="H57">
            <v>2416</v>
          </cell>
          <cell r="I57">
            <v>30</v>
          </cell>
          <cell r="J57">
            <v>93</v>
          </cell>
          <cell r="K57">
            <v>7843</v>
          </cell>
        </row>
        <row r="58">
          <cell r="A58" t="str">
            <v>107</v>
          </cell>
          <cell r="B58" t="str">
            <v>Loudoun</v>
          </cell>
          <cell r="C58">
            <v>7728</v>
          </cell>
          <cell r="D58">
            <v>3545</v>
          </cell>
          <cell r="E58">
            <v>1602</v>
          </cell>
          <cell r="F58">
            <v>2581</v>
          </cell>
          <cell r="G58">
            <v>6319</v>
          </cell>
          <cell r="H58">
            <v>2617</v>
          </cell>
          <cell r="I58">
            <v>1397</v>
          </cell>
          <cell r="J58">
            <v>2305</v>
          </cell>
          <cell r="K58">
            <v>14047</v>
          </cell>
        </row>
        <row r="59">
          <cell r="A59" t="str">
            <v>109</v>
          </cell>
          <cell r="B59" t="str">
            <v>Louisa</v>
          </cell>
          <cell r="C59">
            <v>3740</v>
          </cell>
          <cell r="D59">
            <v>2162</v>
          </cell>
          <cell r="E59">
            <v>1131</v>
          </cell>
          <cell r="F59">
            <v>447</v>
          </cell>
          <cell r="G59">
            <v>2390</v>
          </cell>
          <cell r="H59">
            <v>1388</v>
          </cell>
          <cell r="I59">
            <v>674</v>
          </cell>
          <cell r="J59">
            <v>328</v>
          </cell>
          <cell r="K59">
            <v>6130</v>
          </cell>
        </row>
        <row r="60">
          <cell r="A60" t="str">
            <v>111</v>
          </cell>
          <cell r="B60" t="str">
            <v>Lunenburg</v>
          </cell>
          <cell r="C60">
            <v>2165</v>
          </cell>
          <cell r="D60">
            <v>983</v>
          </cell>
          <cell r="E60">
            <v>1006</v>
          </cell>
          <cell r="F60">
            <v>176</v>
          </cell>
          <cell r="G60">
            <v>1295</v>
          </cell>
          <cell r="H60">
            <v>522</v>
          </cell>
          <cell r="I60">
            <v>608</v>
          </cell>
          <cell r="J60">
            <v>165</v>
          </cell>
          <cell r="K60">
            <v>3460</v>
          </cell>
        </row>
        <row r="61">
          <cell r="A61" t="str">
            <v>113</v>
          </cell>
          <cell r="B61" t="str">
            <v>Madison</v>
          </cell>
          <cell r="C61">
            <v>1294</v>
          </cell>
          <cell r="D61">
            <v>981</v>
          </cell>
          <cell r="E61">
            <v>255</v>
          </cell>
          <cell r="F61">
            <v>58</v>
          </cell>
          <cell r="G61">
            <v>909</v>
          </cell>
          <cell r="H61">
            <v>680</v>
          </cell>
          <cell r="I61">
            <v>168</v>
          </cell>
          <cell r="J61">
            <v>61</v>
          </cell>
          <cell r="K61">
            <v>2203</v>
          </cell>
        </row>
        <row r="62">
          <cell r="A62" t="str">
            <v>115</v>
          </cell>
          <cell r="B62" t="str">
            <v>Mathews</v>
          </cell>
          <cell r="C62">
            <v>922</v>
          </cell>
          <cell r="D62">
            <v>665</v>
          </cell>
          <cell r="E62">
            <v>180</v>
          </cell>
          <cell r="F62">
            <v>77</v>
          </cell>
          <cell r="G62">
            <v>491</v>
          </cell>
          <cell r="H62">
            <v>397</v>
          </cell>
          <cell r="I62">
            <v>77</v>
          </cell>
          <cell r="J62">
            <v>17</v>
          </cell>
          <cell r="K62">
            <v>1413</v>
          </cell>
        </row>
        <row r="63">
          <cell r="A63" t="str">
            <v>117</v>
          </cell>
          <cell r="B63" t="str">
            <v>Mecklenburg</v>
          </cell>
          <cell r="C63">
            <v>4336</v>
          </cell>
          <cell r="D63">
            <v>1573</v>
          </cell>
          <cell r="E63">
            <v>2655</v>
          </cell>
          <cell r="F63">
            <v>108</v>
          </cell>
          <cell r="G63">
            <v>2891</v>
          </cell>
          <cell r="H63">
            <v>978</v>
          </cell>
          <cell r="I63">
            <v>1783</v>
          </cell>
          <cell r="J63">
            <v>130</v>
          </cell>
          <cell r="K63">
            <v>7227</v>
          </cell>
        </row>
        <row r="64">
          <cell r="A64" t="str">
            <v>119</v>
          </cell>
          <cell r="B64" t="str">
            <v>Middlesex</v>
          </cell>
          <cell r="C64">
            <v>1306</v>
          </cell>
          <cell r="D64">
            <v>751</v>
          </cell>
          <cell r="E64">
            <v>447</v>
          </cell>
          <cell r="F64">
            <v>108</v>
          </cell>
          <cell r="G64">
            <v>735</v>
          </cell>
          <cell r="H64">
            <v>462</v>
          </cell>
          <cell r="I64">
            <v>209</v>
          </cell>
          <cell r="J64">
            <v>64</v>
          </cell>
          <cell r="K64">
            <v>2041</v>
          </cell>
        </row>
        <row r="65">
          <cell r="A65" t="str">
            <v>121</v>
          </cell>
          <cell r="B65" t="str">
            <v>Montgomery</v>
          </cell>
          <cell r="C65">
            <v>6734</v>
          </cell>
          <cell r="D65">
            <v>5287</v>
          </cell>
          <cell r="E65">
            <v>531</v>
          </cell>
          <cell r="F65">
            <v>916</v>
          </cell>
          <cell r="G65">
            <v>4259</v>
          </cell>
          <cell r="H65">
            <v>3208</v>
          </cell>
          <cell r="I65">
            <v>427</v>
          </cell>
          <cell r="J65">
            <v>624</v>
          </cell>
          <cell r="K65">
            <v>10993</v>
          </cell>
        </row>
        <row r="66">
          <cell r="A66" t="str">
            <v>125</v>
          </cell>
          <cell r="B66" t="str">
            <v>Nelson</v>
          </cell>
          <cell r="C66">
            <v>1922</v>
          </cell>
          <cell r="D66">
            <v>1249</v>
          </cell>
          <cell r="E66">
            <v>406</v>
          </cell>
          <cell r="F66">
            <v>267</v>
          </cell>
          <cell r="G66">
            <v>1159</v>
          </cell>
          <cell r="H66">
            <v>766</v>
          </cell>
          <cell r="I66">
            <v>226</v>
          </cell>
          <cell r="J66">
            <v>167</v>
          </cell>
          <cell r="K66">
            <v>3081</v>
          </cell>
        </row>
        <row r="67">
          <cell r="A67" t="str">
            <v>127</v>
          </cell>
          <cell r="B67" t="str">
            <v>New Kent</v>
          </cell>
          <cell r="C67">
            <v>1003</v>
          </cell>
          <cell r="D67">
            <v>708</v>
          </cell>
          <cell r="E67">
            <v>221</v>
          </cell>
          <cell r="F67">
            <v>74</v>
          </cell>
          <cell r="G67">
            <v>719</v>
          </cell>
          <cell r="H67">
            <v>512</v>
          </cell>
          <cell r="I67">
            <v>154</v>
          </cell>
          <cell r="J67">
            <v>53</v>
          </cell>
          <cell r="K67">
            <v>1722</v>
          </cell>
        </row>
        <row r="68">
          <cell r="A68" t="str">
            <v>131</v>
          </cell>
          <cell r="B68" t="str">
            <v>Northampton</v>
          </cell>
          <cell r="C68">
            <v>2488</v>
          </cell>
          <cell r="D68">
            <v>753</v>
          </cell>
          <cell r="E68">
            <v>1542</v>
          </cell>
          <cell r="F68">
            <v>193</v>
          </cell>
          <cell r="G68">
            <v>1540</v>
          </cell>
          <cell r="H68">
            <v>574</v>
          </cell>
          <cell r="I68">
            <v>857</v>
          </cell>
          <cell r="J68">
            <v>109</v>
          </cell>
          <cell r="K68">
            <v>4028</v>
          </cell>
        </row>
        <row r="69">
          <cell r="A69" t="str">
            <v>133</v>
          </cell>
          <cell r="B69" t="str">
            <v>Northumberland</v>
          </cell>
          <cell r="C69">
            <v>1348</v>
          </cell>
          <cell r="D69">
            <v>534</v>
          </cell>
          <cell r="E69">
            <v>751</v>
          </cell>
          <cell r="F69">
            <v>63</v>
          </cell>
          <cell r="G69">
            <v>895</v>
          </cell>
          <cell r="H69">
            <v>295</v>
          </cell>
          <cell r="I69">
            <v>522</v>
          </cell>
          <cell r="J69">
            <v>78</v>
          </cell>
          <cell r="K69">
            <v>2243</v>
          </cell>
        </row>
        <row r="70">
          <cell r="A70" t="str">
            <v>135</v>
          </cell>
          <cell r="B70" t="str">
            <v>Nottoway</v>
          </cell>
          <cell r="C70">
            <v>2844</v>
          </cell>
          <cell r="D70">
            <v>1091</v>
          </cell>
          <cell r="E70">
            <v>1502</v>
          </cell>
          <cell r="F70">
            <v>251</v>
          </cell>
          <cell r="G70">
            <v>1852</v>
          </cell>
          <cell r="H70">
            <v>723</v>
          </cell>
          <cell r="I70">
            <v>942</v>
          </cell>
          <cell r="J70">
            <v>187</v>
          </cell>
          <cell r="K70">
            <v>4696</v>
          </cell>
        </row>
        <row r="71">
          <cell r="A71" t="str">
            <v>137</v>
          </cell>
          <cell r="B71" t="str">
            <v>Orange</v>
          </cell>
          <cell r="C71">
            <v>2887</v>
          </cell>
          <cell r="D71">
            <v>1809</v>
          </cell>
          <cell r="E71">
            <v>713</v>
          </cell>
          <cell r="F71">
            <v>365</v>
          </cell>
          <cell r="G71">
            <v>2096</v>
          </cell>
          <cell r="H71">
            <v>1263</v>
          </cell>
          <cell r="I71">
            <v>558</v>
          </cell>
          <cell r="J71">
            <v>275</v>
          </cell>
          <cell r="K71">
            <v>4983</v>
          </cell>
        </row>
        <row r="72">
          <cell r="A72" t="str">
            <v>139</v>
          </cell>
          <cell r="B72" t="str">
            <v>Page</v>
          </cell>
          <cell r="C72">
            <v>3351</v>
          </cell>
          <cell r="D72">
            <v>3002</v>
          </cell>
          <cell r="E72">
            <v>88</v>
          </cell>
          <cell r="F72">
            <v>261</v>
          </cell>
          <cell r="G72">
            <v>1985</v>
          </cell>
          <cell r="H72">
            <v>1809</v>
          </cell>
          <cell r="I72">
            <v>66</v>
          </cell>
          <cell r="J72">
            <v>110</v>
          </cell>
          <cell r="K72">
            <v>5336</v>
          </cell>
        </row>
        <row r="73">
          <cell r="A73" t="str">
            <v>141</v>
          </cell>
          <cell r="B73" t="str">
            <v>Patrick</v>
          </cell>
          <cell r="C73">
            <v>3218</v>
          </cell>
          <cell r="D73">
            <v>2682</v>
          </cell>
          <cell r="E73">
            <v>325</v>
          </cell>
          <cell r="F73">
            <v>211</v>
          </cell>
          <cell r="G73">
            <v>1781</v>
          </cell>
          <cell r="H73">
            <v>1464</v>
          </cell>
          <cell r="I73">
            <v>193</v>
          </cell>
          <cell r="J73">
            <v>124</v>
          </cell>
          <cell r="K73">
            <v>4999</v>
          </cell>
        </row>
        <row r="74">
          <cell r="A74" t="str">
            <v>143</v>
          </cell>
          <cell r="B74" t="str">
            <v>Pittsylvania</v>
          </cell>
          <cell r="C74">
            <v>8668</v>
          </cell>
          <cell r="D74">
            <v>4511</v>
          </cell>
          <cell r="E74">
            <v>2935</v>
          </cell>
          <cell r="F74">
            <v>1222</v>
          </cell>
          <cell r="G74">
            <v>5331</v>
          </cell>
          <cell r="H74">
            <v>2954</v>
          </cell>
          <cell r="I74">
            <v>1700</v>
          </cell>
          <cell r="J74">
            <v>677</v>
          </cell>
          <cell r="K74">
            <v>13999</v>
          </cell>
        </row>
        <row r="75">
          <cell r="A75" t="str">
            <v>145</v>
          </cell>
          <cell r="B75" t="str">
            <v>Powhatan</v>
          </cell>
          <cell r="C75">
            <v>1231</v>
          </cell>
          <cell r="D75">
            <v>731</v>
          </cell>
          <cell r="E75">
            <v>257</v>
          </cell>
          <cell r="F75">
            <v>243</v>
          </cell>
          <cell r="G75">
            <v>830</v>
          </cell>
          <cell r="H75">
            <v>549</v>
          </cell>
          <cell r="I75">
            <v>155</v>
          </cell>
          <cell r="J75">
            <v>126</v>
          </cell>
          <cell r="K75">
            <v>2061</v>
          </cell>
        </row>
        <row r="76">
          <cell r="A76" t="str">
            <v>147</v>
          </cell>
          <cell r="B76" t="str">
            <v>Prince Edward</v>
          </cell>
          <cell r="C76">
            <v>3093</v>
          </cell>
          <cell r="D76">
            <v>1076</v>
          </cell>
          <cell r="E76">
            <v>1891</v>
          </cell>
          <cell r="F76">
            <v>126</v>
          </cell>
          <cell r="G76">
            <v>1941</v>
          </cell>
          <cell r="H76">
            <v>602</v>
          </cell>
          <cell r="I76">
            <v>1173</v>
          </cell>
          <cell r="J76">
            <v>166</v>
          </cell>
          <cell r="K76">
            <v>5034</v>
          </cell>
        </row>
        <row r="77">
          <cell r="A77" t="str">
            <v>149</v>
          </cell>
          <cell r="B77" t="str">
            <v>Prince George</v>
          </cell>
          <cell r="C77">
            <v>2268</v>
          </cell>
          <cell r="D77">
            <v>1259</v>
          </cell>
          <cell r="E77">
            <v>890</v>
          </cell>
          <cell r="F77">
            <v>119</v>
          </cell>
          <cell r="G77">
            <v>1755</v>
          </cell>
          <cell r="H77">
            <v>826</v>
          </cell>
          <cell r="I77">
            <v>757</v>
          </cell>
          <cell r="J77">
            <v>172</v>
          </cell>
          <cell r="K77">
            <v>4023</v>
          </cell>
        </row>
        <row r="78">
          <cell r="A78" t="str">
            <v>153</v>
          </cell>
          <cell r="B78" t="str">
            <v>Prince William</v>
          </cell>
          <cell r="C78">
            <v>21993</v>
          </cell>
          <cell r="D78">
            <v>9832</v>
          </cell>
          <cell r="E78">
            <v>7074</v>
          </cell>
          <cell r="F78">
            <v>5087</v>
          </cell>
          <cell r="G78">
            <v>20483</v>
          </cell>
          <cell r="H78">
            <v>9153</v>
          </cell>
          <cell r="I78">
            <v>6755</v>
          </cell>
          <cell r="J78">
            <v>4575</v>
          </cell>
          <cell r="K78">
            <v>42476</v>
          </cell>
        </row>
        <row r="79">
          <cell r="A79" t="str">
            <v>155</v>
          </cell>
          <cell r="B79" t="str">
            <v>Pulaski</v>
          </cell>
          <cell r="C79">
            <v>5473</v>
          </cell>
          <cell r="D79">
            <v>4845</v>
          </cell>
          <cell r="E79">
            <v>486</v>
          </cell>
          <cell r="F79">
            <v>142</v>
          </cell>
          <cell r="G79">
            <v>3026</v>
          </cell>
          <cell r="H79">
            <v>2459</v>
          </cell>
          <cell r="I79">
            <v>305</v>
          </cell>
          <cell r="J79">
            <v>262</v>
          </cell>
          <cell r="K79">
            <v>8499</v>
          </cell>
        </row>
        <row r="80">
          <cell r="A80" t="str">
            <v>157</v>
          </cell>
          <cell r="B80" t="str">
            <v>Rappahannock</v>
          </cell>
          <cell r="C80">
            <v>481</v>
          </cell>
          <cell r="D80">
            <v>409</v>
          </cell>
          <cell r="E80">
            <v>42</v>
          </cell>
          <cell r="F80">
            <v>30</v>
          </cell>
          <cell r="G80">
            <v>312</v>
          </cell>
          <cell r="H80">
            <v>258</v>
          </cell>
          <cell r="I80">
            <v>31</v>
          </cell>
          <cell r="J80">
            <v>23</v>
          </cell>
          <cell r="K80">
            <v>793</v>
          </cell>
        </row>
        <row r="81">
          <cell r="A81" t="str">
            <v>159</v>
          </cell>
          <cell r="B81" t="str">
            <v>Richmond County</v>
          </cell>
          <cell r="C81">
            <v>1257</v>
          </cell>
          <cell r="D81">
            <v>536</v>
          </cell>
          <cell r="E81">
            <v>544</v>
          </cell>
          <cell r="F81">
            <v>177</v>
          </cell>
          <cell r="G81">
            <v>787</v>
          </cell>
          <cell r="H81">
            <v>312</v>
          </cell>
          <cell r="I81">
            <v>355</v>
          </cell>
          <cell r="J81">
            <v>120</v>
          </cell>
          <cell r="K81">
            <v>2044</v>
          </cell>
        </row>
        <row r="82">
          <cell r="A82" t="str">
            <v>161</v>
          </cell>
          <cell r="B82" t="str">
            <v>Roanoke County/Salem</v>
          </cell>
          <cell r="C82">
            <v>7060</v>
          </cell>
          <cell r="D82">
            <v>4820</v>
          </cell>
          <cell r="E82">
            <v>1013</v>
          </cell>
          <cell r="F82">
            <v>1227</v>
          </cell>
          <cell r="G82">
            <v>5188</v>
          </cell>
          <cell r="H82">
            <v>3274</v>
          </cell>
          <cell r="I82">
            <v>1036</v>
          </cell>
          <cell r="J82">
            <v>878</v>
          </cell>
          <cell r="K82">
            <v>12248</v>
          </cell>
        </row>
        <row r="83">
          <cell r="A83" t="str">
            <v>163</v>
          </cell>
          <cell r="B83" t="str">
            <v>Rockbridge/Buena Vista/Lexington</v>
          </cell>
          <cell r="C83">
            <v>3532</v>
          </cell>
          <cell r="D83">
            <v>2991</v>
          </cell>
          <cell r="E83">
            <v>298</v>
          </cell>
          <cell r="F83">
            <v>243</v>
          </cell>
          <cell r="G83">
            <v>2166</v>
          </cell>
          <cell r="H83">
            <v>1694</v>
          </cell>
          <cell r="I83">
            <v>214</v>
          </cell>
          <cell r="J83">
            <v>258</v>
          </cell>
          <cell r="K83">
            <v>5698</v>
          </cell>
        </row>
        <row r="84">
          <cell r="A84" t="str">
            <v>165</v>
          </cell>
          <cell r="B84" t="str">
            <v>Rockingham/Harrisonburg</v>
          </cell>
          <cell r="C84">
            <v>10477</v>
          </cell>
          <cell r="D84">
            <v>7532</v>
          </cell>
          <cell r="E84">
            <v>870</v>
          </cell>
          <cell r="F84">
            <v>2075</v>
          </cell>
          <cell r="G84">
            <v>7755</v>
          </cell>
          <cell r="H84">
            <v>5128</v>
          </cell>
          <cell r="I84">
            <v>665</v>
          </cell>
          <cell r="J84">
            <v>1962</v>
          </cell>
          <cell r="K84">
            <v>18232</v>
          </cell>
        </row>
        <row r="85">
          <cell r="A85" t="str">
            <v>167</v>
          </cell>
          <cell r="B85" t="str">
            <v>Russell</v>
          </cell>
          <cell r="C85">
            <v>5141</v>
          </cell>
          <cell r="D85">
            <v>4589</v>
          </cell>
          <cell r="E85">
            <v>30</v>
          </cell>
          <cell r="F85">
            <v>522</v>
          </cell>
          <cell r="G85">
            <v>2755</v>
          </cell>
          <cell r="H85">
            <v>2412</v>
          </cell>
          <cell r="I85">
            <v>28</v>
          </cell>
          <cell r="J85">
            <v>315</v>
          </cell>
          <cell r="K85">
            <v>7896</v>
          </cell>
        </row>
        <row r="86">
          <cell r="A86" t="str">
            <v>169</v>
          </cell>
          <cell r="B86" t="str">
            <v>Scott</v>
          </cell>
          <cell r="C86">
            <v>3443</v>
          </cell>
          <cell r="D86">
            <v>3181</v>
          </cell>
          <cell r="E86">
            <v>36</v>
          </cell>
          <cell r="F86">
            <v>226</v>
          </cell>
          <cell r="G86">
            <v>1869</v>
          </cell>
          <cell r="H86">
            <v>1709</v>
          </cell>
          <cell r="I86">
            <v>27</v>
          </cell>
          <cell r="J86">
            <v>133</v>
          </cell>
          <cell r="K86">
            <v>5312</v>
          </cell>
        </row>
        <row r="87">
          <cell r="A87" t="str">
            <v>171</v>
          </cell>
          <cell r="B87" t="str">
            <v>Shenandoah</v>
          </cell>
          <cell r="C87">
            <v>4416</v>
          </cell>
          <cell r="D87">
            <v>3543</v>
          </cell>
          <cell r="E87">
            <v>138</v>
          </cell>
          <cell r="F87">
            <v>735</v>
          </cell>
          <cell r="G87">
            <v>3120</v>
          </cell>
          <cell r="H87">
            <v>2506</v>
          </cell>
          <cell r="I87">
            <v>91</v>
          </cell>
          <cell r="J87">
            <v>523</v>
          </cell>
          <cell r="K87">
            <v>7536</v>
          </cell>
        </row>
        <row r="88">
          <cell r="A88" t="str">
            <v>173</v>
          </cell>
          <cell r="B88" t="str">
            <v>Smyth</v>
          </cell>
          <cell r="C88">
            <v>5752</v>
          </cell>
          <cell r="D88">
            <v>5199</v>
          </cell>
          <cell r="E88">
            <v>123</v>
          </cell>
          <cell r="F88">
            <v>430</v>
          </cell>
          <cell r="G88">
            <v>3180</v>
          </cell>
          <cell r="H88">
            <v>2730</v>
          </cell>
          <cell r="I88">
            <v>101</v>
          </cell>
          <cell r="J88">
            <v>349</v>
          </cell>
          <cell r="K88">
            <v>8932</v>
          </cell>
        </row>
        <row r="89">
          <cell r="A89" t="str">
            <v>175</v>
          </cell>
          <cell r="B89" t="str">
            <v>Southampton</v>
          </cell>
          <cell r="C89">
            <v>2449</v>
          </cell>
          <cell r="D89">
            <v>654</v>
          </cell>
          <cell r="E89">
            <v>1485</v>
          </cell>
          <cell r="F89">
            <v>310</v>
          </cell>
          <cell r="G89">
            <v>1523</v>
          </cell>
          <cell r="H89">
            <v>454</v>
          </cell>
          <cell r="I89">
            <v>936</v>
          </cell>
          <cell r="J89">
            <v>133</v>
          </cell>
          <cell r="K89">
            <v>3972</v>
          </cell>
        </row>
        <row r="90">
          <cell r="A90" t="str">
            <v>177</v>
          </cell>
          <cell r="B90" t="str">
            <v>Spotsylvania</v>
          </cell>
          <cell r="C90">
            <v>9472</v>
          </cell>
          <cell r="D90">
            <v>5799</v>
          </cell>
          <cell r="E90">
            <v>2551</v>
          </cell>
          <cell r="F90">
            <v>1122</v>
          </cell>
          <cell r="G90">
            <v>7930</v>
          </cell>
          <cell r="H90">
            <v>4242</v>
          </cell>
          <cell r="I90">
            <v>2470</v>
          </cell>
          <cell r="J90">
            <v>1218</v>
          </cell>
          <cell r="K90">
            <v>17402</v>
          </cell>
        </row>
        <row r="91">
          <cell r="A91" t="str">
            <v>179</v>
          </cell>
          <cell r="B91" t="str">
            <v>Stafford</v>
          </cell>
          <cell r="C91">
            <v>7196</v>
          </cell>
          <cell r="D91">
            <v>3113</v>
          </cell>
          <cell r="E91">
            <v>1872</v>
          </cell>
          <cell r="F91">
            <v>2211</v>
          </cell>
          <cell r="G91">
            <v>6727</v>
          </cell>
          <cell r="H91">
            <v>2630</v>
          </cell>
          <cell r="I91">
            <v>2052</v>
          </cell>
          <cell r="J91">
            <v>2045</v>
          </cell>
          <cell r="K91">
            <v>13923</v>
          </cell>
        </row>
        <row r="92">
          <cell r="A92" t="str">
            <v>181</v>
          </cell>
          <cell r="B92" t="str">
            <v>Surry</v>
          </cell>
          <cell r="C92">
            <v>884</v>
          </cell>
          <cell r="D92">
            <v>291</v>
          </cell>
          <cell r="E92">
            <v>531</v>
          </cell>
          <cell r="F92">
            <v>62</v>
          </cell>
          <cell r="G92">
            <v>528</v>
          </cell>
          <cell r="H92">
            <v>182</v>
          </cell>
          <cell r="I92">
            <v>320</v>
          </cell>
          <cell r="J92">
            <v>26</v>
          </cell>
          <cell r="K92">
            <v>1412</v>
          </cell>
        </row>
        <row r="93">
          <cell r="A93" t="str">
            <v>183</v>
          </cell>
          <cell r="B93" t="str">
            <v>Sussex</v>
          </cell>
          <cell r="C93">
            <v>1611</v>
          </cell>
          <cell r="D93">
            <v>323</v>
          </cell>
          <cell r="E93">
            <v>1022</v>
          </cell>
          <cell r="F93">
            <v>266</v>
          </cell>
          <cell r="G93">
            <v>1055</v>
          </cell>
          <cell r="H93">
            <v>198</v>
          </cell>
          <cell r="I93">
            <v>699</v>
          </cell>
          <cell r="J93">
            <v>158</v>
          </cell>
          <cell r="K93">
            <v>2666</v>
          </cell>
        </row>
        <row r="94">
          <cell r="A94" t="str">
            <v>185</v>
          </cell>
          <cell r="B94" t="str">
            <v>Tazewell</v>
          </cell>
          <cell r="C94">
            <v>6354</v>
          </cell>
          <cell r="D94">
            <v>5708</v>
          </cell>
          <cell r="E94">
            <v>199</v>
          </cell>
          <cell r="F94">
            <v>447</v>
          </cell>
          <cell r="G94">
            <v>3867</v>
          </cell>
          <cell r="H94">
            <v>3280</v>
          </cell>
          <cell r="I94">
            <v>172</v>
          </cell>
          <cell r="J94">
            <v>415</v>
          </cell>
          <cell r="K94">
            <v>10221</v>
          </cell>
        </row>
        <row r="95">
          <cell r="A95" t="str">
            <v>187</v>
          </cell>
          <cell r="B95" t="str">
            <v>Warren</v>
          </cell>
          <cell r="C95">
            <v>4290</v>
          </cell>
          <cell r="D95">
            <v>3214</v>
          </cell>
          <cell r="E95">
            <v>401</v>
          </cell>
          <cell r="F95">
            <v>675</v>
          </cell>
          <cell r="G95">
            <v>2886</v>
          </cell>
          <cell r="H95">
            <v>2161</v>
          </cell>
          <cell r="I95">
            <v>300</v>
          </cell>
          <cell r="J95">
            <v>425</v>
          </cell>
          <cell r="K95">
            <v>7176</v>
          </cell>
        </row>
        <row r="96">
          <cell r="A96" t="str">
            <v>191</v>
          </cell>
          <cell r="B96" t="str">
            <v>Washington</v>
          </cell>
          <cell r="C96">
            <v>6672</v>
          </cell>
          <cell r="D96">
            <v>6366</v>
          </cell>
          <cell r="E96">
            <v>164</v>
          </cell>
          <cell r="F96">
            <v>142</v>
          </cell>
          <cell r="G96">
            <v>3860</v>
          </cell>
          <cell r="H96">
            <v>3532</v>
          </cell>
          <cell r="I96">
            <v>115</v>
          </cell>
          <cell r="J96">
            <v>213</v>
          </cell>
          <cell r="K96">
            <v>10532</v>
          </cell>
        </row>
        <row r="97">
          <cell r="A97" t="str">
            <v>193</v>
          </cell>
          <cell r="B97" t="str">
            <v>Westmoreland</v>
          </cell>
          <cell r="C97">
            <v>2630</v>
          </cell>
          <cell r="D97">
            <v>1071</v>
          </cell>
          <cell r="E97">
            <v>1099</v>
          </cell>
          <cell r="F97">
            <v>460</v>
          </cell>
          <cell r="G97">
            <v>1801</v>
          </cell>
          <cell r="H97">
            <v>675</v>
          </cell>
          <cell r="I97">
            <v>845</v>
          </cell>
          <cell r="J97">
            <v>281</v>
          </cell>
          <cell r="K97">
            <v>4431</v>
          </cell>
        </row>
        <row r="98">
          <cell r="A98" t="str">
            <v>195</v>
          </cell>
          <cell r="B98" t="str">
            <v>Wise</v>
          </cell>
          <cell r="C98">
            <v>7307</v>
          </cell>
          <cell r="D98">
            <v>6563</v>
          </cell>
          <cell r="E98">
            <v>165</v>
          </cell>
          <cell r="F98">
            <v>579</v>
          </cell>
          <cell r="G98">
            <v>4173</v>
          </cell>
          <cell r="H98">
            <v>3605</v>
          </cell>
          <cell r="I98">
            <v>123</v>
          </cell>
          <cell r="J98">
            <v>445</v>
          </cell>
          <cell r="K98">
            <v>11480</v>
          </cell>
        </row>
        <row r="99">
          <cell r="A99" t="str">
            <v>197</v>
          </cell>
          <cell r="B99" t="str">
            <v>Wythe</v>
          </cell>
          <cell r="C99">
            <v>4291</v>
          </cell>
          <cell r="D99">
            <v>3611</v>
          </cell>
          <cell r="E99">
            <v>221</v>
          </cell>
          <cell r="F99">
            <v>459</v>
          </cell>
          <cell r="G99">
            <v>2369</v>
          </cell>
          <cell r="H99">
            <v>1905</v>
          </cell>
          <cell r="I99">
            <v>155</v>
          </cell>
          <cell r="J99">
            <v>309</v>
          </cell>
          <cell r="K99">
            <v>6660</v>
          </cell>
        </row>
        <row r="100">
          <cell r="A100" t="str">
            <v>199</v>
          </cell>
          <cell r="B100" t="str">
            <v>York/Poquoson</v>
          </cell>
          <cell r="C100">
            <v>2685</v>
          </cell>
          <cell r="D100">
            <v>1499</v>
          </cell>
          <cell r="E100">
            <v>895</v>
          </cell>
          <cell r="F100">
            <v>291</v>
          </cell>
          <cell r="G100">
            <v>2251</v>
          </cell>
          <cell r="H100">
            <v>1199</v>
          </cell>
          <cell r="I100">
            <v>810</v>
          </cell>
          <cell r="J100">
            <v>242</v>
          </cell>
          <cell r="K100">
            <v>4936</v>
          </cell>
        </row>
        <row r="101">
          <cell r="A101" t="str">
            <v>510</v>
          </cell>
          <cell r="B101" t="str">
            <v>Alexandria</v>
          </cell>
          <cell r="C101">
            <v>8162</v>
          </cell>
          <cell r="D101">
            <v>2475</v>
          </cell>
          <cell r="E101">
            <v>3669</v>
          </cell>
          <cell r="F101">
            <v>2018</v>
          </cell>
          <cell r="G101">
            <v>5682</v>
          </cell>
          <cell r="H101">
            <v>1969</v>
          </cell>
          <cell r="I101">
            <v>2374</v>
          </cell>
          <cell r="J101">
            <v>1339</v>
          </cell>
          <cell r="K101">
            <v>13844</v>
          </cell>
        </row>
        <row r="102">
          <cell r="A102" t="str">
            <v>520</v>
          </cell>
          <cell r="B102" t="str">
            <v>Bristol</v>
          </cell>
          <cell r="C102">
            <v>4197</v>
          </cell>
          <cell r="D102">
            <v>3676</v>
          </cell>
          <cell r="E102">
            <v>409</v>
          </cell>
          <cell r="F102">
            <v>112</v>
          </cell>
          <cell r="G102">
            <v>2458</v>
          </cell>
          <cell r="H102">
            <v>1970</v>
          </cell>
          <cell r="I102">
            <v>310</v>
          </cell>
          <cell r="J102">
            <v>178</v>
          </cell>
          <cell r="K102">
            <v>6655</v>
          </cell>
        </row>
        <row r="103">
          <cell r="A103" t="str">
            <v>540</v>
          </cell>
          <cell r="B103" t="str">
            <v>Charlottesville</v>
          </cell>
          <cell r="C103">
            <v>5283</v>
          </cell>
          <cell r="D103">
            <v>1835</v>
          </cell>
          <cell r="E103">
            <v>2846</v>
          </cell>
          <cell r="F103">
            <v>602</v>
          </cell>
          <cell r="G103">
            <v>3053</v>
          </cell>
          <cell r="H103">
            <v>741</v>
          </cell>
          <cell r="I103">
            <v>1905</v>
          </cell>
          <cell r="J103">
            <v>407</v>
          </cell>
          <cell r="K103">
            <v>8336</v>
          </cell>
        </row>
        <row r="104">
          <cell r="A104" t="str">
            <v>550</v>
          </cell>
          <cell r="B104" t="str">
            <v>Chesapeake</v>
          </cell>
          <cell r="C104">
            <v>17367</v>
          </cell>
          <cell r="D104">
            <v>5673</v>
          </cell>
          <cell r="E104">
            <v>10160</v>
          </cell>
          <cell r="F104">
            <v>1534</v>
          </cell>
          <cell r="G104">
            <v>14579</v>
          </cell>
          <cell r="H104">
            <v>3753</v>
          </cell>
          <cell r="I104">
            <v>9302</v>
          </cell>
          <cell r="J104">
            <v>1524</v>
          </cell>
          <cell r="K104">
            <v>31946</v>
          </cell>
        </row>
        <row r="105">
          <cell r="A105" t="str">
            <v>590</v>
          </cell>
          <cell r="B105" t="str">
            <v>Danville</v>
          </cell>
          <cell r="C105">
            <v>10842</v>
          </cell>
          <cell r="D105">
            <v>2649</v>
          </cell>
          <cell r="E105">
            <v>6840</v>
          </cell>
          <cell r="F105">
            <v>1353</v>
          </cell>
          <cell r="G105">
            <v>6712</v>
          </cell>
          <cell r="H105">
            <v>1296</v>
          </cell>
          <cell r="I105">
            <v>4618</v>
          </cell>
          <cell r="J105">
            <v>798</v>
          </cell>
          <cell r="K105">
            <v>17554</v>
          </cell>
        </row>
        <row r="106">
          <cell r="A106" t="str">
            <v>620</v>
          </cell>
          <cell r="B106" t="str">
            <v>Franklin City</v>
          </cell>
          <cell r="C106">
            <v>2065</v>
          </cell>
          <cell r="D106">
            <v>218</v>
          </cell>
          <cell r="E106">
            <v>1671</v>
          </cell>
          <cell r="F106">
            <v>176</v>
          </cell>
          <cell r="G106">
            <v>1357</v>
          </cell>
          <cell r="H106">
            <v>103</v>
          </cell>
          <cell r="I106">
            <v>1098</v>
          </cell>
          <cell r="J106">
            <v>156</v>
          </cell>
          <cell r="K106">
            <v>3422</v>
          </cell>
        </row>
        <row r="107">
          <cell r="A107" t="str">
            <v>630</v>
          </cell>
          <cell r="B107" t="str">
            <v>Fredericksburg</v>
          </cell>
          <cell r="C107">
            <v>4112</v>
          </cell>
          <cell r="D107">
            <v>1731</v>
          </cell>
          <cell r="E107">
            <v>1694</v>
          </cell>
          <cell r="F107">
            <v>687</v>
          </cell>
          <cell r="G107">
            <v>2844</v>
          </cell>
          <cell r="H107">
            <v>852</v>
          </cell>
          <cell r="I107">
            <v>1421</v>
          </cell>
          <cell r="J107">
            <v>571</v>
          </cell>
          <cell r="K107">
            <v>6956</v>
          </cell>
        </row>
        <row r="108">
          <cell r="A108" t="str">
            <v>640</v>
          </cell>
          <cell r="B108" t="str">
            <v>Galax</v>
          </cell>
          <cell r="C108">
            <v>1776</v>
          </cell>
          <cell r="D108">
            <v>1421</v>
          </cell>
          <cell r="E108">
            <v>151</v>
          </cell>
          <cell r="F108">
            <v>204</v>
          </cell>
          <cell r="G108">
            <v>1017</v>
          </cell>
          <cell r="H108">
            <v>821</v>
          </cell>
          <cell r="I108">
            <v>116</v>
          </cell>
          <cell r="J108">
            <v>80</v>
          </cell>
          <cell r="K108">
            <v>2793</v>
          </cell>
        </row>
        <row r="109">
          <cell r="A109" t="str">
            <v>650</v>
          </cell>
          <cell r="B109" t="str">
            <v>Hampton</v>
          </cell>
          <cell r="C109">
            <v>16627</v>
          </cell>
          <cell r="D109">
            <v>3783</v>
          </cell>
          <cell r="E109">
            <v>11321</v>
          </cell>
          <cell r="F109">
            <v>1523</v>
          </cell>
          <cell r="G109">
            <v>13015</v>
          </cell>
          <cell r="H109">
            <v>2262</v>
          </cell>
          <cell r="I109">
            <v>9218</v>
          </cell>
          <cell r="J109">
            <v>1535</v>
          </cell>
          <cell r="K109">
            <v>29642</v>
          </cell>
        </row>
        <row r="110">
          <cell r="A110" t="str">
            <v>670</v>
          </cell>
          <cell r="B110" t="str">
            <v>Hopewell</v>
          </cell>
          <cell r="C110">
            <v>5310</v>
          </cell>
          <cell r="D110">
            <v>2097</v>
          </cell>
          <cell r="E110">
            <v>2637</v>
          </cell>
          <cell r="F110">
            <v>576</v>
          </cell>
          <cell r="G110">
            <v>3928</v>
          </cell>
          <cell r="H110">
            <v>1291</v>
          </cell>
          <cell r="I110">
            <v>2177</v>
          </cell>
          <cell r="J110">
            <v>460</v>
          </cell>
          <cell r="K110">
            <v>9238</v>
          </cell>
        </row>
        <row r="111">
          <cell r="A111" t="str">
            <v>680</v>
          </cell>
          <cell r="B111" t="str">
            <v>Lynchburg</v>
          </cell>
          <cell r="C111">
            <v>10294</v>
          </cell>
          <cell r="D111">
            <v>3276</v>
          </cell>
          <cell r="E111">
            <v>5885</v>
          </cell>
          <cell r="F111">
            <v>1133</v>
          </cell>
          <cell r="G111">
            <v>7227</v>
          </cell>
          <cell r="H111">
            <v>1752</v>
          </cell>
          <cell r="I111">
            <v>4534</v>
          </cell>
          <cell r="J111">
            <v>941</v>
          </cell>
          <cell r="K111">
            <v>17521</v>
          </cell>
        </row>
        <row r="112">
          <cell r="A112" t="str">
            <v>683</v>
          </cell>
          <cell r="B112" t="str">
            <v>Manassas</v>
          </cell>
          <cell r="C112">
            <v>3508</v>
          </cell>
          <cell r="D112">
            <v>1528</v>
          </cell>
          <cell r="E112">
            <v>894</v>
          </cell>
          <cell r="F112">
            <v>1086</v>
          </cell>
          <cell r="G112">
            <v>3680</v>
          </cell>
          <cell r="H112">
            <v>1349</v>
          </cell>
          <cell r="I112">
            <v>743</v>
          </cell>
          <cell r="J112">
            <v>1588</v>
          </cell>
          <cell r="K112">
            <v>7188</v>
          </cell>
        </row>
        <row r="113">
          <cell r="A113" t="str">
            <v>685</v>
          </cell>
          <cell r="B113" t="str">
            <v>Manassas Park</v>
          </cell>
          <cell r="C113">
            <v>1146</v>
          </cell>
          <cell r="D113">
            <v>643</v>
          </cell>
          <cell r="E113">
            <v>178</v>
          </cell>
          <cell r="F113">
            <v>325</v>
          </cell>
          <cell r="G113">
            <v>1095</v>
          </cell>
          <cell r="H113">
            <v>562</v>
          </cell>
          <cell r="I113">
            <v>195</v>
          </cell>
          <cell r="J113">
            <v>338</v>
          </cell>
          <cell r="K113">
            <v>2241</v>
          </cell>
        </row>
        <row r="114">
          <cell r="A114" t="str">
            <v>700</v>
          </cell>
          <cell r="B114" t="str">
            <v>Newport News</v>
          </cell>
          <cell r="C114">
            <v>27379</v>
          </cell>
          <cell r="D114">
            <v>5295</v>
          </cell>
          <cell r="E114">
            <v>18419</v>
          </cell>
          <cell r="F114">
            <v>3665</v>
          </cell>
          <cell r="G114">
            <v>20949</v>
          </cell>
          <cell r="H114">
            <v>3075</v>
          </cell>
          <cell r="I114">
            <v>14882</v>
          </cell>
          <cell r="J114">
            <v>2992</v>
          </cell>
          <cell r="K114">
            <v>48328</v>
          </cell>
        </row>
        <row r="115">
          <cell r="A115" t="str">
            <v>710</v>
          </cell>
          <cell r="B115" t="str">
            <v>Norfolk</v>
          </cell>
          <cell r="C115">
            <v>37461</v>
          </cell>
          <cell r="D115">
            <v>6694</v>
          </cell>
          <cell r="E115">
            <v>26854</v>
          </cell>
          <cell r="F115">
            <v>3913</v>
          </cell>
          <cell r="G115">
            <v>26772</v>
          </cell>
          <cell r="H115">
            <v>3397</v>
          </cell>
          <cell r="I115">
            <v>20306</v>
          </cell>
          <cell r="J115">
            <v>3069</v>
          </cell>
          <cell r="K115">
            <v>64233</v>
          </cell>
        </row>
        <row r="116">
          <cell r="A116" t="str">
            <v>720</v>
          </cell>
          <cell r="B116" t="str">
            <v>Norton</v>
          </cell>
          <cell r="C116">
            <v>955</v>
          </cell>
          <cell r="D116">
            <v>789</v>
          </cell>
          <cell r="E116">
            <v>76</v>
          </cell>
          <cell r="F116">
            <v>90</v>
          </cell>
          <cell r="G116">
            <v>522</v>
          </cell>
          <cell r="H116">
            <v>396</v>
          </cell>
          <cell r="I116">
            <v>58</v>
          </cell>
          <cell r="J116">
            <v>68</v>
          </cell>
          <cell r="K116">
            <v>1477</v>
          </cell>
        </row>
        <row r="117">
          <cell r="A117" t="str">
            <v>730</v>
          </cell>
          <cell r="B117" t="str">
            <v>Petersburg</v>
          </cell>
          <cell r="C117">
            <v>9258</v>
          </cell>
          <cell r="D117">
            <v>726</v>
          </cell>
          <cell r="E117">
            <v>7470</v>
          </cell>
          <cell r="F117">
            <v>1062</v>
          </cell>
          <cell r="G117">
            <v>5447</v>
          </cell>
          <cell r="H117">
            <v>312</v>
          </cell>
          <cell r="I117">
            <v>4498</v>
          </cell>
          <cell r="J117">
            <v>637</v>
          </cell>
          <cell r="K117">
            <v>14705</v>
          </cell>
        </row>
        <row r="118">
          <cell r="A118" t="str">
            <v>740</v>
          </cell>
          <cell r="B118" t="str">
            <v>Portsmouth</v>
          </cell>
          <cell r="C118">
            <v>17171</v>
          </cell>
          <cell r="D118">
            <v>2842</v>
          </cell>
          <cell r="E118">
            <v>12377</v>
          </cell>
          <cell r="F118">
            <v>1952</v>
          </cell>
          <cell r="G118">
            <v>12724</v>
          </cell>
          <cell r="H118">
            <v>1540</v>
          </cell>
          <cell r="I118">
            <v>9965</v>
          </cell>
          <cell r="J118">
            <v>1219</v>
          </cell>
          <cell r="K118">
            <v>29895</v>
          </cell>
        </row>
        <row r="119">
          <cell r="A119" t="str">
            <v>750</v>
          </cell>
          <cell r="B119" t="str">
            <v>Radford</v>
          </cell>
          <cell r="C119">
            <v>1635</v>
          </cell>
          <cell r="D119">
            <v>1276</v>
          </cell>
          <cell r="E119">
            <v>293</v>
          </cell>
          <cell r="F119">
            <v>66</v>
          </cell>
          <cell r="G119">
            <v>1012</v>
          </cell>
          <cell r="H119">
            <v>688</v>
          </cell>
          <cell r="I119">
            <v>198</v>
          </cell>
          <cell r="J119">
            <v>126</v>
          </cell>
          <cell r="K119">
            <v>2647</v>
          </cell>
        </row>
        <row r="120">
          <cell r="A120" t="str">
            <v>760</v>
          </cell>
          <cell r="B120" t="str">
            <v>Richmond City</v>
          </cell>
          <cell r="C120">
            <v>42255</v>
          </cell>
          <cell r="D120">
            <v>4583</v>
          </cell>
          <cell r="E120">
            <v>32383</v>
          </cell>
          <cell r="F120">
            <v>5289</v>
          </cell>
          <cell r="G120">
            <v>25729</v>
          </cell>
          <cell r="H120">
            <v>1594</v>
          </cell>
          <cell r="I120">
            <v>20082</v>
          </cell>
          <cell r="J120">
            <v>4053</v>
          </cell>
          <cell r="K120">
            <v>67984</v>
          </cell>
        </row>
        <row r="121">
          <cell r="A121" t="str">
            <v>770</v>
          </cell>
          <cell r="B121" t="str">
            <v>Roanoke City</v>
          </cell>
          <cell r="C121">
            <v>19240</v>
          </cell>
          <cell r="D121">
            <v>9232</v>
          </cell>
          <cell r="E121">
            <v>7738</v>
          </cell>
          <cell r="F121">
            <v>2270</v>
          </cell>
          <cell r="G121">
            <v>12738</v>
          </cell>
          <cell r="H121">
            <v>4815</v>
          </cell>
          <cell r="I121">
            <v>6198</v>
          </cell>
          <cell r="J121">
            <v>1725</v>
          </cell>
          <cell r="K121">
            <v>31978</v>
          </cell>
        </row>
        <row r="122">
          <cell r="A122" t="str">
            <v>800</v>
          </cell>
          <cell r="B122" t="str">
            <v>Suffolk</v>
          </cell>
          <cell r="C122">
            <v>9608</v>
          </cell>
          <cell r="D122">
            <v>1799</v>
          </cell>
          <cell r="E122">
            <v>6641</v>
          </cell>
          <cell r="F122">
            <v>1168</v>
          </cell>
          <cell r="G122">
            <v>6941</v>
          </cell>
          <cell r="H122">
            <v>1134</v>
          </cell>
          <cell r="I122">
            <v>5035</v>
          </cell>
          <cell r="J122">
            <v>772</v>
          </cell>
          <cell r="K122">
            <v>16549</v>
          </cell>
        </row>
        <row r="123">
          <cell r="A123" t="str">
            <v>810</v>
          </cell>
          <cell r="B123" t="str">
            <v>Virginia Beach</v>
          </cell>
          <cell r="C123">
            <v>27476</v>
          </cell>
          <cell r="D123">
            <v>10992</v>
          </cell>
          <cell r="E123">
            <v>11907</v>
          </cell>
          <cell r="F123">
            <v>4577</v>
          </cell>
          <cell r="G123">
            <v>21346</v>
          </cell>
          <cell r="H123">
            <v>6514</v>
          </cell>
          <cell r="I123">
            <v>10810</v>
          </cell>
          <cell r="J123">
            <v>4022</v>
          </cell>
          <cell r="K123">
            <v>48822</v>
          </cell>
        </row>
        <row r="124">
          <cell r="A124" t="str">
            <v>830</v>
          </cell>
          <cell r="B124" t="str">
            <v>Williamsburg</v>
          </cell>
          <cell r="C124">
            <v>1070</v>
          </cell>
          <cell r="D124">
            <v>394</v>
          </cell>
          <cell r="E124">
            <v>521</v>
          </cell>
          <cell r="F124">
            <v>155</v>
          </cell>
          <cell r="G124">
            <v>815</v>
          </cell>
          <cell r="H124">
            <v>266</v>
          </cell>
          <cell r="I124">
            <v>420</v>
          </cell>
          <cell r="J124">
            <v>129</v>
          </cell>
          <cell r="K124">
            <v>1885</v>
          </cell>
        </row>
        <row r="125">
          <cell r="A125" t="str">
            <v>840</v>
          </cell>
          <cell r="B125" t="str">
            <v>Winchester</v>
          </cell>
          <cell r="C125">
            <v>4428</v>
          </cell>
          <cell r="D125">
            <v>2903</v>
          </cell>
          <cell r="E125">
            <v>759</v>
          </cell>
          <cell r="F125">
            <v>766</v>
          </cell>
          <cell r="G125">
            <v>3083</v>
          </cell>
          <cell r="H125">
            <v>1895</v>
          </cell>
          <cell r="I125">
            <v>605</v>
          </cell>
          <cell r="J125">
            <v>583</v>
          </cell>
          <cell r="K125">
            <v>7511</v>
          </cell>
        </row>
        <row r="126">
          <cell r="A126" t="str">
            <v>999</v>
          </cell>
          <cell r="B126" t="str">
            <v>Statewide</v>
          </cell>
          <cell r="C126">
            <v>741768</v>
          </cell>
          <cell r="D126">
            <v>344768</v>
          </cell>
          <cell r="E126">
            <v>292560</v>
          </cell>
          <cell r="F126">
            <v>104440</v>
          </cell>
          <cell r="G126">
            <v>486216</v>
          </cell>
          <cell r="H126">
            <v>217138</v>
          </cell>
          <cell r="I126">
            <v>221009</v>
          </cell>
          <cell r="J126">
            <v>81172</v>
          </cell>
          <cell r="K126">
            <v>1261087</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hyperlink" Target="mailto:Research@dss.virginia.gov"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mailto:Research@dss.virginia.gov"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mailto:Research@dss.virginia.gov"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mailto:research@dss.virginia.gov"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mailto:Research@dss.virginia.gov"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mailto:Research@dss.virginia.gov"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mailto:Research@dss.virginia.gov"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mailto:Research@dss.virginia.gov"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mailto:Research@dss.virginia.gov"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mailto:Research@dss.virginia.gov" TargetMode="External"/></Relationships>
</file>

<file path=xl/worksheets/_rels/sheet21.xml.rels><?xml version="1.0" encoding="UTF-8" standalone="yes"?>
<Relationships xmlns="http://schemas.openxmlformats.org/package/2006/relationships"><Relationship Id="rId1" Type="http://schemas.openxmlformats.org/officeDocument/2006/relationships/hyperlink" Target="mailto:Research@dss.virginia.gov" TargetMode="External"/></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mailto:Research@dss.virginia.gov" TargetMode="External"/></Relationships>
</file>

<file path=xl/worksheets/_rels/sheet23.xml.rels><?xml version="1.0" encoding="UTF-8" standalone="yes"?>
<Relationships xmlns="http://schemas.openxmlformats.org/package/2006/relationships"><Relationship Id="rId1" Type="http://schemas.openxmlformats.org/officeDocument/2006/relationships/hyperlink" Target="mailto:Research@dss.virginia.gov" TargetMode="External"/></Relationships>
</file>

<file path=xl/worksheets/_rels/sheet24.xml.rels><?xml version="1.0" encoding="UTF-8" standalone="yes"?>
<Relationships xmlns="http://schemas.openxmlformats.org/package/2006/relationships"><Relationship Id="rId1" Type="http://schemas.openxmlformats.org/officeDocument/2006/relationships/hyperlink" Target="mailto:Research@dss.virginia.gov"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mailto:Research@dss.virginia.gov"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mailto:Research@dss.virginia.gov" TargetMode="External"/></Relationships>
</file>

<file path=xl/worksheets/_rels/sheet27.xml.rels><?xml version="1.0" encoding="UTF-8" standalone="yes"?>
<Relationships xmlns="http://schemas.openxmlformats.org/package/2006/relationships"><Relationship Id="rId1" Type="http://schemas.openxmlformats.org/officeDocument/2006/relationships/hyperlink" Target="mailto:Research@dss.virginia.gov"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mailto:Research@dss.virginia.gov" TargetMode="External"/></Relationships>
</file>

<file path=xl/worksheets/_rels/sheet29.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mailto:Research@dss.virginia.gov"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Research@dss.virginia.gov" TargetMode="External"/></Relationships>
</file>

<file path=xl/worksheets/_rels/sheet30.xml.rels><?xml version="1.0" encoding="UTF-8" standalone="yes"?>
<Relationships xmlns="http://schemas.openxmlformats.org/package/2006/relationships"><Relationship Id="rId1" Type="http://schemas.openxmlformats.org/officeDocument/2006/relationships/hyperlink" Target="mailto:Research@dss.virginia.gov" TargetMode="External"/></Relationships>
</file>

<file path=xl/worksheets/_rels/sheet31.xml.rels><?xml version="1.0" encoding="UTF-8" standalone="yes"?>
<Relationships xmlns="http://schemas.openxmlformats.org/package/2006/relationships"><Relationship Id="rId1" Type="http://schemas.openxmlformats.org/officeDocument/2006/relationships/hyperlink" Target="mailto:Research@dss.virginia.gov" TargetMode="Externa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3.xml.rels><?xml version="1.0" encoding="UTF-8" standalone="yes"?>
<Relationships xmlns="http://schemas.openxmlformats.org/package/2006/relationships"><Relationship Id="rId1" Type="http://schemas.openxmlformats.org/officeDocument/2006/relationships/hyperlink" Target="mailto:Research@dss.virginia.gov" TargetMode="External"/></Relationships>
</file>

<file path=xl/worksheets/_rels/sheet34.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mailto:Research@dss.virginia.gov" TargetMode="External"/></Relationships>
</file>

<file path=xl/worksheets/_rels/sheet35.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mailto:Research@dss.virginia.gov" TargetMode="External"/></Relationships>
</file>

<file path=xl/worksheets/_rels/sheet36.xml.rels><?xml version="1.0" encoding="UTF-8" standalone="yes"?>
<Relationships xmlns="http://schemas.openxmlformats.org/package/2006/relationships"><Relationship Id="rId1" Type="http://schemas.openxmlformats.org/officeDocument/2006/relationships/hyperlink" Target="mailto:Research@dss.virginia.gov" TargetMode="External"/></Relationships>
</file>

<file path=xl/worksheets/_rels/sheet37.xml.rels><?xml version="1.0" encoding="UTF-8" standalone="yes"?>
<Relationships xmlns="http://schemas.openxmlformats.org/package/2006/relationships"><Relationship Id="rId1" Type="http://schemas.openxmlformats.org/officeDocument/2006/relationships/hyperlink" Target="mailto:Research@dss.virginia.gov" TargetMode="External"/></Relationships>
</file>

<file path=xl/worksheets/_rels/sheet38.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mailto:Research@dss.virginia.gov" TargetMode="External"/></Relationships>
</file>

<file path=xl/worksheets/_rels/sheet39.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mailto:Research@dss.virginia.gov"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Research@dss.virginia.gov" TargetMode="Externa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45.xml.rels><?xml version="1.0" encoding="UTF-8" standalone="yes"?>
<Relationships xmlns="http://schemas.openxmlformats.org/package/2006/relationships"><Relationship Id="rId2" Type="http://schemas.openxmlformats.org/officeDocument/2006/relationships/printerSettings" Target="../printerSettings/printerSettings22.bin"/><Relationship Id="rId1" Type="http://schemas.openxmlformats.org/officeDocument/2006/relationships/hyperlink" Target="mailto:Research@dss.virginia.gov" TargetMode="External"/></Relationships>
</file>

<file path=xl/worksheets/_rels/sheet46.xml.rels><?xml version="1.0" encoding="UTF-8" standalone="yes"?>
<Relationships xmlns="http://schemas.openxmlformats.org/package/2006/relationships"><Relationship Id="rId2" Type="http://schemas.openxmlformats.org/officeDocument/2006/relationships/printerSettings" Target="../printerSettings/printerSettings23.bin"/><Relationship Id="rId1" Type="http://schemas.openxmlformats.org/officeDocument/2006/relationships/hyperlink" Target="mailto:Research@dss.virginia.gov" TargetMode="External"/></Relationships>
</file>

<file path=xl/worksheets/_rels/sheet47.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mailto:Research@dss.virginia.gov" TargetMode="External"/></Relationships>
</file>

<file path=xl/worksheets/_rels/sheet48.xml.rels><?xml version="1.0" encoding="UTF-8" standalone="yes"?>
<Relationships xmlns="http://schemas.openxmlformats.org/package/2006/relationships"><Relationship Id="rId2" Type="http://schemas.openxmlformats.org/officeDocument/2006/relationships/printerSettings" Target="../printerSettings/printerSettings25.bin"/><Relationship Id="rId1" Type="http://schemas.openxmlformats.org/officeDocument/2006/relationships/hyperlink" Target="mailto:Research@dss.virginia.gov" TargetMode="External"/></Relationships>
</file>

<file path=xl/worksheets/_rels/sheet49.xml.rels><?xml version="1.0" encoding="UTF-8" standalone="yes"?>
<Relationships xmlns="http://schemas.openxmlformats.org/package/2006/relationships"><Relationship Id="rId2" Type="http://schemas.openxmlformats.org/officeDocument/2006/relationships/printerSettings" Target="../printerSettings/printerSettings26.bin"/><Relationship Id="rId1" Type="http://schemas.openxmlformats.org/officeDocument/2006/relationships/hyperlink" Target="mailto:Research@dss.virginia.gov"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mailto:Research@dss.virginia.gov" TargetMode="External"/></Relationships>
</file>

<file path=xl/worksheets/_rels/sheet50.xml.rels><?xml version="1.0" encoding="UTF-8" standalone="yes"?>
<Relationships xmlns="http://schemas.openxmlformats.org/package/2006/relationships"><Relationship Id="rId1" Type="http://schemas.openxmlformats.org/officeDocument/2006/relationships/hyperlink" Target="mailto:Research@dss.virginia.gov" TargetMode="External"/></Relationships>
</file>

<file path=xl/worksheets/_rels/sheet51.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mailto:Research@dss.virginia.gov" TargetMode="External"/></Relationships>
</file>

<file path=xl/worksheets/_rels/sheet52.xml.rels><?xml version="1.0" encoding="UTF-8" standalone="yes"?>
<Relationships xmlns="http://schemas.openxmlformats.org/package/2006/relationships"><Relationship Id="rId2" Type="http://schemas.openxmlformats.org/officeDocument/2006/relationships/printerSettings" Target="../printerSettings/printerSettings28.bin"/><Relationship Id="rId1" Type="http://schemas.openxmlformats.org/officeDocument/2006/relationships/hyperlink" Target="mailto:Research@dss.virginia.gov"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mailto:Research@dss.virginia.gov" TargetMode="External"/></Relationships>
</file>

<file path=xl/worksheets/_rels/sheet54.xml.rels><?xml version="1.0" encoding="UTF-8" standalone="yes"?>
<Relationships xmlns="http://schemas.openxmlformats.org/package/2006/relationships"><Relationship Id="rId1" Type="http://schemas.openxmlformats.org/officeDocument/2006/relationships/hyperlink" Target="mailto:Research@dss.virginia.gov" TargetMode="External"/></Relationships>
</file>

<file path=xl/worksheets/_rels/sheet5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9.bin"/><Relationship Id="rId1" Type="http://schemas.openxmlformats.org/officeDocument/2006/relationships/hyperlink" Target="mailto:Research@dss.virginia.gov" TargetMode="External"/><Relationship Id="rId4" Type="http://schemas.openxmlformats.org/officeDocument/2006/relationships/comments" Target="../comments1.xml"/></Relationships>
</file>

<file path=xl/worksheets/_rels/sheet56.xml.rels><?xml version="1.0" encoding="UTF-8" standalone="yes"?>
<Relationships xmlns="http://schemas.openxmlformats.org/package/2006/relationships"><Relationship Id="rId1" Type="http://schemas.openxmlformats.org/officeDocument/2006/relationships/hyperlink" Target="mailto:Research@dss.virginia.gov" TargetMode="External"/></Relationships>
</file>

<file path=xl/worksheets/_rels/sheet57.xml.rels><?xml version="1.0" encoding="UTF-8" standalone="yes"?>
<Relationships xmlns="http://schemas.openxmlformats.org/package/2006/relationships"><Relationship Id="rId2" Type="http://schemas.openxmlformats.org/officeDocument/2006/relationships/printerSettings" Target="../printerSettings/printerSettings30.bin"/><Relationship Id="rId1" Type="http://schemas.openxmlformats.org/officeDocument/2006/relationships/hyperlink" Target="mailto:Research@dss.virginia.gov" TargetMode="External"/></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1.bin"/></Relationships>
</file>

<file path=xl/worksheets/_rels/sheet59.xml.rels><?xml version="1.0" encoding="UTF-8" standalone="yes"?>
<Relationships xmlns="http://schemas.openxmlformats.org/package/2006/relationships"><Relationship Id="rId1" Type="http://schemas.openxmlformats.org/officeDocument/2006/relationships/hyperlink" Target="mailto:Research@dss.virginia.gov"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Research@dss.virginia.gov" TargetMode="External"/></Relationships>
</file>

<file path=xl/worksheets/_rels/sheet60.xml.rels><?xml version="1.0" encoding="UTF-8" standalone="yes"?>
<Relationships xmlns="http://schemas.openxmlformats.org/package/2006/relationships"><Relationship Id="rId1" Type="http://schemas.openxmlformats.org/officeDocument/2006/relationships/hyperlink" Target="mailto:Research@dss.virginia.gov" TargetMode="External"/></Relationships>
</file>

<file path=xl/worksheets/_rels/sheet61.xml.rels><?xml version="1.0" encoding="UTF-8" standalone="yes"?>
<Relationships xmlns="http://schemas.openxmlformats.org/package/2006/relationships"><Relationship Id="rId1" Type="http://schemas.openxmlformats.org/officeDocument/2006/relationships/hyperlink" Target="mailto:Research@dss.virginia.gov" TargetMode="External"/></Relationships>
</file>

<file path=xl/worksheets/_rels/sheet62.xml.rels><?xml version="1.0" encoding="UTF-8" standalone="yes"?>
<Relationships xmlns="http://schemas.openxmlformats.org/package/2006/relationships"><Relationship Id="rId2" Type="http://schemas.openxmlformats.org/officeDocument/2006/relationships/printerSettings" Target="../printerSettings/printerSettings32.bin"/><Relationship Id="rId1" Type="http://schemas.openxmlformats.org/officeDocument/2006/relationships/hyperlink" Target="mailto:Research@dss.virginia.gov" TargetMode="External"/></Relationships>
</file>

<file path=xl/worksheets/_rels/sheet63.xml.rels><?xml version="1.0" encoding="UTF-8" standalone="yes"?>
<Relationships xmlns="http://schemas.openxmlformats.org/package/2006/relationships"><Relationship Id="rId2" Type="http://schemas.openxmlformats.org/officeDocument/2006/relationships/printerSettings" Target="../printerSettings/printerSettings33.bin"/><Relationship Id="rId1" Type="http://schemas.openxmlformats.org/officeDocument/2006/relationships/hyperlink" Target="mailto:Research@dss.virginia.gov" TargetMode="External"/></Relationships>
</file>

<file path=xl/worksheets/_rels/sheet64.xml.rels><?xml version="1.0" encoding="UTF-8" standalone="yes"?>
<Relationships xmlns="http://schemas.openxmlformats.org/package/2006/relationships"><Relationship Id="rId2" Type="http://schemas.openxmlformats.org/officeDocument/2006/relationships/printerSettings" Target="../printerSettings/printerSettings34.bin"/><Relationship Id="rId1" Type="http://schemas.openxmlformats.org/officeDocument/2006/relationships/hyperlink" Target="mailto:Research@dss.virginia.gov"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mailto:Research@dss.virginia.gov"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hyperlink" Target="mailto:Research@dss.virginia.gov" TargetMode="External"/></Relationships>
</file>

<file path=xl/worksheets/sheet1.xml><?xml version="1.0" encoding="utf-8"?>
<worksheet xmlns="http://schemas.openxmlformats.org/spreadsheetml/2006/main" xmlns:r="http://schemas.openxmlformats.org/officeDocument/2006/relationships">
  <dimension ref="B1:AF220"/>
  <sheetViews>
    <sheetView tabSelected="1" zoomScaleNormal="100" zoomScaleSheetLayoutView="100" workbookViewId="0">
      <pane ySplit="4" topLeftCell="A147" activePane="bottomLeft" state="frozen"/>
      <selection pane="bottomLeft" activeCell="M162" sqref="M162"/>
    </sheetView>
  </sheetViews>
  <sheetFormatPr defaultRowHeight="12"/>
  <cols>
    <col min="1" max="1" width="1" style="66" customWidth="1"/>
    <col min="2" max="2" width="9.5" style="66" customWidth="1"/>
    <col min="3" max="9" width="9" style="66" customWidth="1"/>
    <col min="10" max="11" width="10.25" style="66" customWidth="1"/>
    <col min="12" max="13" width="10.625" style="66" customWidth="1"/>
    <col min="14" max="14" width="9" style="66" customWidth="1"/>
    <col min="15" max="16" width="10" style="66" customWidth="1"/>
    <col min="17" max="17" width="9.125" style="66" bestFit="1" customWidth="1"/>
    <col min="18" max="18" width="6.5" style="66" bestFit="1" customWidth="1"/>
    <col min="19" max="19" width="9.125" style="66" bestFit="1" customWidth="1"/>
    <col min="20" max="20" width="12" style="66" customWidth="1"/>
    <col min="21" max="21" width="12.75" style="66" customWidth="1"/>
    <col min="22" max="22" width="11" style="66" bestFit="1" customWidth="1"/>
    <col min="23" max="23" width="12" style="66" customWidth="1"/>
    <col min="24" max="24" width="10.875" style="66" bestFit="1" customWidth="1"/>
    <col min="25" max="16384" width="9" style="66"/>
  </cols>
  <sheetData>
    <row r="1" spans="2:32" ht="15.75">
      <c r="B1" s="1786" t="s">
        <v>906</v>
      </c>
      <c r="C1" s="1786"/>
      <c r="D1" s="1786"/>
      <c r="E1" s="1786"/>
      <c r="F1" s="1786"/>
      <c r="G1" s="1786"/>
      <c r="H1" s="1786"/>
      <c r="I1" s="1786"/>
      <c r="J1" s="1786"/>
      <c r="K1" s="1786"/>
      <c r="L1" s="1786"/>
      <c r="M1" s="1786"/>
      <c r="N1" s="1786"/>
      <c r="O1" s="173"/>
      <c r="P1" s="67"/>
      <c r="Q1" s="67"/>
      <c r="R1" s="67"/>
      <c r="AF1" s="68" t="s">
        <v>8</v>
      </c>
    </row>
    <row r="2" spans="2:32" ht="8.25" customHeight="1"/>
    <row r="3" spans="2:32" ht="15.75" customHeight="1">
      <c r="B3" s="1792" t="s">
        <v>1</v>
      </c>
      <c r="C3" s="1792"/>
      <c r="D3" s="1787" t="s">
        <v>91</v>
      </c>
      <c r="E3" s="1788"/>
      <c r="F3" s="1788"/>
      <c r="G3" s="1789"/>
      <c r="H3" s="160" t="s">
        <v>0</v>
      </c>
      <c r="I3" s="351" t="str">
        <f>VLOOKUP(D3,Loc_Name,2,FALSE)</f>
        <v>640</v>
      </c>
      <c r="J3" s="160" t="s">
        <v>623</v>
      </c>
      <c r="K3" s="350" t="str">
        <f>VLOOKUP(+I3,Agency_Level,3,FALSE)</f>
        <v>Western</v>
      </c>
      <c r="L3" s="161"/>
      <c r="M3" s="161"/>
      <c r="N3" s="161"/>
      <c r="O3" s="161"/>
      <c r="R3" s="71"/>
      <c r="S3" s="71"/>
      <c r="T3" s="71"/>
    </row>
    <row r="4" spans="2:32" ht="9" customHeight="1">
      <c r="J4" s="72"/>
      <c r="Q4" s="71"/>
      <c r="R4" s="71"/>
      <c r="S4" s="71"/>
      <c r="T4" s="71"/>
    </row>
    <row r="5" spans="2:32" ht="13.5" customHeight="1">
      <c r="B5" s="1790" t="s">
        <v>624</v>
      </c>
      <c r="C5" s="1790"/>
      <c r="D5" s="347" t="str">
        <f>VLOOKUP(I3,Agency_Level,5,FALSE)</f>
        <v>I (One)</v>
      </c>
      <c r="E5" s="69" t="s">
        <v>625</v>
      </c>
      <c r="F5" s="1791" t="str">
        <f>VLOOKUP(+I3,HR_Deviate,5,FALSE)</f>
        <v>Partial deviating</v>
      </c>
      <c r="G5" s="1791"/>
      <c r="H5" s="69" t="s">
        <v>626</v>
      </c>
      <c r="I5" s="348" t="str">
        <f>VLOOKUP(+I3,IT_Support,4,)</f>
        <v>Full</v>
      </c>
      <c r="J5" s="1798" t="s">
        <v>754</v>
      </c>
      <c r="K5" s="1798"/>
      <c r="L5" s="349" t="str">
        <f>VLOOKUP(I3,BoardType,4,FALSE)</f>
        <v>Advisory</v>
      </c>
      <c r="M5" s="1816" t="str">
        <f>IF((VLOOKUP(I3,BoardType,4,FALSE))="Administrative"," ",VLOOKUP(I3,BoardType,5,FALSE))</f>
        <v>City Manager</v>
      </c>
      <c r="N5" s="1816"/>
      <c r="O5" s="267"/>
      <c r="P5" s="267"/>
      <c r="R5" s="74"/>
      <c r="S5" s="74"/>
      <c r="T5" s="74"/>
    </row>
    <row r="6" spans="2:32" ht="7.5" customHeight="1">
      <c r="J6" s="73"/>
      <c r="L6" s="174"/>
      <c r="M6" s="1816"/>
      <c r="N6" s="1816"/>
      <c r="O6" s="174"/>
      <c r="Q6" s="74"/>
      <c r="R6" s="74"/>
      <c r="S6" s="74"/>
      <c r="T6" s="74"/>
    </row>
    <row r="7" spans="2:32" ht="13.5" customHeight="1">
      <c r="B7" s="1675" t="s">
        <v>1240</v>
      </c>
      <c r="C7" s="166"/>
      <c r="D7" s="166"/>
      <c r="E7" s="166"/>
      <c r="F7" s="166"/>
      <c r="G7" s="166"/>
      <c r="H7" s="166"/>
      <c r="I7" s="166"/>
      <c r="M7" s="1677"/>
      <c r="N7" s="1677"/>
      <c r="Q7" s="74"/>
      <c r="R7" s="74"/>
      <c r="S7" s="74"/>
      <c r="T7" s="74"/>
    </row>
    <row r="8" spans="2:32" ht="13.5" customHeight="1">
      <c r="B8" s="1676" t="s">
        <v>1239</v>
      </c>
      <c r="C8" s="171"/>
      <c r="D8" s="171"/>
      <c r="E8" s="171"/>
      <c r="F8" s="171"/>
      <c r="G8" s="171"/>
      <c r="H8" s="166"/>
      <c r="I8" s="166"/>
      <c r="J8" s="166"/>
      <c r="K8" s="166"/>
      <c r="L8" s="166"/>
      <c r="M8" s="175"/>
      <c r="N8" s="166"/>
      <c r="O8" s="166"/>
      <c r="Q8" s="74"/>
      <c r="R8" s="74"/>
      <c r="S8" s="74"/>
      <c r="T8" s="74"/>
    </row>
    <row r="9" spans="2:32" ht="13.5" customHeight="1">
      <c r="B9" s="90" t="s">
        <v>738</v>
      </c>
      <c r="C9" s="90"/>
      <c r="D9" s="90"/>
    </row>
    <row r="10" spans="2:32" ht="13.5" customHeight="1">
      <c r="B10" s="1674" t="s">
        <v>1241</v>
      </c>
      <c r="C10" s="90"/>
      <c r="D10" s="90"/>
      <c r="E10" s="90"/>
      <c r="F10" s="90"/>
      <c r="G10" s="90"/>
      <c r="H10" s="90"/>
      <c r="I10" s="90"/>
      <c r="J10" s="90"/>
      <c r="K10" s="90"/>
      <c r="L10" s="90"/>
    </row>
    <row r="11" spans="2:32" ht="13.5" customHeight="1">
      <c r="B11" s="1800" t="s">
        <v>908</v>
      </c>
      <c r="C11" s="1801"/>
      <c r="D11" s="1808" t="str">
        <f>D3</f>
        <v>Galax</v>
      </c>
      <c r="E11" s="1809"/>
      <c r="F11" s="1806" t="str">
        <f>K3</f>
        <v>Western</v>
      </c>
      <c r="G11" s="1806" t="s">
        <v>9</v>
      </c>
    </row>
    <row r="12" spans="2:32" ht="13.5" customHeight="1">
      <c r="B12" s="1802"/>
      <c r="C12" s="1803"/>
      <c r="D12" s="1810"/>
      <c r="E12" s="1811"/>
      <c r="F12" s="1807"/>
      <c r="G12" s="1807"/>
      <c r="I12" s="1812">
        <f>VLOOKUP(I3,Poverty,5,FALSE)</f>
        <v>1532</v>
      </c>
      <c r="J12" s="1794" t="s">
        <v>802</v>
      </c>
      <c r="K12" s="1794"/>
      <c r="L12" s="1794"/>
      <c r="M12" s="1794"/>
    </row>
    <row r="13" spans="2:32" ht="13.5" customHeight="1">
      <c r="B13" s="1804"/>
      <c r="C13" s="1805"/>
      <c r="D13" s="334" t="s">
        <v>630</v>
      </c>
      <c r="E13" s="335" t="s">
        <v>280</v>
      </c>
      <c r="F13" s="336" t="s">
        <v>280</v>
      </c>
      <c r="G13" s="360" t="s">
        <v>280</v>
      </c>
      <c r="I13" s="1812"/>
      <c r="J13" s="1794"/>
      <c r="K13" s="1794"/>
      <c r="L13" s="1794"/>
      <c r="M13" s="1794"/>
    </row>
    <row r="14" spans="2:32" ht="13.5" customHeight="1">
      <c r="B14" s="361" t="s">
        <v>453</v>
      </c>
      <c r="C14" s="337"/>
      <c r="D14" s="338">
        <f>VLOOKUP(I3,Pop_2013,5,FALSE)</f>
        <v>7035</v>
      </c>
      <c r="E14" s="333"/>
      <c r="F14" s="339"/>
      <c r="G14" s="362"/>
      <c r="I14" s="1812"/>
      <c r="J14" s="1815"/>
      <c r="K14" s="1815"/>
      <c r="L14" s="1815"/>
      <c r="M14" s="1815"/>
    </row>
    <row r="15" spans="2:32" ht="13.5" customHeight="1">
      <c r="B15" s="363" t="s">
        <v>627</v>
      </c>
      <c r="C15" s="163"/>
      <c r="D15" s="340"/>
      <c r="E15" s="164"/>
      <c r="F15" s="341"/>
      <c r="G15" s="364"/>
      <c r="I15" s="1797">
        <f>VLOOKUP(I3,Poverty,6,FALSE)</f>
        <v>0.22763744427934621</v>
      </c>
      <c r="J15" s="1794" t="s">
        <v>803</v>
      </c>
      <c r="K15" s="1794"/>
      <c r="L15" s="1794"/>
      <c r="M15" s="1794"/>
    </row>
    <row r="16" spans="2:32" ht="13.5" customHeight="1">
      <c r="B16" s="1751" t="s">
        <v>628</v>
      </c>
      <c r="C16" s="1752"/>
      <c r="D16" s="342">
        <f>VLOOKUP(I3,Pop_2013,11,FALSE)</f>
        <v>1661</v>
      </c>
      <c r="E16" s="276">
        <f>VLOOKUP(I3,Pop_2013,34,FALSE)</f>
        <v>0.23610518834399433</v>
      </c>
      <c r="F16" s="343">
        <f>VLOOKUP(K3,Pop_2013,34,FALSE)</f>
        <v>0.18783906043473728</v>
      </c>
      <c r="G16" s="365">
        <f>'2013 Population'!AH5</f>
        <v>0.22571956217643083</v>
      </c>
      <c r="I16" s="1797"/>
      <c r="J16" s="1794"/>
      <c r="K16" s="1794"/>
      <c r="L16" s="1794"/>
      <c r="M16" s="1794"/>
    </row>
    <row r="17" spans="2:17" ht="13.5" customHeight="1">
      <c r="B17" s="1751" t="s">
        <v>739</v>
      </c>
      <c r="C17" s="1752"/>
      <c r="D17" s="342">
        <f>VLOOKUP(I3,Pop_2013,17,FALSE)</f>
        <v>3969</v>
      </c>
      <c r="E17" s="276">
        <f>VLOOKUP(I3,Pop_2013,35,FALSE)</f>
        <v>0.56417910447761199</v>
      </c>
      <c r="F17" s="343">
        <f>VLOOKUP(K3,Pop_2013,35,FALSE)</f>
        <v>0.63676432504061153</v>
      </c>
      <c r="G17" s="365">
        <f>'2013 Population'!AI5</f>
        <v>0.64046363344170176</v>
      </c>
      <c r="I17" s="1797"/>
      <c r="J17" s="1794"/>
      <c r="K17" s="1794"/>
      <c r="L17" s="1794"/>
      <c r="M17" s="1794"/>
    </row>
    <row r="18" spans="2:17" ht="13.5" customHeight="1">
      <c r="B18" s="1751" t="s">
        <v>762</v>
      </c>
      <c r="C18" s="1752"/>
      <c r="D18" s="342">
        <f>VLOOKUP(I3,Pop_2013,23,FALSE)</f>
        <v>1405</v>
      </c>
      <c r="E18" s="276">
        <f>VLOOKUP(I3,Pop_2013,36,FALSE)</f>
        <v>0.19971570717839374</v>
      </c>
      <c r="F18" s="343">
        <f>VLOOKUP(K3,Pop_2013,36,FALSE)</f>
        <v>0.17539661452465113</v>
      </c>
      <c r="G18" s="365">
        <f>'2013 Population'!AJ5</f>
        <v>0.13381680438186747</v>
      </c>
      <c r="I18" s="1799">
        <f>VLOOKUP(I3,Poverty,8,FALSE)</f>
        <v>600</v>
      </c>
      <c r="J18" s="1793" t="s">
        <v>804</v>
      </c>
      <c r="K18" s="1793"/>
      <c r="L18" s="1793"/>
      <c r="M18" s="1793"/>
    </row>
    <row r="19" spans="2:17" ht="13.5" customHeight="1">
      <c r="B19" s="366" t="s">
        <v>897</v>
      </c>
      <c r="C19" s="165"/>
      <c r="D19" s="344"/>
      <c r="E19" s="277"/>
      <c r="F19" s="345"/>
      <c r="G19" s="367"/>
      <c r="I19" s="1799"/>
      <c r="J19" s="1794"/>
      <c r="K19" s="1794"/>
      <c r="L19" s="1794"/>
      <c r="M19" s="1794"/>
    </row>
    <row r="20" spans="2:17" ht="13.5" customHeight="1">
      <c r="B20" s="1751" t="s">
        <v>2</v>
      </c>
      <c r="C20" s="1752"/>
      <c r="D20" s="346">
        <f>VLOOKUP(I3,Pop_2013,6,FALSE)</f>
        <v>6417</v>
      </c>
      <c r="E20" s="276">
        <f>VLOOKUP(I3,Pop_2013,29,FALSE)</f>
        <v>0.91215351812366741</v>
      </c>
      <c r="F20" s="343">
        <f>VLOOKUP(K3,Pop_2013,29,FALSE)</f>
        <v>0.94583441238493382</v>
      </c>
      <c r="G20" s="365">
        <f>'2013 Population'!AC5</f>
        <v>0.72164270395943053</v>
      </c>
      <c r="I20" s="1799"/>
      <c r="J20" s="1795"/>
      <c r="K20" s="1795"/>
      <c r="L20" s="1795"/>
      <c r="M20" s="1795"/>
    </row>
    <row r="21" spans="2:17" ht="13.5" customHeight="1">
      <c r="B21" s="1751" t="s">
        <v>753</v>
      </c>
      <c r="C21" s="1752"/>
      <c r="D21" s="346">
        <f>VLOOKUP(I3,Pop_2013,7,FALSE)</f>
        <v>529</v>
      </c>
      <c r="E21" s="276">
        <f>VLOOKUP(I3,Pop_2013,30,FALSE)</f>
        <v>7.5195451314854306E-2</v>
      </c>
      <c r="F21" s="343">
        <f>VLOOKUP(K3,Pop_2013,30,FALSE)</f>
        <v>3.7095271567859175E-2</v>
      </c>
      <c r="G21" s="365">
        <f>'2013 Population'!AD5</f>
        <v>0.20520725073407417</v>
      </c>
      <c r="I21" s="1797">
        <f>VLOOKUP(I3,Poverty,9,FALSE)</f>
        <v>0.36742192284139619</v>
      </c>
      <c r="J21" s="1796" t="s">
        <v>805</v>
      </c>
      <c r="K21" s="1796"/>
      <c r="L21" s="1796"/>
      <c r="M21" s="1796"/>
      <c r="Q21" s="80"/>
    </row>
    <row r="22" spans="2:17" ht="13.5" customHeight="1">
      <c r="B22" s="1751" t="s">
        <v>586</v>
      </c>
      <c r="C22" s="1752"/>
      <c r="D22" s="346">
        <f>VLOOKUP(I3,Pop_2013,8,FALSE)</f>
        <v>64</v>
      </c>
      <c r="E22" s="276">
        <f>VLOOKUP(I3,Pop_2013,33,FALSE)</f>
        <v>1.2651030561478323E-2</v>
      </c>
      <c r="F22" s="343">
        <f>VLOOKUP(K3,Pop_2013,33,FALSE)</f>
        <v>1.7070316047206966E-2</v>
      </c>
      <c r="G22" s="365">
        <f>'2013 Population'!AG5</f>
        <v>7.3150045306495257E-2</v>
      </c>
      <c r="I22" s="1797"/>
      <c r="J22" s="1794"/>
      <c r="K22" s="1794"/>
      <c r="L22" s="1794"/>
      <c r="M22" s="1794"/>
    </row>
    <row r="23" spans="2:17" ht="13.5" customHeight="1">
      <c r="B23" s="1813" t="s">
        <v>629</v>
      </c>
      <c r="C23" s="1814"/>
      <c r="D23" s="368">
        <f>VLOOKUP(I3,Pop_2013,37,FALSE)</f>
        <v>995</v>
      </c>
      <c r="E23" s="369">
        <f>VLOOKUP(I3,Pop_2013,41,FALSE)</f>
        <v>0.14143567874911159</v>
      </c>
      <c r="F23" s="370">
        <f>VLOOKUP(K3,Pop_2013,41,FALSE)</f>
        <v>1.9342210144318247E-2</v>
      </c>
      <c r="G23" s="371">
        <f>'2013 Population'!AO5</f>
        <v>8.6289957937897718E-2</v>
      </c>
      <c r="H23" s="78"/>
      <c r="I23" s="1797"/>
      <c r="J23" s="1794"/>
      <c r="K23" s="1794"/>
      <c r="L23" s="1794"/>
      <c r="M23" s="1794"/>
    </row>
    <row r="24" spans="2:17" ht="13.5" customHeight="1">
      <c r="B24" s="1714" t="s">
        <v>763</v>
      </c>
      <c r="C24" s="1714"/>
      <c r="D24" s="1714"/>
      <c r="E24" s="1714"/>
      <c r="F24" s="1714"/>
      <c r="G24" s="1714"/>
      <c r="H24" s="278"/>
      <c r="I24" s="278"/>
      <c r="J24" s="1869" t="s">
        <v>1011</v>
      </c>
      <c r="K24" s="1869"/>
      <c r="L24" s="1869"/>
      <c r="M24" s="1869"/>
    </row>
    <row r="25" spans="2:17" ht="13.5" customHeight="1">
      <c r="B25" s="1714"/>
      <c r="C25" s="1714"/>
      <c r="D25" s="1714"/>
      <c r="E25" s="1714"/>
      <c r="F25" s="1714"/>
      <c r="G25" s="1714"/>
      <c r="H25" s="278"/>
      <c r="I25" s="278"/>
      <c r="J25" s="1869"/>
      <c r="K25" s="1869"/>
      <c r="L25" s="1869"/>
      <c r="M25" s="1869"/>
    </row>
    <row r="26" spans="2:17" ht="13.5" customHeight="1">
      <c r="B26" s="1714"/>
      <c r="C26" s="1714"/>
      <c r="D26" s="1714"/>
      <c r="E26" s="1714"/>
      <c r="F26" s="1714"/>
      <c r="G26" s="1714"/>
      <c r="H26" s="278"/>
      <c r="I26" s="278"/>
    </row>
    <row r="27" spans="2:17" ht="13.5" customHeight="1">
      <c r="B27" s="1817" t="s">
        <v>765</v>
      </c>
      <c r="C27" s="1870" t="str">
        <f>D3</f>
        <v>Galax</v>
      </c>
      <c r="D27" s="1871"/>
      <c r="E27" s="1870" t="str">
        <f>K3</f>
        <v>Western</v>
      </c>
      <c r="F27" s="1871"/>
      <c r="G27" s="1874" t="s">
        <v>9</v>
      </c>
      <c r="H27" s="1875"/>
      <c r="J27" s="172"/>
    </row>
    <row r="28" spans="2:17" ht="13.5" customHeight="1">
      <c r="B28" s="1818"/>
      <c r="C28" s="1872"/>
      <c r="D28" s="1873"/>
      <c r="E28" s="1872"/>
      <c r="F28" s="1873"/>
      <c r="G28" s="1876"/>
      <c r="H28" s="1877"/>
      <c r="J28" s="172"/>
    </row>
    <row r="29" spans="2:17" ht="13.5" customHeight="1">
      <c r="B29" s="1818"/>
      <c r="C29" s="379" t="s">
        <v>766</v>
      </c>
      <c r="D29" s="380" t="s">
        <v>7</v>
      </c>
      <c r="E29" s="379" t="s">
        <v>766</v>
      </c>
      <c r="F29" s="380" t="s">
        <v>7</v>
      </c>
      <c r="G29" s="379" t="s">
        <v>766</v>
      </c>
      <c r="H29" s="380" t="s">
        <v>7</v>
      </c>
    </row>
    <row r="30" spans="2:17" ht="13.5" customHeight="1">
      <c r="B30" s="359">
        <v>2003</v>
      </c>
      <c r="C30" s="373">
        <f>VLOOKUP(I3,Poverty_AllAges,6,FALSE)</f>
        <v>0.18</v>
      </c>
      <c r="D30" s="374">
        <f>VLOOKUP(I3,Poverty_Child,21,FALSE)</f>
        <v>0.29600000000000004</v>
      </c>
      <c r="E30" s="373">
        <f>VLOOKUP(K3,Poverty_AllAges,6,FALSE)</f>
        <v>0.15499536649748308</v>
      </c>
      <c r="F30" s="374">
        <f>VLOOKUP(K3,Poverty_Child,21,FALSE)</f>
        <v>0.22071896949433689</v>
      </c>
      <c r="G30" s="373">
        <f>'Poverty_All ages'!F4</f>
        <v>9.9399999999999988E-2</v>
      </c>
      <c r="H30" s="377">
        <f>Poverty_Child!U5</f>
        <v>0.13600000000000001</v>
      </c>
    </row>
    <row r="31" spans="2:17" ht="13.5" customHeight="1">
      <c r="B31" s="358">
        <v>2004</v>
      </c>
      <c r="C31" s="375">
        <f>VLOOKUP(I3,Poverty_AllAges,7,FALSE)</f>
        <v>0.17</v>
      </c>
      <c r="D31" s="376">
        <f>VLOOKUP(I3,Poverty_Child,22,FALSE)</f>
        <v>0.24899999999999997</v>
      </c>
      <c r="E31" s="375">
        <f>VLOOKUP(K3,Poverty_AllAges,7,FALSE)</f>
        <v>0.15195219671506743</v>
      </c>
      <c r="F31" s="376">
        <f>VLOOKUP(K3,Poverty_Child,22,FALSE)</f>
        <v>0.19469087884668701</v>
      </c>
      <c r="G31" s="375">
        <f>'Poverty_All ages'!G4</f>
        <v>9.5199999999999993E-2</v>
      </c>
      <c r="H31" s="378">
        <f>Poverty_Child!V5</f>
        <v>0.12190485917712804</v>
      </c>
    </row>
    <row r="32" spans="2:17" ht="13.5" customHeight="1">
      <c r="B32" s="359">
        <v>2005</v>
      </c>
      <c r="C32" s="373">
        <f>VLOOKUP(I3,Poverty_AllAges,8,FALSE)</f>
        <v>0.20699999999999999</v>
      </c>
      <c r="D32" s="374">
        <f>VLOOKUP(I3,Poverty_Child,23,FALSE)</f>
        <v>0.29499999999999998</v>
      </c>
      <c r="E32" s="373">
        <f>VLOOKUP(K3,Poverty_AllAges,8,FALSE)</f>
        <v>0.18084455028541141</v>
      </c>
      <c r="F32" s="374">
        <f>VLOOKUP(K3,Poverty_Child,23,FALSE)</f>
        <v>0.22345575814569074</v>
      </c>
      <c r="G32" s="373">
        <f>'Poverty_All ages'!H4</f>
        <v>9.9600000000000008E-2</v>
      </c>
      <c r="H32" s="377">
        <f>Poverty_Child!W5</f>
        <v>0.13300000000000001</v>
      </c>
    </row>
    <row r="33" spans="2:8" ht="13.5" customHeight="1">
      <c r="B33" s="358">
        <v>2006</v>
      </c>
      <c r="C33" s="375">
        <f>VLOOKUP(I3,Poverty_AllAges,9,FALSE)</f>
        <v>0.23</v>
      </c>
      <c r="D33" s="376">
        <f>VLOOKUP(I3,Poverty_Child,24,FALSE)</f>
        <v>0.29799999999999999</v>
      </c>
      <c r="E33" s="375">
        <f>VLOOKUP(K3,Poverty_AllAges,9,FALSE)</f>
        <v>0.17204522870846353</v>
      </c>
      <c r="F33" s="376">
        <f>VLOOKUP(K3,Poverty_Child,24,FALSE)</f>
        <v>0.20651927338719528</v>
      </c>
      <c r="G33" s="375">
        <f>'Poverty_All ages'!I4</f>
        <v>9.6199999999999994E-2</v>
      </c>
      <c r="H33" s="378">
        <f>Poverty_Child!X5</f>
        <v>0.12322064717116948</v>
      </c>
    </row>
    <row r="34" spans="2:8" ht="13.5" customHeight="1">
      <c r="B34" s="359">
        <v>2007</v>
      </c>
      <c r="C34" s="373">
        <f>VLOOKUP(I3,Poverty_AllAges,10,FALSE)</f>
        <v>0.19</v>
      </c>
      <c r="D34" s="374">
        <f>VLOOKUP(I3,Poverty_Child,25,FALSE)</f>
        <v>0.29399999999999998</v>
      </c>
      <c r="E34" s="373">
        <f>VLOOKUP(K3,Poverty_AllAges,10,FALSE)</f>
        <v>0.17744474990181727</v>
      </c>
      <c r="F34" s="374">
        <f>VLOOKUP(K3,Poverty_Child,25,FALSE)</f>
        <v>0.20957003677431724</v>
      </c>
      <c r="G34" s="373">
        <f>'Poverty_All ages'!J4</f>
        <v>9.9000000000000005E-2</v>
      </c>
      <c r="H34" s="377">
        <f>Poverty_Child!Y5</f>
        <v>0.12930216566469369</v>
      </c>
    </row>
    <row r="35" spans="2:8" ht="13.5" customHeight="1">
      <c r="B35" s="358">
        <v>2008</v>
      </c>
      <c r="C35" s="375">
        <f>VLOOKUP(I3,Poverty_AllAges,11,FALSE)</f>
        <v>0.20699999999999999</v>
      </c>
      <c r="D35" s="376">
        <f>VLOOKUP(I3,Poverty_Child,26,FALSE)</f>
        <v>0.32400000000000001</v>
      </c>
      <c r="E35" s="375">
        <f>VLOOKUP(K3,Poverty_AllAges,11,FALSE)</f>
        <v>0.18285150683367846</v>
      </c>
      <c r="F35" s="376">
        <f>VLOOKUP(K3,Poverty_Child,26,FALSE)</f>
        <v>0.22360411648784762</v>
      </c>
      <c r="G35" s="375">
        <f>'Poverty_All ages'!K4</f>
        <v>0.10210000000000001</v>
      </c>
      <c r="H35" s="378">
        <f>Poverty_Child!Z5</f>
        <v>0.13580226821250407</v>
      </c>
    </row>
    <row r="36" spans="2:8" ht="13.5" customHeight="1">
      <c r="B36" s="359">
        <v>2009</v>
      </c>
      <c r="C36" s="373">
        <f>VLOOKUP(I3,Poverty_AllAges,12,FALSE)</f>
        <v>0.191</v>
      </c>
      <c r="D36" s="374">
        <f>VLOOKUP(I3,Poverty_Child,27,FALSE)</f>
        <v>0.34299999999999997</v>
      </c>
      <c r="E36" s="373">
        <f>VLOOKUP(K3,Poverty_AllAges,12,FALSE)</f>
        <v>0.18067404001948281</v>
      </c>
      <c r="F36" s="374">
        <f>VLOOKUP(K3,Poverty_Child,27,FALSE)</f>
        <v>0.23061145442701456</v>
      </c>
      <c r="G36" s="373">
        <f>'Poverty_All ages'!L4</f>
        <v>0.1057</v>
      </c>
      <c r="H36" s="377">
        <f>Poverty_Child!AA5</f>
        <v>0.14000000000000001</v>
      </c>
    </row>
    <row r="37" spans="2:8" ht="13.5" customHeight="1">
      <c r="B37" s="358">
        <v>2010</v>
      </c>
      <c r="C37" s="375">
        <f>VLOOKUP(I3,Poverty_AllAges,13,FALSE)</f>
        <v>0.223</v>
      </c>
      <c r="D37" s="376">
        <f>VLOOKUP(I3,Poverty_Child,28,FALSE)</f>
        <v>0.35899999999999999</v>
      </c>
      <c r="E37" s="375">
        <f>VLOOKUP(K3,Poverty_AllAges,13,FALSE)</f>
        <v>0.18929818575976814</v>
      </c>
      <c r="F37" s="376">
        <f>VLOOKUP(K3,Poverty_Child,28,FALSE)</f>
        <v>0.2390194692096777</v>
      </c>
      <c r="G37" s="375">
        <f>'Poverty_All ages'!M4</f>
        <v>0.11118840014389482</v>
      </c>
      <c r="H37" s="378">
        <f>Poverty_Child!AB5</f>
        <v>0.14555376556266278</v>
      </c>
    </row>
    <row r="38" spans="2:8" ht="13.5" customHeight="1">
      <c r="B38" s="359">
        <v>2011</v>
      </c>
      <c r="C38" s="373">
        <f>VLOOKUP(I3,Poverty_AllAges,14,FALSE)</f>
        <v>0.22899999999999998</v>
      </c>
      <c r="D38" s="374">
        <f>VLOOKUP(I3,Poverty_Child,29,FALSE)</f>
        <v>0.373</v>
      </c>
      <c r="E38" s="373">
        <f>VLOOKUP(K3,Poverty_AllAges,14,FALSE)</f>
        <v>0.19649936328107848</v>
      </c>
      <c r="F38" s="374">
        <f>VLOOKUP(K3,Poverty_Child,29,FALSE)</f>
        <v>0.24486790511169071</v>
      </c>
      <c r="G38" s="373">
        <f>'Poverty_All ages'!N4</f>
        <v>0.11600000000000001</v>
      </c>
      <c r="H38" s="377">
        <f>Poverty_Child!AC5</f>
        <v>0.156</v>
      </c>
    </row>
    <row r="39" spans="2:8" ht="13.5" customHeight="1">
      <c r="B39" s="358">
        <v>2012</v>
      </c>
      <c r="C39" s="375">
        <f>VLOOKUP(I3,Poverty_AllAges,15,FALSE)</f>
        <v>0.22800000000000001</v>
      </c>
      <c r="D39" s="378">
        <f>VLOOKUP(I3,Poverty_Child,30,FALSE)</f>
        <v>0.36399999999999999</v>
      </c>
      <c r="E39" s="375">
        <f>VLOOKUP(K3,Poverty_AllAges,15,FALSE)</f>
        <v>0.20300000000000001</v>
      </c>
      <c r="F39" s="378">
        <f>VLOOKUP(K3,Poverty_Child,30,FALSE)</f>
        <v>0.24867022477490902</v>
      </c>
      <c r="G39" s="375">
        <f>'Poverty_All ages'!O4</f>
        <v>0.11799999999999999</v>
      </c>
      <c r="H39" s="378">
        <f>Poverty_Child!AD5</f>
        <v>0.155</v>
      </c>
    </row>
    <row r="40" spans="2:8" ht="13.5" customHeight="1">
      <c r="B40" s="1048">
        <v>2013</v>
      </c>
      <c r="C40" s="1049">
        <f>VLOOKUP(I3,Poverty_AllAges,16,FALSE)</f>
        <v>0.22763744427934621</v>
      </c>
      <c r="D40" s="1050">
        <f>VLOOKUP(I3,Poverty_Child,31,FALSE)</f>
        <v>0.36742192284139619</v>
      </c>
      <c r="E40" s="1049">
        <f>VLOOKUP(K3,Poverty_AllAges,15,FALSE)</f>
        <v>0.20300000000000001</v>
      </c>
      <c r="F40" s="1050">
        <f>VLOOKUP(K3,Poverty_Child,31,FALSE)</f>
        <v>0.24932721517255221</v>
      </c>
      <c r="G40" s="1049">
        <f>'Poverty_All ages'!P4</f>
        <v>0.11747751027208382</v>
      </c>
      <c r="H40" s="1051">
        <f>Poverty_Child!AE5</f>
        <v>0.15745553871615489</v>
      </c>
    </row>
    <row r="41" spans="2:8" ht="13.5" customHeight="1">
      <c r="B41" s="279" t="s">
        <v>764</v>
      </c>
      <c r="C41" s="90"/>
    </row>
    <row r="42" spans="2:8" ht="13.5" customHeight="1">
      <c r="B42" s="1880" t="s">
        <v>767</v>
      </c>
      <c r="C42" s="1878" t="str">
        <f>D3</f>
        <v>Galax</v>
      </c>
      <c r="D42" s="1878"/>
      <c r="E42" s="1878" t="str">
        <f>K3</f>
        <v>Western</v>
      </c>
      <c r="F42" s="1878" t="s">
        <v>9</v>
      </c>
      <c r="G42" s="1882"/>
      <c r="H42" s="1882"/>
    </row>
    <row r="43" spans="2:8" ht="13.5" customHeight="1">
      <c r="B43" s="1881"/>
      <c r="C43" s="1879"/>
      <c r="D43" s="1879"/>
      <c r="E43" s="1879"/>
      <c r="F43" s="1879"/>
      <c r="G43" s="1882"/>
      <c r="H43" s="1882"/>
    </row>
    <row r="44" spans="2:8" ht="13.5" customHeight="1">
      <c r="B44" s="1881"/>
      <c r="C44" s="387" t="s">
        <v>630</v>
      </c>
      <c r="D44" s="372" t="s">
        <v>768</v>
      </c>
      <c r="E44" s="381" t="s">
        <v>768</v>
      </c>
      <c r="F44" s="382" t="s">
        <v>768</v>
      </c>
      <c r="G44" s="308"/>
      <c r="H44" s="308"/>
    </row>
    <row r="45" spans="2:8" ht="13.5" customHeight="1">
      <c r="B45" s="356">
        <v>2003</v>
      </c>
      <c r="C45" s="389">
        <f>VLOOKUP(I3,Employment,26,FALSE)</f>
        <v>211</v>
      </c>
      <c r="D45" s="378">
        <f>VLOOKUP($I$3,Employment,7,FALSE)</f>
        <v>6.3804052010886E-2</v>
      </c>
      <c r="E45" s="386">
        <f>VLOOKUP($K$3,Employment,7,FALSE)</f>
        <v>5.6062505678204776E-2</v>
      </c>
      <c r="F45" s="385">
        <f>Unemployment!G4</f>
        <v>4.0951027325666245E-2</v>
      </c>
      <c r="G45" s="310"/>
      <c r="H45" s="309"/>
    </row>
    <row r="46" spans="2:8" ht="13.5" customHeight="1">
      <c r="B46" s="357">
        <v>2004</v>
      </c>
      <c r="C46" s="388">
        <f>VLOOKUP(I3,Employment,28,FALSE)</f>
        <v>176</v>
      </c>
      <c r="D46" s="377">
        <f>VLOOKUP($I$3,Employment,8,FALSE)</f>
        <v>5.520702634880803E-2</v>
      </c>
      <c r="E46" s="384">
        <f>VLOOKUP($K$3,Employment,8,FALSE)</f>
        <v>4.9803733701727221E-2</v>
      </c>
      <c r="F46" s="383">
        <f>Unemployment!H4</f>
        <v>3.6983564098822252E-2</v>
      </c>
      <c r="G46" s="310"/>
      <c r="H46" s="309"/>
    </row>
    <row r="47" spans="2:8" ht="13.5" customHeight="1">
      <c r="B47" s="356">
        <v>2005</v>
      </c>
      <c r="C47" s="389">
        <f>VLOOKUP(I3,Employment,30,FALSE)</f>
        <v>159</v>
      </c>
      <c r="D47" s="378">
        <f>VLOOKUP($I$3,Employment,9,FALSE)</f>
        <v>5.0814956855225309E-2</v>
      </c>
      <c r="E47" s="386">
        <f>VLOOKUP($K$3,Employment,9,FALSE)</f>
        <v>4.6585865926137393E-2</v>
      </c>
      <c r="F47" s="385">
        <f>Unemployment!I4</f>
        <v>3.5184099138150848E-2</v>
      </c>
      <c r="G47" s="310"/>
      <c r="H47" s="309"/>
    </row>
    <row r="48" spans="2:8" ht="13.5" customHeight="1">
      <c r="B48" s="357">
        <v>2006</v>
      </c>
      <c r="C48" s="388">
        <f>VLOOKUP(I3,Employment,32,FALSE)</f>
        <v>183</v>
      </c>
      <c r="D48" s="377">
        <f>VLOOKUP($I$3,Employment,10,FALSE)</f>
        <v>6.025683240039513E-2</v>
      </c>
      <c r="E48" s="384">
        <f>VLOOKUP($K$3,Employment,10,FALSE)</f>
        <v>4.2236984855915705E-2</v>
      </c>
      <c r="F48" s="383">
        <f>Unemployment!J4</f>
        <v>3.042605361214783E-2</v>
      </c>
      <c r="G48" s="310"/>
      <c r="H48" s="309"/>
    </row>
    <row r="49" spans="2:14" ht="13.5" customHeight="1">
      <c r="B49" s="356">
        <v>2007</v>
      </c>
      <c r="C49" s="389">
        <f>VLOOKUP(I3,Employment,34,FALSE)</f>
        <v>177</v>
      </c>
      <c r="D49" s="378">
        <f>VLOOKUP($I$3,Employment,11,FALSE)</f>
        <v>5.6913183279742763E-2</v>
      </c>
      <c r="E49" s="386">
        <f>VLOOKUP($K$3,Employment,11,FALSE)</f>
        <v>4.4953707811991601E-2</v>
      </c>
      <c r="F49" s="385">
        <f>Unemployment!K4</f>
        <v>3.0637117624127935E-2</v>
      </c>
      <c r="G49" s="310"/>
      <c r="H49" s="309"/>
    </row>
    <row r="50" spans="2:14" ht="13.5" customHeight="1">
      <c r="B50" s="357">
        <v>2008</v>
      </c>
      <c r="C50" s="388">
        <f>VLOOKUP(I3,Employment,36,FALSE)</f>
        <v>192</v>
      </c>
      <c r="D50" s="377">
        <f>VLOOKUP($I$3,Employment,12,FALSE)</f>
        <v>6.1263560944479899E-2</v>
      </c>
      <c r="E50" s="384">
        <f>VLOOKUP($K$3,Employment,12,FALSE)</f>
        <v>5.2288495169289871E-2</v>
      </c>
      <c r="F50" s="383">
        <f>Unemployment!L4</f>
        <v>3.9533104507533175E-2</v>
      </c>
      <c r="G50" s="310"/>
      <c r="H50" s="309"/>
    </row>
    <row r="51" spans="2:14" ht="13.5" customHeight="1">
      <c r="B51" s="356">
        <v>2009</v>
      </c>
      <c r="C51" s="389">
        <f>VLOOKUP(I3,Employment,38,FALSE)</f>
        <v>326</v>
      </c>
      <c r="D51" s="378">
        <f>VLOOKUP($I$3,Employment,13,FALSE)</f>
        <v>0.10040036957191253</v>
      </c>
      <c r="E51" s="386">
        <f>VLOOKUP($K$3,Employment,13,FALSE)</f>
        <v>9.1706631941871258E-2</v>
      </c>
      <c r="F51" s="385">
        <f>Unemployment!M4</f>
        <v>6.9500899241383113E-2</v>
      </c>
      <c r="G51" s="310"/>
      <c r="H51" s="309"/>
    </row>
    <row r="52" spans="2:14" ht="13.5" customHeight="1">
      <c r="B52" s="357">
        <v>2010</v>
      </c>
      <c r="C52" s="388">
        <f>VLOOKUP(I3,Employment,40,FALSE)</f>
        <v>356</v>
      </c>
      <c r="D52" s="377">
        <f>VLOOKUP($I$3,Employment,14,FALSE)</f>
        <v>0.11121524523586379</v>
      </c>
      <c r="E52" s="384">
        <f>VLOOKUP($K$3,Employment,14,FALSE)</f>
        <v>9.1026399268777897E-2</v>
      </c>
      <c r="F52" s="383">
        <f>Unemployment!N4</f>
        <v>7.0996273411972191E-2</v>
      </c>
      <c r="G52" s="310"/>
      <c r="H52" s="309"/>
    </row>
    <row r="53" spans="2:14" ht="13.5" customHeight="1">
      <c r="B53" s="356">
        <v>2011</v>
      </c>
      <c r="C53" s="389">
        <f>VLOOKUP(I3,Employment,42,FALSE)</f>
        <v>319</v>
      </c>
      <c r="D53" s="378">
        <f>VLOOKUP($I$3,Employment,15,FALSE)</f>
        <v>0.10094936708860759</v>
      </c>
      <c r="E53" s="386">
        <f>VLOOKUP($K$3,Employment,15,FALSE)</f>
        <v>7.946351107255116E-2</v>
      </c>
      <c r="F53" s="385">
        <f>Unemployment!O4</f>
        <v>6.4437374190308969E-2</v>
      </c>
      <c r="G53" s="310"/>
      <c r="H53" s="308"/>
    </row>
    <row r="54" spans="2:14" ht="13.5" customHeight="1">
      <c r="B54" s="1058">
        <v>2012</v>
      </c>
      <c r="C54" s="1059">
        <f>VLOOKUP(I3,Employment,44,FALSE)</f>
        <v>260</v>
      </c>
      <c r="D54" s="1060">
        <f>VLOOKUP(I3,Employment,16,FALSE)</f>
        <v>8.7131367292225204E-2</v>
      </c>
      <c r="E54" s="1061">
        <f>VLOOKUP(K3,Employment,16,FALSE)</f>
        <v>7.4349172729448798E-2</v>
      </c>
      <c r="F54" s="1062">
        <f>Unemployment!P4</f>
        <v>5.8774345474193433E-2</v>
      </c>
      <c r="G54" s="310"/>
      <c r="H54" s="1032"/>
    </row>
    <row r="55" spans="2:14" ht="13.5" customHeight="1">
      <c r="B55" s="1063">
        <v>2013</v>
      </c>
      <c r="C55" s="1064">
        <f>VLOOKUP(I3,Employment,46,FALSE)</f>
        <v>257</v>
      </c>
      <c r="D55" s="1065">
        <f>VLOOKUP(I3,Employment,17,FALSE)</f>
        <v>8.5438829787234036E-2</v>
      </c>
      <c r="E55" s="1066">
        <f>VLOOKUP(K3,Employment,17,FALSE)</f>
        <v>7.3725547232928512E-2</v>
      </c>
      <c r="F55" s="1067">
        <f>Unemployment!Q4</f>
        <v>5.5454654156622714E-2</v>
      </c>
      <c r="G55" s="310"/>
      <c r="H55" s="308"/>
    </row>
    <row r="56" spans="2:14" ht="14.25" customHeight="1">
      <c r="B56" s="1858" t="s">
        <v>858</v>
      </c>
      <c r="C56" s="1858"/>
      <c r="D56" s="1858"/>
      <c r="E56" s="1858"/>
      <c r="F56" s="1858"/>
    </row>
    <row r="57" spans="2:14" ht="14.25" customHeight="1">
      <c r="B57" s="1783" t="s">
        <v>923</v>
      </c>
      <c r="C57" s="1864" t="s">
        <v>920</v>
      </c>
      <c r="D57" s="1864"/>
      <c r="E57" s="1864"/>
      <c r="F57" s="1864"/>
      <c r="G57" s="1865" t="s">
        <v>921</v>
      </c>
      <c r="H57" s="1866"/>
      <c r="I57" s="1866"/>
      <c r="J57" s="1867"/>
      <c r="K57" s="1328"/>
      <c r="M57" s="1868">
        <f>VLOOKUP(I3,Child_SingleParentHH,11,FALSE)</f>
        <v>0.4934687953555878</v>
      </c>
      <c r="N57" s="1501"/>
    </row>
    <row r="58" spans="2:14" ht="21.75" customHeight="1">
      <c r="B58" s="1784"/>
      <c r="C58" s="1863" t="str">
        <f>D3</f>
        <v>Galax</v>
      </c>
      <c r="D58" s="1863"/>
      <c r="E58" s="1421" t="str">
        <f>K3</f>
        <v>Western</v>
      </c>
      <c r="F58" s="1421" t="s">
        <v>9</v>
      </c>
      <c r="G58" s="1863" t="str">
        <f>D3</f>
        <v>Galax</v>
      </c>
      <c r="H58" s="1863"/>
      <c r="I58" s="1421" t="str">
        <f>K3</f>
        <v>Western</v>
      </c>
      <c r="J58" s="1421" t="s">
        <v>9</v>
      </c>
      <c r="K58" s="1328"/>
      <c r="L58" s="1501"/>
      <c r="M58" s="1868"/>
      <c r="N58" s="1501"/>
    </row>
    <row r="59" spans="2:14" ht="14.25" customHeight="1">
      <c r="B59" s="1785"/>
      <c r="C59" s="1422" t="s">
        <v>630</v>
      </c>
      <c r="D59" s="1422" t="s">
        <v>280</v>
      </c>
      <c r="E59" s="1422" t="s">
        <v>280</v>
      </c>
      <c r="F59" s="1422" t="s">
        <v>280</v>
      </c>
      <c r="G59" s="1422" t="s">
        <v>630</v>
      </c>
      <c r="H59" s="1422" t="s">
        <v>922</v>
      </c>
      <c r="I59" s="1422" t="s">
        <v>922</v>
      </c>
      <c r="J59" s="1422" t="s">
        <v>922</v>
      </c>
      <c r="K59" s="1328"/>
      <c r="L59" s="1821" t="s">
        <v>965</v>
      </c>
      <c r="M59" s="1821"/>
      <c r="N59" s="1821"/>
    </row>
    <row r="60" spans="2:14" ht="14.25" customHeight="1">
      <c r="B60" s="1324" t="s">
        <v>281</v>
      </c>
      <c r="C60" s="1330">
        <f>VLOOKUP(I3,NonMaritalBirths,8,FALSE)</f>
        <v>64</v>
      </c>
      <c r="D60" s="1331">
        <f>VLOOKUP(I3,NonMaritalBirths,12,FALSE)</f>
        <v>0.52459016393442626</v>
      </c>
      <c r="E60" s="1332">
        <f>VLOOKUP(K3,NonMaritalBirths,12,FALSE)</f>
        <v>0.37574824696425518</v>
      </c>
      <c r="F60" s="1331">
        <f>'Non-marital births'!L6</f>
        <v>0.35279298907704426</v>
      </c>
      <c r="G60" s="1330">
        <f>VLOOKUP(I3,TeenBirths, 4, FALSE)</f>
        <v>20</v>
      </c>
      <c r="H60" s="1470">
        <f>VLOOKUP(I3,TeenBirths, 12, FALSE)</f>
        <v>45.977011494252871</v>
      </c>
      <c r="I60" s="1470">
        <f>VLOOKUP(K3,TeenBirths, 12, FALSE)</f>
        <v>19.05972045743329</v>
      </c>
      <c r="J60" s="1470">
        <f>'Teen births'!L5</f>
        <v>11.846432840922917</v>
      </c>
      <c r="K60" s="1329"/>
      <c r="L60" s="1821"/>
      <c r="M60" s="1821"/>
      <c r="N60" s="1821"/>
    </row>
    <row r="61" spans="2:14" ht="14.25" customHeight="1">
      <c r="B61" s="1325" t="s">
        <v>2</v>
      </c>
      <c r="C61" s="1333">
        <f>VLOOKUP(I3,NonMaritalBirths,9,FALSE)</f>
        <v>46</v>
      </c>
      <c r="D61" s="1334">
        <f>VLOOKUP(I3,NonMaritalBirths,13,FALSE)</f>
        <v>0.50549450549450547</v>
      </c>
      <c r="E61" s="1335">
        <f>VLOOKUP(K3,NonMaritalBirths,13,FALSE)</f>
        <v>0.37260916636593289</v>
      </c>
      <c r="F61" s="1334">
        <f>'Non-marital births'!M6</f>
        <v>0.26595951586601041</v>
      </c>
      <c r="G61" s="1333">
        <f>VLOOKUP(I3,TeenBirths, 5, FALSE)</f>
        <v>15</v>
      </c>
      <c r="H61" s="1471">
        <f>VLOOKUP(I3,TeenBirths, 13, FALSE)</f>
        <v>39.164490861618802</v>
      </c>
      <c r="I61" s="1473">
        <f>VLOOKUP(K3,TeenBirths, 13, FALSE)</f>
        <v>19.232505643340858</v>
      </c>
      <c r="J61" s="1471">
        <f>'Teen births'!M5</f>
        <v>9.385771249633919</v>
      </c>
      <c r="K61" s="1325"/>
      <c r="L61" s="1821"/>
      <c r="M61" s="1821"/>
      <c r="N61" s="1821"/>
    </row>
    <row r="62" spans="2:14" ht="14.25" customHeight="1">
      <c r="B62" s="1325" t="s">
        <v>450</v>
      </c>
      <c r="C62" s="1333">
        <f>VLOOKUP(I3,NonMaritalBirths,10,FALSE)</f>
        <v>4</v>
      </c>
      <c r="D62" s="1334">
        <f>VLOOKUP(I3,NonMaritalBirths,14,FALSE)</f>
        <v>0.66666666666666663</v>
      </c>
      <c r="E62" s="1335">
        <f>VLOOKUP(K3,NonMaritalBirths,14,FALSE)</f>
        <v>0.7338709677419355</v>
      </c>
      <c r="F62" s="1334">
        <f>'Non-marital births'!N6</f>
        <v>0.672281986724651</v>
      </c>
      <c r="G62" s="1333">
        <f>VLOOKUP(I3,TeenBirths, 6, FALSE)</f>
        <v>1</v>
      </c>
      <c r="H62" s="1471">
        <f>VLOOKUP(I3,TeenBirths, 14, FALSE)</f>
        <v>23.255813953488371</v>
      </c>
      <c r="I62" s="1473">
        <f>VLOOKUP(K3,TeenBirths, 14, FALSE)</f>
        <v>16.835016835016834</v>
      </c>
      <c r="J62" s="1471">
        <f>'Teen births'!N5</f>
        <v>17.902366605536635</v>
      </c>
      <c r="K62" s="1325"/>
      <c r="L62" s="1821"/>
      <c r="M62" s="1821"/>
      <c r="N62" s="1821"/>
    </row>
    <row r="63" spans="2:14" ht="14.25" customHeight="1">
      <c r="B63" s="1326" t="s">
        <v>586</v>
      </c>
      <c r="C63" s="1336">
        <f>VLOOKUP(I3,NonMaritalBirths,11,FALSE)</f>
        <v>14</v>
      </c>
      <c r="D63" s="1337">
        <f>VLOOKUP(I3,NonMaritalBirths,15,FALSE)</f>
        <v>0.56000000000000005</v>
      </c>
      <c r="E63" s="1338">
        <f>VLOOKUP(K3,NonMaritalBirths,15,FALSE)</f>
        <v>0.22651933701657459</v>
      </c>
      <c r="F63" s="1337">
        <f>'Non-marital births'!O6</f>
        <v>0.2695929203539823</v>
      </c>
      <c r="G63" s="1336">
        <f>VLOOKUP(I3,TeenBirths, 7, FALSE)</f>
        <v>4</v>
      </c>
      <c r="H63" s="1472">
        <f>VLOOKUP(I3,TeenBirths, 15, FALSE)</f>
        <v>444.4444444444444</v>
      </c>
      <c r="I63" s="1474">
        <f>VLOOKUP(K3,TeenBirths, 15, FALSE)</f>
        <v>15.602836879432624</v>
      </c>
      <c r="J63" s="1472">
        <f>'Teen births'!O5</f>
        <v>14.869281045751633</v>
      </c>
      <c r="K63" s="1325"/>
      <c r="L63" s="1821"/>
      <c r="M63" s="1821"/>
      <c r="N63" s="1821"/>
    </row>
    <row r="64" spans="2:14" ht="14.25" customHeight="1">
      <c r="B64" s="1782" t="s">
        <v>957</v>
      </c>
      <c r="C64" s="1782"/>
      <c r="D64" s="1782"/>
      <c r="E64" s="1782"/>
      <c r="F64" s="1782"/>
      <c r="G64" s="1782"/>
      <c r="H64" s="1782"/>
      <c r="I64" s="1782"/>
      <c r="J64" s="1782"/>
      <c r="K64" s="1782"/>
      <c r="L64" s="1782"/>
      <c r="M64" s="1782"/>
      <c r="N64" s="1782"/>
    </row>
    <row r="65" spans="2:12" ht="14.25" customHeight="1">
      <c r="B65" s="1327"/>
      <c r="C65" s="1327"/>
      <c r="D65" s="1327"/>
      <c r="E65" s="1327"/>
      <c r="F65" s="1327"/>
      <c r="G65" s="1327"/>
      <c r="H65" s="1327"/>
    </row>
    <row r="66" spans="2:12" ht="14.25" customHeight="1">
      <c r="B66" s="1327"/>
      <c r="C66" s="1327"/>
      <c r="D66" s="1327"/>
      <c r="E66" s="1327"/>
      <c r="F66" s="1327"/>
      <c r="G66" s="1327"/>
      <c r="H66" s="1327"/>
    </row>
    <row r="67" spans="2:12" ht="14.25" customHeight="1">
      <c r="B67" s="1327"/>
      <c r="C67" s="1327"/>
      <c r="D67" s="1327"/>
      <c r="E67" s="1327"/>
      <c r="F67" s="1327"/>
      <c r="G67" s="1327"/>
      <c r="H67" s="1327"/>
    </row>
    <row r="68" spans="2:12" ht="14.25" customHeight="1">
      <c r="B68" s="1327"/>
      <c r="C68" s="1327"/>
      <c r="D68" s="1327"/>
      <c r="E68" s="1327"/>
      <c r="F68" s="1327"/>
      <c r="G68" s="1327"/>
      <c r="H68" s="1327"/>
    </row>
    <row r="69" spans="2:12" ht="14.25" customHeight="1">
      <c r="B69" s="1327"/>
      <c r="C69" s="1327"/>
      <c r="D69" s="1327"/>
      <c r="E69" s="1327"/>
      <c r="F69" s="1327"/>
      <c r="G69" s="1327"/>
      <c r="H69" s="1327"/>
    </row>
    <row r="70" spans="2:12" ht="14.25" customHeight="1">
      <c r="B70" s="1305"/>
      <c r="C70" s="1305"/>
      <c r="D70" s="1305"/>
      <c r="E70" s="1305"/>
      <c r="F70" s="1305"/>
    </row>
    <row r="71" spans="2:12" ht="14.25" customHeight="1">
      <c r="B71" s="1305"/>
      <c r="C71" s="1305"/>
      <c r="D71" s="1305"/>
      <c r="E71" s="1305"/>
      <c r="F71" s="1305"/>
    </row>
    <row r="72" spans="2:12" ht="14.25" customHeight="1">
      <c r="B72" s="1305"/>
      <c r="C72" s="1305"/>
      <c r="D72" s="1305"/>
      <c r="E72" s="1305"/>
      <c r="F72" s="1305"/>
    </row>
    <row r="73" spans="2:12" ht="14.25" customHeight="1">
      <c r="B73" s="1305"/>
      <c r="C73" s="1305"/>
      <c r="D73" s="1305"/>
      <c r="E73" s="1305"/>
      <c r="F73" s="1305"/>
    </row>
    <row r="74" spans="2:12" ht="14.25" customHeight="1">
      <c r="B74" s="1305"/>
      <c r="C74" s="1305"/>
      <c r="D74" s="1305"/>
      <c r="E74" s="1305"/>
      <c r="F74" s="1305"/>
    </row>
    <row r="75" spans="2:12" ht="14.25" customHeight="1">
      <c r="B75" s="1305"/>
      <c r="C75" s="1305"/>
      <c r="D75" s="1305"/>
      <c r="E75" s="1305"/>
      <c r="F75" s="1305"/>
    </row>
    <row r="76" spans="2:12" ht="14.25" customHeight="1">
      <c r="B76" s="1305"/>
      <c r="C76" s="1305"/>
      <c r="D76" s="1305"/>
      <c r="E76" s="1305"/>
      <c r="F76" s="1305"/>
    </row>
    <row r="77" spans="2:12" ht="13.5" customHeight="1">
      <c r="B77" s="279"/>
      <c r="C77" s="90"/>
    </row>
    <row r="78" spans="2:12" ht="13.5" customHeight="1">
      <c r="B78" s="1307"/>
      <c r="C78" s="1307"/>
      <c r="D78" s="1307"/>
      <c r="E78" s="1307"/>
      <c r="F78" s="1307"/>
      <c r="G78" s="1307"/>
      <c r="H78" s="278"/>
      <c r="I78" s="278"/>
      <c r="J78" s="278"/>
      <c r="K78" s="87"/>
      <c r="L78" s="87"/>
    </row>
    <row r="79" spans="2:12" ht="13.5" customHeight="1">
      <c r="B79" s="1703" t="s">
        <v>1206</v>
      </c>
      <c r="C79" s="1704"/>
      <c r="D79" s="1700" t="s">
        <v>900</v>
      </c>
      <c r="E79" s="1701"/>
      <c r="F79" s="1701"/>
      <c r="G79" s="1702"/>
      <c r="H79" s="1822" t="s">
        <v>993</v>
      </c>
      <c r="I79" s="1859" t="s">
        <v>994</v>
      </c>
      <c r="K79" s="1774">
        <f>G86</f>
        <v>3498</v>
      </c>
      <c r="L79" s="1774"/>
    </row>
    <row r="80" spans="2:12" ht="13.5" customHeight="1">
      <c r="B80" s="1705"/>
      <c r="C80" s="1706"/>
      <c r="D80" s="1415" t="s">
        <v>318</v>
      </c>
      <c r="E80" s="1416" t="s">
        <v>414</v>
      </c>
      <c r="F80" s="1417" t="s">
        <v>899</v>
      </c>
      <c r="G80" s="1574" t="s">
        <v>928</v>
      </c>
      <c r="H80" s="1823"/>
      <c r="I80" s="1860"/>
      <c r="K80" s="1774"/>
      <c r="L80" s="1774"/>
    </row>
    <row r="81" spans="2:14" ht="13.5" customHeight="1">
      <c r="B81" s="1705"/>
      <c r="C81" s="1706"/>
      <c r="D81" s="1418"/>
      <c r="E81" s="1419"/>
      <c r="F81" s="1420"/>
      <c r="G81" s="1575"/>
      <c r="H81" s="1824"/>
      <c r="I81" s="1861"/>
      <c r="K81" s="1774"/>
      <c r="L81" s="1774"/>
    </row>
    <row r="82" spans="2:14" ht="13.5" customHeight="1">
      <c r="B82" s="1707">
        <v>2010</v>
      </c>
      <c r="C82" s="1708"/>
      <c r="D82" s="1406">
        <f>VLOOKUP($I$3,SNAPClients,9,FALSE)</f>
        <v>2723</v>
      </c>
      <c r="E82" s="1409">
        <f>VLOOKUP($I$3,TANFClients,9,FALSE)</f>
        <v>559</v>
      </c>
      <c r="F82" s="1412">
        <f>VLOOKUP(I3,MedicaidClients,5,FALSE)</f>
        <v>2574</v>
      </c>
      <c r="G82" s="1007">
        <f>VLOOKUP(I3,BenefitClients,5,FALSE)</f>
        <v>3337</v>
      </c>
      <c r="H82" s="1512" t="s">
        <v>995</v>
      </c>
      <c r="I82" s="1509" t="s">
        <v>995</v>
      </c>
      <c r="K82" s="1773" t="s">
        <v>1182</v>
      </c>
      <c r="L82" s="1773"/>
    </row>
    <row r="83" spans="2:14" ht="13.5" customHeight="1">
      <c r="B83" s="1709">
        <v>2011</v>
      </c>
      <c r="C83" s="1710"/>
      <c r="D83" s="1407">
        <f>VLOOKUP($I$3,SNAPClients,10,FALSE)</f>
        <v>2793</v>
      </c>
      <c r="E83" s="1410">
        <f>VLOOKUP($I$3,TANFClients,10,FALSE)</f>
        <v>480</v>
      </c>
      <c r="F83" s="1413">
        <f>VLOOKUP(I3,MedicaidClients,6,FALSE)</f>
        <v>2486</v>
      </c>
      <c r="G83" s="1008">
        <f>VLOOKUP(I3,BenefitClients,6,FALSE)</f>
        <v>3291</v>
      </c>
      <c r="H83" s="1513" t="s">
        <v>995</v>
      </c>
      <c r="I83" s="1511" t="s">
        <v>995</v>
      </c>
      <c r="K83" s="1773"/>
      <c r="L83" s="1773"/>
    </row>
    <row r="84" spans="2:14" ht="13.5" customHeight="1">
      <c r="B84" s="1707">
        <v>2012</v>
      </c>
      <c r="C84" s="1708"/>
      <c r="D84" s="1406">
        <f>VLOOKUP($I$3,SNAPClients,11,FALSE)</f>
        <v>2935</v>
      </c>
      <c r="E84" s="1409">
        <f>VLOOKUP($I$3,TANFClients,11,FALSE)</f>
        <v>426</v>
      </c>
      <c r="F84" s="1412">
        <f>VLOOKUP(I3,MedicaidClients,7,FALSE)</f>
        <v>2518</v>
      </c>
      <c r="G84" s="1007">
        <f>VLOOKUP(I3,BenefitClients,7,FALSE)</f>
        <v>3356</v>
      </c>
      <c r="H84" s="1512" t="s">
        <v>995</v>
      </c>
      <c r="I84" s="1509" t="s">
        <v>995</v>
      </c>
      <c r="K84" s="1773"/>
      <c r="L84" s="1773"/>
    </row>
    <row r="85" spans="2:14" ht="13.5" customHeight="1">
      <c r="B85" s="1709">
        <v>2013</v>
      </c>
      <c r="C85" s="1710"/>
      <c r="D85" s="1407">
        <f>VLOOKUP($I$3,SNAPClients,12,FALSE)</f>
        <v>2975</v>
      </c>
      <c r="E85" s="1410">
        <f>VLOOKUP($I$3,TANFClients,12,FALSE)</f>
        <v>368</v>
      </c>
      <c r="F85" s="1413">
        <f>VLOOKUP(I3,MedicaidClients,8,FALSE)</f>
        <v>2566</v>
      </c>
      <c r="G85" s="1009">
        <f>VLOOKUP(I3,BenefitClients,8,FALSE)</f>
        <v>3451</v>
      </c>
      <c r="H85" s="1506">
        <f>VLOOKUP(I3,EAClients_FFY,4,FALSE)</f>
        <v>1602</v>
      </c>
      <c r="I85" s="1511" t="s">
        <v>995</v>
      </c>
      <c r="K85" s="1773"/>
      <c r="L85" s="1773"/>
    </row>
    <row r="86" spans="2:14" ht="13.5" customHeight="1">
      <c r="B86" s="1711">
        <v>2014</v>
      </c>
      <c r="C86" s="1712"/>
      <c r="D86" s="1408">
        <f>VLOOKUP($I$3,SNAPClients,13,FALSE)</f>
        <v>2964</v>
      </c>
      <c r="E86" s="1411">
        <f>VLOOKUP($I$3,TANFClients,13,FALSE)</f>
        <v>280</v>
      </c>
      <c r="F86" s="1414">
        <f>VLOOKUP(I3,MedicaidClients,9,FALSE)</f>
        <v>2682</v>
      </c>
      <c r="G86" s="1010">
        <f>VLOOKUP(I3,BenefitClients,9,FALSE)</f>
        <v>3498</v>
      </c>
      <c r="H86" s="1507">
        <f>VLOOKUP(I3,EAClients_FFY,5,FALSE)</f>
        <v>1539</v>
      </c>
      <c r="I86" s="1010">
        <f>VLOOKUP(I3,ChildCareClients,4,FALSE)</f>
        <v>65</v>
      </c>
      <c r="K86" s="1773"/>
      <c r="L86" s="1773"/>
    </row>
    <row r="87" spans="2:14" ht="13.5" customHeight="1">
      <c r="B87" s="1713" t="s">
        <v>1203</v>
      </c>
      <c r="C87" s="1713"/>
      <c r="D87" s="1713"/>
      <c r="E87" s="1713"/>
      <c r="F87" s="1713"/>
      <c r="G87" s="1713"/>
      <c r="H87" s="1713"/>
      <c r="I87" s="1713"/>
      <c r="J87" s="126"/>
      <c r="K87" s="1773"/>
      <c r="L87" s="1773"/>
    </row>
    <row r="88" spans="2:14" ht="13.5" customHeight="1">
      <c r="B88" s="1714"/>
      <c r="C88" s="1714"/>
      <c r="D88" s="1714"/>
      <c r="E88" s="1714"/>
      <c r="F88" s="1714"/>
      <c r="G88" s="1714"/>
      <c r="H88" s="1714"/>
      <c r="I88" s="1714"/>
      <c r="J88" s="126"/>
      <c r="K88" s="1773"/>
      <c r="L88" s="1773"/>
    </row>
    <row r="89" spans="2:14" ht="13.5" customHeight="1">
      <c r="B89" s="1714"/>
      <c r="C89" s="1714"/>
      <c r="D89" s="1714"/>
      <c r="E89" s="1714"/>
      <c r="F89" s="1714"/>
      <c r="G89" s="1714"/>
      <c r="H89" s="1714"/>
      <c r="I89" s="1714"/>
      <c r="J89" s="126"/>
      <c r="K89" s="1773"/>
      <c r="L89" s="1773"/>
      <c r="M89" s="87"/>
      <c r="N89" s="87"/>
    </row>
    <row r="90" spans="2:14" ht="13.5" customHeight="1">
      <c r="B90" s="1714"/>
      <c r="C90" s="1714"/>
      <c r="D90" s="1714"/>
      <c r="E90" s="1714"/>
      <c r="F90" s="1714"/>
      <c r="G90" s="1714"/>
      <c r="H90" s="1714"/>
      <c r="I90" s="1714"/>
      <c r="J90" s="126"/>
      <c r="K90" s="87"/>
      <c r="L90" s="87"/>
      <c r="M90" s="87"/>
      <c r="N90" s="87"/>
    </row>
    <row r="91" spans="2:14" ht="13.5" customHeight="1">
      <c r="B91" s="1275"/>
      <c r="C91" s="1275"/>
      <c r="D91" s="1275"/>
      <c r="E91" s="1275"/>
      <c r="F91" s="1275"/>
      <c r="G91" s="1275"/>
      <c r="H91" s="1275"/>
      <c r="I91" s="126"/>
      <c r="J91" s="126"/>
      <c r="K91" s="87"/>
      <c r="L91" s="87"/>
      <c r="M91" s="87"/>
      <c r="N91" s="87"/>
    </row>
    <row r="92" spans="2:14" ht="13.5" customHeight="1">
      <c r="B92" s="1275"/>
      <c r="C92" s="1275"/>
      <c r="D92" s="1275"/>
      <c r="E92" s="1275"/>
      <c r="F92" s="1275"/>
      <c r="G92" s="1275"/>
      <c r="H92" s="1275"/>
      <c r="I92" s="126"/>
      <c r="J92" s="126"/>
      <c r="K92" s="87"/>
      <c r="L92" s="87"/>
      <c r="M92" s="87"/>
      <c r="N92" s="87"/>
    </row>
    <row r="93" spans="2:14" ht="13.5" customHeight="1">
      <c r="B93" s="1275"/>
      <c r="C93" s="1275"/>
      <c r="D93" s="1275"/>
      <c r="E93" s="1275"/>
      <c r="F93" s="1275"/>
      <c r="G93" s="1275"/>
      <c r="H93" s="1275"/>
      <c r="I93" s="126"/>
      <c r="J93" s="126"/>
      <c r="K93" s="87"/>
      <c r="L93" s="87"/>
      <c r="M93" s="87"/>
      <c r="N93" s="87"/>
    </row>
    <row r="94" spans="2:14" ht="13.5" customHeight="1">
      <c r="B94" s="1275"/>
      <c r="C94" s="1275"/>
      <c r="D94" s="1275"/>
      <c r="E94" s="1275"/>
      <c r="F94" s="1275"/>
      <c r="G94" s="1275"/>
      <c r="H94" s="1275"/>
      <c r="I94" s="126"/>
      <c r="J94" s="126"/>
      <c r="K94" s="87"/>
      <c r="L94" s="87"/>
      <c r="M94" s="87"/>
      <c r="N94" s="87"/>
    </row>
    <row r="95" spans="2:14" ht="13.5" customHeight="1">
      <c r="B95" s="1275"/>
      <c r="C95" s="1275"/>
      <c r="D95" s="1275"/>
      <c r="E95" s="1275"/>
      <c r="F95" s="1275"/>
      <c r="G95" s="1275"/>
      <c r="H95" s="1275"/>
      <c r="I95" s="126"/>
      <c r="J95" s="126"/>
      <c r="K95" s="87"/>
      <c r="L95" s="87"/>
      <c r="M95" s="87"/>
      <c r="N95" s="87"/>
    </row>
    <row r="96" spans="2:14" ht="13.5" customHeight="1">
      <c r="B96" s="1275"/>
      <c r="C96" s="1275"/>
      <c r="D96" s="1275"/>
      <c r="E96" s="1275"/>
      <c r="F96" s="1275"/>
      <c r="G96" s="1275"/>
      <c r="H96" s="1275"/>
      <c r="I96" s="126"/>
      <c r="J96" s="126"/>
      <c r="K96" s="87"/>
      <c r="L96" s="87"/>
      <c r="M96" s="87"/>
      <c r="N96" s="87"/>
    </row>
    <row r="97" spans="2:28" ht="13.5" customHeight="1">
      <c r="B97" s="1275"/>
      <c r="C97" s="1275"/>
      <c r="D97" s="1275"/>
      <c r="E97" s="1275"/>
      <c r="F97" s="1275"/>
      <c r="G97" s="1275"/>
      <c r="H97" s="1275"/>
      <c r="I97" s="126"/>
      <c r="J97" s="126"/>
      <c r="K97" s="87"/>
      <c r="L97" s="87"/>
      <c r="M97" s="87"/>
      <c r="N97" s="87"/>
    </row>
    <row r="98" spans="2:28" ht="13.5" customHeight="1">
      <c r="B98" s="1275"/>
      <c r="C98" s="1275"/>
      <c r="D98" s="1275"/>
      <c r="E98" s="1275"/>
      <c r="F98" s="1275"/>
      <c r="G98" s="1275"/>
      <c r="H98" s="1275"/>
      <c r="I98" s="126"/>
      <c r="J98" s="126"/>
      <c r="K98" s="87"/>
      <c r="L98" s="87"/>
      <c r="M98" s="87"/>
      <c r="N98" s="87"/>
    </row>
    <row r="99" spans="2:28" ht="13.5" customHeight="1">
      <c r="B99" s="1275"/>
      <c r="C99" s="1275"/>
      <c r="D99" s="1275"/>
      <c r="E99" s="1275"/>
      <c r="F99" s="1275"/>
      <c r="G99" s="1275"/>
      <c r="H99" s="1275"/>
      <c r="I99" s="126"/>
      <c r="J99" s="126"/>
      <c r="K99" s="87"/>
      <c r="L99" s="87"/>
      <c r="M99" s="87"/>
      <c r="N99" s="87"/>
    </row>
    <row r="100" spans="2:28" ht="13.5" customHeight="1">
      <c r="B100" s="1275"/>
      <c r="C100" s="1275"/>
      <c r="D100" s="1275"/>
      <c r="E100" s="1275"/>
      <c r="F100" s="1275"/>
      <c r="G100" s="1275"/>
      <c r="H100" s="1275"/>
      <c r="I100" s="126"/>
      <c r="J100" s="126"/>
      <c r="K100" s="87"/>
      <c r="L100" s="87"/>
      <c r="M100" s="87"/>
      <c r="N100" s="87"/>
    </row>
    <row r="101" spans="2:28" ht="13.5" customHeight="1">
      <c r="B101" s="1275"/>
      <c r="C101" s="1275"/>
      <c r="D101" s="1275"/>
      <c r="E101" s="1275"/>
      <c r="F101" s="1275"/>
      <c r="G101" s="1275"/>
      <c r="H101" s="1275"/>
      <c r="I101" s="126"/>
      <c r="J101" s="126"/>
      <c r="K101" s="87"/>
      <c r="L101" s="87"/>
      <c r="M101" s="87"/>
      <c r="N101" s="87"/>
    </row>
    <row r="102" spans="2:28" ht="13.5" customHeight="1">
      <c r="B102" s="1275"/>
      <c r="C102" s="1275"/>
      <c r="D102" s="1275"/>
      <c r="E102" s="1275"/>
      <c r="F102" s="1275"/>
      <c r="G102" s="1275"/>
      <c r="H102" s="1275"/>
      <c r="I102" s="126"/>
      <c r="J102" s="126"/>
      <c r="K102" s="87"/>
      <c r="L102" s="87"/>
      <c r="M102" s="87"/>
      <c r="N102" s="87"/>
    </row>
    <row r="103" spans="2:28" ht="13.5" customHeight="1">
      <c r="B103" s="278"/>
      <c r="C103" s="278"/>
      <c r="D103" s="278"/>
      <c r="E103" s="278"/>
      <c r="F103" s="278"/>
      <c r="G103" s="278"/>
      <c r="H103" s="1275"/>
      <c r="I103" s="126"/>
      <c r="J103" s="126"/>
      <c r="K103" s="87"/>
      <c r="L103" s="87"/>
      <c r="M103" s="87"/>
      <c r="N103" s="87"/>
    </row>
    <row r="104" spans="2:28" ht="13.5" customHeight="1">
      <c r="B104" s="1856" t="s">
        <v>918</v>
      </c>
      <c r="C104" s="1857"/>
      <c r="D104" s="1775" t="s">
        <v>863</v>
      </c>
      <c r="E104" s="1776"/>
      <c r="F104" s="1777"/>
      <c r="G104" s="1775" t="s">
        <v>917</v>
      </c>
      <c r="H104" s="1776"/>
      <c r="I104" s="1770" t="s">
        <v>798</v>
      </c>
      <c r="J104" s="1771"/>
      <c r="K104" s="1772"/>
      <c r="L104" s="1778" t="s">
        <v>556</v>
      </c>
      <c r="N104" s="275"/>
      <c r="P104" s="172"/>
      <c r="Q104" s="172"/>
      <c r="S104" s="78"/>
      <c r="T104" s="172"/>
      <c r="X104" s="75"/>
      <c r="Y104" s="76"/>
      <c r="Z104" s="76"/>
      <c r="AA104" s="77"/>
      <c r="AB104" s="76"/>
    </row>
    <row r="105" spans="2:28" ht="13.5" customHeight="1">
      <c r="B105" s="1856"/>
      <c r="C105" s="1857"/>
      <c r="D105" s="390" t="s">
        <v>866</v>
      </c>
      <c r="E105" s="391" t="s">
        <v>865</v>
      </c>
      <c r="F105" s="393" t="s">
        <v>864</v>
      </c>
      <c r="G105" s="1313" t="s">
        <v>554</v>
      </c>
      <c r="H105" s="392" t="s">
        <v>553</v>
      </c>
      <c r="I105" s="390" t="s">
        <v>2</v>
      </c>
      <c r="J105" s="391" t="s">
        <v>450</v>
      </c>
      <c r="K105" s="393" t="s">
        <v>451</v>
      </c>
      <c r="L105" s="1779"/>
      <c r="N105" s="275"/>
      <c r="P105" s="275"/>
      <c r="Q105" s="275"/>
      <c r="S105" s="78"/>
      <c r="T105" s="275"/>
      <c r="X105" s="75"/>
      <c r="Y105" s="76"/>
      <c r="Z105" s="76"/>
      <c r="AA105" s="77"/>
      <c r="AB105" s="76"/>
    </row>
    <row r="106" spans="2:28" ht="13.5" customHeight="1">
      <c r="B106" s="352" t="s">
        <v>318</v>
      </c>
      <c r="C106" s="1276"/>
      <c r="D106" s="326">
        <f>VLOOKUP($I$3,SNAPClient_Demo,4,FALSE)</f>
        <v>1115</v>
      </c>
      <c r="E106" s="259">
        <f>VLOOKUP($I$3,SNAPClient_Demo,5,FALSE)</f>
        <v>1667</v>
      </c>
      <c r="F106" s="260">
        <f>VLOOKUP($I$3,SNAPClient_Demo,6,FALSE)</f>
        <v>180</v>
      </c>
      <c r="G106" s="1315">
        <f>VLOOKUP($I$3,SNAPClient_Demo,7,FALSE)</f>
        <v>1639</v>
      </c>
      <c r="H106" s="1320">
        <f>VLOOKUP($I$3,SNAPClient_Demo,8,FALSE)</f>
        <v>1325</v>
      </c>
      <c r="I106" s="1315">
        <f>VLOOKUP($I$3,SNAPClient_Demo,9,FALSE)</f>
        <v>2302</v>
      </c>
      <c r="J106" s="1323">
        <f>VLOOKUP($I$3,SNAPClient_Demo,10,FALSE)</f>
        <v>305</v>
      </c>
      <c r="K106" s="1316">
        <f>VLOOKUP($I$3,SNAPClient_Demo,11,FALSE)</f>
        <v>45</v>
      </c>
      <c r="L106" s="1314">
        <f>VLOOKUP($I$3,SNAPClient_Demo,13,FALSE)</f>
        <v>635</v>
      </c>
      <c r="N106" s="270"/>
      <c r="P106" s="269"/>
      <c r="Q106" s="269"/>
      <c r="S106" s="78"/>
      <c r="T106" s="162"/>
      <c r="V106" s="79"/>
      <c r="W106" s="79"/>
      <c r="X106" s="79"/>
      <c r="Y106" s="79"/>
      <c r="Z106" s="79"/>
      <c r="AA106" s="79"/>
      <c r="AB106" s="79"/>
    </row>
    <row r="107" spans="2:28" ht="13.5" customHeight="1">
      <c r="B107" s="352" t="s">
        <v>414</v>
      </c>
      <c r="C107" s="1276"/>
      <c r="D107" s="326">
        <f>VLOOKUP(I3,TANFClient_Demo,4,FALSE)</f>
        <v>179</v>
      </c>
      <c r="E107" s="259">
        <f>VLOOKUP(I3,TANFClient_Demo,5,FALSE)</f>
        <v>101</v>
      </c>
      <c r="F107" s="260">
        <f>VLOOKUP(I3,TANFClient_Demo,6,FALSE)</f>
        <v>0</v>
      </c>
      <c r="G107" s="326">
        <f>VLOOKUP(I3,TANFClient_Demo,7,FALSE)</f>
        <v>172</v>
      </c>
      <c r="H107" s="1321">
        <f>VLOOKUP(I3,TANFClient_Demo,8,FALSE)</f>
        <v>108</v>
      </c>
      <c r="I107" s="326">
        <f>VLOOKUP(I3,TANFClient_Demo,9,FALSE)</f>
        <v>203</v>
      </c>
      <c r="J107" s="259">
        <f>VLOOKUP(I3,TANFClient_Demo,10,FALSE)</f>
        <v>58</v>
      </c>
      <c r="K107" s="260">
        <f>VLOOKUP(I3,TANFClient_Demo,11,FALSE)</f>
        <v>3</v>
      </c>
      <c r="L107" s="1314">
        <f>VLOOKUP(I3,TANFClient_Demo,13,FALSE)</f>
        <v>65</v>
      </c>
      <c r="N107" s="270"/>
      <c r="P107" s="269"/>
      <c r="Q107" s="269"/>
      <c r="S107" s="78"/>
      <c r="T107" s="162"/>
      <c r="V107" s="79"/>
      <c r="W107" s="79"/>
      <c r="X107" s="79"/>
      <c r="Y107" s="79"/>
      <c r="Z107" s="79"/>
      <c r="AA107" s="79"/>
      <c r="AB107" s="79"/>
    </row>
    <row r="108" spans="2:28" ht="13.5" customHeight="1">
      <c r="B108" s="352" t="s">
        <v>782</v>
      </c>
      <c r="C108" s="1276"/>
      <c r="D108" s="326">
        <f>VLOOKUP(I3,MedicaidClient_Demographics,4,FALSE)</f>
        <v>1347</v>
      </c>
      <c r="E108" s="259">
        <f>VLOOKUP(I3,MedicaidClient_Demographics,5,FALSE)</f>
        <v>992</v>
      </c>
      <c r="F108" s="260">
        <f>VLOOKUP(I3,MedicaidClient_Demographics,6,FALSE)</f>
        <v>343</v>
      </c>
      <c r="G108" s="326">
        <f>VLOOKUP(I3,MedicaidClient_Demographics,7,FALSE)</f>
        <v>1601</v>
      </c>
      <c r="H108" s="1321">
        <f>VLOOKUP(I3,MedicaidClient_Demographics,8,FALSE)</f>
        <v>1081</v>
      </c>
      <c r="I108" s="326">
        <f>VLOOKUP(I3,MedicaidClient_Demographics,9,FALSE)</f>
        <v>2061</v>
      </c>
      <c r="J108" s="259">
        <f>VLOOKUP(I3,MedicaidClient_Demographics,10,FALSE)</f>
        <v>257</v>
      </c>
      <c r="K108" s="260">
        <f>VLOOKUP(I3,MedicaidClient_Demographics,11,FALSE)</f>
        <v>191</v>
      </c>
      <c r="L108" s="1314">
        <f>VLOOKUP(I3,MedicaidClient_Demographics,13,FALSE)</f>
        <v>1029</v>
      </c>
      <c r="N108" s="1310"/>
      <c r="P108" s="269"/>
      <c r="Q108" s="269"/>
      <c r="S108" s="78"/>
      <c r="T108" s="162"/>
      <c r="X108" s="75"/>
      <c r="Y108" s="76"/>
      <c r="Z108" s="76"/>
      <c r="AA108" s="77"/>
      <c r="AB108" s="76"/>
    </row>
    <row r="109" spans="2:28" ht="13.5" customHeight="1">
      <c r="B109" s="1311" t="s">
        <v>927</v>
      </c>
      <c r="C109" s="1028"/>
      <c r="D109" s="1029">
        <f>VLOOKUP(I3,BenefitClient_Demo,4,FALSE)</f>
        <v>1459</v>
      </c>
      <c r="E109" s="1030">
        <f>VLOOKUP(I3,BenefitClient_Demo,5,FALSE)</f>
        <v>1681</v>
      </c>
      <c r="F109" s="1031">
        <f>VLOOKUP(I3,BenefitClient_Demo,6,FALSE)</f>
        <v>358</v>
      </c>
      <c r="G109" s="1029">
        <f>VLOOKUP(I3,BenefitClient_Demo,7,FALSE)</f>
        <v>1953</v>
      </c>
      <c r="H109" s="1322">
        <f>VLOOKUP(I3,BenefitClient_Demo,8,FALSE)</f>
        <v>1545</v>
      </c>
      <c r="I109" s="1029">
        <f>VLOOKUP(I3,BenefitClient_Demo,9,FALSE)</f>
        <v>2654</v>
      </c>
      <c r="J109" s="1030">
        <f>VLOOKUP(I3,BenefitClient_Demo,10,FALSE)</f>
        <v>356</v>
      </c>
      <c r="K109" s="1031">
        <f>VLOOKUP(I3,BenefitClient_Demo,11,FALSE)</f>
        <v>199</v>
      </c>
      <c r="L109" s="1312">
        <f>VLOOKUP(I3,BenefitClient_Demo,13,FALSE)</f>
        <v>1083</v>
      </c>
      <c r="N109" s="270"/>
      <c r="O109" s="1308"/>
      <c r="P109" s="269"/>
      <c r="Q109" s="269"/>
      <c r="S109" s="78"/>
      <c r="T109" s="162"/>
      <c r="X109" s="75"/>
      <c r="Y109" s="76"/>
      <c r="Z109" s="76"/>
      <c r="AA109" s="77"/>
      <c r="AB109" s="76"/>
    </row>
    <row r="110" spans="2:28" ht="13.5" customHeight="1">
      <c r="B110" s="1753" t="s">
        <v>942</v>
      </c>
      <c r="C110" s="1753"/>
      <c r="D110" s="1753"/>
      <c r="E110" s="1753"/>
      <c r="F110" s="1753"/>
      <c r="G110" s="1753"/>
      <c r="H110" s="1753"/>
      <c r="I110" s="1753"/>
      <c r="J110" s="1753"/>
      <c r="K110" s="1753"/>
      <c r="L110" s="1753"/>
      <c r="M110" s="280"/>
      <c r="N110" s="280"/>
      <c r="O110" s="280"/>
      <c r="P110" s="268"/>
    </row>
    <row r="111" spans="2:28" ht="13.5" customHeight="1">
      <c r="B111" s="1725"/>
      <c r="C111" s="1725"/>
      <c r="D111" s="1725"/>
      <c r="E111" s="1725"/>
      <c r="F111" s="1725"/>
      <c r="G111" s="1725"/>
      <c r="H111" s="1725"/>
      <c r="I111" s="1725"/>
      <c r="J111" s="1725"/>
      <c r="K111" s="1725"/>
      <c r="L111" s="1725"/>
      <c r="M111" s="280"/>
      <c r="N111" s="280"/>
      <c r="O111" s="280"/>
      <c r="P111" s="268"/>
    </row>
    <row r="112" spans="2:28" ht="13.5" customHeight="1">
      <c r="B112" s="1725"/>
      <c r="C112" s="1725"/>
      <c r="D112" s="1725"/>
      <c r="E112" s="1725"/>
      <c r="F112" s="1725"/>
      <c r="G112" s="1725"/>
      <c r="H112" s="1725"/>
      <c r="I112" s="1725"/>
      <c r="J112" s="1725"/>
      <c r="K112" s="1725"/>
      <c r="L112" s="1725"/>
      <c r="M112" s="280"/>
      <c r="N112" s="280"/>
      <c r="O112" s="280"/>
      <c r="P112" s="268"/>
    </row>
    <row r="113" spans="2:24" ht="13.5" customHeight="1">
      <c r="B113" s="1703" t="s">
        <v>1205</v>
      </c>
      <c r="C113" s="1704"/>
      <c r="D113" s="1719" t="s">
        <v>900</v>
      </c>
      <c r="E113" s="1720"/>
      <c r="F113" s="1721"/>
      <c r="G113" s="1716" t="s">
        <v>905</v>
      </c>
      <c r="H113" s="1717"/>
      <c r="I113" s="1718"/>
      <c r="J113" s="1756" t="s">
        <v>904</v>
      </c>
      <c r="K113" s="1303"/>
      <c r="L113" s="1302"/>
      <c r="M113" s="1301"/>
      <c r="N113" s="1301"/>
      <c r="O113" s="1301"/>
      <c r="P113" s="1301"/>
      <c r="Q113" s="87"/>
      <c r="R113" s="80"/>
    </row>
    <row r="114" spans="2:24" ht="13.5" customHeight="1">
      <c r="B114" s="1705"/>
      <c r="C114" s="1706"/>
      <c r="D114" s="1759" t="s">
        <v>318</v>
      </c>
      <c r="E114" s="1760" t="s">
        <v>414</v>
      </c>
      <c r="F114" s="1761" t="s">
        <v>899</v>
      </c>
      <c r="G114" s="1819" t="s">
        <v>901</v>
      </c>
      <c r="H114" s="1756" t="s">
        <v>902</v>
      </c>
      <c r="I114" s="1756" t="s">
        <v>903</v>
      </c>
      <c r="J114" s="1757"/>
      <c r="K114" s="1303"/>
      <c r="L114" s="1302"/>
      <c r="M114" s="1301"/>
      <c r="N114" s="1301"/>
      <c r="O114" s="1301"/>
      <c r="P114" s="1301"/>
      <c r="Q114" s="87"/>
      <c r="R114" s="80"/>
    </row>
    <row r="115" spans="2:24" ht="13.5" customHeight="1">
      <c r="B115" s="1705"/>
      <c r="C115" s="1706"/>
      <c r="D115" s="1759"/>
      <c r="E115" s="1760"/>
      <c r="F115" s="1761"/>
      <c r="G115" s="1820"/>
      <c r="H115" s="1758"/>
      <c r="I115" s="1758"/>
      <c r="J115" s="1758"/>
      <c r="K115" s="1303"/>
      <c r="L115" s="1302"/>
      <c r="M115" s="1301"/>
      <c r="N115" s="1301"/>
      <c r="O115" s="1301"/>
      <c r="P115" s="1301"/>
      <c r="Q115" s="87"/>
      <c r="R115" s="80"/>
    </row>
    <row r="116" spans="2:24" ht="13.5" customHeight="1">
      <c r="B116" s="1707">
        <v>2010</v>
      </c>
      <c r="C116" s="1708"/>
      <c r="D116" s="1637">
        <f>VLOOKUP(I3,SNAPCases_SFY, 4,FALSE)</f>
        <v>1292</v>
      </c>
      <c r="E116" s="1638">
        <f>VLOOKUP(I3,TANFCases_SFY,4,FALSE)</f>
        <v>187</v>
      </c>
      <c r="F116" s="1412">
        <f>VLOOKUP(I3,MedicaidCases_SFY,4,FALSE)</f>
        <v>1624</v>
      </c>
      <c r="G116" s="1508" t="s">
        <v>995</v>
      </c>
      <c r="H116" s="1639" t="s">
        <v>995</v>
      </c>
      <c r="I116" s="1639" t="s">
        <v>995</v>
      </c>
      <c r="J116" s="1639" t="s">
        <v>995</v>
      </c>
      <c r="K116" s="1304"/>
      <c r="L116" s="1300"/>
      <c r="M116" s="1301"/>
      <c r="N116" s="1301"/>
      <c r="O116" s="1301"/>
      <c r="P116" s="1301"/>
      <c r="Q116" s="87"/>
      <c r="R116" s="80"/>
    </row>
    <row r="117" spans="2:24" ht="13.5" customHeight="1">
      <c r="B117" s="1709">
        <v>2011</v>
      </c>
      <c r="C117" s="1710"/>
      <c r="D117" s="1640">
        <f>VLOOKUP(I3,SNAPCases_SFY, 5,FALSE)</f>
        <v>1330</v>
      </c>
      <c r="E117" s="1641">
        <f>VLOOKUP(I3,TANFCases_SFY,5,FALSE)</f>
        <v>155</v>
      </c>
      <c r="F117" s="1413">
        <f>VLOOKUP(I3,MedicaidCases_SFY,5,FALSE)</f>
        <v>1595</v>
      </c>
      <c r="G117" s="1510" t="s">
        <v>995</v>
      </c>
      <c r="H117" s="1642" t="s">
        <v>995</v>
      </c>
      <c r="I117" s="1642" t="s">
        <v>995</v>
      </c>
      <c r="J117" s="1642" t="s">
        <v>995</v>
      </c>
      <c r="K117" s="1304"/>
      <c r="L117" s="1300"/>
      <c r="M117" s="1301"/>
      <c r="N117" s="1301"/>
      <c r="O117" s="1301"/>
      <c r="P117" s="1301"/>
      <c r="Q117" s="87"/>
      <c r="R117" s="80"/>
    </row>
    <row r="118" spans="2:24" ht="13.5" customHeight="1">
      <c r="B118" s="1707">
        <v>2012</v>
      </c>
      <c r="C118" s="1708"/>
      <c r="D118" s="1637">
        <f>VLOOKUP(I3,SNAPCases_SFY, 6,FALSE)</f>
        <v>1374</v>
      </c>
      <c r="E118" s="1638">
        <f>VLOOKUP(I3,TANFCases_SFY,6,FALSE)</f>
        <v>135</v>
      </c>
      <c r="F118" s="1412">
        <f>VLOOKUP(I3,MedicaidCases_SFY,6,FALSE)</f>
        <v>1605</v>
      </c>
      <c r="G118" s="1508" t="s">
        <v>995</v>
      </c>
      <c r="H118" s="1639" t="s">
        <v>995</v>
      </c>
      <c r="I118" s="1639" t="s">
        <v>995</v>
      </c>
      <c r="J118" s="1639" t="s">
        <v>995</v>
      </c>
      <c r="K118" s="1304"/>
      <c r="L118" s="1300"/>
      <c r="M118" s="1301"/>
      <c r="N118" s="1301"/>
      <c r="O118" s="1301"/>
      <c r="P118" s="1301"/>
      <c r="Q118" s="87"/>
      <c r="R118" s="80"/>
    </row>
    <row r="119" spans="2:24" ht="13.5" customHeight="1">
      <c r="B119" s="1709">
        <v>2013</v>
      </c>
      <c r="C119" s="1710"/>
      <c r="D119" s="1640">
        <f>VLOOKUP(I3,SNAPCases_SFY, 7,FALSE)</f>
        <v>1383</v>
      </c>
      <c r="E119" s="1641">
        <f>VLOOKUP(I3,TANFCases_SFY,7,FALSE)</f>
        <v>114</v>
      </c>
      <c r="F119" s="1413">
        <f>VLOOKUP(I3,MedicaidCases_SFY,7,FALSE)</f>
        <v>1607</v>
      </c>
      <c r="G119" s="1643">
        <f>VLOOKUP(I3,EACases_FFY,4,FALSE)</f>
        <v>633</v>
      </c>
      <c r="H119" s="1643">
        <f>VLOOKUP(I3,EACases_FFY,6,FALSE)</f>
        <v>338</v>
      </c>
      <c r="I119" s="1643">
        <f>VLOOKUP(I3,EACases_FFY,8,FALSE)</f>
        <v>105</v>
      </c>
      <c r="J119" s="1642" t="s">
        <v>995</v>
      </c>
      <c r="K119" s="1304"/>
      <c r="L119" s="1300"/>
      <c r="M119" s="87"/>
      <c r="N119" s="87"/>
      <c r="O119" s="87"/>
      <c r="P119" s="87"/>
      <c r="Q119" s="87"/>
      <c r="R119" s="80"/>
    </row>
    <row r="120" spans="2:24" ht="13.5" customHeight="1">
      <c r="B120" s="1711">
        <v>2014</v>
      </c>
      <c r="C120" s="1712"/>
      <c r="D120" s="1644">
        <f>VLOOKUP(I3,SNAPCases_SFY, 8,FALSE)</f>
        <v>1406</v>
      </c>
      <c r="E120" s="1411">
        <f>VLOOKUP(I3,TANFCases_SFY,8,FALSE)</f>
        <v>92</v>
      </c>
      <c r="F120" s="1414">
        <f>VLOOKUP(I3,MedicaidCases_SFY,8,FALSE)</f>
        <v>1648</v>
      </c>
      <c r="G120" s="1645">
        <f>VLOOKUP(I3,EACases_FFY,5,FALSE)</f>
        <v>604</v>
      </c>
      <c r="H120" s="1645">
        <f>VLOOKUP(I3,EACases_FFY,7,FALSE)</f>
        <v>350</v>
      </c>
      <c r="I120" s="1645">
        <f>VLOOKUP(I3,EACases_FFY,9,FALSE)</f>
        <v>109</v>
      </c>
      <c r="J120" s="1645">
        <f>VLOOKUP(I3,ChildCareFamilies,4,FALSE)</f>
        <v>45</v>
      </c>
      <c r="K120" s="1304"/>
      <c r="L120" s="1300"/>
      <c r="M120" s="87"/>
      <c r="N120" s="87"/>
      <c r="O120" s="87"/>
      <c r="P120" s="87"/>
      <c r="Q120" s="87"/>
      <c r="R120" s="80"/>
    </row>
    <row r="121" spans="2:24" ht="13.5" customHeight="1">
      <c r="B121" s="1714" t="s">
        <v>1204</v>
      </c>
      <c r="C121" s="1714"/>
      <c r="D121" s="1714"/>
      <c r="E121" s="1714"/>
      <c r="F121" s="1714"/>
      <c r="G121" s="1714"/>
      <c r="H121" s="1714"/>
      <c r="I121" s="1714"/>
      <c r="J121" s="1714"/>
      <c r="K121" s="1714"/>
      <c r="L121" s="87"/>
      <c r="M121" s="87"/>
      <c r="N121" s="87"/>
      <c r="O121" s="87"/>
      <c r="P121" s="87"/>
      <c r="Q121" s="87"/>
      <c r="R121" s="80"/>
    </row>
    <row r="122" spans="2:24" ht="13.5" customHeight="1">
      <c r="B122" s="1715"/>
      <c r="C122" s="1715"/>
      <c r="D122" s="1715"/>
      <c r="E122" s="1715"/>
      <c r="F122" s="1715"/>
      <c r="G122" s="1715"/>
      <c r="H122" s="1715"/>
      <c r="I122" s="1715"/>
      <c r="J122" s="1715"/>
      <c r="K122" s="1715"/>
      <c r="L122" s="87"/>
      <c r="M122" s="87"/>
      <c r="N122" s="87"/>
      <c r="O122" s="87"/>
      <c r="P122" s="87"/>
      <c r="Q122" s="87"/>
      <c r="R122" s="80"/>
    </row>
    <row r="123" spans="2:24" ht="13.5" customHeight="1">
      <c r="B123" s="1722" t="s">
        <v>1218</v>
      </c>
      <c r="C123" s="1723"/>
      <c r="D123" s="1723"/>
      <c r="E123" s="1750" t="s">
        <v>587</v>
      </c>
      <c r="F123" s="1694" t="s">
        <v>798</v>
      </c>
      <c r="G123" s="1695"/>
      <c r="H123" s="1696"/>
      <c r="I123" s="1724" t="s">
        <v>790</v>
      </c>
      <c r="J123" s="1695"/>
      <c r="K123" s="1695"/>
      <c r="L123" s="1695"/>
      <c r="M123" s="1696"/>
      <c r="N123" s="78"/>
      <c r="O123" s="85"/>
      <c r="P123" s="268"/>
    </row>
    <row r="124" spans="2:24" ht="13.5" customHeight="1">
      <c r="B124" s="1722"/>
      <c r="C124" s="1723"/>
      <c r="D124" s="1723"/>
      <c r="E124" s="1750"/>
      <c r="F124" s="394" t="s">
        <v>2</v>
      </c>
      <c r="G124" s="395" t="s">
        <v>450</v>
      </c>
      <c r="H124" s="396" t="s">
        <v>451</v>
      </c>
      <c r="I124" s="394" t="s">
        <v>1213</v>
      </c>
      <c r="J124" s="1475" t="s">
        <v>1214</v>
      </c>
      <c r="K124" s="1662" t="s">
        <v>1225</v>
      </c>
      <c r="L124" s="396" t="s">
        <v>1215</v>
      </c>
      <c r="M124" s="396" t="s">
        <v>1216</v>
      </c>
      <c r="N124" s="269"/>
      <c r="O124" s="269"/>
      <c r="P124" s="269"/>
      <c r="X124" s="81"/>
    </row>
    <row r="125" spans="2:24" ht="13.5" customHeight="1">
      <c r="B125" s="1697" t="s">
        <v>1249</v>
      </c>
      <c r="C125" s="1698"/>
      <c r="D125" s="1698"/>
      <c r="E125" s="325">
        <f>VLOOKUP(I3,CPSReferrals,4,FALSE)</f>
        <v>64</v>
      </c>
      <c r="F125" s="1476">
        <f>VLOOKUP(I3,CPSReferrals,5,FALSE)</f>
        <v>61</v>
      </c>
      <c r="G125" s="1477">
        <f>VLOOKUP(I3,CPSReferrals,6,FALSE)</f>
        <v>9</v>
      </c>
      <c r="H125" s="1478">
        <f>VLOOKUP(I3,CPSReferrals,15,FALSE)</f>
        <v>0</v>
      </c>
      <c r="I125" s="1663" t="s">
        <v>995</v>
      </c>
      <c r="J125" s="1664" t="s">
        <v>995</v>
      </c>
      <c r="K125" s="1665" t="s">
        <v>995</v>
      </c>
      <c r="L125" s="1665" t="s">
        <v>995</v>
      </c>
      <c r="M125" s="1665" t="s">
        <v>995</v>
      </c>
      <c r="N125" s="269"/>
      <c r="O125" s="269"/>
      <c r="P125" s="162"/>
      <c r="T125" s="82"/>
      <c r="U125" s="81"/>
      <c r="V125" s="81"/>
      <c r="W125" s="81"/>
      <c r="X125" s="81"/>
    </row>
    <row r="126" spans="2:24" ht="13.5" customHeight="1">
      <c r="B126" s="1697" t="s">
        <v>1217</v>
      </c>
      <c r="C126" s="1698"/>
      <c r="D126" s="1698"/>
      <c r="E126" s="326">
        <f>VLOOKUP(I3,FC_DEMO,4,FALSE)</f>
        <v>3</v>
      </c>
      <c r="F126" s="326">
        <f>VLOOKUP(I3,FC_DEMO,5,FALSE)</f>
        <v>1</v>
      </c>
      <c r="G126" s="1479">
        <f>VLOOKUP(I3,FC_DEMO,6,FALSE)</f>
        <v>2</v>
      </c>
      <c r="H126" s="1480">
        <f>VLOOKUP(I3,FC_DEMO,13,FALSE)</f>
        <v>0</v>
      </c>
      <c r="I126" s="1666">
        <f>VLOOKUP(I3,FC_DEMO,18,FALSE)</f>
        <v>1</v>
      </c>
      <c r="J126" s="1667">
        <f>VLOOKUP(I3,FC_DEMO,19,FALSE)</f>
        <v>0</v>
      </c>
      <c r="K126" s="1668">
        <f>VLOOKUP(I3,FC_DEMO,20,FALSE)</f>
        <v>1</v>
      </c>
      <c r="L126" s="1668">
        <f>VLOOKUP(I3,FC_DEMO,21,FALSE)</f>
        <v>1</v>
      </c>
      <c r="M126" s="1668">
        <f>VLOOKUP(I3,FC_DEMO,22,FALSE)</f>
        <v>0</v>
      </c>
      <c r="N126" s="269"/>
      <c r="O126" s="269"/>
      <c r="P126" s="162"/>
      <c r="T126" s="82"/>
      <c r="U126" s="81"/>
      <c r="V126" s="81"/>
      <c r="W126" s="81"/>
      <c r="X126" s="81"/>
    </row>
    <row r="127" spans="2:24" ht="13.5" customHeight="1">
      <c r="B127" s="1697" t="s">
        <v>1248</v>
      </c>
      <c r="C127" s="1698"/>
      <c r="D127" s="1699"/>
      <c r="E127" s="1309">
        <f>VLOOKUP(I3,Adoption_Child_Demo,4,FALSE)</f>
        <v>0</v>
      </c>
      <c r="F127" s="326">
        <f>VLOOKUP(I3,Adoption_Child_Demo,5,FALSE)</f>
        <v>0</v>
      </c>
      <c r="G127" s="1479">
        <f>VLOOKUP(I3,Adoption_Child_Demo,6,FALSE)</f>
        <v>0</v>
      </c>
      <c r="H127" s="1480">
        <f>VLOOKUP(I3,Adoption_Child_Demo,13,FALSE)</f>
        <v>0</v>
      </c>
      <c r="I127" s="1666">
        <f>VLOOKUP(I3,Adoption_Child_Demo,15,FALSE)</f>
        <v>0</v>
      </c>
      <c r="J127" s="1667">
        <f>VLOOKUP(I3,Adoption_Child_Demo,16,FALSE)</f>
        <v>0</v>
      </c>
      <c r="K127" s="1668">
        <f>VLOOKUP(I3,Adoption_Child_Demo,17,FALSE)</f>
        <v>0</v>
      </c>
      <c r="L127" s="1668">
        <f>VLOOKUP(I3,Adoption_Child_Demo,18,FALSE)</f>
        <v>0</v>
      </c>
      <c r="M127" s="1668">
        <f>VLOOKUP(I3,Adoption_Child_Demo,19,FALSE)</f>
        <v>0</v>
      </c>
      <c r="N127" s="269"/>
      <c r="O127" s="269"/>
      <c r="P127" s="162"/>
      <c r="T127" s="82"/>
      <c r="U127" s="81"/>
      <c r="V127" s="81"/>
      <c r="W127" s="81"/>
      <c r="X127" s="81"/>
    </row>
    <row r="128" spans="2:24" ht="13.5" customHeight="1">
      <c r="B128" s="1692" t="s">
        <v>919</v>
      </c>
      <c r="C128" s="1693"/>
      <c r="D128" s="1693"/>
      <c r="E128" s="355">
        <f>VLOOKUP(I3,AdoptionServices,4,FALSE)</f>
        <v>12</v>
      </c>
      <c r="F128" s="1481">
        <f>VLOOKUP(I3,AdoptionServices,5,FALSE)</f>
        <v>9</v>
      </c>
      <c r="G128" s="1482">
        <f>VLOOKUP(I3,AdoptionServices,6,FALSE)</f>
        <v>2</v>
      </c>
      <c r="H128" s="1483">
        <f>VLOOKUP(I3,AdoptionServices,12,FALSE)</f>
        <v>1</v>
      </c>
      <c r="I128" s="1669">
        <f>VLOOKUP(I3,AdoptionServices,14,FALSE)</f>
        <v>1</v>
      </c>
      <c r="J128" s="1670">
        <f>VLOOKUP(I3,AdoptionServices,15,FALSE)</f>
        <v>5</v>
      </c>
      <c r="K128" s="1671">
        <f>VLOOKUP(I3,AdoptionServices,16,FALSE)</f>
        <v>3</v>
      </c>
      <c r="L128" s="1671">
        <f>VLOOKUP(I3,AdoptionServices,17,FALSE)</f>
        <v>3</v>
      </c>
      <c r="M128" s="1671">
        <f>VLOOKUP(I3,AdoptionServices,18,FALSE)</f>
        <v>0</v>
      </c>
      <c r="N128" s="269"/>
      <c r="O128" s="269"/>
      <c r="P128" s="162"/>
      <c r="T128" s="82"/>
      <c r="U128" s="81"/>
      <c r="V128" s="81"/>
      <c r="W128" s="81"/>
      <c r="X128" s="81"/>
    </row>
    <row r="129" spans="2:25" ht="13.5" customHeight="1">
      <c r="B129" s="1725" t="s">
        <v>1250</v>
      </c>
      <c r="C129" s="1725"/>
      <c r="D129" s="1725"/>
      <c r="E129" s="1725"/>
      <c r="F129" s="1725"/>
      <c r="G129" s="1725"/>
      <c r="H129" s="1725"/>
      <c r="I129" s="1725"/>
      <c r="J129" s="1725"/>
      <c r="K129" s="1725"/>
      <c r="L129" s="1725"/>
      <c r="M129" s="1725"/>
      <c r="N129" s="1725"/>
      <c r="O129" s="269"/>
      <c r="P129" s="162"/>
      <c r="T129" s="82"/>
      <c r="U129" s="81"/>
      <c r="V129" s="81"/>
      <c r="W129" s="81"/>
      <c r="X129" s="81"/>
    </row>
    <row r="130" spans="2:25" ht="13.5" customHeight="1">
      <c r="B130" s="1725"/>
      <c r="C130" s="1725"/>
      <c r="D130" s="1725"/>
      <c r="E130" s="1725"/>
      <c r="F130" s="1725"/>
      <c r="G130" s="1725"/>
      <c r="H130" s="1725"/>
      <c r="I130" s="1725"/>
      <c r="J130" s="1725"/>
      <c r="K130" s="1725"/>
      <c r="L130" s="1725"/>
      <c r="M130" s="1725"/>
      <c r="N130" s="1725"/>
      <c r="O130" s="269"/>
      <c r="P130" s="162"/>
      <c r="T130" s="82"/>
      <c r="U130" s="81"/>
      <c r="V130" s="81"/>
      <c r="W130" s="81"/>
      <c r="X130" s="81"/>
    </row>
    <row r="131" spans="2:25" ht="13.5" customHeight="1">
      <c r="B131" s="1848" t="s">
        <v>1232</v>
      </c>
      <c r="C131" s="1849"/>
      <c r="D131" s="1850"/>
      <c r="E131" s="1780" t="s">
        <v>587</v>
      </c>
      <c r="F131" s="1846" t="s">
        <v>789</v>
      </c>
      <c r="G131" s="1854"/>
      <c r="H131" s="1855"/>
      <c r="I131" s="1846" t="s">
        <v>790</v>
      </c>
      <c r="J131" s="1847"/>
      <c r="K131" s="172"/>
      <c r="M131" s="269"/>
      <c r="N131" s="269"/>
      <c r="O131" s="269"/>
      <c r="P131" s="162"/>
      <c r="T131" s="82"/>
      <c r="U131" s="81"/>
      <c r="V131" s="81"/>
      <c r="W131" s="81"/>
      <c r="X131" s="81"/>
    </row>
    <row r="132" spans="2:25" ht="13.5" customHeight="1">
      <c r="B132" s="1851"/>
      <c r="C132" s="1852"/>
      <c r="D132" s="1853"/>
      <c r="E132" s="1781"/>
      <c r="F132" s="1672" t="s">
        <v>2</v>
      </c>
      <c r="G132" s="1269" t="s">
        <v>450</v>
      </c>
      <c r="H132" s="1270" t="s">
        <v>451</v>
      </c>
      <c r="I132" s="1672" t="s">
        <v>1229</v>
      </c>
      <c r="J132" s="1271" t="s">
        <v>1230</v>
      </c>
      <c r="K132" s="275"/>
      <c r="M132" s="269"/>
      <c r="N132" s="269"/>
      <c r="O132" s="269"/>
      <c r="P132" s="269"/>
      <c r="T132" s="82"/>
      <c r="U132" s="81"/>
      <c r="V132" s="81"/>
      <c r="W132" s="81"/>
      <c r="X132" s="81"/>
    </row>
    <row r="133" spans="2:25" ht="13.5" customHeight="1">
      <c r="B133" s="1843" t="s">
        <v>1227</v>
      </c>
      <c r="C133" s="1844"/>
      <c r="D133" s="1845"/>
      <c r="E133" s="1272">
        <f>VLOOKUP(I3,APS_Reports,4,FALSE)</f>
        <v>36</v>
      </c>
      <c r="F133" s="1272">
        <f>VLOOKUP(I3,APS_Reports,5,FALSE)</f>
        <v>33</v>
      </c>
      <c r="G133" s="1272">
        <f>VLOOKUP(I3,APS_Reports,6,FALSE)</f>
        <v>3</v>
      </c>
      <c r="H133" s="1272">
        <f>VLOOKUP(I3,APS_Reports,7,FALSE)</f>
        <v>0</v>
      </c>
      <c r="I133" s="1272">
        <f>VLOOKUP(I3,APS_Reports,8,FALSE)</f>
        <v>16</v>
      </c>
      <c r="J133" s="1273">
        <f>VLOOKUP(I3,APS_Reports,9,FALSE)</f>
        <v>20</v>
      </c>
      <c r="K133" s="270"/>
      <c r="M133" s="78"/>
      <c r="N133" s="78"/>
      <c r="O133" s="78"/>
      <c r="P133" s="162"/>
      <c r="T133" s="82"/>
      <c r="U133" s="81"/>
      <c r="V133" s="81"/>
      <c r="W133" s="81"/>
      <c r="X133" s="81"/>
    </row>
    <row r="134" spans="2:25" ht="13.5" customHeight="1">
      <c r="B134" s="1725" t="s">
        <v>1233</v>
      </c>
      <c r="C134" s="1725"/>
      <c r="D134" s="1725"/>
      <c r="E134" s="1725"/>
      <c r="F134" s="1725"/>
      <c r="G134" s="1725"/>
      <c r="H134" s="1725"/>
      <c r="I134" s="1725"/>
      <c r="J134" s="1725"/>
      <c r="K134" s="1725"/>
      <c r="L134" s="1725"/>
      <c r="M134" s="1725"/>
      <c r="N134" s="125"/>
      <c r="O134" s="125"/>
      <c r="P134" s="83"/>
      <c r="Q134" s="83"/>
      <c r="T134" s="82"/>
      <c r="U134" s="81"/>
      <c r="V134" s="81"/>
      <c r="W134" s="81"/>
      <c r="X134" s="81"/>
    </row>
    <row r="135" spans="2:25" ht="13.5" customHeight="1">
      <c r="G135" s="1762" t="s">
        <v>1177</v>
      </c>
      <c r="H135" s="1763"/>
      <c r="I135" s="1763"/>
      <c r="J135" s="1748" t="s">
        <v>314</v>
      </c>
      <c r="K135" s="1768" t="s">
        <v>315</v>
      </c>
      <c r="L135" s="1766" t="s">
        <v>682</v>
      </c>
      <c r="M135" s="1746" t="s">
        <v>1179</v>
      </c>
      <c r="N135" s="78"/>
      <c r="O135" s="83"/>
      <c r="T135" s="82"/>
      <c r="U135" s="92"/>
      <c r="V135" s="127"/>
      <c r="W135" s="80"/>
      <c r="X135" s="80"/>
      <c r="Y135" s="87"/>
    </row>
    <row r="136" spans="2:25" ht="13.5" customHeight="1">
      <c r="G136" s="1764"/>
      <c r="H136" s="1765"/>
      <c r="I136" s="1765"/>
      <c r="J136" s="1749"/>
      <c r="K136" s="1769"/>
      <c r="L136" s="1767"/>
      <c r="M136" s="1747"/>
      <c r="N136" s="78"/>
      <c r="O136" s="83"/>
      <c r="T136" s="82"/>
      <c r="U136" s="92"/>
      <c r="V136" s="127"/>
      <c r="W136" s="80"/>
      <c r="X136" s="80"/>
      <c r="Y136" s="87"/>
    </row>
    <row r="137" spans="2:25" ht="13.5" customHeight="1">
      <c r="G137" s="1833" t="s">
        <v>317</v>
      </c>
      <c r="H137" s="1834"/>
      <c r="I137" s="1834"/>
      <c r="J137" s="1646">
        <f>J138+J139</f>
        <v>452647.86</v>
      </c>
      <c r="K137" s="1646">
        <f t="shared" ref="K137:M137" si="0">K138+K139</f>
        <v>225427.20000000001</v>
      </c>
      <c r="L137" s="1646">
        <f t="shared" si="0"/>
        <v>186426.86</v>
      </c>
      <c r="M137" s="1647">
        <f t="shared" si="0"/>
        <v>864501.92000000016</v>
      </c>
      <c r="N137" s="78"/>
      <c r="O137" s="83"/>
      <c r="T137" s="82"/>
      <c r="V137" s="87"/>
      <c r="W137" s="87"/>
      <c r="X137" s="87"/>
      <c r="Y137" s="87"/>
    </row>
    <row r="138" spans="2:25" ht="13.5" customHeight="1">
      <c r="G138" s="1688" t="s">
        <v>1015</v>
      </c>
      <c r="H138" s="1689"/>
      <c r="I138" s="1689"/>
      <c r="J138" s="1541">
        <f>VLOOKUP(I3,Staffing_LASER,4,FALSE)</f>
        <v>434303.63</v>
      </c>
      <c r="K138" s="1648">
        <f>VLOOKUP(I3,Staffing_LASER,5,FALSE)</f>
        <v>225427.20000000001</v>
      </c>
      <c r="L138" s="1648">
        <f>VLOOKUP(I3,Staffing_LASER,11,FALSE)</f>
        <v>142800.09</v>
      </c>
      <c r="M138" s="397">
        <f>VLOOKUP(I3,Staffing_LASER,9,FALSE)</f>
        <v>802530.92000000016</v>
      </c>
      <c r="N138" s="78"/>
      <c r="O138" s="83"/>
      <c r="T138" s="82"/>
      <c r="V138" s="128"/>
      <c r="W138" s="80"/>
      <c r="X138" s="80"/>
      <c r="Y138" s="87"/>
    </row>
    <row r="139" spans="2:25" ht="13.5" customHeight="1">
      <c r="G139" s="1688" t="s">
        <v>1045</v>
      </c>
      <c r="H139" s="1689"/>
      <c r="I139" s="1689"/>
      <c r="J139" s="1541">
        <f>VLOOKUP(I3,Other_Oper_Exp_LASER,4,FALSE)</f>
        <v>18344.23</v>
      </c>
      <c r="K139" s="1648">
        <f>VLOOKUP(I3,Other_Oper_Exp_LASER,5,FALSE)</f>
        <v>0</v>
      </c>
      <c r="L139" s="1648">
        <f>VLOOKUP(I3,Other_Oper_Exp_LASER,11,FALSE)</f>
        <v>43626.770000000004</v>
      </c>
      <c r="M139" s="397">
        <f>VLOOKUP(I3,Other_Oper_Exp_LASER,9,FALSE)</f>
        <v>61971</v>
      </c>
      <c r="P139" s="313"/>
      <c r="Q139" s="313"/>
      <c r="R139" s="303"/>
      <c r="S139" s="302"/>
      <c r="T139" s="82"/>
      <c r="U139" s="81"/>
      <c r="V139" s="81"/>
      <c r="W139" s="81"/>
      <c r="X139" s="81"/>
    </row>
    <row r="140" spans="2:25" ht="13.5" customHeight="1">
      <c r="G140" s="1754" t="s">
        <v>1171</v>
      </c>
      <c r="H140" s="1755"/>
      <c r="I140" s="1755"/>
      <c r="J140" s="1586">
        <f>J137/M137</f>
        <v>0.52359381688822615</v>
      </c>
      <c r="K140" s="1586">
        <f>K137/M137</f>
        <v>0.26075962908214245</v>
      </c>
      <c r="L140" s="1586">
        <f>L137/M137</f>
        <v>0.21564655402963126</v>
      </c>
      <c r="M140" s="1587">
        <f>M137/M137</f>
        <v>1</v>
      </c>
      <c r="P140" s="313"/>
      <c r="Q140" s="313"/>
      <c r="R140" s="303"/>
      <c r="S140" s="302"/>
      <c r="T140" s="82"/>
    </row>
    <row r="141" spans="2:25" ht="13.5" customHeight="1">
      <c r="G141" s="1742" t="s">
        <v>1166</v>
      </c>
      <c r="H141" s="1743"/>
      <c r="I141" s="1743"/>
      <c r="J141" s="1649">
        <f>J137/J156</f>
        <v>3.9557961363159588E-2</v>
      </c>
      <c r="K141" s="1649">
        <f>K137/K156</f>
        <v>2.7614905722610803E-2</v>
      </c>
      <c r="L141" s="1649">
        <f>L137/L156</f>
        <v>0.68133328653959491</v>
      </c>
      <c r="M141" s="1650">
        <f>M137/M156</f>
        <v>4.3487077396675643E-2</v>
      </c>
      <c r="P141" s="313"/>
      <c r="Q141" s="313"/>
      <c r="R141" s="304"/>
      <c r="S141" s="302"/>
      <c r="T141" s="82"/>
    </row>
    <row r="142" spans="2:25" ht="13.5" customHeight="1">
      <c r="G142" s="1831" t="s">
        <v>1053</v>
      </c>
      <c r="H142" s="1832"/>
      <c r="I142" s="1832"/>
      <c r="J142" s="1590">
        <f>VLOOKUP(I3,Client_Svcs_LASER,4,FALSE)</f>
        <v>31912.649999999998</v>
      </c>
      <c r="K142" s="1591">
        <f>VLOOKUP(I3,Client_Svcs_LASER,5,FALSE)</f>
        <v>17269.78</v>
      </c>
      <c r="L142" s="1591">
        <f>VLOOKUP(I3,Client_Svcs_LASER,11,FALSE)</f>
        <v>9847.3799999999992</v>
      </c>
      <c r="M142" s="1592">
        <f>VLOOKUP(I3,Client_Svcs_LASER,9, FALSE)</f>
        <v>59029.80999999999</v>
      </c>
      <c r="P142" s="313"/>
      <c r="Q142" s="313"/>
      <c r="R142" s="304"/>
      <c r="S142" s="302"/>
      <c r="T142" s="82"/>
      <c r="U142" s="81"/>
      <c r="V142" s="81" t="s">
        <v>1178</v>
      </c>
      <c r="W142" s="81" t="s">
        <v>1176</v>
      </c>
      <c r="X142" s="81" t="s">
        <v>1175</v>
      </c>
    </row>
    <row r="143" spans="2:25" ht="13.5" customHeight="1">
      <c r="G143" s="1585" t="s">
        <v>1172</v>
      </c>
      <c r="H143" s="1584"/>
      <c r="I143" s="1584"/>
      <c r="J143" s="1586">
        <f>J142/M142</f>
        <v>0.54061922272831309</v>
      </c>
      <c r="K143" s="1588">
        <f>K142/M142</f>
        <v>0.2925603182527608</v>
      </c>
      <c r="L143" s="1588">
        <f>L142/M142</f>
        <v>0.16682045901892623</v>
      </c>
      <c r="M143" s="1589">
        <f>M142/M142</f>
        <v>1</v>
      </c>
      <c r="P143" s="313"/>
      <c r="Q143" s="313"/>
      <c r="R143" s="304"/>
      <c r="S143" s="302"/>
      <c r="T143" s="82"/>
      <c r="U143" s="81"/>
      <c r="V143" s="81"/>
      <c r="W143" s="81"/>
      <c r="X143" s="81"/>
    </row>
    <row r="144" spans="2:25" ht="13.5" customHeight="1">
      <c r="G144" s="1829" t="s">
        <v>1167</v>
      </c>
      <c r="H144" s="1830"/>
      <c r="I144" s="1830"/>
      <c r="J144" s="1651">
        <f>J142/J156</f>
        <v>2.788921559677836E-3</v>
      </c>
      <c r="K144" s="1652">
        <f>K142/K156</f>
        <v>2.1155536978245282E-3</v>
      </c>
      <c r="L144" s="1652">
        <f>L142/L156</f>
        <v>3.5989169045728041E-2</v>
      </c>
      <c r="M144" s="1653">
        <f>M142/M156</f>
        <v>2.9693790803623165E-3</v>
      </c>
      <c r="P144" s="312"/>
      <c r="Q144" s="312"/>
      <c r="T144" s="82"/>
      <c r="U144" s="81" t="s">
        <v>314</v>
      </c>
      <c r="V144" s="1595">
        <f>J141</f>
        <v>3.9557961363159588E-2</v>
      </c>
      <c r="W144" s="1595">
        <f>J144</f>
        <v>2.788921559677836E-3</v>
      </c>
      <c r="X144" s="1595">
        <f>J155</f>
        <v>0.95765311707716261</v>
      </c>
      <c r="Y144" s="87"/>
    </row>
    <row r="145" spans="2:25" ht="13.5" customHeight="1">
      <c r="G145" s="1826" t="s">
        <v>653</v>
      </c>
      <c r="H145" s="1827"/>
      <c r="I145" s="1827"/>
      <c r="J145" s="1646">
        <f>SUM(J146:J153)</f>
        <v>10958088.312179999</v>
      </c>
      <c r="K145" s="1646">
        <f>SUM(K146:K153)</f>
        <v>7920546.5329199992</v>
      </c>
      <c r="L145" s="1646">
        <f>SUM(L146:L153)</f>
        <v>77346.414799999999</v>
      </c>
      <c r="M145" s="1647">
        <f>SUM(M146:M153)</f>
        <v>18955981.2599</v>
      </c>
      <c r="P145" s="312"/>
      <c r="Q145" s="312"/>
      <c r="T145" s="82"/>
      <c r="U145" s="81" t="s">
        <v>315</v>
      </c>
      <c r="V145" s="1595">
        <f>K141</f>
        <v>2.7614905722610803E-2</v>
      </c>
      <c r="W145" s="1595">
        <f>K144</f>
        <v>2.1155536978245282E-3</v>
      </c>
      <c r="X145" s="1595">
        <f>K155</f>
        <v>0.9702695405795646</v>
      </c>
      <c r="Y145" s="87"/>
    </row>
    <row r="146" spans="2:25" ht="13.5" customHeight="1">
      <c r="G146" s="1688" t="s">
        <v>1054</v>
      </c>
      <c r="H146" s="1689"/>
      <c r="I146" s="1689"/>
      <c r="J146" s="1541">
        <f>VLOOKUP(I3,Medicaid_FAMIS_LASER,5,FALSE)</f>
        <v>7718927.8129500002</v>
      </c>
      <c r="K146" s="1648">
        <f>VLOOKUP(I3,Medicaid_FAMIS_LASER,6,FALSE)</f>
        <v>7562487.1121499995</v>
      </c>
      <c r="L146" s="1648">
        <f>VLOOKUP(I3,Medicaid_FAMIS_LASER,7,FALSE)</f>
        <v>18856.494799999997</v>
      </c>
      <c r="M146" s="397">
        <f>VLOOKUP(I3,Medicaid_FAMIS_LASER,4,FALSE)</f>
        <v>15300271.419899998</v>
      </c>
      <c r="P146" s="312"/>
      <c r="Q146" s="312"/>
      <c r="T146" s="82"/>
      <c r="U146" s="81" t="s">
        <v>682</v>
      </c>
      <c r="V146" s="1595">
        <f>L141</f>
        <v>0.68133328653959491</v>
      </c>
      <c r="W146" s="1595">
        <f>L144</f>
        <v>3.5989169045728041E-2</v>
      </c>
      <c r="X146" s="1595">
        <f>L155</f>
        <v>0.28267754441467696</v>
      </c>
      <c r="Y146" s="87"/>
    </row>
    <row r="147" spans="2:25" ht="13.5" customHeight="1">
      <c r="G147" s="1688" t="s">
        <v>1190</v>
      </c>
      <c r="H147" s="1689"/>
      <c r="I147" s="1689"/>
      <c r="J147" s="1541">
        <f>VLOOKUP(I3,SNAP_LASER,5,FALSE)</f>
        <v>2725592</v>
      </c>
      <c r="K147" s="1648">
        <v>0</v>
      </c>
      <c r="L147" s="1648">
        <v>0</v>
      </c>
      <c r="M147" s="397">
        <f>VLOOKUP(I3,SNAP_LASER,4,FALSE)</f>
        <v>2725592</v>
      </c>
      <c r="N147" s="78"/>
      <c r="O147" s="83"/>
      <c r="P147" s="83"/>
      <c r="Q147" s="83"/>
      <c r="T147" s="82"/>
      <c r="U147" s="81" t="s">
        <v>281</v>
      </c>
      <c r="V147" s="1595">
        <f>M141</f>
        <v>4.3487077396675643E-2</v>
      </c>
      <c r="W147" s="1595">
        <f>M144</f>
        <v>2.9693790803623165E-3</v>
      </c>
      <c r="X147" s="1595">
        <f>M155</f>
        <v>0.953543543522962</v>
      </c>
      <c r="Y147" s="87"/>
    </row>
    <row r="148" spans="2:25" ht="13.5" customHeight="1">
      <c r="G148" s="1688" t="s">
        <v>1061</v>
      </c>
      <c r="H148" s="1689"/>
      <c r="I148" s="1689"/>
      <c r="J148" s="1541">
        <f>VLOOKUP(I3,TANF_LASER,4,FALSE)</f>
        <v>74550.459229999993</v>
      </c>
      <c r="K148" s="1541">
        <f>VLOOKUP(I3,TANF_LASER,6,FALSE)</f>
        <v>67205.840769999995</v>
      </c>
      <c r="L148" s="1541">
        <f>VLOOKUP(I3,TANF_LASER,10,FALSE)</f>
        <v>0</v>
      </c>
      <c r="M148" s="1654">
        <f>VLOOKUP(I3,TANF_LASER,9,FALSE)</f>
        <v>141756.29999999999</v>
      </c>
      <c r="N148" s="78"/>
      <c r="O148" s="83"/>
      <c r="P148" s="83"/>
      <c r="Q148" s="83"/>
      <c r="T148" s="82"/>
      <c r="U148" s="81"/>
      <c r="V148" s="81"/>
      <c r="W148" s="81"/>
      <c r="X148" s="81"/>
    </row>
    <row r="149" spans="2:25" ht="13.5" customHeight="1">
      <c r="G149" s="1688" t="s">
        <v>1191</v>
      </c>
      <c r="H149" s="1689"/>
      <c r="I149" s="1689"/>
      <c r="J149" s="1541">
        <f>VLOOKUP(I3,EA_LASER,5,FALSE)</f>
        <v>299233.17000000004</v>
      </c>
      <c r="K149" s="1648">
        <f>VLOOKUP(I3,EA_LASER,7,FALSE)</f>
        <v>0</v>
      </c>
      <c r="L149" s="1648">
        <f>VLOOKUP(I3,EA_LASER,10,FALSE)</f>
        <v>0</v>
      </c>
      <c r="M149" s="397">
        <f>VLOOKUP(I3,EA_LASER,4,FALSE)</f>
        <v>299233.17000000004</v>
      </c>
      <c r="N149" s="78"/>
      <c r="O149" s="83"/>
      <c r="P149" s="83"/>
      <c r="Q149" s="83"/>
      <c r="T149" s="82"/>
      <c r="U149" s="81"/>
      <c r="V149" s="81"/>
      <c r="W149" s="81"/>
      <c r="X149" s="81"/>
    </row>
    <row r="150" spans="2:25" ht="13.5" customHeight="1">
      <c r="G150" s="1688" t="s">
        <v>1081</v>
      </c>
      <c r="H150" s="1689"/>
      <c r="I150" s="1689"/>
      <c r="J150" s="1541">
        <f>VLOOKUP(I3,FC_Adop_LASER,4,FALSE)</f>
        <v>46693.67</v>
      </c>
      <c r="K150" s="1541">
        <f>VLOOKUP(I3,FC_Adop_LASER,5,FALSE)</f>
        <v>77334.299999999988</v>
      </c>
      <c r="L150" s="1541">
        <f>VLOOKUP(I3,FC_Adop_LASER,8,FALSE)</f>
        <v>-7.0000000000000007E-2</v>
      </c>
      <c r="M150" s="1654">
        <f>VLOOKUP(I3,FC_Adop_LASER,9,FALSE)</f>
        <v>124027.89999999998</v>
      </c>
      <c r="N150" s="78"/>
      <c r="O150" s="83"/>
      <c r="P150" s="83"/>
      <c r="Q150" s="83"/>
      <c r="T150" s="82"/>
      <c r="U150" s="81"/>
      <c r="V150" s="81"/>
      <c r="W150" s="81"/>
      <c r="X150" s="81"/>
    </row>
    <row r="151" spans="2:25" ht="13.5" customHeight="1">
      <c r="G151" s="1688" t="s">
        <v>1108</v>
      </c>
      <c r="H151" s="1689"/>
      <c r="I151" s="1689"/>
      <c r="J151" s="1541">
        <f>VLOOKUP(I3,CSA_LASER,4,FALSE)</f>
        <v>0</v>
      </c>
      <c r="K151" s="1541">
        <f>VLOOKUP(I3,CSA_LASER,5,FALSE)</f>
        <v>141394.48000000001</v>
      </c>
      <c r="L151" s="1541">
        <f>VLOOKUP(I3,CSA_LASER,9,FALSE)</f>
        <v>44996.99</v>
      </c>
      <c r="M151" s="1654">
        <f>VLOOKUP(I3,CSA_LASER,8,FALSE)</f>
        <v>186391.47</v>
      </c>
      <c r="N151" s="78"/>
      <c r="O151" s="83"/>
      <c r="P151" s="83"/>
      <c r="Q151" s="83"/>
      <c r="T151" s="82"/>
      <c r="U151" s="81"/>
      <c r="V151" s="81"/>
      <c r="W151" s="81"/>
      <c r="X151" s="81"/>
    </row>
    <row r="152" spans="2:25" ht="13.5" customHeight="1">
      <c r="G152" s="1619" t="s">
        <v>1113</v>
      </c>
      <c r="H152" s="1573"/>
      <c r="I152" s="1573"/>
      <c r="J152" s="1541">
        <f>VLOOKUP(I3,ChildCareLASER,9,FALSE)</f>
        <v>93106.5</v>
      </c>
      <c r="K152" s="1541">
        <f>VLOOKUP(I3,ChildCareLASER,10,FALSE)</f>
        <v>18167.5</v>
      </c>
      <c r="L152" s="1648">
        <v>0</v>
      </c>
      <c r="M152" s="397">
        <f>VLOOKUP(I3,ChildCareLASER,8,FALSE)</f>
        <v>111274</v>
      </c>
      <c r="N152" s="78"/>
      <c r="O152" s="83"/>
      <c r="P152" s="83"/>
      <c r="Q152" s="83"/>
      <c r="T152" s="82"/>
      <c r="U152" s="81"/>
      <c r="V152" s="81"/>
      <c r="W152" s="81"/>
      <c r="X152" s="81"/>
    </row>
    <row r="153" spans="2:25" ht="13.5" customHeight="1">
      <c r="G153" s="1688" t="s">
        <v>1116</v>
      </c>
      <c r="H153" s="1689"/>
      <c r="I153" s="1689"/>
      <c r="J153" s="1541">
        <f>VLOOKUP(I3,OT_BENE_LASER,4,FALSE)</f>
        <v>-15.3</v>
      </c>
      <c r="K153" s="1541">
        <f>VLOOKUP(I3,OT_BENE_LASER,5,FALSE)</f>
        <v>53957.3</v>
      </c>
      <c r="L153" s="1541">
        <f>VLOOKUP(I3,OT_BENE_LASER,8,FALSE)</f>
        <v>13493</v>
      </c>
      <c r="M153" s="1654">
        <f>VLOOKUP(I3,OT_BENE_LASER,9,FALSE)</f>
        <v>67435</v>
      </c>
      <c r="N153" s="78"/>
      <c r="O153" s="83"/>
      <c r="P153" s="83"/>
      <c r="Q153" s="83"/>
      <c r="T153" s="82"/>
      <c r="U153" s="81"/>
      <c r="V153" s="81"/>
      <c r="W153" s="81"/>
      <c r="X153" s="81"/>
    </row>
    <row r="154" spans="2:25" ht="13.5" customHeight="1">
      <c r="G154" s="1754" t="s">
        <v>1173</v>
      </c>
      <c r="H154" s="1755"/>
      <c r="I154" s="1755"/>
      <c r="J154" s="1586">
        <f>J145/M145</f>
        <v>0.57808077365855171</v>
      </c>
      <c r="K154" s="1586">
        <f>K145/M145</f>
        <v>0.41783890922467515</v>
      </c>
      <c r="L154" s="1586">
        <f>L145/M145</f>
        <v>4.0803171167730955E-3</v>
      </c>
      <c r="M154" s="1587">
        <f>M145/M145</f>
        <v>1</v>
      </c>
      <c r="N154" s="78"/>
      <c r="O154" s="83"/>
      <c r="P154" s="83"/>
      <c r="Q154" s="83"/>
      <c r="T154" s="82"/>
      <c r="U154" s="81"/>
      <c r="V154" s="81"/>
      <c r="W154" s="81"/>
      <c r="X154" s="81"/>
    </row>
    <row r="155" spans="2:25" ht="13.5" customHeight="1">
      <c r="G155" s="1742" t="s">
        <v>1168</v>
      </c>
      <c r="H155" s="1743"/>
      <c r="I155" s="1743"/>
      <c r="J155" s="1655">
        <f>J145/J156</f>
        <v>0.95765311707716261</v>
      </c>
      <c r="K155" s="1655">
        <f>K145/K156</f>
        <v>0.9702695405795646</v>
      </c>
      <c r="L155" s="1655">
        <f>L145/L156</f>
        <v>0.28267754441467696</v>
      </c>
      <c r="M155" s="1656">
        <f>M145/M156</f>
        <v>0.953543543522962</v>
      </c>
      <c r="N155" s="78"/>
      <c r="O155" s="83"/>
      <c r="P155" s="83"/>
      <c r="Q155" s="83"/>
      <c r="T155" s="82"/>
      <c r="U155" s="81"/>
      <c r="V155" s="81"/>
      <c r="W155" s="81"/>
      <c r="X155" s="81"/>
    </row>
    <row r="156" spans="2:25" ht="13.5" customHeight="1">
      <c r="G156" s="1744" t="s">
        <v>1180</v>
      </c>
      <c r="H156" s="1745"/>
      <c r="I156" s="1745"/>
      <c r="J156" s="1593">
        <f>J137+J142+J145</f>
        <v>11442648.822179999</v>
      </c>
      <c r="K156" s="1593">
        <f t="shared" ref="K156:M156" si="1">K137+K142+K145</f>
        <v>8163243.5129199997</v>
      </c>
      <c r="L156" s="1593">
        <f t="shared" si="1"/>
        <v>273620.65480000002</v>
      </c>
      <c r="M156" s="1594">
        <f t="shared" si="1"/>
        <v>19879512.9899</v>
      </c>
      <c r="N156" s="92"/>
      <c r="O156" s="92"/>
      <c r="P156" s="83"/>
      <c r="Q156" s="83"/>
      <c r="T156" s="82"/>
      <c r="U156" s="81"/>
      <c r="V156" s="81"/>
      <c r="W156" s="81"/>
      <c r="X156" s="81"/>
    </row>
    <row r="157" spans="2:25" ht="13.5" customHeight="1">
      <c r="G157" s="1657" t="s">
        <v>1174</v>
      </c>
      <c r="H157" s="1658"/>
      <c r="I157" s="1659"/>
      <c r="J157" s="1660">
        <f>J156/$M156</f>
        <v>0.57560005760672106</v>
      </c>
      <c r="K157" s="398">
        <f>K156/$M156</f>
        <v>0.41063599078445345</v>
      </c>
      <c r="L157" s="398">
        <f>L156/$M156</f>
        <v>1.3763951608825424E-2</v>
      </c>
      <c r="M157" s="399">
        <f>SUM(J157:L157)</f>
        <v>0.99999999999999989</v>
      </c>
      <c r="N157" s="92"/>
      <c r="O157" s="92"/>
      <c r="Q157" s="83"/>
      <c r="T157" s="82"/>
      <c r="U157" s="81"/>
      <c r="V157" s="81"/>
      <c r="W157" s="81"/>
      <c r="X157" s="81"/>
    </row>
    <row r="158" spans="2:25" ht="13.5" customHeight="1">
      <c r="C158" s="91"/>
      <c r="D158" s="91"/>
      <c r="E158" s="133"/>
      <c r="F158" s="133"/>
      <c r="G158" s="1862" t="s">
        <v>1207</v>
      </c>
      <c r="H158" s="1862"/>
      <c r="I158" s="1862"/>
      <c r="J158" s="1862"/>
      <c r="K158" s="1862"/>
      <c r="L158" s="1862"/>
      <c r="M158" s="1862"/>
      <c r="N158" s="92"/>
      <c r="O158" s="92"/>
      <c r="P158" s="83"/>
      <c r="Q158" s="83"/>
      <c r="T158" s="82"/>
      <c r="U158" s="81"/>
      <c r="V158" s="81"/>
      <c r="W158" s="81"/>
      <c r="X158" s="81"/>
    </row>
    <row r="159" spans="2:25" ht="13.5" customHeight="1">
      <c r="B159" s="1825"/>
      <c r="C159" s="1825"/>
      <c r="D159" s="1825"/>
      <c r="E159" s="1828" t="s">
        <v>1169</v>
      </c>
      <c r="F159" s="1828"/>
      <c r="G159" s="91"/>
      <c r="H159" s="133"/>
      <c r="J159" s="1828" t="s">
        <v>1170</v>
      </c>
      <c r="K159" s="1828"/>
      <c r="N159" s="92"/>
      <c r="O159" s="92"/>
      <c r="P159" s="83"/>
      <c r="Q159" s="83"/>
      <c r="T159" s="82"/>
      <c r="U159" s="81"/>
      <c r="V159" s="81"/>
      <c r="W159" s="81"/>
      <c r="X159" s="81"/>
    </row>
    <row r="160" spans="2:25" ht="13.5" customHeight="1">
      <c r="B160" s="1825"/>
      <c r="C160" s="1825"/>
      <c r="D160" s="1825"/>
      <c r="E160" s="1828"/>
      <c r="F160" s="1828"/>
      <c r="G160" s="91"/>
      <c r="H160" s="133"/>
      <c r="J160" s="1828"/>
      <c r="K160" s="1828"/>
      <c r="N160" s="92"/>
      <c r="O160" s="92"/>
      <c r="P160" s="83"/>
      <c r="Q160" s="83"/>
      <c r="T160" s="82"/>
      <c r="U160" s="81"/>
      <c r="V160" s="81"/>
      <c r="W160" s="81"/>
      <c r="X160" s="81"/>
    </row>
    <row r="161" spans="2:25" ht="13.5" customHeight="1">
      <c r="B161" s="1825"/>
      <c r="C161" s="1825"/>
      <c r="D161" s="1825"/>
      <c r="E161" s="1828"/>
      <c r="F161" s="1828"/>
      <c r="G161" s="91"/>
      <c r="H161" s="133"/>
      <c r="J161" s="1828"/>
      <c r="K161" s="1828"/>
      <c r="N161" s="92"/>
      <c r="O161" s="92"/>
      <c r="P161" s="83"/>
      <c r="Q161" s="83"/>
      <c r="T161" s="82"/>
      <c r="U161" s="81"/>
      <c r="V161" s="81"/>
      <c r="W161" s="81"/>
      <c r="X161" s="81"/>
    </row>
    <row r="162" spans="2:25" ht="13.5" customHeight="1">
      <c r="B162" s="1825"/>
      <c r="C162" s="1825"/>
      <c r="D162" s="1825"/>
      <c r="E162" s="1828"/>
      <c r="F162" s="1828"/>
      <c r="G162" s="91"/>
      <c r="H162" s="133"/>
      <c r="J162" s="1828"/>
      <c r="K162" s="1828"/>
      <c r="N162" s="92"/>
      <c r="O162" s="92"/>
      <c r="P162" s="83"/>
      <c r="Q162" s="83"/>
      <c r="T162" s="82"/>
      <c r="U162" s="81"/>
      <c r="V162" s="81"/>
      <c r="W162" s="81"/>
      <c r="X162" s="81"/>
    </row>
    <row r="163" spans="2:25" ht="13.5" customHeight="1">
      <c r="C163" s="91"/>
      <c r="D163" s="91"/>
      <c r="E163" s="133"/>
      <c r="F163" s="133"/>
      <c r="G163" s="91"/>
      <c r="H163" s="133"/>
      <c r="N163" s="92"/>
      <c r="O163" s="92"/>
      <c r="P163" s="83"/>
      <c r="Q163" s="83"/>
      <c r="T163" s="82"/>
      <c r="U163" s="81"/>
      <c r="V163" s="81"/>
      <c r="W163" s="81"/>
      <c r="X163" s="81"/>
    </row>
    <row r="164" spans="2:25" ht="13.5" customHeight="1">
      <c r="B164" s="1837" t="s">
        <v>964</v>
      </c>
      <c r="C164" s="1838"/>
      <c r="D164" s="1839"/>
      <c r="E164" s="1733" t="s">
        <v>861</v>
      </c>
      <c r="F164" s="1735" t="s">
        <v>860</v>
      </c>
      <c r="G164" s="1735" t="s">
        <v>304</v>
      </c>
      <c r="H164" s="1737" t="s">
        <v>645</v>
      </c>
      <c r="I164" s="1739" t="s">
        <v>622</v>
      </c>
      <c r="J164" s="1732"/>
      <c r="K164" s="1514"/>
      <c r="L164" s="1835"/>
      <c r="M164" s="1835"/>
      <c r="U164" s="159"/>
    </row>
    <row r="165" spans="2:25" ht="13.5" customHeight="1">
      <c r="B165" s="1840"/>
      <c r="C165" s="1841"/>
      <c r="D165" s="1842"/>
      <c r="E165" s="1734"/>
      <c r="F165" s="1736"/>
      <c r="G165" s="1736"/>
      <c r="H165" s="1738"/>
      <c r="I165" s="1740"/>
      <c r="J165" s="1732"/>
      <c r="K165" s="1514"/>
      <c r="L165" s="1835"/>
      <c r="M165" s="1835"/>
      <c r="U165" s="69"/>
      <c r="V165" s="69"/>
      <c r="W165" s="69"/>
      <c r="X165" s="69"/>
      <c r="Y165" s="69"/>
    </row>
    <row r="166" spans="2:25" ht="13.5" customHeight="1">
      <c r="B166" s="352" t="s">
        <v>757</v>
      </c>
      <c r="C166" s="176"/>
      <c r="D166" s="176"/>
      <c r="E166" s="281">
        <f>VLOOKUP($I$3,Staffing,4,FALSE)</f>
        <v>11</v>
      </c>
      <c r="F166" s="282">
        <f>VLOOKUP($I$3,Staffing,5,FALSE)</f>
        <v>6</v>
      </c>
      <c r="G166" s="282">
        <f>VLOOKUP($I$3,Staffing,6,FALSE)</f>
        <v>0</v>
      </c>
      <c r="H166" s="283">
        <f>E166+F166+G166</f>
        <v>17</v>
      </c>
      <c r="I166" s="353">
        <f>H166/H168</f>
        <v>1</v>
      </c>
      <c r="J166" s="1017"/>
      <c r="K166" s="1018"/>
      <c r="L166" s="1836"/>
      <c r="M166" s="1836"/>
      <c r="U166" s="86"/>
      <c r="V166" s="86"/>
      <c r="W166" s="86"/>
      <c r="X166" s="86"/>
      <c r="Y166" s="86"/>
    </row>
    <row r="167" spans="2:25" ht="13.5" customHeight="1">
      <c r="B167" s="352" t="s">
        <v>758</v>
      </c>
      <c r="C167" s="176"/>
      <c r="D167" s="176"/>
      <c r="E167" s="281">
        <f>VLOOKUP($I$3,Staffing,8,FALSE)</f>
        <v>0</v>
      </c>
      <c r="F167" s="282">
        <f>VLOOKUP($I$3,Staffing,9,FALSE)</f>
        <v>0</v>
      </c>
      <c r="G167" s="282">
        <f>VLOOKUP($I$3,Staffing,10,FALSE)</f>
        <v>0</v>
      </c>
      <c r="H167" s="283">
        <f>E167+F167+G167</f>
        <v>0</v>
      </c>
      <c r="I167" s="354">
        <f>H167/H168</f>
        <v>0</v>
      </c>
      <c r="J167" s="1017"/>
      <c r="K167" s="1018"/>
      <c r="L167" s="1836"/>
      <c r="M167" s="1836"/>
      <c r="U167" s="86"/>
      <c r="V167" s="86"/>
      <c r="W167" s="86"/>
      <c r="X167" s="86"/>
      <c r="Y167" s="86"/>
    </row>
    <row r="168" spans="2:25" ht="13.5" customHeight="1">
      <c r="B168" s="352" t="s">
        <v>759</v>
      </c>
      <c r="C168" s="176"/>
      <c r="D168" s="176"/>
      <c r="E168" s="281">
        <f>+E167+E166</f>
        <v>11</v>
      </c>
      <c r="F168" s="282">
        <f>+F167+F166</f>
        <v>6</v>
      </c>
      <c r="G168" s="282">
        <f>+G167+G166</f>
        <v>0</v>
      </c>
      <c r="H168" s="283">
        <f>+H167+H166</f>
        <v>17</v>
      </c>
      <c r="I168" s="353">
        <f>H168/H168</f>
        <v>1</v>
      </c>
      <c r="J168" s="1017"/>
      <c r="K168" s="1018"/>
      <c r="L168" s="1836"/>
      <c r="M168" s="1836"/>
      <c r="U168" s="86"/>
      <c r="V168" s="86"/>
      <c r="W168" s="86"/>
      <c r="X168" s="86"/>
      <c r="Y168" s="86"/>
    </row>
    <row r="169" spans="2:25" ht="13.5" customHeight="1">
      <c r="B169" s="1727" t="s">
        <v>638</v>
      </c>
      <c r="C169" s="1728"/>
      <c r="D169" s="1729"/>
      <c r="E169" s="330">
        <f>IF(E168=0,"NA",(E167/E168))</f>
        <v>0</v>
      </c>
      <c r="F169" s="331">
        <f>IF(F168=0,"NA",(F167/F168))</f>
        <v>0</v>
      </c>
      <c r="G169" s="331" t="str">
        <f>IF(G168=0,"NA",(G167/G168))</f>
        <v>NA</v>
      </c>
      <c r="H169" s="332">
        <f>IF(H168=0,"NA",(H167/H168))</f>
        <v>0</v>
      </c>
      <c r="I169" s="1730"/>
      <c r="J169" s="1019"/>
      <c r="K169" s="1020"/>
      <c r="L169" s="1836"/>
      <c r="M169" s="1836"/>
    </row>
    <row r="170" spans="2:25" ht="13.5" customHeight="1">
      <c r="B170" s="1727" t="s">
        <v>639</v>
      </c>
      <c r="C170" s="1728"/>
      <c r="D170" s="1729"/>
      <c r="E170" s="330">
        <f>Staffing!W6</f>
        <v>0.16357479387514723</v>
      </c>
      <c r="F170" s="330">
        <f>Staffing!X6</f>
        <v>0.16008316008316009</v>
      </c>
      <c r="G170" s="330">
        <f>Staffing!Y6</f>
        <v>0.3139240506329114</v>
      </c>
      <c r="H170" s="330">
        <f>Staffing!Z6</f>
        <v>0.16808792874739437</v>
      </c>
      <c r="I170" s="1731"/>
      <c r="J170" s="1019"/>
      <c r="K170" s="1020"/>
      <c r="L170" s="1836"/>
      <c r="M170" s="1836"/>
      <c r="O170" s="87"/>
      <c r="P170" s="87"/>
      <c r="R170" s="80"/>
    </row>
    <row r="171" spans="2:25" ht="12" customHeight="1">
      <c r="B171" s="1725" t="s">
        <v>963</v>
      </c>
      <c r="C171" s="1725"/>
      <c r="D171" s="1725"/>
      <c r="E171" s="1725"/>
      <c r="F171" s="1725"/>
      <c r="G171" s="1725"/>
      <c r="H171" s="1725"/>
      <c r="I171" s="1725"/>
      <c r="J171" s="1725"/>
      <c r="K171" s="1725"/>
      <c r="L171" s="280"/>
      <c r="O171" s="87"/>
      <c r="P171" s="87"/>
      <c r="R171" s="80"/>
    </row>
    <row r="172" spans="2:25">
      <c r="B172" s="131"/>
      <c r="C172" s="131"/>
      <c r="D172" s="131"/>
      <c r="E172" s="131"/>
      <c r="F172" s="131"/>
      <c r="G172" s="131"/>
      <c r="H172" s="131"/>
      <c r="I172" s="132"/>
      <c r="J172" s="132"/>
      <c r="K172" s="132"/>
      <c r="L172" s="132"/>
      <c r="M172" s="132"/>
      <c r="N172" s="132"/>
      <c r="O172" s="132"/>
    </row>
    <row r="173" spans="2:25">
      <c r="B173" s="70" t="s">
        <v>1181</v>
      </c>
      <c r="C173" s="70"/>
      <c r="D173" s="70"/>
      <c r="E173" s="70"/>
      <c r="F173" s="70"/>
      <c r="G173" s="70"/>
      <c r="H173" s="70"/>
      <c r="I173" s="67"/>
      <c r="J173" s="67"/>
      <c r="K173" s="67"/>
      <c r="L173" s="67"/>
      <c r="M173" s="67"/>
    </row>
    <row r="174" spans="2:25">
      <c r="B174" s="66" t="s">
        <v>570</v>
      </c>
      <c r="I174" s="67"/>
      <c r="J174" s="67"/>
      <c r="K174" s="67"/>
      <c r="L174" s="67"/>
      <c r="M174" s="67"/>
    </row>
    <row r="175" spans="2:25" s="133" customFormat="1" ht="12" customHeight="1">
      <c r="B175" s="1691" t="s">
        <v>1110</v>
      </c>
      <c r="C175" s="1691"/>
      <c r="D175" s="1691"/>
      <c r="E175" s="1691"/>
      <c r="F175" s="1691"/>
      <c r="G175" s="1691"/>
      <c r="H175" s="1691"/>
      <c r="I175" s="1691"/>
      <c r="J175" s="1691"/>
      <c r="K175" s="1691"/>
      <c r="L175" s="1691"/>
      <c r="M175" s="1691"/>
      <c r="N175" s="1691"/>
      <c r="O175" s="84"/>
    </row>
    <row r="176" spans="2:25" ht="12" customHeight="1">
      <c r="B176" s="1691" t="s">
        <v>1109</v>
      </c>
      <c r="C176" s="1691"/>
      <c r="D176" s="1691"/>
      <c r="E176" s="1691"/>
      <c r="F176" s="1691"/>
      <c r="G176" s="1691"/>
      <c r="H176" s="1691"/>
      <c r="I176" s="1691"/>
      <c r="J176" s="1691"/>
      <c r="K176" s="1691"/>
      <c r="L176" s="1691"/>
      <c r="M176" s="1691"/>
      <c r="N176" s="1691"/>
      <c r="O176" s="84"/>
    </row>
    <row r="177" spans="2:15" ht="63" customHeight="1">
      <c r="B177" s="1741" t="s">
        <v>1115</v>
      </c>
      <c r="C177" s="1741"/>
      <c r="D177" s="1741"/>
      <c r="E177" s="1741"/>
      <c r="F177" s="1741"/>
      <c r="G177" s="1741"/>
      <c r="H177" s="1741"/>
      <c r="I177" s="1741"/>
      <c r="J177" s="1741"/>
      <c r="K177" s="1741"/>
      <c r="L177" s="1741"/>
      <c r="M177" s="1741"/>
      <c r="N177" s="1741"/>
      <c r="O177" s="1539"/>
    </row>
    <row r="178" spans="2:15">
      <c r="B178" s="133" t="s">
        <v>1193</v>
      </c>
      <c r="C178" s="1539"/>
      <c r="D178" s="1539"/>
      <c r="E178" s="1539"/>
      <c r="F178" s="1539"/>
      <c r="G178" s="1539"/>
      <c r="H178" s="1539"/>
      <c r="I178" s="1539"/>
      <c r="J178" s="1539"/>
      <c r="K178" s="1539"/>
      <c r="L178" s="1539"/>
      <c r="M178" s="1539"/>
      <c r="N178" s="1539"/>
      <c r="O178" s="1539"/>
    </row>
    <row r="179" spans="2:15" ht="25.5" customHeight="1">
      <c r="B179" s="1691" t="s">
        <v>1192</v>
      </c>
      <c r="C179" s="1691"/>
      <c r="D179" s="1691"/>
      <c r="E179" s="1691"/>
      <c r="F179" s="1691"/>
      <c r="G179" s="1691"/>
      <c r="H179" s="1691"/>
      <c r="I179" s="1691"/>
      <c r="J179" s="1691"/>
      <c r="K179" s="1691"/>
      <c r="L179" s="1691"/>
      <c r="M179" s="1691"/>
      <c r="N179" s="1691"/>
      <c r="O179" s="1539"/>
    </row>
    <row r="180" spans="2:15" ht="12" customHeight="1">
      <c r="B180" s="1691" t="s">
        <v>1082</v>
      </c>
      <c r="C180" s="1691"/>
      <c r="D180" s="1691"/>
      <c r="E180" s="1691"/>
      <c r="F180" s="1691"/>
      <c r="G180" s="1691"/>
      <c r="H180" s="1691"/>
      <c r="I180" s="1691"/>
      <c r="J180" s="1691"/>
      <c r="K180" s="1691"/>
      <c r="L180" s="1691"/>
      <c r="M180" s="1691"/>
      <c r="N180" s="1691"/>
      <c r="O180" s="84"/>
    </row>
    <row r="181" spans="2:15">
      <c r="B181" s="133" t="s">
        <v>1111</v>
      </c>
      <c r="C181" s="1544"/>
      <c r="D181" s="1544"/>
      <c r="E181" s="1544"/>
      <c r="F181" s="1544"/>
      <c r="G181" s="1544"/>
      <c r="H181" s="1544"/>
      <c r="I181" s="1544"/>
      <c r="J181" s="1544"/>
      <c r="K181" s="1544"/>
      <c r="L181" s="1544"/>
      <c r="M181" s="1544"/>
      <c r="N181" s="1544"/>
      <c r="O181" s="1544"/>
    </row>
    <row r="182" spans="2:15">
      <c r="B182" s="133" t="s">
        <v>1114</v>
      </c>
      <c r="C182" s="1557"/>
      <c r="D182" s="1557"/>
      <c r="E182" s="1557"/>
      <c r="F182" s="1557"/>
      <c r="G182" s="1557"/>
      <c r="H182" s="1557"/>
      <c r="I182" s="1557"/>
      <c r="J182" s="1557"/>
      <c r="K182" s="1557"/>
      <c r="L182" s="1557"/>
      <c r="M182" s="1557"/>
      <c r="N182" s="1557"/>
      <c r="O182" s="1557"/>
    </row>
    <row r="183" spans="2:15" ht="24" customHeight="1">
      <c r="B183" s="1690" t="s">
        <v>1189</v>
      </c>
      <c r="C183" s="1690"/>
      <c r="D183" s="1690"/>
      <c r="E183" s="1690"/>
      <c r="F183" s="1690"/>
      <c r="G183" s="1690"/>
      <c r="H183" s="1690"/>
      <c r="I183" s="1690"/>
      <c r="J183" s="1690"/>
      <c r="K183" s="1690"/>
      <c r="L183" s="1690"/>
      <c r="M183" s="1690"/>
      <c r="N183" s="1690"/>
    </row>
    <row r="184" spans="2:15">
      <c r="B184" s="70"/>
      <c r="C184" s="70"/>
      <c r="D184" s="70"/>
      <c r="E184" s="70"/>
      <c r="F184" s="70"/>
      <c r="G184" s="70"/>
      <c r="H184" s="70"/>
      <c r="I184" s="67"/>
      <c r="J184" s="67"/>
      <c r="K184" s="67"/>
      <c r="L184" s="67"/>
      <c r="M184" s="67"/>
    </row>
    <row r="189" spans="2:15" ht="12.75" customHeight="1">
      <c r="B189" s="263"/>
      <c r="C189" s="263"/>
      <c r="D189" s="263"/>
      <c r="E189" s="263"/>
      <c r="F189" s="263"/>
      <c r="G189" s="263"/>
      <c r="H189" s="263"/>
      <c r="I189" s="263"/>
      <c r="J189" s="263"/>
      <c r="K189" s="263"/>
      <c r="L189" s="265"/>
      <c r="M189" s="265"/>
      <c r="N189" s="265"/>
    </row>
    <row r="190" spans="2:15" ht="12.75" customHeight="1">
      <c r="B190" s="262"/>
      <c r="C190" s="262"/>
      <c r="D190" s="262"/>
      <c r="E190" s="262"/>
      <c r="F190" s="262"/>
      <c r="G190" s="262"/>
      <c r="H190" s="262"/>
      <c r="I190" s="263"/>
      <c r="J190" s="263"/>
      <c r="K190" s="263"/>
      <c r="L190" s="130"/>
      <c r="M190" s="130"/>
      <c r="N190" s="130"/>
    </row>
    <row r="191" spans="2:15">
      <c r="B191" s="263"/>
      <c r="C191" s="263"/>
      <c r="D191" s="262"/>
      <c r="E191" s="262"/>
      <c r="F191" s="262"/>
      <c r="G191" s="262"/>
      <c r="H191" s="262"/>
      <c r="I191" s="263"/>
      <c r="J191" s="262"/>
      <c r="K191" s="262"/>
      <c r="L191" s="262"/>
      <c r="M191" s="262"/>
      <c r="N191" s="262"/>
      <c r="O191" s="262"/>
    </row>
    <row r="192" spans="2:15">
      <c r="B192" s="68"/>
      <c r="L192" s="73"/>
      <c r="M192" s="73"/>
      <c r="N192" s="88"/>
      <c r="O192" s="88"/>
    </row>
    <row r="193" spans="2:25">
      <c r="B193" s="73"/>
      <c r="C193" s="73"/>
      <c r="D193" s="73"/>
      <c r="E193" s="73"/>
      <c r="F193" s="73"/>
      <c r="G193" s="73"/>
      <c r="H193" s="73"/>
      <c r="I193" s="89"/>
      <c r="J193" s="88"/>
      <c r="K193" s="88"/>
      <c r="L193" s="73"/>
      <c r="M193" s="73"/>
      <c r="N193" s="88"/>
      <c r="O193" s="88"/>
    </row>
    <row r="194" spans="2:25">
      <c r="B194" s="73"/>
      <c r="C194" s="73"/>
      <c r="D194" s="73"/>
      <c r="E194" s="73"/>
      <c r="F194" s="73"/>
      <c r="G194" s="73"/>
      <c r="H194" s="73"/>
      <c r="I194" s="89"/>
      <c r="J194" s="88"/>
      <c r="K194" s="88"/>
      <c r="L194" s="73"/>
      <c r="M194" s="73"/>
      <c r="N194" s="88"/>
      <c r="O194" s="88"/>
    </row>
    <row r="195" spans="2:25">
      <c r="B195" s="73"/>
      <c r="C195" s="73"/>
      <c r="D195" s="73"/>
      <c r="E195" s="73"/>
      <c r="F195" s="73"/>
      <c r="G195" s="73"/>
      <c r="H195" s="73"/>
      <c r="I195" s="89"/>
      <c r="J195" s="88"/>
      <c r="K195" s="88"/>
      <c r="L195" s="73"/>
      <c r="M195" s="73"/>
      <c r="N195" s="88"/>
      <c r="O195" s="88"/>
    </row>
    <row r="196" spans="2:25">
      <c r="B196" s="73"/>
      <c r="C196" s="73"/>
      <c r="D196" s="73"/>
      <c r="E196" s="73"/>
      <c r="F196" s="73"/>
      <c r="G196" s="73"/>
      <c r="H196" s="73"/>
      <c r="I196" s="89"/>
      <c r="J196" s="88"/>
      <c r="K196" s="88"/>
      <c r="L196" s="73"/>
      <c r="M196" s="73"/>
      <c r="N196" s="88"/>
      <c r="O196" s="88"/>
    </row>
    <row r="197" spans="2:25">
      <c r="B197" s="73"/>
      <c r="C197" s="73"/>
      <c r="D197" s="73"/>
      <c r="E197" s="73"/>
      <c r="F197" s="73"/>
      <c r="G197" s="73"/>
      <c r="H197" s="73"/>
      <c r="I197" s="89"/>
      <c r="J197" s="88"/>
      <c r="K197" s="88"/>
      <c r="L197" s="73"/>
      <c r="M197" s="73"/>
      <c r="N197" s="88"/>
      <c r="O197" s="88"/>
    </row>
    <row r="198" spans="2:25">
      <c r="B198" s="73"/>
      <c r="C198" s="73"/>
      <c r="D198" s="73"/>
      <c r="E198" s="73"/>
      <c r="F198" s="73"/>
      <c r="G198" s="73"/>
      <c r="H198" s="73"/>
      <c r="I198" s="89"/>
      <c r="J198" s="88"/>
      <c r="K198" s="88"/>
      <c r="L198" s="73"/>
      <c r="M198" s="73"/>
      <c r="N198" s="88"/>
      <c r="O198" s="88"/>
    </row>
    <row r="199" spans="2:25">
      <c r="B199" s="73"/>
      <c r="C199" s="73"/>
      <c r="D199" s="73"/>
      <c r="E199" s="73"/>
      <c r="F199" s="73"/>
      <c r="G199" s="73"/>
      <c r="H199" s="73"/>
      <c r="I199" s="89"/>
      <c r="J199" s="88"/>
      <c r="K199" s="88"/>
      <c r="L199" s="73"/>
      <c r="M199" s="73"/>
      <c r="N199" s="88"/>
      <c r="O199" s="88"/>
    </row>
    <row r="200" spans="2:25">
      <c r="B200" s="73"/>
      <c r="C200" s="73"/>
      <c r="D200" s="73"/>
      <c r="E200" s="73"/>
      <c r="F200" s="73"/>
      <c r="G200" s="73"/>
      <c r="H200" s="73"/>
      <c r="I200" s="89"/>
      <c r="J200" s="88"/>
      <c r="K200" s="88"/>
      <c r="L200" s="73"/>
      <c r="M200" s="73"/>
      <c r="N200" s="88"/>
      <c r="O200" s="88"/>
    </row>
    <row r="201" spans="2:25">
      <c r="B201" s="73"/>
      <c r="C201" s="73"/>
      <c r="D201" s="73"/>
      <c r="E201" s="73"/>
      <c r="F201" s="73"/>
      <c r="G201" s="73"/>
      <c r="H201" s="73"/>
      <c r="I201" s="89"/>
      <c r="J201" s="88"/>
      <c r="K201" s="88"/>
      <c r="L201" s="73"/>
      <c r="M201" s="73"/>
      <c r="N201" s="88"/>
      <c r="O201" s="88"/>
    </row>
    <row r="202" spans="2:25">
      <c r="B202" s="73"/>
      <c r="C202" s="73"/>
      <c r="D202" s="73"/>
      <c r="E202" s="73"/>
      <c r="F202" s="73"/>
      <c r="G202" s="73"/>
      <c r="H202" s="73"/>
      <c r="I202" s="89"/>
      <c r="J202" s="88"/>
      <c r="K202" s="88"/>
      <c r="L202" s="73"/>
      <c r="M202" s="73"/>
      <c r="N202" s="88"/>
      <c r="O202" s="88"/>
    </row>
    <row r="203" spans="2:25">
      <c r="B203" s="73"/>
      <c r="C203" s="73"/>
      <c r="D203" s="73"/>
      <c r="E203" s="73"/>
      <c r="F203" s="73"/>
      <c r="G203" s="73"/>
      <c r="H203" s="73"/>
      <c r="I203" s="89"/>
      <c r="J203" s="88"/>
      <c r="K203" s="88"/>
    </row>
    <row r="207" spans="2:25">
      <c r="B207" s="67"/>
      <c r="C207" s="67"/>
      <c r="D207" s="67"/>
      <c r="E207" s="67"/>
      <c r="F207" s="67"/>
      <c r="G207" s="67"/>
      <c r="H207" s="67"/>
      <c r="I207" s="67"/>
      <c r="J207" s="67"/>
      <c r="K207" s="67"/>
      <c r="L207" s="67"/>
      <c r="M207" s="67"/>
      <c r="N207" s="67"/>
      <c r="O207" s="67"/>
      <c r="P207" s="67"/>
      <c r="Q207" s="67"/>
      <c r="R207" s="67"/>
      <c r="S207" s="67"/>
      <c r="T207" s="67"/>
      <c r="U207" s="67"/>
      <c r="V207" s="67"/>
      <c r="W207" s="67"/>
      <c r="X207" s="67"/>
      <c r="Y207" s="67"/>
    </row>
    <row r="208" spans="2:25">
      <c r="B208" s="78"/>
      <c r="C208" s="78"/>
      <c r="D208" s="78"/>
      <c r="E208" s="78"/>
      <c r="F208" s="78"/>
      <c r="G208" s="78"/>
      <c r="H208" s="78"/>
      <c r="I208" s="78"/>
      <c r="J208" s="78"/>
      <c r="K208" s="78"/>
      <c r="L208" s="78"/>
      <c r="M208" s="78"/>
      <c r="N208" s="78"/>
      <c r="O208" s="78"/>
      <c r="P208" s="78"/>
      <c r="Q208" s="78"/>
      <c r="R208" s="78"/>
      <c r="S208" s="1726"/>
      <c r="T208" s="1726"/>
      <c r="U208" s="1726"/>
      <c r="V208" s="1726"/>
      <c r="W208" s="1726"/>
      <c r="X208" s="1726"/>
      <c r="Y208" s="1726"/>
    </row>
    <row r="209" spans="2:25">
      <c r="B209" s="78"/>
      <c r="C209" s="78"/>
      <c r="D209" s="78"/>
      <c r="E209" s="78"/>
      <c r="F209" s="78"/>
      <c r="G209" s="78"/>
      <c r="H209" s="78"/>
      <c r="I209" s="78"/>
      <c r="J209" s="78"/>
      <c r="K209" s="78"/>
      <c r="L209" s="78"/>
      <c r="M209" s="78"/>
      <c r="N209" s="78"/>
      <c r="O209" s="78"/>
      <c r="P209" s="78"/>
      <c r="Q209" s="78"/>
      <c r="R209" s="78"/>
      <c r="S209" s="1726"/>
      <c r="T209" s="1726"/>
      <c r="U209" s="1726"/>
      <c r="V209" s="129"/>
      <c r="W209" s="1726"/>
      <c r="X209" s="1726"/>
      <c r="Y209" s="1726"/>
    </row>
    <row r="210" spans="2:25">
      <c r="B210" s="78"/>
      <c r="C210" s="78"/>
      <c r="D210" s="78"/>
      <c r="E210" s="78"/>
      <c r="F210" s="78"/>
      <c r="G210" s="78"/>
      <c r="H210" s="78"/>
      <c r="I210" s="78"/>
      <c r="J210" s="78"/>
      <c r="K210" s="78"/>
      <c r="L210" s="78"/>
      <c r="M210" s="78"/>
      <c r="N210" s="78"/>
      <c r="O210" s="78"/>
      <c r="P210" s="78"/>
      <c r="Q210" s="78"/>
      <c r="R210" s="78"/>
      <c r="S210" s="78"/>
      <c r="T210" s="78"/>
      <c r="U210" s="78"/>
      <c r="V210" s="78"/>
      <c r="W210" s="78"/>
      <c r="X210" s="78"/>
      <c r="Y210" s="78"/>
    </row>
    <row r="211" spans="2:25">
      <c r="B211" s="78"/>
      <c r="C211" s="78"/>
      <c r="D211" s="78"/>
      <c r="E211" s="78"/>
      <c r="F211" s="78"/>
      <c r="G211" s="78"/>
      <c r="H211" s="78"/>
      <c r="I211" s="78"/>
      <c r="J211" s="78"/>
      <c r="K211" s="78"/>
      <c r="L211" s="78"/>
      <c r="M211" s="78"/>
      <c r="N211" s="78"/>
      <c r="O211" s="78"/>
      <c r="P211" s="78"/>
      <c r="Q211" s="78"/>
      <c r="R211" s="78"/>
      <c r="S211" s="78"/>
      <c r="T211" s="78"/>
      <c r="U211" s="78"/>
      <c r="V211" s="78"/>
      <c r="W211" s="78"/>
      <c r="X211" s="78"/>
      <c r="Y211" s="78"/>
    </row>
    <row r="212" spans="2:25">
      <c r="B212" s="78"/>
      <c r="C212" s="78"/>
      <c r="D212" s="78"/>
      <c r="E212" s="78"/>
      <c r="F212" s="78"/>
      <c r="G212" s="78"/>
      <c r="H212" s="78"/>
      <c r="I212" s="78"/>
      <c r="J212" s="78"/>
      <c r="K212" s="78"/>
      <c r="L212" s="78"/>
      <c r="M212" s="78"/>
      <c r="N212" s="78"/>
      <c r="O212" s="78"/>
      <c r="P212" s="78"/>
      <c r="Q212" s="78"/>
      <c r="R212" s="78"/>
      <c r="S212" s="78"/>
      <c r="T212" s="78"/>
      <c r="U212" s="78"/>
      <c r="V212" s="78"/>
      <c r="W212" s="78"/>
      <c r="X212" s="78"/>
      <c r="Y212" s="78"/>
    </row>
    <row r="213" spans="2:25">
      <c r="B213" s="78"/>
      <c r="C213" s="78"/>
      <c r="D213" s="78"/>
      <c r="E213" s="78"/>
      <c r="F213" s="78"/>
      <c r="G213" s="78"/>
      <c r="H213" s="78"/>
      <c r="I213" s="78"/>
      <c r="J213" s="78"/>
      <c r="K213" s="78"/>
      <c r="L213" s="78"/>
      <c r="M213" s="78"/>
      <c r="N213" s="78"/>
      <c r="O213" s="78"/>
      <c r="P213" s="78"/>
      <c r="Q213" s="78"/>
      <c r="R213" s="78"/>
      <c r="S213" s="78"/>
      <c r="T213" s="78"/>
      <c r="U213" s="78"/>
      <c r="V213" s="78"/>
      <c r="W213" s="78"/>
      <c r="X213" s="78"/>
      <c r="Y213" s="78"/>
    </row>
    <row r="214" spans="2:25">
      <c r="B214" s="78"/>
      <c r="C214" s="78"/>
      <c r="D214" s="78"/>
      <c r="E214" s="78"/>
      <c r="F214" s="78"/>
      <c r="G214" s="78"/>
      <c r="H214" s="78"/>
      <c r="I214" s="78"/>
      <c r="J214" s="78"/>
      <c r="K214" s="78"/>
      <c r="L214" s="78"/>
      <c r="M214" s="78"/>
      <c r="N214" s="78"/>
      <c r="O214" s="78"/>
      <c r="P214" s="78"/>
      <c r="Q214" s="78"/>
      <c r="R214" s="78"/>
      <c r="S214" s="78"/>
      <c r="T214" s="78"/>
      <c r="U214" s="78"/>
      <c r="V214" s="78"/>
      <c r="W214" s="78"/>
      <c r="X214" s="78"/>
      <c r="Y214" s="78"/>
    </row>
    <row r="215" spans="2:25">
      <c r="B215" s="78"/>
      <c r="C215" s="78"/>
      <c r="D215" s="78"/>
      <c r="E215" s="78"/>
      <c r="F215" s="78"/>
      <c r="G215" s="78"/>
      <c r="H215" s="78"/>
      <c r="I215" s="78"/>
      <c r="J215" s="78"/>
      <c r="K215" s="78"/>
      <c r="L215" s="78"/>
      <c r="M215" s="78"/>
      <c r="N215" s="78"/>
      <c r="O215" s="78"/>
      <c r="P215" s="78"/>
      <c r="Q215" s="78"/>
      <c r="R215" s="78"/>
      <c r="S215" s="78"/>
      <c r="T215" s="78"/>
      <c r="U215" s="78"/>
      <c r="V215" s="78"/>
      <c r="W215" s="78"/>
      <c r="X215" s="78"/>
      <c r="Y215" s="78"/>
    </row>
    <row r="216" spans="2:25">
      <c r="B216" s="78"/>
      <c r="C216" s="78"/>
      <c r="D216" s="78"/>
      <c r="E216" s="78"/>
      <c r="F216" s="78"/>
      <c r="G216" s="78"/>
      <c r="H216" s="78"/>
      <c r="I216" s="78"/>
      <c r="J216" s="78"/>
      <c r="K216" s="78"/>
      <c r="L216" s="78"/>
      <c r="M216" s="78"/>
      <c r="N216" s="78"/>
      <c r="O216" s="78"/>
      <c r="P216" s="78"/>
      <c r="Q216" s="78"/>
      <c r="R216" s="78"/>
      <c r="S216" s="78"/>
      <c r="T216" s="78"/>
      <c r="U216" s="78"/>
      <c r="V216" s="78"/>
      <c r="W216" s="83"/>
      <c r="X216" s="83"/>
      <c r="Y216" s="83"/>
    </row>
    <row r="217" spans="2:25">
      <c r="B217" s="78"/>
      <c r="C217" s="78"/>
      <c r="D217" s="78"/>
      <c r="E217" s="78"/>
      <c r="F217" s="78"/>
      <c r="G217" s="78"/>
      <c r="H217" s="78"/>
      <c r="I217" s="78"/>
      <c r="J217" s="78"/>
      <c r="K217" s="78"/>
      <c r="L217" s="78"/>
      <c r="M217" s="78"/>
      <c r="N217" s="78"/>
      <c r="O217" s="78"/>
      <c r="P217" s="78"/>
      <c r="Q217" s="78"/>
      <c r="R217" s="78"/>
      <c r="S217" s="78"/>
      <c r="T217" s="78"/>
      <c r="U217" s="78"/>
      <c r="V217" s="78"/>
      <c r="W217" s="83"/>
      <c r="X217" s="83"/>
      <c r="Y217" s="83"/>
    </row>
    <row r="218" spans="2:25">
      <c r="B218" s="78"/>
      <c r="C218" s="78"/>
      <c r="D218" s="78"/>
      <c r="E218" s="78"/>
      <c r="F218" s="78"/>
      <c r="G218" s="78"/>
      <c r="H218" s="78"/>
      <c r="I218" s="78"/>
      <c r="J218" s="78"/>
      <c r="K218" s="78"/>
      <c r="L218" s="78"/>
      <c r="M218" s="78"/>
      <c r="N218" s="78"/>
      <c r="O218" s="78"/>
      <c r="P218" s="78"/>
      <c r="Q218" s="78"/>
      <c r="R218" s="78"/>
      <c r="S218" s="78"/>
      <c r="T218" s="78"/>
      <c r="U218" s="78"/>
      <c r="V218" s="78"/>
      <c r="W218" s="83"/>
      <c r="X218" s="83"/>
      <c r="Y218" s="83"/>
    </row>
    <row r="219" spans="2:25">
      <c r="N219" s="78"/>
    </row>
    <row r="220" spans="2:25">
      <c r="I220" s="84"/>
      <c r="J220" s="84"/>
      <c r="K220" s="84"/>
      <c r="L220" s="84"/>
      <c r="M220" s="84"/>
      <c r="N220" s="84"/>
      <c r="O220" s="84"/>
      <c r="P220" s="84"/>
      <c r="Q220" s="84"/>
      <c r="R220" s="84"/>
      <c r="S220" s="84"/>
      <c r="T220" s="84"/>
      <c r="U220" s="84"/>
      <c r="V220" s="84"/>
      <c r="W220" s="84"/>
      <c r="X220" s="84"/>
      <c r="Y220" s="84"/>
    </row>
  </sheetData>
  <mergeCells count="144">
    <mergeCell ref="H114:H115"/>
    <mergeCell ref="I114:I115"/>
    <mergeCell ref="B171:K171"/>
    <mergeCell ref="J15:M17"/>
    <mergeCell ref="G11:G12"/>
    <mergeCell ref="B21:C21"/>
    <mergeCell ref="B104:C105"/>
    <mergeCell ref="B56:F56"/>
    <mergeCell ref="I79:I81"/>
    <mergeCell ref="G158:M158"/>
    <mergeCell ref="C58:D58"/>
    <mergeCell ref="C57:F57"/>
    <mergeCell ref="G58:H58"/>
    <mergeCell ref="G57:J57"/>
    <mergeCell ref="M57:M58"/>
    <mergeCell ref="J24:M25"/>
    <mergeCell ref="C27:D28"/>
    <mergeCell ref="E27:F28"/>
    <mergeCell ref="G27:H28"/>
    <mergeCell ref="E42:E43"/>
    <mergeCell ref="F42:F43"/>
    <mergeCell ref="B42:B44"/>
    <mergeCell ref="C42:D43"/>
    <mergeCell ref="G42:H43"/>
    <mergeCell ref="B27:B29"/>
    <mergeCell ref="G114:G115"/>
    <mergeCell ref="B176:N176"/>
    <mergeCell ref="B175:N175"/>
    <mergeCell ref="L59:N63"/>
    <mergeCell ref="H79:H81"/>
    <mergeCell ref="B159:D162"/>
    <mergeCell ref="G145:I145"/>
    <mergeCell ref="E159:F162"/>
    <mergeCell ref="G144:I144"/>
    <mergeCell ref="G142:I142"/>
    <mergeCell ref="G137:I137"/>
    <mergeCell ref="L164:M165"/>
    <mergeCell ref="L166:M170"/>
    <mergeCell ref="B164:D165"/>
    <mergeCell ref="B133:D133"/>
    <mergeCell ref="B134:M134"/>
    <mergeCell ref="I131:J131"/>
    <mergeCell ref="B131:D132"/>
    <mergeCell ref="F131:H131"/>
    <mergeCell ref="G141:I141"/>
    <mergeCell ref="J159:K162"/>
    <mergeCell ref="G146:I146"/>
    <mergeCell ref="G154:I154"/>
    <mergeCell ref="B64:N64"/>
    <mergeCell ref="B57:B59"/>
    <mergeCell ref="B1:N1"/>
    <mergeCell ref="D3:G3"/>
    <mergeCell ref="B5:C5"/>
    <mergeCell ref="F5:G5"/>
    <mergeCell ref="B3:C3"/>
    <mergeCell ref="J18:M20"/>
    <mergeCell ref="J21:M23"/>
    <mergeCell ref="I15:I17"/>
    <mergeCell ref="J5:K5"/>
    <mergeCell ref="B16:C16"/>
    <mergeCell ref="B17:C17"/>
    <mergeCell ref="B18:C18"/>
    <mergeCell ref="I18:I20"/>
    <mergeCell ref="I21:I23"/>
    <mergeCell ref="B11:C13"/>
    <mergeCell ref="F11:F12"/>
    <mergeCell ref="D11:E12"/>
    <mergeCell ref="I12:I14"/>
    <mergeCell ref="B23:C23"/>
    <mergeCell ref="J12:M14"/>
    <mergeCell ref="B20:C20"/>
    <mergeCell ref="M5:N6"/>
    <mergeCell ref="M135:M136"/>
    <mergeCell ref="J135:J136"/>
    <mergeCell ref="E123:E124"/>
    <mergeCell ref="B22:C22"/>
    <mergeCell ref="B110:L112"/>
    <mergeCell ref="B24:G26"/>
    <mergeCell ref="G138:I138"/>
    <mergeCell ref="G139:I139"/>
    <mergeCell ref="G140:I140"/>
    <mergeCell ref="J113:J115"/>
    <mergeCell ref="D114:D115"/>
    <mergeCell ref="E114:E115"/>
    <mergeCell ref="F114:F115"/>
    <mergeCell ref="G135:I136"/>
    <mergeCell ref="L135:L136"/>
    <mergeCell ref="K135:K136"/>
    <mergeCell ref="I104:K104"/>
    <mergeCell ref="K82:L89"/>
    <mergeCell ref="K79:L81"/>
    <mergeCell ref="D104:F104"/>
    <mergeCell ref="G104:H104"/>
    <mergeCell ref="L104:L105"/>
    <mergeCell ref="E131:E132"/>
    <mergeCell ref="B126:D126"/>
    <mergeCell ref="B123:D124"/>
    <mergeCell ref="I123:M123"/>
    <mergeCell ref="B129:N130"/>
    <mergeCell ref="W209:Y209"/>
    <mergeCell ref="S208:Y208"/>
    <mergeCell ref="S209:U209"/>
    <mergeCell ref="B169:D169"/>
    <mergeCell ref="B170:D170"/>
    <mergeCell ref="I169:I170"/>
    <mergeCell ref="J164:J165"/>
    <mergeCell ref="E164:E165"/>
    <mergeCell ref="F164:F165"/>
    <mergeCell ref="G164:G165"/>
    <mergeCell ref="H164:H165"/>
    <mergeCell ref="I164:I165"/>
    <mergeCell ref="B177:N177"/>
    <mergeCell ref="B180:N180"/>
    <mergeCell ref="G155:I155"/>
    <mergeCell ref="G156:I156"/>
    <mergeCell ref="G147:I147"/>
    <mergeCell ref="G148:I148"/>
    <mergeCell ref="G150:I150"/>
    <mergeCell ref="G153:I153"/>
    <mergeCell ref="G149:I149"/>
    <mergeCell ref="G151:I151"/>
    <mergeCell ref="B183:N183"/>
    <mergeCell ref="B179:N179"/>
    <mergeCell ref="B128:D128"/>
    <mergeCell ref="F123:H123"/>
    <mergeCell ref="B127:D127"/>
    <mergeCell ref="D79:G79"/>
    <mergeCell ref="B79:C81"/>
    <mergeCell ref="B82:C82"/>
    <mergeCell ref="B83:C83"/>
    <mergeCell ref="B84:C84"/>
    <mergeCell ref="B85:C85"/>
    <mergeCell ref="B86:C86"/>
    <mergeCell ref="B87:I90"/>
    <mergeCell ref="B121:K122"/>
    <mergeCell ref="G113:I113"/>
    <mergeCell ref="B113:C115"/>
    <mergeCell ref="B116:C116"/>
    <mergeCell ref="B117:C117"/>
    <mergeCell ref="B118:C118"/>
    <mergeCell ref="B119:C119"/>
    <mergeCell ref="B120:C120"/>
    <mergeCell ref="D113:F113"/>
    <mergeCell ref="B125:D125"/>
  </mergeCells>
  <dataValidations count="1">
    <dataValidation type="list" allowBlank="1" showInputMessage="1" showErrorMessage="1" sqref="D3">
      <formula1>Locality</formula1>
    </dataValidation>
  </dataValidations>
  <printOptions horizontalCentered="1"/>
  <pageMargins left="0.25" right="0.25" top="0.5" bottom="0.5" header="0.3" footer="0.3"/>
  <pageSetup scale="99" orientation="landscape" r:id="rId1"/>
  <headerFooter>
    <oddFooter>&amp;L&amp;"Cambria,Regular"&amp;9Compiled by the VDSS Office of Research and Planning.  For more information, contact Gail.Jennings@dss.virginia.gov.&amp;R&amp;"Cambria,Regular"&amp;9&amp;P of &amp;N</oddFooter>
  </headerFooter>
  <rowBreaks count="4" manualBreakCount="4">
    <brk id="41" max="16383" man="1"/>
    <brk id="77" min="1" max="13" man="1"/>
    <brk id="112" min="1" max="13" man="1"/>
    <brk id="134" max="16383" man="1"/>
  </rowBreaks>
  <drawing r:id="rId2"/>
</worksheet>
</file>

<file path=xl/worksheets/sheet10.xml><?xml version="1.0" encoding="utf-8"?>
<worksheet xmlns="http://schemas.openxmlformats.org/spreadsheetml/2006/main" xmlns:r="http://schemas.openxmlformats.org/officeDocument/2006/relationships">
  <dimension ref="A1:AF137"/>
  <sheetViews>
    <sheetView workbookViewId="0">
      <pane ySplit="5" topLeftCell="A6" activePane="bottomLeft" state="frozen"/>
      <selection pane="bottomLeft" activeCell="B16" sqref="B16"/>
    </sheetView>
  </sheetViews>
  <sheetFormatPr defaultRowHeight="15.75"/>
  <cols>
    <col min="1" max="1" width="11.125" style="403" customWidth="1"/>
    <col min="2" max="2" width="33.125" style="403" customWidth="1"/>
    <col min="3" max="16" width="9.875" style="271" customWidth="1"/>
    <col min="17" max="17" width="2.75" style="271" customWidth="1"/>
    <col min="18" max="31" width="9" style="271"/>
    <col min="32" max="32" width="4.5" style="271" customWidth="1"/>
    <col min="33" max="16384" width="9" style="271"/>
  </cols>
  <sheetData>
    <row r="1" spans="1:32">
      <c r="A1" s="193" t="s">
        <v>1010</v>
      </c>
    </row>
    <row r="2" spans="1:32">
      <c r="A2" s="193"/>
    </row>
    <row r="3" spans="1:32">
      <c r="C3" s="1892" t="s">
        <v>780</v>
      </c>
      <c r="D3" s="1892"/>
      <c r="E3" s="1892"/>
      <c r="F3" s="1892"/>
      <c r="G3" s="1892"/>
      <c r="H3" s="1892"/>
      <c r="I3" s="1892"/>
      <c r="J3" s="1892"/>
      <c r="K3" s="1892"/>
      <c r="L3" s="1892"/>
      <c r="M3" s="1892"/>
      <c r="N3" s="400"/>
      <c r="O3" s="1027"/>
      <c r="P3" s="1504"/>
      <c r="R3" s="1893" t="s">
        <v>781</v>
      </c>
      <c r="S3" s="1893"/>
      <c r="T3" s="1893"/>
      <c r="U3" s="1893"/>
      <c r="V3" s="1893"/>
      <c r="W3" s="1893"/>
      <c r="X3" s="1893"/>
      <c r="Y3" s="1893"/>
      <c r="Z3" s="1893"/>
      <c r="AA3" s="1893"/>
      <c r="AB3" s="1893"/>
      <c r="AC3" s="317"/>
      <c r="AD3" s="1026"/>
      <c r="AE3" s="1503"/>
      <c r="AF3" s="311"/>
    </row>
    <row r="4" spans="1:32">
      <c r="A4" s="533" t="s">
        <v>4</v>
      </c>
      <c r="B4" s="534" t="s">
        <v>5</v>
      </c>
      <c r="C4" s="404">
        <v>2000</v>
      </c>
      <c r="D4" s="405">
        <v>2001</v>
      </c>
      <c r="E4" s="405">
        <v>2002</v>
      </c>
      <c r="F4" s="405">
        <v>2003</v>
      </c>
      <c r="G4" s="405">
        <v>2004</v>
      </c>
      <c r="H4" s="405">
        <v>2005</v>
      </c>
      <c r="I4" s="405">
        <v>2006</v>
      </c>
      <c r="J4" s="405">
        <v>2007</v>
      </c>
      <c r="K4" s="405">
        <v>2008</v>
      </c>
      <c r="L4" s="405">
        <v>2009</v>
      </c>
      <c r="M4" s="406">
        <v>2010</v>
      </c>
      <c r="N4" s="406">
        <v>2011</v>
      </c>
      <c r="O4" s="407">
        <v>2012</v>
      </c>
      <c r="P4" s="1533">
        <v>2013</v>
      </c>
      <c r="R4" s="404">
        <v>2000</v>
      </c>
      <c r="S4" s="405">
        <v>2001</v>
      </c>
      <c r="T4" s="405">
        <v>2002</v>
      </c>
      <c r="U4" s="405">
        <v>2003</v>
      </c>
      <c r="V4" s="405">
        <v>2004</v>
      </c>
      <c r="W4" s="405">
        <v>2005</v>
      </c>
      <c r="X4" s="405">
        <v>2006</v>
      </c>
      <c r="Y4" s="405">
        <v>2007</v>
      </c>
      <c r="Z4" s="405">
        <v>2008</v>
      </c>
      <c r="AA4" s="405">
        <v>2009</v>
      </c>
      <c r="AB4" s="406">
        <v>2010</v>
      </c>
      <c r="AC4" s="406">
        <v>2011</v>
      </c>
      <c r="AD4" s="1536">
        <v>2012</v>
      </c>
      <c r="AE4" s="1505">
        <v>2013</v>
      </c>
      <c r="AF4" s="64"/>
    </row>
    <row r="5" spans="1:32">
      <c r="A5" s="408" t="s">
        <v>8</v>
      </c>
      <c r="B5" s="409" t="s">
        <v>9</v>
      </c>
      <c r="C5" s="410">
        <v>211862</v>
      </c>
      <c r="D5" s="411">
        <v>195437</v>
      </c>
      <c r="E5" s="411">
        <v>224014</v>
      </c>
      <c r="F5" s="411">
        <v>243635</v>
      </c>
      <c r="G5" s="411">
        <v>221675</v>
      </c>
      <c r="H5" s="411">
        <v>237858</v>
      </c>
      <c r="I5" s="411">
        <v>219261</v>
      </c>
      <c r="J5" s="411">
        <v>232569</v>
      </c>
      <c r="K5" s="411">
        <v>244210</v>
      </c>
      <c r="L5" s="411">
        <v>255156</v>
      </c>
      <c r="M5" s="412">
        <v>266606</v>
      </c>
      <c r="N5" s="1054">
        <v>284561</v>
      </c>
      <c r="O5" s="1055">
        <v>283035</v>
      </c>
      <c r="P5" s="1534">
        <v>289032</v>
      </c>
      <c r="R5" s="413">
        <v>0.12155565230837527</v>
      </c>
      <c r="S5" s="414">
        <v>0.112</v>
      </c>
      <c r="T5" s="414">
        <v>0.12495566815144066</v>
      </c>
      <c r="U5" s="414">
        <v>0.13600000000000001</v>
      </c>
      <c r="V5" s="414">
        <v>0.12190485917712804</v>
      </c>
      <c r="W5" s="414">
        <v>0.13300000000000001</v>
      </c>
      <c r="X5" s="414">
        <v>0.12322064717116948</v>
      </c>
      <c r="Y5" s="414">
        <v>0.12930216566469369</v>
      </c>
      <c r="Z5" s="414">
        <v>0.13580226821250407</v>
      </c>
      <c r="AA5" s="414">
        <v>0.14000000000000001</v>
      </c>
      <c r="AB5" s="415">
        <v>0.14555376556266278</v>
      </c>
      <c r="AC5" s="1052">
        <v>0.156</v>
      </c>
      <c r="AD5" s="1537">
        <v>0.155</v>
      </c>
      <c r="AE5" s="1053">
        <v>0.15745553871615489</v>
      </c>
    </row>
    <row r="6" spans="1:32">
      <c r="A6" s="416" t="s">
        <v>10</v>
      </c>
      <c r="B6" s="417" t="s">
        <v>455</v>
      </c>
      <c r="C6" s="418">
        <v>2334</v>
      </c>
      <c r="D6" s="419">
        <v>2014</v>
      </c>
      <c r="E6" s="419">
        <v>2153</v>
      </c>
      <c r="F6" s="419">
        <v>2232</v>
      </c>
      <c r="G6" s="419">
        <v>1811</v>
      </c>
      <c r="H6" s="419">
        <v>2347</v>
      </c>
      <c r="I6" s="419">
        <v>2041</v>
      </c>
      <c r="J6" s="419">
        <v>2156</v>
      </c>
      <c r="K6" s="419">
        <v>2507</v>
      </c>
      <c r="L6" s="419">
        <v>2272</v>
      </c>
      <c r="M6" s="420">
        <v>1956</v>
      </c>
      <c r="N6" s="420">
        <v>2111</v>
      </c>
      <c r="O6" s="1056">
        <v>2184</v>
      </c>
      <c r="P6" s="1012">
        <v>2029</v>
      </c>
      <c r="R6" s="422">
        <v>0.255</v>
      </c>
      <c r="S6" s="423">
        <v>0.22199999999999998</v>
      </c>
      <c r="T6" s="423">
        <v>0.23600000000000002</v>
      </c>
      <c r="U6" s="423">
        <v>0.24399999999999999</v>
      </c>
      <c r="V6" s="423">
        <v>0.2</v>
      </c>
      <c r="W6" s="423">
        <v>0.26399999999999996</v>
      </c>
      <c r="X6" s="423">
        <v>0.23199999999999998</v>
      </c>
      <c r="Y6" s="423">
        <v>0.25100000000000006</v>
      </c>
      <c r="Z6" s="423">
        <v>0.29699999999999999</v>
      </c>
      <c r="AA6" s="423">
        <v>0.27400000000000002</v>
      </c>
      <c r="AB6" s="424">
        <v>0.28699999999999998</v>
      </c>
      <c r="AC6" s="424">
        <v>0.30499999999999999</v>
      </c>
      <c r="AD6" s="424">
        <v>0.314</v>
      </c>
      <c r="AE6" s="437">
        <v>0.29439930354033661</v>
      </c>
    </row>
    <row r="7" spans="1:32">
      <c r="A7" s="416" t="s">
        <v>12</v>
      </c>
      <c r="B7" s="417" t="s">
        <v>456</v>
      </c>
      <c r="C7" s="418">
        <v>1584</v>
      </c>
      <c r="D7" s="419">
        <v>1444</v>
      </c>
      <c r="E7" s="419">
        <v>1613</v>
      </c>
      <c r="F7" s="419">
        <v>1812</v>
      </c>
      <c r="G7" s="419">
        <v>1646</v>
      </c>
      <c r="H7" s="419">
        <v>1561</v>
      </c>
      <c r="I7" s="419">
        <v>1446</v>
      </c>
      <c r="J7" s="419">
        <v>1831</v>
      </c>
      <c r="K7" s="419">
        <v>1642</v>
      </c>
      <c r="L7" s="419">
        <v>1836</v>
      </c>
      <c r="M7" s="420">
        <v>2107</v>
      </c>
      <c r="N7" s="420">
        <v>2249</v>
      </c>
      <c r="O7" s="1056">
        <v>2350</v>
      </c>
      <c r="P7" s="1012">
        <v>2491</v>
      </c>
      <c r="R7" s="422">
        <v>0.08</v>
      </c>
      <c r="S7" s="423">
        <v>7.3000000000000009E-2</v>
      </c>
      <c r="T7" s="423">
        <v>0.08</v>
      </c>
      <c r="U7" s="423">
        <v>9.0999999999999984E-2</v>
      </c>
      <c r="V7" s="423">
        <v>8.199999999999999E-2</v>
      </c>
      <c r="W7" s="423">
        <v>7.9000000000000001E-2</v>
      </c>
      <c r="X7" s="423">
        <v>7.3999999999999996E-2</v>
      </c>
      <c r="Y7" s="423">
        <v>9.1999999999999998E-2</v>
      </c>
      <c r="Z7" s="423">
        <v>8.3000000000000004E-2</v>
      </c>
      <c r="AA7" s="423">
        <v>9.0999999999999984E-2</v>
      </c>
      <c r="AB7" s="424">
        <v>0.1</v>
      </c>
      <c r="AC7" s="424">
        <v>0.106</v>
      </c>
      <c r="AD7" s="424">
        <v>0.11</v>
      </c>
      <c r="AE7" s="425">
        <v>0.11561847296356463</v>
      </c>
    </row>
    <row r="8" spans="1:32">
      <c r="A8" s="416" t="s">
        <v>16</v>
      </c>
      <c r="B8" s="417" t="s">
        <v>769</v>
      </c>
      <c r="C8" s="418">
        <v>781</v>
      </c>
      <c r="D8" s="419">
        <v>690</v>
      </c>
      <c r="E8" s="419">
        <v>766</v>
      </c>
      <c r="F8" s="419">
        <v>890</v>
      </c>
      <c r="G8" s="419">
        <v>790</v>
      </c>
      <c r="H8" s="419">
        <v>875</v>
      </c>
      <c r="I8" s="419">
        <v>832</v>
      </c>
      <c r="J8" s="419">
        <v>843</v>
      </c>
      <c r="K8" s="419">
        <v>882</v>
      </c>
      <c r="L8" s="419">
        <v>922</v>
      </c>
      <c r="M8" s="420">
        <v>989</v>
      </c>
      <c r="N8" s="420">
        <v>985</v>
      </c>
      <c r="O8" s="1056">
        <v>962</v>
      </c>
      <c r="P8" s="1012">
        <v>961</v>
      </c>
      <c r="R8" s="422">
        <v>0.15374659685863876</v>
      </c>
      <c r="S8" s="423">
        <v>0.13747924528301886</v>
      </c>
      <c r="T8" s="423">
        <v>0.15099499374217773</v>
      </c>
      <c r="U8" s="423">
        <v>0.18230162900683131</v>
      </c>
      <c r="V8" s="423">
        <v>0.16216525696558184</v>
      </c>
      <c r="W8" s="423">
        <v>0.18170718813046882</v>
      </c>
      <c r="X8" s="423">
        <v>0.17695105515380732</v>
      </c>
      <c r="Y8" s="423">
        <v>0.18159462861938733</v>
      </c>
      <c r="Z8" s="423">
        <v>0.1933776793706129</v>
      </c>
      <c r="AA8" s="423">
        <v>0.20131421510384487</v>
      </c>
      <c r="AB8" s="424">
        <v>0.21467522545308657</v>
      </c>
      <c r="AC8" s="424">
        <v>0.21782397169394074</v>
      </c>
      <c r="AD8" s="424">
        <v>0.216</v>
      </c>
      <c r="AE8" s="425">
        <v>0.22026128810451523</v>
      </c>
    </row>
    <row r="9" spans="1:32">
      <c r="A9" s="416" t="s">
        <v>18</v>
      </c>
      <c r="B9" s="417" t="s">
        <v>457</v>
      </c>
      <c r="C9" s="418">
        <v>352</v>
      </c>
      <c r="D9" s="419">
        <v>315</v>
      </c>
      <c r="E9" s="419">
        <v>356</v>
      </c>
      <c r="F9" s="419">
        <v>394</v>
      </c>
      <c r="G9" s="419">
        <v>349</v>
      </c>
      <c r="H9" s="419">
        <v>372</v>
      </c>
      <c r="I9" s="419">
        <v>352</v>
      </c>
      <c r="J9" s="419">
        <v>358</v>
      </c>
      <c r="K9" s="419">
        <v>373</v>
      </c>
      <c r="L9" s="419">
        <v>475</v>
      </c>
      <c r="M9" s="420">
        <v>467</v>
      </c>
      <c r="N9" s="420">
        <v>505</v>
      </c>
      <c r="O9" s="1056">
        <v>516</v>
      </c>
      <c r="P9" s="1012">
        <v>481</v>
      </c>
      <c r="R9" s="422">
        <v>0.12400000000000001</v>
      </c>
      <c r="S9" s="423">
        <v>0.113</v>
      </c>
      <c r="T9" s="423">
        <v>0.129</v>
      </c>
      <c r="U9" s="423">
        <v>0.14199999999999999</v>
      </c>
      <c r="V9" s="423">
        <v>0.124</v>
      </c>
      <c r="W9" s="423">
        <v>0.13400000000000001</v>
      </c>
      <c r="X9" s="423">
        <v>0.125</v>
      </c>
      <c r="Y9" s="423">
        <v>0.125</v>
      </c>
      <c r="Z9" s="423">
        <v>0.13100000000000001</v>
      </c>
      <c r="AA9" s="423">
        <v>0.16499999999999998</v>
      </c>
      <c r="AB9" s="424">
        <v>0.16800000000000001</v>
      </c>
      <c r="AC9" s="424">
        <v>0.184</v>
      </c>
      <c r="AD9" s="424">
        <v>0.19</v>
      </c>
      <c r="AE9" s="425">
        <v>0.18205904617713853</v>
      </c>
    </row>
    <row r="10" spans="1:32">
      <c r="A10" s="416" t="s">
        <v>20</v>
      </c>
      <c r="B10" s="417" t="s">
        <v>458</v>
      </c>
      <c r="C10" s="418">
        <v>1046</v>
      </c>
      <c r="D10" s="419">
        <v>930</v>
      </c>
      <c r="E10" s="419">
        <v>1101</v>
      </c>
      <c r="F10" s="419">
        <v>1219</v>
      </c>
      <c r="G10" s="419">
        <v>1086</v>
      </c>
      <c r="H10" s="419">
        <v>1104</v>
      </c>
      <c r="I10" s="419">
        <v>1068</v>
      </c>
      <c r="J10" s="419">
        <v>1072</v>
      </c>
      <c r="K10" s="419">
        <v>1131</v>
      </c>
      <c r="L10" s="419">
        <v>1184</v>
      </c>
      <c r="M10" s="420">
        <v>1291</v>
      </c>
      <c r="N10" s="420">
        <v>1333</v>
      </c>
      <c r="O10" s="1056">
        <v>1333</v>
      </c>
      <c r="P10" s="1012">
        <v>1323</v>
      </c>
      <c r="R10" s="422">
        <v>0.14300000000000002</v>
      </c>
      <c r="S10" s="423">
        <v>0.129</v>
      </c>
      <c r="T10" s="423">
        <v>0.152</v>
      </c>
      <c r="U10" s="423">
        <v>0.17199999999999999</v>
      </c>
      <c r="V10" s="423">
        <v>0.155</v>
      </c>
      <c r="W10" s="423">
        <v>0.16300000000000001</v>
      </c>
      <c r="X10" s="423">
        <v>0.16</v>
      </c>
      <c r="Y10" s="423">
        <v>0.161</v>
      </c>
      <c r="Z10" s="423">
        <v>0.17399999999999999</v>
      </c>
      <c r="AA10" s="423">
        <v>0.17699999999999999</v>
      </c>
      <c r="AB10" s="424">
        <v>0.18899999999999997</v>
      </c>
      <c r="AC10" s="424">
        <v>0.20199999999999999</v>
      </c>
      <c r="AD10" s="424">
        <v>0.20300000000000001</v>
      </c>
      <c r="AE10" s="425">
        <v>0.20759453946336107</v>
      </c>
    </row>
    <row r="11" spans="1:32">
      <c r="A11" s="416" t="s">
        <v>22</v>
      </c>
      <c r="B11" s="417" t="s">
        <v>459</v>
      </c>
      <c r="C11" s="418">
        <v>520</v>
      </c>
      <c r="D11" s="419">
        <v>482</v>
      </c>
      <c r="E11" s="419">
        <v>548</v>
      </c>
      <c r="F11" s="419">
        <v>598</v>
      </c>
      <c r="G11" s="419">
        <v>510</v>
      </c>
      <c r="H11" s="419">
        <v>553</v>
      </c>
      <c r="I11" s="419">
        <v>551</v>
      </c>
      <c r="J11" s="419">
        <v>557</v>
      </c>
      <c r="K11" s="419">
        <v>629</v>
      </c>
      <c r="L11" s="419">
        <v>689</v>
      </c>
      <c r="M11" s="420">
        <v>717</v>
      </c>
      <c r="N11" s="420">
        <v>725</v>
      </c>
      <c r="O11" s="1056">
        <v>783</v>
      </c>
      <c r="P11" s="1012">
        <v>789</v>
      </c>
      <c r="R11" s="422">
        <v>0.157</v>
      </c>
      <c r="S11" s="423">
        <v>0.15</v>
      </c>
      <c r="T11" s="423">
        <v>0.17100000000000001</v>
      </c>
      <c r="U11" s="423">
        <v>0.189</v>
      </c>
      <c r="V11" s="423">
        <v>0.161</v>
      </c>
      <c r="W11" s="423">
        <v>0.17599999999999999</v>
      </c>
      <c r="X11" s="423">
        <v>0.17899999999999999</v>
      </c>
      <c r="Y11" s="423">
        <v>0.18</v>
      </c>
      <c r="Z11" s="423">
        <v>0.2</v>
      </c>
      <c r="AA11" s="423">
        <v>0.219</v>
      </c>
      <c r="AB11" s="424">
        <v>0.21800000000000003</v>
      </c>
      <c r="AC11" s="424">
        <v>0.223</v>
      </c>
      <c r="AD11" s="424">
        <v>0.24</v>
      </c>
      <c r="AE11" s="425">
        <v>0.24047546479731788</v>
      </c>
    </row>
    <row r="12" spans="1:32">
      <c r="A12" s="416" t="s">
        <v>24</v>
      </c>
      <c r="B12" s="417" t="s">
        <v>460</v>
      </c>
      <c r="C12" s="418">
        <v>3124</v>
      </c>
      <c r="D12" s="419">
        <v>2830</v>
      </c>
      <c r="E12" s="419">
        <v>3092</v>
      </c>
      <c r="F12" s="419">
        <v>3195</v>
      </c>
      <c r="G12" s="419">
        <v>3170</v>
      </c>
      <c r="H12" s="419">
        <v>3308</v>
      </c>
      <c r="I12" s="419">
        <v>2955</v>
      </c>
      <c r="J12" s="419">
        <v>3004</v>
      </c>
      <c r="K12" s="419">
        <v>3348</v>
      </c>
      <c r="L12" s="419">
        <v>3284</v>
      </c>
      <c r="M12" s="420">
        <v>3392</v>
      </c>
      <c r="N12" s="420">
        <v>3451</v>
      </c>
      <c r="O12" s="1056">
        <v>3261</v>
      </c>
      <c r="P12" s="1012">
        <v>4137</v>
      </c>
      <c r="R12" s="422">
        <v>0.1</v>
      </c>
      <c r="S12" s="423">
        <v>8.8999999999999996E-2</v>
      </c>
      <c r="T12" s="423">
        <v>9.5000000000000001E-2</v>
      </c>
      <c r="U12" s="423">
        <v>9.5000000000000001E-2</v>
      </c>
      <c r="V12" s="423">
        <v>9.0999999999999984E-2</v>
      </c>
      <c r="W12" s="423">
        <v>9.5999999999999988E-2</v>
      </c>
      <c r="X12" s="423">
        <v>8.4999999999999992E-2</v>
      </c>
      <c r="Y12" s="423">
        <v>8.3999999999999991E-2</v>
      </c>
      <c r="Z12" s="423">
        <v>8.8000000000000009E-2</v>
      </c>
      <c r="AA12" s="423">
        <v>9.2999999999999999E-2</v>
      </c>
      <c r="AB12" s="424">
        <v>0.10400000000000001</v>
      </c>
      <c r="AC12" s="424">
        <v>0.10099999999999999</v>
      </c>
      <c r="AD12" s="424">
        <v>9.1999999999999998E-2</v>
      </c>
      <c r="AE12" s="425">
        <v>0.11150041775597661</v>
      </c>
    </row>
    <row r="13" spans="1:32">
      <c r="A13" s="416" t="s">
        <v>26</v>
      </c>
      <c r="B13" s="505" t="s">
        <v>770</v>
      </c>
      <c r="C13" s="418">
        <v>3191</v>
      </c>
      <c r="D13" s="419">
        <v>2991</v>
      </c>
      <c r="E13" s="419">
        <v>3298</v>
      </c>
      <c r="F13" s="419">
        <v>3529</v>
      </c>
      <c r="G13" s="419">
        <v>3272</v>
      </c>
      <c r="H13" s="419">
        <v>3505</v>
      </c>
      <c r="I13" s="419">
        <v>3505</v>
      </c>
      <c r="J13" s="419">
        <v>3697</v>
      </c>
      <c r="K13" s="419">
        <v>3724</v>
      </c>
      <c r="L13" s="419">
        <v>4096</v>
      </c>
      <c r="M13" s="420">
        <v>4400</v>
      </c>
      <c r="N13" s="420">
        <v>4536</v>
      </c>
      <c r="O13" s="1056">
        <v>4306</v>
      </c>
      <c r="P13" s="1012">
        <v>4249</v>
      </c>
      <c r="R13" s="422">
        <v>0.13087876336093662</v>
      </c>
      <c r="S13" s="423">
        <v>0.12328640660095588</v>
      </c>
      <c r="T13" s="423">
        <v>0.1346739708466082</v>
      </c>
      <c r="U13" s="423">
        <v>0.14416955964817399</v>
      </c>
      <c r="V13" s="423">
        <v>0.13188270816880912</v>
      </c>
      <c r="W13" s="423">
        <v>0.14273149548278821</v>
      </c>
      <c r="X13" s="423">
        <v>0.14512539405354707</v>
      </c>
      <c r="Y13" s="423">
        <v>0.14915355306345557</v>
      </c>
      <c r="Z13" s="423">
        <v>0.15178195639792957</v>
      </c>
      <c r="AA13" s="423">
        <v>0.16398952402216457</v>
      </c>
      <c r="AB13" s="424">
        <v>0.17830952995295352</v>
      </c>
      <c r="AC13" s="424">
        <v>0.18582548136009833</v>
      </c>
      <c r="AD13" s="424">
        <v>0.17899999999999999</v>
      </c>
      <c r="AE13" s="425">
        <v>0.17762635341331884</v>
      </c>
    </row>
    <row r="14" spans="1:32">
      <c r="A14" s="416" t="s">
        <v>27</v>
      </c>
      <c r="B14" s="417" t="s">
        <v>461</v>
      </c>
      <c r="C14" s="418">
        <v>102</v>
      </c>
      <c r="D14" s="419">
        <v>97</v>
      </c>
      <c r="E14" s="419">
        <v>95</v>
      </c>
      <c r="F14" s="419">
        <v>99</v>
      </c>
      <c r="G14" s="419">
        <v>83</v>
      </c>
      <c r="H14" s="419">
        <v>89</v>
      </c>
      <c r="I14" s="419">
        <v>88</v>
      </c>
      <c r="J14" s="419">
        <v>80</v>
      </c>
      <c r="K14" s="419">
        <v>89</v>
      </c>
      <c r="L14" s="419">
        <v>117</v>
      </c>
      <c r="M14" s="420">
        <v>123</v>
      </c>
      <c r="N14" s="420">
        <v>122</v>
      </c>
      <c r="O14" s="1056">
        <v>124</v>
      </c>
      <c r="P14" s="1012">
        <v>132</v>
      </c>
      <c r="R14" s="422">
        <v>0.10099999999999999</v>
      </c>
      <c r="S14" s="423">
        <v>9.8000000000000004E-2</v>
      </c>
      <c r="T14" s="423">
        <v>9.9000000000000005E-2</v>
      </c>
      <c r="U14" s="423">
        <v>0.106</v>
      </c>
      <c r="V14" s="423">
        <v>9.1999999999999985E-2</v>
      </c>
      <c r="W14" s="423">
        <v>0.1</v>
      </c>
      <c r="X14" s="423">
        <v>0.106</v>
      </c>
      <c r="Y14" s="423">
        <v>0.10300000000000001</v>
      </c>
      <c r="Z14" s="423">
        <v>0.12300000000000001</v>
      </c>
      <c r="AA14" s="423">
        <v>0.14799999999999999</v>
      </c>
      <c r="AB14" s="424">
        <v>0.157</v>
      </c>
      <c r="AC14" s="424">
        <v>0.159</v>
      </c>
      <c r="AD14" s="424">
        <v>0.16400000000000001</v>
      </c>
      <c r="AE14" s="425">
        <v>0.17886178861788618</v>
      </c>
    </row>
    <row r="15" spans="1:32">
      <c r="A15" s="416" t="s">
        <v>29</v>
      </c>
      <c r="B15" s="417" t="s">
        <v>1012</v>
      </c>
      <c r="C15" s="418">
        <v>1623</v>
      </c>
      <c r="D15" s="419">
        <v>1526</v>
      </c>
      <c r="E15" s="419">
        <v>1664</v>
      </c>
      <c r="F15" s="419">
        <v>1861</v>
      </c>
      <c r="G15" s="419">
        <v>1732</v>
      </c>
      <c r="H15" s="419">
        <v>1803</v>
      </c>
      <c r="I15" s="419">
        <v>1685</v>
      </c>
      <c r="J15" s="419">
        <v>1839</v>
      </c>
      <c r="K15" s="419">
        <v>1773</v>
      </c>
      <c r="L15" s="419">
        <v>1987</v>
      </c>
      <c r="M15" s="420">
        <v>2297</v>
      </c>
      <c r="N15" s="420">
        <v>2391</v>
      </c>
      <c r="O15" s="1056">
        <v>2277</v>
      </c>
      <c r="P15" s="1012">
        <v>2123</v>
      </c>
      <c r="R15" s="422">
        <v>0.10357569534845344</v>
      </c>
      <c r="S15" s="423">
        <v>9.7851076521047547E-2</v>
      </c>
      <c r="T15" s="423">
        <v>0.10470836582956378</v>
      </c>
      <c r="U15" s="423">
        <v>0.11985001266072082</v>
      </c>
      <c r="V15" s="423">
        <v>0.11006986120613819</v>
      </c>
      <c r="W15" s="423">
        <v>0.11585807105652593</v>
      </c>
      <c r="X15" s="423">
        <v>0.10915386192773553</v>
      </c>
      <c r="Y15" s="423">
        <v>0.11852155883037152</v>
      </c>
      <c r="Z15" s="423">
        <v>0.11587898985228509</v>
      </c>
      <c r="AA15" s="423">
        <v>0.12334881658541039</v>
      </c>
      <c r="AB15" s="424">
        <v>0.14051075101595445</v>
      </c>
      <c r="AC15" s="424">
        <v>0.14869402985074626</v>
      </c>
      <c r="AD15" s="424">
        <v>0.14499999999999999</v>
      </c>
      <c r="AE15" s="425">
        <v>0.13675599072404018</v>
      </c>
    </row>
    <row r="16" spans="1:32">
      <c r="A16" s="416" t="s">
        <v>30</v>
      </c>
      <c r="B16" s="417" t="s">
        <v>462</v>
      </c>
      <c r="C16" s="418">
        <v>186</v>
      </c>
      <c r="D16" s="419">
        <v>172</v>
      </c>
      <c r="E16" s="419">
        <v>184</v>
      </c>
      <c r="F16" s="419">
        <v>209</v>
      </c>
      <c r="G16" s="419">
        <v>177</v>
      </c>
      <c r="H16" s="419">
        <v>204</v>
      </c>
      <c r="I16" s="419">
        <v>191</v>
      </c>
      <c r="J16" s="419">
        <v>202</v>
      </c>
      <c r="K16" s="419">
        <v>204</v>
      </c>
      <c r="L16" s="419">
        <v>214</v>
      </c>
      <c r="M16" s="420">
        <v>214</v>
      </c>
      <c r="N16" s="420">
        <v>221</v>
      </c>
      <c r="O16" s="1056">
        <v>215</v>
      </c>
      <c r="P16" s="1012">
        <v>231</v>
      </c>
      <c r="R16" s="422">
        <v>0.14099999999999999</v>
      </c>
      <c r="S16" s="423">
        <v>0.13499999999999998</v>
      </c>
      <c r="T16" s="423">
        <v>0.14399999999999999</v>
      </c>
      <c r="U16" s="423">
        <v>0.16800000000000001</v>
      </c>
      <c r="V16" s="423">
        <v>0.14500000000000002</v>
      </c>
      <c r="W16" s="423">
        <v>0.16899999999999998</v>
      </c>
      <c r="X16" s="423">
        <v>0.16500000000000001</v>
      </c>
      <c r="Y16" s="423">
        <v>0.17500000000000002</v>
      </c>
      <c r="Z16" s="423">
        <v>0.18000000000000002</v>
      </c>
      <c r="AA16" s="423">
        <v>0.17800000000000002</v>
      </c>
      <c r="AB16" s="424">
        <v>0.18</v>
      </c>
      <c r="AC16" s="424">
        <v>0.187</v>
      </c>
      <c r="AD16" s="424">
        <v>0.187</v>
      </c>
      <c r="AE16" s="425">
        <v>0.2017467248908297</v>
      </c>
    </row>
    <row r="17" spans="1:31">
      <c r="A17" s="416" t="s">
        <v>32</v>
      </c>
      <c r="B17" s="417" t="s">
        <v>463</v>
      </c>
      <c r="C17" s="418">
        <v>473</v>
      </c>
      <c r="D17" s="419">
        <v>453</v>
      </c>
      <c r="E17" s="419">
        <v>497</v>
      </c>
      <c r="F17" s="419">
        <v>556</v>
      </c>
      <c r="G17" s="419">
        <v>501</v>
      </c>
      <c r="H17" s="419">
        <v>493</v>
      </c>
      <c r="I17" s="419">
        <v>440</v>
      </c>
      <c r="J17" s="419">
        <v>476</v>
      </c>
      <c r="K17" s="419">
        <v>501</v>
      </c>
      <c r="L17" s="419">
        <v>578</v>
      </c>
      <c r="M17" s="420">
        <v>646</v>
      </c>
      <c r="N17" s="420">
        <v>715</v>
      </c>
      <c r="O17" s="1056">
        <v>700</v>
      </c>
      <c r="P17" s="1012">
        <v>666</v>
      </c>
      <c r="R17" s="422">
        <v>6.8000000000000005E-2</v>
      </c>
      <c r="S17" s="423">
        <v>6.6000000000000003E-2</v>
      </c>
      <c r="T17" s="423">
        <v>7.2999999999999995E-2</v>
      </c>
      <c r="U17" s="423">
        <v>8.199999999999999E-2</v>
      </c>
      <c r="V17" s="423">
        <v>7.3999999999999996E-2</v>
      </c>
      <c r="W17" s="423">
        <v>7.400000000000001E-2</v>
      </c>
      <c r="X17" s="423">
        <v>6.9000000000000006E-2</v>
      </c>
      <c r="Y17" s="423">
        <v>7.3999999999999996E-2</v>
      </c>
      <c r="Z17" s="423">
        <v>0.08</v>
      </c>
      <c r="AA17" s="423">
        <v>8.5000000000000006E-2</v>
      </c>
      <c r="AB17" s="424">
        <v>8.8000000000000009E-2</v>
      </c>
      <c r="AC17" s="424">
        <v>0.10099999999999999</v>
      </c>
      <c r="AD17" s="424">
        <v>0.10100000000000001</v>
      </c>
      <c r="AE17" s="425">
        <v>0.10003003905076599</v>
      </c>
    </row>
    <row r="18" spans="1:31">
      <c r="A18" s="416" t="s">
        <v>36</v>
      </c>
      <c r="B18" s="417" t="s">
        <v>464</v>
      </c>
      <c r="C18" s="418">
        <v>737</v>
      </c>
      <c r="D18" s="419">
        <v>665</v>
      </c>
      <c r="E18" s="419">
        <v>787</v>
      </c>
      <c r="F18" s="419">
        <v>847</v>
      </c>
      <c r="G18" s="419">
        <v>742</v>
      </c>
      <c r="H18" s="419">
        <v>828</v>
      </c>
      <c r="I18" s="419">
        <v>792</v>
      </c>
      <c r="J18" s="419">
        <v>834</v>
      </c>
      <c r="K18" s="419">
        <v>761</v>
      </c>
      <c r="L18" s="419">
        <v>816</v>
      </c>
      <c r="M18" s="420">
        <v>888</v>
      </c>
      <c r="N18" s="420">
        <v>979</v>
      </c>
      <c r="O18" s="1056">
        <v>931</v>
      </c>
      <c r="P18" s="1012">
        <v>871</v>
      </c>
      <c r="R18" s="422">
        <v>0.20200000000000001</v>
      </c>
      <c r="S18" s="423">
        <v>0.18600000000000003</v>
      </c>
      <c r="T18" s="423">
        <v>0.22199999999999998</v>
      </c>
      <c r="U18" s="423">
        <v>0.24199999999999999</v>
      </c>
      <c r="V18" s="423">
        <v>0.217</v>
      </c>
      <c r="W18" s="423">
        <v>0.245</v>
      </c>
      <c r="X18" s="423">
        <v>0.24199999999999999</v>
      </c>
      <c r="Y18" s="423">
        <v>0.26300000000000001</v>
      </c>
      <c r="Z18" s="423">
        <v>0.248</v>
      </c>
      <c r="AA18" s="423">
        <v>0.26300000000000001</v>
      </c>
      <c r="AB18" s="424">
        <v>0.26899999999999996</v>
      </c>
      <c r="AC18" s="424">
        <v>0.31</v>
      </c>
      <c r="AD18" s="424">
        <v>0.30499999999999999</v>
      </c>
      <c r="AE18" s="425">
        <v>0.28860172299536119</v>
      </c>
    </row>
    <row r="19" spans="1:31">
      <c r="A19" s="416" t="s">
        <v>38</v>
      </c>
      <c r="B19" s="417" t="s">
        <v>465</v>
      </c>
      <c r="C19" s="418">
        <v>1507</v>
      </c>
      <c r="D19" s="419">
        <v>1287</v>
      </c>
      <c r="E19" s="419">
        <v>1473</v>
      </c>
      <c r="F19" s="419">
        <v>1531</v>
      </c>
      <c r="G19" s="419">
        <v>1333</v>
      </c>
      <c r="H19" s="419">
        <v>1593</v>
      </c>
      <c r="I19" s="419">
        <v>1402</v>
      </c>
      <c r="J19" s="419">
        <v>1284</v>
      </c>
      <c r="K19" s="419">
        <v>1365</v>
      </c>
      <c r="L19" s="419">
        <v>1464</v>
      </c>
      <c r="M19" s="420">
        <v>1497</v>
      </c>
      <c r="N19" s="420">
        <v>1268</v>
      </c>
      <c r="O19" s="1056">
        <v>1200</v>
      </c>
      <c r="P19" s="1012">
        <v>1320</v>
      </c>
      <c r="R19" s="422">
        <v>0.28999999999999998</v>
      </c>
      <c r="S19" s="423">
        <v>0.25600000000000001</v>
      </c>
      <c r="T19" s="423">
        <v>0.29600000000000004</v>
      </c>
      <c r="U19" s="423">
        <v>0.318</v>
      </c>
      <c r="V19" s="423">
        <v>0.28100000000000003</v>
      </c>
      <c r="W19" s="423">
        <v>0.34500000000000003</v>
      </c>
      <c r="X19" s="423">
        <v>0.30899999999999994</v>
      </c>
      <c r="Y19" s="423">
        <v>0.3</v>
      </c>
      <c r="Z19" s="423">
        <v>0.33100000000000002</v>
      </c>
      <c r="AA19" s="423">
        <v>0.34299999999999997</v>
      </c>
      <c r="AB19" s="424">
        <v>0.34900000000000003</v>
      </c>
      <c r="AC19" s="424">
        <v>0.308</v>
      </c>
      <c r="AD19" s="424">
        <v>0.29099999999999998</v>
      </c>
      <c r="AE19" s="425">
        <v>0.32803180914512925</v>
      </c>
    </row>
    <row r="20" spans="1:31">
      <c r="A20" s="416" t="s">
        <v>40</v>
      </c>
      <c r="B20" s="417" t="s">
        <v>466</v>
      </c>
      <c r="C20" s="418">
        <v>682</v>
      </c>
      <c r="D20" s="419">
        <v>594</v>
      </c>
      <c r="E20" s="419">
        <v>641</v>
      </c>
      <c r="F20" s="419">
        <v>710</v>
      </c>
      <c r="G20" s="419">
        <v>658</v>
      </c>
      <c r="H20" s="419">
        <v>771</v>
      </c>
      <c r="I20" s="419">
        <v>667</v>
      </c>
      <c r="J20" s="419">
        <v>717</v>
      </c>
      <c r="K20" s="419">
        <v>713</v>
      </c>
      <c r="L20" s="419">
        <v>775</v>
      </c>
      <c r="M20" s="420">
        <v>814</v>
      </c>
      <c r="N20" s="420">
        <v>843</v>
      </c>
      <c r="O20" s="1056">
        <v>899</v>
      </c>
      <c r="P20" s="1012">
        <v>902</v>
      </c>
      <c r="R20" s="422">
        <v>0.20299999999999999</v>
      </c>
      <c r="S20" s="423">
        <v>0.182</v>
      </c>
      <c r="T20" s="423">
        <v>0.19700000000000001</v>
      </c>
      <c r="U20" s="423">
        <v>0.21999999999999997</v>
      </c>
      <c r="V20" s="423">
        <v>0.20600000000000002</v>
      </c>
      <c r="W20" s="423">
        <v>0.24500000000000002</v>
      </c>
      <c r="X20" s="423">
        <v>0.21899999999999997</v>
      </c>
      <c r="Y20" s="423">
        <v>0.24199999999999999</v>
      </c>
      <c r="Z20" s="423">
        <v>0.248</v>
      </c>
      <c r="AA20" s="423">
        <v>0.26300000000000001</v>
      </c>
      <c r="AB20" s="424">
        <v>0.252</v>
      </c>
      <c r="AC20" s="424">
        <v>0.26300000000000001</v>
      </c>
      <c r="AD20" s="424">
        <v>0.28299999999999997</v>
      </c>
      <c r="AE20" s="425">
        <v>0.28427355814686417</v>
      </c>
    </row>
    <row r="21" spans="1:31">
      <c r="A21" s="416" t="s">
        <v>42</v>
      </c>
      <c r="B21" s="417" t="s">
        <v>467</v>
      </c>
      <c r="C21" s="418">
        <v>1693</v>
      </c>
      <c r="D21" s="419">
        <v>1540</v>
      </c>
      <c r="E21" s="419">
        <v>1797</v>
      </c>
      <c r="F21" s="419">
        <v>2001</v>
      </c>
      <c r="G21" s="419">
        <v>1800</v>
      </c>
      <c r="H21" s="419">
        <v>1823</v>
      </c>
      <c r="I21" s="419">
        <v>1756</v>
      </c>
      <c r="J21" s="419">
        <v>1759</v>
      </c>
      <c r="K21" s="419">
        <v>1816</v>
      </c>
      <c r="L21" s="419">
        <v>1996</v>
      </c>
      <c r="M21" s="420">
        <v>2211</v>
      </c>
      <c r="N21" s="420">
        <v>2674</v>
      </c>
      <c r="O21" s="1056">
        <v>2199</v>
      </c>
      <c r="P21" s="1012">
        <v>2087</v>
      </c>
      <c r="R21" s="422">
        <v>0.14099999999999999</v>
      </c>
      <c r="S21" s="423">
        <v>0.129</v>
      </c>
      <c r="T21" s="423">
        <v>0.15</v>
      </c>
      <c r="U21" s="423">
        <v>0.16800000000000001</v>
      </c>
      <c r="V21" s="423">
        <v>0.15</v>
      </c>
      <c r="W21" s="423">
        <v>0.154</v>
      </c>
      <c r="X21" s="423">
        <v>0.153</v>
      </c>
      <c r="Y21" s="423">
        <v>0.153</v>
      </c>
      <c r="Z21" s="423">
        <v>0.16200000000000001</v>
      </c>
      <c r="AA21" s="423">
        <v>0.17799999999999999</v>
      </c>
      <c r="AB21" s="424">
        <v>0.18600000000000003</v>
      </c>
      <c r="AC21" s="424">
        <v>0.23</v>
      </c>
      <c r="AD21" s="424">
        <v>0.192</v>
      </c>
      <c r="AE21" s="425">
        <v>0.18702392687516803</v>
      </c>
    </row>
    <row r="22" spans="1:31">
      <c r="A22" s="416" t="s">
        <v>44</v>
      </c>
      <c r="B22" s="417" t="s">
        <v>468</v>
      </c>
      <c r="C22" s="418">
        <v>750</v>
      </c>
      <c r="D22" s="419">
        <v>699</v>
      </c>
      <c r="E22" s="419">
        <v>823</v>
      </c>
      <c r="F22" s="419">
        <v>827</v>
      </c>
      <c r="G22" s="419">
        <v>797</v>
      </c>
      <c r="H22" s="419">
        <v>862</v>
      </c>
      <c r="I22" s="419">
        <v>753</v>
      </c>
      <c r="J22" s="419">
        <v>864</v>
      </c>
      <c r="K22" s="419">
        <v>927</v>
      </c>
      <c r="L22" s="419">
        <v>1058</v>
      </c>
      <c r="M22" s="420">
        <v>1116</v>
      </c>
      <c r="N22" s="420">
        <v>1252</v>
      </c>
      <c r="O22" s="1056">
        <v>1225</v>
      </c>
      <c r="P22" s="1012">
        <v>1412</v>
      </c>
      <c r="R22" s="422">
        <v>0.14099999999999999</v>
      </c>
      <c r="S22" s="423">
        <v>0.13</v>
      </c>
      <c r="T22" s="423">
        <v>0.15</v>
      </c>
      <c r="U22" s="423">
        <v>0.14699999999999999</v>
      </c>
      <c r="V22" s="423">
        <v>0.13300000000000001</v>
      </c>
      <c r="W22" s="423">
        <v>0.14599999999999999</v>
      </c>
      <c r="X22" s="423">
        <v>0.126</v>
      </c>
      <c r="Y22" s="423">
        <v>0.13300000000000001</v>
      </c>
      <c r="Z22" s="423">
        <v>0.14199999999999999</v>
      </c>
      <c r="AA22" s="423">
        <v>0.16500000000000001</v>
      </c>
      <c r="AB22" s="424">
        <v>0.16600000000000001</v>
      </c>
      <c r="AC22" s="424">
        <v>0.18899999999999997</v>
      </c>
      <c r="AD22" s="424">
        <v>0.182</v>
      </c>
      <c r="AE22" s="425">
        <v>0.21008778455586966</v>
      </c>
    </row>
    <row r="23" spans="1:31">
      <c r="A23" s="416" t="s">
        <v>46</v>
      </c>
      <c r="B23" s="417" t="s">
        <v>469</v>
      </c>
      <c r="C23" s="418">
        <v>1114</v>
      </c>
      <c r="D23" s="419">
        <v>1082</v>
      </c>
      <c r="E23" s="419">
        <v>1233</v>
      </c>
      <c r="F23" s="419">
        <v>1354</v>
      </c>
      <c r="G23" s="419">
        <v>1122</v>
      </c>
      <c r="H23" s="419">
        <v>1357</v>
      </c>
      <c r="I23" s="419">
        <v>1186</v>
      </c>
      <c r="J23" s="419">
        <v>1154</v>
      </c>
      <c r="K23" s="419">
        <v>1262</v>
      </c>
      <c r="L23" s="419">
        <v>1467</v>
      </c>
      <c r="M23" s="420">
        <v>1518</v>
      </c>
      <c r="N23" s="420">
        <v>1755</v>
      </c>
      <c r="O23" s="1056">
        <v>1541</v>
      </c>
      <c r="P23" s="1012">
        <v>1474</v>
      </c>
      <c r="R23" s="422">
        <v>0.186</v>
      </c>
      <c r="S23" s="423">
        <v>0.18300000000000002</v>
      </c>
      <c r="T23" s="423">
        <v>0.20600000000000002</v>
      </c>
      <c r="U23" s="423">
        <v>0.22600000000000001</v>
      </c>
      <c r="V23" s="423">
        <v>0.18899999999999997</v>
      </c>
      <c r="W23" s="423">
        <v>0.23100000000000004</v>
      </c>
      <c r="X23" s="423">
        <v>0.20500000000000002</v>
      </c>
      <c r="Y23" s="423">
        <v>0.20300000000000001</v>
      </c>
      <c r="Z23" s="423">
        <v>0.22500000000000001</v>
      </c>
      <c r="AA23" s="423">
        <v>0.26100000000000001</v>
      </c>
      <c r="AB23" s="424">
        <v>0.249</v>
      </c>
      <c r="AC23" s="424">
        <v>0.29399999999999998</v>
      </c>
      <c r="AD23" s="424">
        <v>0.26400000000000001</v>
      </c>
      <c r="AE23" s="425">
        <v>0.25639241607236041</v>
      </c>
    </row>
    <row r="24" spans="1:31">
      <c r="A24" s="416" t="s">
        <v>48</v>
      </c>
      <c r="B24" s="417" t="s">
        <v>470</v>
      </c>
      <c r="C24" s="418">
        <v>207</v>
      </c>
      <c r="D24" s="419">
        <v>182</v>
      </c>
      <c r="E24" s="419">
        <v>213</v>
      </c>
      <c r="F24" s="419">
        <v>223</v>
      </c>
      <c r="G24" s="419">
        <v>179</v>
      </c>
      <c r="H24" s="419">
        <v>201</v>
      </c>
      <c r="I24" s="419">
        <v>204</v>
      </c>
      <c r="J24" s="419">
        <v>200</v>
      </c>
      <c r="K24" s="419">
        <v>227</v>
      </c>
      <c r="L24" s="419">
        <v>225</v>
      </c>
      <c r="M24" s="420">
        <v>238</v>
      </c>
      <c r="N24" s="420">
        <v>223</v>
      </c>
      <c r="O24" s="1056">
        <v>234</v>
      </c>
      <c r="P24" s="1012">
        <v>225</v>
      </c>
      <c r="R24" s="422">
        <v>0.14100000000000001</v>
      </c>
      <c r="S24" s="423">
        <v>0.126</v>
      </c>
      <c r="T24" s="423">
        <v>0.14699999999999999</v>
      </c>
      <c r="U24" s="423">
        <v>0.15699999999999997</v>
      </c>
      <c r="V24" s="423">
        <v>0.13099999999999998</v>
      </c>
      <c r="W24" s="423">
        <v>0.14900000000000002</v>
      </c>
      <c r="X24" s="423">
        <v>0.152</v>
      </c>
      <c r="Y24" s="423">
        <v>0.15000000000000002</v>
      </c>
      <c r="Z24" s="423">
        <v>0.16699999999999998</v>
      </c>
      <c r="AA24" s="423">
        <v>0.17200000000000001</v>
      </c>
      <c r="AB24" s="424">
        <v>0.184</v>
      </c>
      <c r="AC24" s="424">
        <v>0.18100000000000002</v>
      </c>
      <c r="AD24" s="424">
        <v>0.20100000000000001</v>
      </c>
      <c r="AE24" s="425">
        <v>0.19565217391304349</v>
      </c>
    </row>
    <row r="25" spans="1:31">
      <c r="A25" s="416" t="s">
        <v>50</v>
      </c>
      <c r="B25" s="417" t="s">
        <v>471</v>
      </c>
      <c r="C25" s="418">
        <v>618</v>
      </c>
      <c r="D25" s="419">
        <v>581</v>
      </c>
      <c r="E25" s="419">
        <v>638</v>
      </c>
      <c r="F25" s="419">
        <v>682</v>
      </c>
      <c r="G25" s="419">
        <v>580</v>
      </c>
      <c r="H25" s="419">
        <v>662</v>
      </c>
      <c r="I25" s="419">
        <v>646</v>
      </c>
      <c r="J25" s="419">
        <v>691</v>
      </c>
      <c r="K25" s="419">
        <v>674</v>
      </c>
      <c r="L25" s="419">
        <v>724</v>
      </c>
      <c r="M25" s="420">
        <v>796</v>
      </c>
      <c r="N25" s="420">
        <v>830</v>
      </c>
      <c r="O25" s="1056">
        <v>756</v>
      </c>
      <c r="P25" s="1012">
        <v>734</v>
      </c>
      <c r="R25" s="422">
        <v>0.21100000000000002</v>
      </c>
      <c r="S25" s="423">
        <v>0.2</v>
      </c>
      <c r="T25" s="423">
        <v>0.22</v>
      </c>
      <c r="U25" s="423">
        <v>0.23799999999999999</v>
      </c>
      <c r="V25" s="423">
        <v>0.20300000000000001</v>
      </c>
      <c r="W25" s="423">
        <v>0.23499999999999999</v>
      </c>
      <c r="X25" s="423">
        <v>0.23500000000000001</v>
      </c>
      <c r="Y25" s="423">
        <v>0.26100000000000001</v>
      </c>
      <c r="Z25" s="423">
        <v>0.25900000000000001</v>
      </c>
      <c r="AA25" s="423">
        <v>0.27199999999999996</v>
      </c>
      <c r="AB25" s="424">
        <v>0.28100000000000003</v>
      </c>
      <c r="AC25" s="424">
        <v>0.30499999999999999</v>
      </c>
      <c r="AD25" s="424">
        <v>0.28399999999999997</v>
      </c>
      <c r="AE25" s="425">
        <v>0.27573253193087904</v>
      </c>
    </row>
    <row r="26" spans="1:31">
      <c r="A26" s="416" t="s">
        <v>56</v>
      </c>
      <c r="B26" s="417" t="s">
        <v>771</v>
      </c>
      <c r="C26" s="418">
        <v>5095</v>
      </c>
      <c r="D26" s="419">
        <v>4754</v>
      </c>
      <c r="E26" s="419">
        <v>5992</v>
      </c>
      <c r="F26" s="419">
        <v>6928</v>
      </c>
      <c r="G26" s="419">
        <v>6652</v>
      </c>
      <c r="H26" s="419">
        <v>6664</v>
      </c>
      <c r="I26" s="419">
        <v>5829</v>
      </c>
      <c r="J26" s="419">
        <v>6162</v>
      </c>
      <c r="K26" s="419">
        <v>6555</v>
      </c>
      <c r="L26" s="419">
        <v>7447</v>
      </c>
      <c r="M26" s="420">
        <v>7901</v>
      </c>
      <c r="N26" s="420">
        <v>8953</v>
      </c>
      <c r="O26" s="1056">
        <v>8309</v>
      </c>
      <c r="P26" s="1012">
        <v>9293</v>
      </c>
      <c r="R26" s="422">
        <v>6.6162592847827204E-2</v>
      </c>
      <c r="S26" s="423">
        <v>6.1985132760176691E-2</v>
      </c>
      <c r="T26" s="423">
        <v>7.6745253964520699E-2</v>
      </c>
      <c r="U26" s="423">
        <v>8.9098295969368371E-2</v>
      </c>
      <c r="V26" s="423">
        <v>8.4639475052664961E-2</v>
      </c>
      <c r="W26" s="423">
        <v>8.5835080186892287E-2</v>
      </c>
      <c r="X26" s="423">
        <v>7.5312499027605631E-2</v>
      </c>
      <c r="Y26" s="423">
        <v>7.7429640998764648E-2</v>
      </c>
      <c r="Z26" s="423">
        <v>8.2993030907240153E-2</v>
      </c>
      <c r="AA26" s="423">
        <v>8.8543304157549227E-2</v>
      </c>
      <c r="AB26" s="424">
        <v>9.271632452521289E-2</v>
      </c>
      <c r="AC26" s="424">
        <v>0.10659729250258962</v>
      </c>
      <c r="AD26" s="424">
        <v>0.1</v>
      </c>
      <c r="AE26" s="425">
        <v>0.11103941881444838</v>
      </c>
    </row>
    <row r="27" spans="1:31">
      <c r="A27" s="416" t="s">
        <v>58</v>
      </c>
      <c r="B27" s="417" t="s">
        <v>472</v>
      </c>
      <c r="C27" s="418">
        <v>264</v>
      </c>
      <c r="D27" s="419">
        <v>221</v>
      </c>
      <c r="E27" s="419">
        <v>216</v>
      </c>
      <c r="F27" s="419">
        <v>250</v>
      </c>
      <c r="G27" s="419">
        <v>223</v>
      </c>
      <c r="H27" s="419">
        <v>238</v>
      </c>
      <c r="I27" s="419">
        <v>217</v>
      </c>
      <c r="J27" s="419">
        <v>222</v>
      </c>
      <c r="K27" s="419">
        <v>278</v>
      </c>
      <c r="L27" s="419">
        <v>286</v>
      </c>
      <c r="M27" s="420">
        <v>316</v>
      </c>
      <c r="N27" s="420">
        <v>318</v>
      </c>
      <c r="O27" s="1056">
        <v>323</v>
      </c>
      <c r="P27" s="1012">
        <v>295</v>
      </c>
      <c r="R27" s="422">
        <v>0.09</v>
      </c>
      <c r="S27" s="423">
        <v>7.4999999999999997E-2</v>
      </c>
      <c r="T27" s="423">
        <v>7.1999999999999995E-2</v>
      </c>
      <c r="U27" s="423">
        <v>8.4000000000000005E-2</v>
      </c>
      <c r="V27" s="423">
        <v>7.2999999999999995E-2</v>
      </c>
      <c r="W27" s="423">
        <v>7.9000000000000001E-2</v>
      </c>
      <c r="X27" s="423">
        <v>7.3000000000000009E-2</v>
      </c>
      <c r="Y27" s="423">
        <v>7.3999999999999996E-2</v>
      </c>
      <c r="Z27" s="423">
        <v>9.4E-2</v>
      </c>
      <c r="AA27" s="423">
        <v>9.4E-2</v>
      </c>
      <c r="AB27" s="424">
        <v>0.10099999999999999</v>
      </c>
      <c r="AC27" s="424">
        <v>0.10300000000000001</v>
      </c>
      <c r="AD27" s="424">
        <v>0.105</v>
      </c>
      <c r="AE27" s="425">
        <v>9.8662207357859535E-2</v>
      </c>
    </row>
    <row r="28" spans="1:31">
      <c r="A28" s="416" t="s">
        <v>60</v>
      </c>
      <c r="B28" s="417" t="s">
        <v>473</v>
      </c>
      <c r="C28" s="418">
        <v>146</v>
      </c>
      <c r="D28" s="419">
        <v>126</v>
      </c>
      <c r="E28" s="419">
        <v>138</v>
      </c>
      <c r="F28" s="419">
        <v>170</v>
      </c>
      <c r="G28" s="419">
        <v>146</v>
      </c>
      <c r="H28" s="419">
        <v>173</v>
      </c>
      <c r="I28" s="419">
        <v>162</v>
      </c>
      <c r="J28" s="419">
        <v>159</v>
      </c>
      <c r="K28" s="419">
        <v>172</v>
      </c>
      <c r="L28" s="419">
        <v>183</v>
      </c>
      <c r="M28" s="420">
        <v>197</v>
      </c>
      <c r="N28" s="420">
        <v>214</v>
      </c>
      <c r="O28" s="1056">
        <v>234</v>
      </c>
      <c r="P28" s="1012">
        <v>214</v>
      </c>
      <c r="R28" s="422">
        <v>0.127</v>
      </c>
      <c r="S28" s="423">
        <v>0.10900000000000001</v>
      </c>
      <c r="T28" s="423">
        <v>0.11800000000000001</v>
      </c>
      <c r="U28" s="423">
        <v>0.14800000000000002</v>
      </c>
      <c r="V28" s="423">
        <v>0.127</v>
      </c>
      <c r="W28" s="423">
        <v>0.15300000000000002</v>
      </c>
      <c r="X28" s="423">
        <v>0.15</v>
      </c>
      <c r="Y28" s="423">
        <v>0.14900000000000002</v>
      </c>
      <c r="Z28" s="423">
        <v>0.17100000000000001</v>
      </c>
      <c r="AA28" s="423">
        <v>0.185</v>
      </c>
      <c r="AB28" s="424">
        <v>0.17899999999999999</v>
      </c>
      <c r="AC28" s="424">
        <v>0.19899999999999998</v>
      </c>
      <c r="AD28" s="424">
        <v>0.221</v>
      </c>
      <c r="AE28" s="425">
        <v>0.21725888324873097</v>
      </c>
    </row>
    <row r="29" spans="1:31">
      <c r="A29" s="416" t="s">
        <v>62</v>
      </c>
      <c r="B29" s="417" t="s">
        <v>474</v>
      </c>
      <c r="C29" s="418">
        <v>1068</v>
      </c>
      <c r="D29" s="419">
        <v>979</v>
      </c>
      <c r="E29" s="419">
        <v>1066</v>
      </c>
      <c r="F29" s="419">
        <v>1169</v>
      </c>
      <c r="G29" s="419">
        <v>1059</v>
      </c>
      <c r="H29" s="419">
        <v>1114</v>
      </c>
      <c r="I29" s="419">
        <v>1025</v>
      </c>
      <c r="J29" s="419">
        <v>1194</v>
      </c>
      <c r="K29" s="419">
        <v>1230</v>
      </c>
      <c r="L29" s="419">
        <v>1639</v>
      </c>
      <c r="M29" s="420">
        <v>1746</v>
      </c>
      <c r="N29" s="420">
        <v>1926</v>
      </c>
      <c r="O29" s="1056">
        <v>1830</v>
      </c>
      <c r="P29" s="1012">
        <v>1815</v>
      </c>
      <c r="R29" s="422">
        <v>0.122</v>
      </c>
      <c r="S29" s="423">
        <v>0.11</v>
      </c>
      <c r="T29" s="423">
        <v>0.114</v>
      </c>
      <c r="U29" s="423">
        <v>0.121</v>
      </c>
      <c r="V29" s="423">
        <v>0.10400000000000001</v>
      </c>
      <c r="W29" s="423">
        <v>0.111</v>
      </c>
      <c r="X29" s="423">
        <v>0.10100000000000001</v>
      </c>
      <c r="Y29" s="423">
        <v>0.10800000000000001</v>
      </c>
      <c r="Z29" s="423">
        <v>0.11099999999999999</v>
      </c>
      <c r="AA29" s="423">
        <v>0.14000000000000001</v>
      </c>
      <c r="AB29" s="424">
        <v>0.14800000000000002</v>
      </c>
      <c r="AC29" s="424">
        <v>0.16399999999999998</v>
      </c>
      <c r="AD29" s="424">
        <v>0.155</v>
      </c>
      <c r="AE29" s="425">
        <v>0.15169243627246135</v>
      </c>
    </row>
    <row r="30" spans="1:31">
      <c r="A30" s="416" t="s">
        <v>64</v>
      </c>
      <c r="B30" s="417" t="s">
        <v>475</v>
      </c>
      <c r="C30" s="418">
        <v>422</v>
      </c>
      <c r="D30" s="419">
        <v>395</v>
      </c>
      <c r="E30" s="419">
        <v>445</v>
      </c>
      <c r="F30" s="419">
        <v>479</v>
      </c>
      <c r="G30" s="419">
        <v>434</v>
      </c>
      <c r="H30" s="419">
        <v>532</v>
      </c>
      <c r="I30" s="419">
        <v>466</v>
      </c>
      <c r="J30" s="419">
        <v>473</v>
      </c>
      <c r="K30" s="419">
        <v>493</v>
      </c>
      <c r="L30" s="419">
        <v>529</v>
      </c>
      <c r="M30" s="420">
        <v>588</v>
      </c>
      <c r="N30" s="420">
        <v>598</v>
      </c>
      <c r="O30" s="1056">
        <v>550</v>
      </c>
      <c r="P30" s="1012">
        <v>566</v>
      </c>
      <c r="R30" s="422">
        <v>0.19899999999999995</v>
      </c>
      <c r="S30" s="423">
        <v>0.18500000000000003</v>
      </c>
      <c r="T30" s="423">
        <v>0.20199999999999999</v>
      </c>
      <c r="U30" s="423">
        <v>0.222</v>
      </c>
      <c r="V30" s="423">
        <v>0.19800000000000001</v>
      </c>
      <c r="W30" s="423">
        <v>0.24600000000000002</v>
      </c>
      <c r="X30" s="423">
        <v>0.22399999999999998</v>
      </c>
      <c r="Y30" s="423">
        <v>0.217</v>
      </c>
      <c r="Z30" s="423">
        <v>0.22899999999999995</v>
      </c>
      <c r="AA30" s="423">
        <v>0.24899999999999997</v>
      </c>
      <c r="AB30" s="424">
        <v>0.26</v>
      </c>
      <c r="AC30" s="424">
        <v>0.27100000000000002</v>
      </c>
      <c r="AD30" s="424">
        <v>0.25800000000000001</v>
      </c>
      <c r="AE30" s="425">
        <v>0.27826941986234022</v>
      </c>
    </row>
    <row r="31" spans="1:31">
      <c r="A31" s="416" t="s">
        <v>68</v>
      </c>
      <c r="B31" s="417" t="s">
        <v>476</v>
      </c>
      <c r="C31" s="418">
        <v>889</v>
      </c>
      <c r="D31" s="419">
        <v>759</v>
      </c>
      <c r="E31" s="419">
        <v>816</v>
      </c>
      <c r="F31" s="419">
        <v>903</v>
      </c>
      <c r="G31" s="419">
        <v>803</v>
      </c>
      <c r="H31" s="419">
        <v>982</v>
      </c>
      <c r="I31" s="419">
        <v>808</v>
      </c>
      <c r="J31" s="419">
        <v>866</v>
      </c>
      <c r="K31" s="419">
        <v>901</v>
      </c>
      <c r="L31" s="419">
        <v>874</v>
      </c>
      <c r="M31" s="420">
        <v>874</v>
      </c>
      <c r="N31" s="420">
        <v>859</v>
      </c>
      <c r="O31" s="1056">
        <v>860</v>
      </c>
      <c r="P31" s="1012">
        <v>871</v>
      </c>
      <c r="R31" s="422">
        <v>0.26</v>
      </c>
      <c r="S31" s="423">
        <v>0.22699999999999998</v>
      </c>
      <c r="T31" s="423">
        <v>0.246</v>
      </c>
      <c r="U31" s="423">
        <v>0.27300000000000002</v>
      </c>
      <c r="V31" s="423">
        <v>0.24199999999999997</v>
      </c>
      <c r="W31" s="423">
        <v>0.3</v>
      </c>
      <c r="X31" s="423">
        <v>0.25600000000000001</v>
      </c>
      <c r="Y31" s="423">
        <v>0.27899999999999997</v>
      </c>
      <c r="Z31" s="423">
        <v>0.28999999999999998</v>
      </c>
      <c r="AA31" s="423">
        <v>0.27</v>
      </c>
      <c r="AB31" s="424">
        <v>0.26600000000000001</v>
      </c>
      <c r="AC31" s="424">
        <v>0.26899999999999996</v>
      </c>
      <c r="AD31" s="424">
        <v>0.26900000000000002</v>
      </c>
      <c r="AE31" s="425">
        <v>0.27476340694006307</v>
      </c>
    </row>
    <row r="32" spans="1:31">
      <c r="A32" s="416" t="s">
        <v>70</v>
      </c>
      <c r="B32" s="417" t="s">
        <v>477</v>
      </c>
      <c r="C32" s="418">
        <v>739</v>
      </c>
      <c r="D32" s="419">
        <v>635</v>
      </c>
      <c r="E32" s="419">
        <v>727</v>
      </c>
      <c r="F32" s="419">
        <v>863</v>
      </c>
      <c r="G32" s="419">
        <v>763</v>
      </c>
      <c r="H32" s="419">
        <v>779</v>
      </c>
      <c r="I32" s="419">
        <v>847</v>
      </c>
      <c r="J32" s="419">
        <v>805</v>
      </c>
      <c r="K32" s="419">
        <v>842</v>
      </c>
      <c r="L32" s="419">
        <v>871</v>
      </c>
      <c r="M32" s="420">
        <v>1043</v>
      </c>
      <c r="N32" s="420">
        <v>1141</v>
      </c>
      <c r="O32" s="1056">
        <v>991</v>
      </c>
      <c r="P32" s="1012">
        <v>1138</v>
      </c>
      <c r="R32" s="422">
        <v>0.129</v>
      </c>
      <c r="S32" s="423">
        <v>0.11199999999999999</v>
      </c>
      <c r="T32" s="423">
        <v>0.127</v>
      </c>
      <c r="U32" s="423">
        <v>0.151</v>
      </c>
      <c r="V32" s="423">
        <v>0.13499999999999998</v>
      </c>
      <c r="W32" s="423">
        <v>0.13900000000000001</v>
      </c>
      <c r="X32" s="423">
        <v>0.152</v>
      </c>
      <c r="Y32" s="423">
        <v>0.14199999999999999</v>
      </c>
      <c r="Z32" s="423">
        <v>0.14900000000000002</v>
      </c>
      <c r="AA32" s="423">
        <v>0.151</v>
      </c>
      <c r="AB32" s="424">
        <v>0.16600000000000001</v>
      </c>
      <c r="AC32" s="424">
        <v>0.18899999999999997</v>
      </c>
      <c r="AD32" s="424">
        <v>0.17199999999999999</v>
      </c>
      <c r="AE32" s="425">
        <v>0.20202378838984555</v>
      </c>
    </row>
    <row r="33" spans="1:31">
      <c r="A33" s="416" t="s">
        <v>72</v>
      </c>
      <c r="B33" s="417" t="s">
        <v>478</v>
      </c>
      <c r="C33" s="418">
        <v>412</v>
      </c>
      <c r="D33" s="419">
        <v>344</v>
      </c>
      <c r="E33" s="419">
        <v>429</v>
      </c>
      <c r="F33" s="419">
        <v>475</v>
      </c>
      <c r="G33" s="419">
        <v>401</v>
      </c>
      <c r="H33" s="419">
        <v>463</v>
      </c>
      <c r="I33" s="419">
        <v>431</v>
      </c>
      <c r="J33" s="419">
        <v>430</v>
      </c>
      <c r="K33" s="419">
        <v>472</v>
      </c>
      <c r="L33" s="419">
        <v>511</v>
      </c>
      <c r="M33" s="420">
        <v>562</v>
      </c>
      <c r="N33" s="420">
        <v>581</v>
      </c>
      <c r="O33" s="1056">
        <v>608</v>
      </c>
      <c r="P33" s="1012">
        <v>585</v>
      </c>
      <c r="R33" s="422">
        <v>0.18300000000000002</v>
      </c>
      <c r="S33" s="423">
        <v>0.153</v>
      </c>
      <c r="T33" s="423">
        <v>0.188</v>
      </c>
      <c r="U33" s="423">
        <v>0.20599999999999999</v>
      </c>
      <c r="V33" s="423">
        <v>0.17799999999999999</v>
      </c>
      <c r="W33" s="423">
        <v>0.20799999999999999</v>
      </c>
      <c r="X33" s="423">
        <v>0.19299999999999998</v>
      </c>
      <c r="Y33" s="423">
        <v>0.18500000000000003</v>
      </c>
      <c r="Z33" s="423">
        <v>0.20499999999999999</v>
      </c>
      <c r="AA33" s="423">
        <v>0.217</v>
      </c>
      <c r="AB33" s="424">
        <v>0.23600000000000002</v>
      </c>
      <c r="AC33" s="424">
        <v>0.247</v>
      </c>
      <c r="AD33" s="424">
        <v>0.26</v>
      </c>
      <c r="AE33" s="425">
        <v>0.26057906458797325</v>
      </c>
    </row>
    <row r="34" spans="1:31">
      <c r="A34" s="416" t="s">
        <v>74</v>
      </c>
      <c r="B34" s="417" t="s">
        <v>618</v>
      </c>
      <c r="C34" s="418">
        <v>14781</v>
      </c>
      <c r="D34" s="419">
        <v>14104</v>
      </c>
      <c r="E34" s="419">
        <v>15917</v>
      </c>
      <c r="F34" s="419">
        <v>18019</v>
      </c>
      <c r="G34" s="419">
        <v>16697</v>
      </c>
      <c r="H34" s="419">
        <v>16645</v>
      </c>
      <c r="I34" s="419">
        <v>14925</v>
      </c>
      <c r="J34" s="419">
        <v>15368</v>
      </c>
      <c r="K34" s="419">
        <v>16089</v>
      </c>
      <c r="L34" s="419">
        <v>17979</v>
      </c>
      <c r="M34" s="420">
        <v>19599</v>
      </c>
      <c r="N34" s="420">
        <v>24059</v>
      </c>
      <c r="O34" s="1056">
        <v>21279</v>
      </c>
      <c r="P34" s="1012">
        <v>21131</v>
      </c>
      <c r="R34" s="422">
        <v>5.6980692580757518E-2</v>
      </c>
      <c r="S34" s="423">
        <v>5.4791857402856935E-2</v>
      </c>
      <c r="T34" s="423">
        <v>6.0754586948858096E-2</v>
      </c>
      <c r="U34" s="423">
        <v>6.8447406952050621E-2</v>
      </c>
      <c r="V34" s="423">
        <v>6.3557765840483643E-2</v>
      </c>
      <c r="W34" s="423">
        <v>6.3590983205997847E-2</v>
      </c>
      <c r="X34" s="423">
        <v>5.775728967223534E-2</v>
      </c>
      <c r="Y34" s="423">
        <v>6.1628252698446059E-2</v>
      </c>
      <c r="Z34" s="423">
        <v>6.3773625796764905E-2</v>
      </c>
      <c r="AA34" s="423">
        <v>6.8738335644825926E-2</v>
      </c>
      <c r="AB34" s="424">
        <v>7.2617408043070833E-2</v>
      </c>
      <c r="AC34" s="424">
        <v>8.9207187298385601E-2</v>
      </c>
      <c r="AD34" s="424">
        <v>7.8E-2</v>
      </c>
      <c r="AE34" s="425">
        <v>7.6301450489454428E-2</v>
      </c>
    </row>
    <row r="35" spans="1:31">
      <c r="A35" s="416" t="s">
        <v>76</v>
      </c>
      <c r="B35" s="417" t="s">
        <v>479</v>
      </c>
      <c r="C35" s="418">
        <v>975</v>
      </c>
      <c r="D35" s="419">
        <v>814</v>
      </c>
      <c r="E35" s="419">
        <v>945</v>
      </c>
      <c r="F35" s="419">
        <v>1101</v>
      </c>
      <c r="G35" s="419">
        <v>1017</v>
      </c>
      <c r="H35" s="419">
        <v>948</v>
      </c>
      <c r="I35" s="419">
        <v>917</v>
      </c>
      <c r="J35" s="419">
        <v>966</v>
      </c>
      <c r="K35" s="419">
        <v>1162</v>
      </c>
      <c r="L35" s="419">
        <v>1350</v>
      </c>
      <c r="M35" s="420">
        <v>1480</v>
      </c>
      <c r="N35" s="420">
        <v>1421</v>
      </c>
      <c r="O35" s="1056">
        <v>1364</v>
      </c>
      <c r="P35" s="1012">
        <v>1409</v>
      </c>
      <c r="R35" s="422">
        <v>6.5000000000000002E-2</v>
      </c>
      <c r="S35" s="423">
        <v>5.4000000000000006E-2</v>
      </c>
      <c r="T35" s="423">
        <v>6.0999999999999999E-2</v>
      </c>
      <c r="U35" s="423">
        <v>6.9999999999999993E-2</v>
      </c>
      <c r="V35" s="423">
        <v>6.4000000000000001E-2</v>
      </c>
      <c r="W35" s="423">
        <v>0.06</v>
      </c>
      <c r="X35" s="423">
        <v>5.9000000000000004E-2</v>
      </c>
      <c r="Y35" s="423">
        <v>0.06</v>
      </c>
      <c r="Z35" s="423">
        <v>7.2999999999999995E-2</v>
      </c>
      <c r="AA35" s="423">
        <v>0.08</v>
      </c>
      <c r="AB35" s="424">
        <v>9.0999999999999998E-2</v>
      </c>
      <c r="AC35" s="424">
        <v>8.8000000000000009E-2</v>
      </c>
      <c r="AD35" s="424">
        <v>8.5999999999999993E-2</v>
      </c>
      <c r="AE35" s="425">
        <v>8.8117573483427136E-2</v>
      </c>
    </row>
    <row r="36" spans="1:31">
      <c r="A36" s="416" t="s">
        <v>78</v>
      </c>
      <c r="B36" s="417" t="s">
        <v>480</v>
      </c>
      <c r="C36" s="418">
        <v>442</v>
      </c>
      <c r="D36" s="419">
        <v>397</v>
      </c>
      <c r="E36" s="419">
        <v>451</v>
      </c>
      <c r="F36" s="419">
        <v>493</v>
      </c>
      <c r="G36" s="419">
        <v>443</v>
      </c>
      <c r="H36" s="419">
        <v>492</v>
      </c>
      <c r="I36" s="419">
        <v>568</v>
      </c>
      <c r="J36" s="419">
        <v>487</v>
      </c>
      <c r="K36" s="419">
        <v>511</v>
      </c>
      <c r="L36" s="419">
        <v>591</v>
      </c>
      <c r="M36" s="420">
        <v>650</v>
      </c>
      <c r="N36" s="420">
        <v>682</v>
      </c>
      <c r="O36" s="1056">
        <v>643</v>
      </c>
      <c r="P36" s="1012">
        <v>670</v>
      </c>
      <c r="R36" s="422">
        <v>0.14499999999999999</v>
      </c>
      <c r="S36" s="423">
        <v>0.13</v>
      </c>
      <c r="T36" s="423">
        <v>0.14800000000000002</v>
      </c>
      <c r="U36" s="423">
        <v>0.16</v>
      </c>
      <c r="V36" s="423">
        <v>0.14199999999999999</v>
      </c>
      <c r="W36" s="423">
        <v>0.16</v>
      </c>
      <c r="X36" s="423">
        <v>0.187</v>
      </c>
      <c r="Y36" s="423">
        <v>0.16</v>
      </c>
      <c r="Z36" s="423">
        <v>0.16699999999999998</v>
      </c>
      <c r="AA36" s="423">
        <v>0.192</v>
      </c>
      <c r="AB36" s="424">
        <v>0.19600000000000001</v>
      </c>
      <c r="AC36" s="424">
        <v>0.20899999999999999</v>
      </c>
      <c r="AD36" s="424">
        <v>0.20100000000000001</v>
      </c>
      <c r="AE36" s="425">
        <v>0.21148989898989898</v>
      </c>
    </row>
    <row r="37" spans="1:31">
      <c r="A37" s="416" t="s">
        <v>80</v>
      </c>
      <c r="B37" s="417" t="s">
        <v>481</v>
      </c>
      <c r="C37" s="418">
        <v>438</v>
      </c>
      <c r="D37" s="419">
        <v>356</v>
      </c>
      <c r="E37" s="419">
        <v>412</v>
      </c>
      <c r="F37" s="419">
        <v>465</v>
      </c>
      <c r="G37" s="419">
        <v>427</v>
      </c>
      <c r="H37" s="419">
        <v>615</v>
      </c>
      <c r="I37" s="419">
        <v>435</v>
      </c>
      <c r="J37" s="419">
        <v>468</v>
      </c>
      <c r="K37" s="419">
        <v>491</v>
      </c>
      <c r="L37" s="419">
        <v>525</v>
      </c>
      <c r="M37" s="420">
        <v>540</v>
      </c>
      <c r="N37" s="420">
        <v>589</v>
      </c>
      <c r="O37" s="1056">
        <v>614</v>
      </c>
      <c r="P37" s="1012">
        <v>582</v>
      </c>
      <c r="R37" s="422">
        <v>0.09</v>
      </c>
      <c r="S37" s="423">
        <v>7.0000000000000007E-2</v>
      </c>
      <c r="T37" s="423">
        <v>7.8E-2</v>
      </c>
      <c r="U37" s="423">
        <v>8.4000000000000005E-2</v>
      </c>
      <c r="V37" s="423">
        <v>7.4999999999999997E-2</v>
      </c>
      <c r="W37" s="423">
        <v>0.109</v>
      </c>
      <c r="X37" s="423">
        <v>7.6999999999999999E-2</v>
      </c>
      <c r="Y37" s="423">
        <v>7.9000000000000001E-2</v>
      </c>
      <c r="Z37" s="423">
        <v>8.3000000000000004E-2</v>
      </c>
      <c r="AA37" s="423">
        <v>9.0999999999999998E-2</v>
      </c>
      <c r="AB37" s="424">
        <v>9.1999999999999985E-2</v>
      </c>
      <c r="AC37" s="424">
        <v>0.10199999999999999</v>
      </c>
      <c r="AD37" s="424">
        <v>0.108</v>
      </c>
      <c r="AE37" s="425">
        <v>0.10471392587261605</v>
      </c>
    </row>
    <row r="38" spans="1:31">
      <c r="A38" s="416" t="s">
        <v>84</v>
      </c>
      <c r="B38" s="417" t="s">
        <v>85</v>
      </c>
      <c r="C38" s="418">
        <v>1545</v>
      </c>
      <c r="D38" s="419">
        <v>1497</v>
      </c>
      <c r="E38" s="419">
        <v>1809</v>
      </c>
      <c r="F38" s="419">
        <v>1906</v>
      </c>
      <c r="G38" s="419">
        <v>1633</v>
      </c>
      <c r="H38" s="419">
        <v>1690</v>
      </c>
      <c r="I38" s="419">
        <v>1647</v>
      </c>
      <c r="J38" s="419">
        <v>1818</v>
      </c>
      <c r="K38" s="419">
        <v>1945</v>
      </c>
      <c r="L38" s="419">
        <v>2267</v>
      </c>
      <c r="M38" s="420">
        <v>2478</v>
      </c>
      <c r="N38" s="420">
        <v>2460</v>
      </c>
      <c r="O38" s="1056">
        <v>2332</v>
      </c>
      <c r="P38" s="1012">
        <v>2476</v>
      </c>
      <c r="R38" s="422">
        <v>0.14800000000000002</v>
      </c>
      <c r="S38" s="423">
        <v>0.14300000000000002</v>
      </c>
      <c r="T38" s="423">
        <v>0.16999999999999998</v>
      </c>
      <c r="U38" s="423">
        <v>0.18</v>
      </c>
      <c r="V38" s="423">
        <v>0.154</v>
      </c>
      <c r="W38" s="423">
        <v>0.161</v>
      </c>
      <c r="X38" s="423">
        <v>0.159</v>
      </c>
      <c r="Y38" s="423">
        <v>0.17300000000000001</v>
      </c>
      <c r="Z38" s="423">
        <v>0.18699999999999997</v>
      </c>
      <c r="AA38" s="423">
        <v>0.21699999999999997</v>
      </c>
      <c r="AB38" s="424">
        <v>0.21600000000000003</v>
      </c>
      <c r="AC38" s="424">
        <v>0.217</v>
      </c>
      <c r="AD38" s="424">
        <v>0.21</v>
      </c>
      <c r="AE38" s="425">
        <v>0.22638749199963426</v>
      </c>
    </row>
    <row r="39" spans="1:31">
      <c r="A39" s="416" t="s">
        <v>86</v>
      </c>
      <c r="B39" s="417" t="s">
        <v>482</v>
      </c>
      <c r="C39" s="418">
        <v>1306</v>
      </c>
      <c r="D39" s="419">
        <v>1168</v>
      </c>
      <c r="E39" s="419">
        <v>1295</v>
      </c>
      <c r="F39" s="419">
        <v>1490</v>
      </c>
      <c r="G39" s="419">
        <v>1347</v>
      </c>
      <c r="H39" s="419">
        <v>1314</v>
      </c>
      <c r="I39" s="419">
        <v>1385</v>
      </c>
      <c r="J39" s="419">
        <v>1559</v>
      </c>
      <c r="K39" s="419">
        <v>1733</v>
      </c>
      <c r="L39" s="419">
        <v>2218</v>
      </c>
      <c r="M39" s="420">
        <v>2140</v>
      </c>
      <c r="N39" s="420">
        <v>2396</v>
      </c>
      <c r="O39" s="1056">
        <v>2303</v>
      </c>
      <c r="P39" s="1012">
        <v>2211</v>
      </c>
      <c r="R39" s="422">
        <v>8.4000000000000005E-2</v>
      </c>
      <c r="S39" s="423">
        <v>7.4999999999999997E-2</v>
      </c>
      <c r="T39" s="423">
        <v>8.1000000000000003E-2</v>
      </c>
      <c r="U39" s="423">
        <v>9.1999999999999998E-2</v>
      </c>
      <c r="V39" s="423">
        <v>0.08</v>
      </c>
      <c r="W39" s="423">
        <v>7.9000000000000015E-2</v>
      </c>
      <c r="X39" s="423">
        <v>8.3000000000000004E-2</v>
      </c>
      <c r="Y39" s="423">
        <v>8.8000000000000009E-2</v>
      </c>
      <c r="Z39" s="423">
        <v>9.8000000000000004E-2</v>
      </c>
      <c r="AA39" s="423">
        <v>0.11800000000000001</v>
      </c>
      <c r="AB39" s="424">
        <v>0.10999999999999999</v>
      </c>
      <c r="AC39" s="424">
        <v>0.124</v>
      </c>
      <c r="AD39" s="424">
        <v>0.12</v>
      </c>
      <c r="AE39" s="425">
        <v>0.11627662371811727</v>
      </c>
    </row>
    <row r="40" spans="1:31">
      <c r="A40" s="416" t="s">
        <v>92</v>
      </c>
      <c r="B40" s="417" t="s">
        <v>483</v>
      </c>
      <c r="C40" s="418">
        <v>492</v>
      </c>
      <c r="D40" s="419">
        <v>455</v>
      </c>
      <c r="E40" s="419">
        <v>550</v>
      </c>
      <c r="F40" s="419">
        <v>615</v>
      </c>
      <c r="G40" s="419">
        <v>525</v>
      </c>
      <c r="H40" s="419">
        <v>600</v>
      </c>
      <c r="I40" s="419">
        <v>561</v>
      </c>
      <c r="J40" s="419">
        <v>524</v>
      </c>
      <c r="K40" s="419">
        <v>597</v>
      </c>
      <c r="L40" s="419">
        <v>675</v>
      </c>
      <c r="M40" s="420">
        <v>696</v>
      </c>
      <c r="N40" s="420">
        <v>677</v>
      </c>
      <c r="O40" s="1056">
        <v>613</v>
      </c>
      <c r="P40" s="1012">
        <v>622</v>
      </c>
      <c r="R40" s="422">
        <v>0.13300000000000001</v>
      </c>
      <c r="S40" s="423">
        <v>0.125</v>
      </c>
      <c r="T40" s="423">
        <v>0.14799999999999999</v>
      </c>
      <c r="U40" s="423">
        <v>0.16499999999999998</v>
      </c>
      <c r="V40" s="423">
        <v>0.14000000000000001</v>
      </c>
      <c r="W40" s="423">
        <v>0.16300000000000001</v>
      </c>
      <c r="X40" s="423">
        <v>0.153</v>
      </c>
      <c r="Y40" s="423">
        <v>0.14400000000000002</v>
      </c>
      <c r="Z40" s="423">
        <v>0.16699999999999998</v>
      </c>
      <c r="AA40" s="423">
        <v>0.18300000000000002</v>
      </c>
      <c r="AB40" s="424">
        <v>0.18899999999999997</v>
      </c>
      <c r="AC40" s="424">
        <v>0.191</v>
      </c>
      <c r="AD40" s="424">
        <v>0.17699999999999999</v>
      </c>
      <c r="AE40" s="425">
        <v>0.17842799770510614</v>
      </c>
    </row>
    <row r="41" spans="1:31">
      <c r="A41" s="416" t="s">
        <v>94</v>
      </c>
      <c r="B41" s="417" t="s">
        <v>484</v>
      </c>
      <c r="C41" s="418">
        <v>1069</v>
      </c>
      <c r="D41" s="419">
        <v>919</v>
      </c>
      <c r="E41" s="419">
        <v>1073</v>
      </c>
      <c r="F41" s="419">
        <v>1136</v>
      </c>
      <c r="G41" s="419">
        <v>1032</v>
      </c>
      <c r="H41" s="419">
        <v>1093</v>
      </c>
      <c r="I41" s="419">
        <v>1066</v>
      </c>
      <c r="J41" s="419">
        <v>1028</v>
      </c>
      <c r="K41" s="419">
        <v>1118</v>
      </c>
      <c r="L41" s="419">
        <v>1156</v>
      </c>
      <c r="M41" s="420">
        <v>1134</v>
      </c>
      <c r="N41" s="420">
        <v>1175</v>
      </c>
      <c r="O41" s="1056">
        <v>1154</v>
      </c>
      <c r="P41" s="1012">
        <v>1187</v>
      </c>
      <c r="R41" s="422">
        <v>0.11900000000000001</v>
      </c>
      <c r="S41" s="423">
        <v>0.10400000000000001</v>
      </c>
      <c r="T41" s="423">
        <v>0.11899999999999999</v>
      </c>
      <c r="U41" s="423">
        <v>0.129</v>
      </c>
      <c r="V41" s="423">
        <v>0.11700000000000001</v>
      </c>
      <c r="W41" s="423">
        <v>0.126</v>
      </c>
      <c r="X41" s="423">
        <v>0.125</v>
      </c>
      <c r="Y41" s="423">
        <v>0.12000000000000001</v>
      </c>
      <c r="Z41" s="423">
        <v>0.13300000000000001</v>
      </c>
      <c r="AA41" s="423">
        <v>0.13499999999999998</v>
      </c>
      <c r="AB41" s="424">
        <v>0.14099999999999999</v>
      </c>
      <c r="AC41" s="424">
        <v>0.151</v>
      </c>
      <c r="AD41" s="424">
        <v>0.151</v>
      </c>
      <c r="AE41" s="425">
        <v>0.16014570966001079</v>
      </c>
    </row>
    <row r="42" spans="1:31">
      <c r="A42" s="416" t="s">
        <v>96</v>
      </c>
      <c r="B42" s="417" t="s">
        <v>485</v>
      </c>
      <c r="C42" s="418">
        <v>304</v>
      </c>
      <c r="D42" s="419">
        <v>243</v>
      </c>
      <c r="E42" s="419">
        <v>293</v>
      </c>
      <c r="F42" s="419">
        <v>349</v>
      </c>
      <c r="G42" s="419">
        <v>309</v>
      </c>
      <c r="H42" s="419">
        <v>301</v>
      </c>
      <c r="I42" s="419">
        <v>291</v>
      </c>
      <c r="J42" s="419">
        <v>292</v>
      </c>
      <c r="K42" s="419">
        <v>314</v>
      </c>
      <c r="L42" s="419">
        <v>361</v>
      </c>
      <c r="M42" s="420">
        <v>423</v>
      </c>
      <c r="N42" s="420">
        <v>437</v>
      </c>
      <c r="O42" s="1056">
        <v>382</v>
      </c>
      <c r="P42" s="1012">
        <v>385</v>
      </c>
      <c r="R42" s="422">
        <v>8.6999999999999994E-2</v>
      </c>
      <c r="S42" s="423">
        <v>6.8000000000000005E-2</v>
      </c>
      <c r="T42" s="423">
        <v>7.8E-2</v>
      </c>
      <c r="U42" s="423">
        <v>9.0999999999999998E-2</v>
      </c>
      <c r="V42" s="423">
        <v>0.08</v>
      </c>
      <c r="W42" s="423">
        <v>7.9000000000000001E-2</v>
      </c>
      <c r="X42" s="423">
        <v>7.4999999999999997E-2</v>
      </c>
      <c r="Y42" s="423">
        <v>6.9999999999999993E-2</v>
      </c>
      <c r="Z42" s="423">
        <v>7.4999999999999997E-2</v>
      </c>
      <c r="AA42" s="423">
        <v>8.8000000000000009E-2</v>
      </c>
      <c r="AB42" s="424">
        <v>9.8000000000000004E-2</v>
      </c>
      <c r="AC42" s="424">
        <v>0.10400000000000001</v>
      </c>
      <c r="AD42" s="424">
        <v>9.2999999999999999E-2</v>
      </c>
      <c r="AE42" s="425">
        <v>9.4548133595284869E-2</v>
      </c>
    </row>
    <row r="43" spans="1:31">
      <c r="A43" s="416" t="s">
        <v>98</v>
      </c>
      <c r="B43" s="417" t="s">
        <v>486</v>
      </c>
      <c r="C43" s="418">
        <v>672</v>
      </c>
      <c r="D43" s="419">
        <v>629</v>
      </c>
      <c r="E43" s="419">
        <v>718</v>
      </c>
      <c r="F43" s="419">
        <v>794</v>
      </c>
      <c r="G43" s="419">
        <v>668</v>
      </c>
      <c r="H43" s="419">
        <v>812</v>
      </c>
      <c r="I43" s="419">
        <v>716</v>
      </c>
      <c r="J43" s="419">
        <v>694</v>
      </c>
      <c r="K43" s="419">
        <v>752</v>
      </c>
      <c r="L43" s="419">
        <v>739</v>
      </c>
      <c r="M43" s="420">
        <v>796</v>
      </c>
      <c r="N43" s="420">
        <v>816</v>
      </c>
      <c r="O43" s="1056">
        <v>735</v>
      </c>
      <c r="P43" s="1012">
        <v>775</v>
      </c>
      <c r="R43" s="422">
        <v>0.19900000000000001</v>
      </c>
      <c r="S43" s="423">
        <v>0.19</v>
      </c>
      <c r="T43" s="423">
        <v>0.217</v>
      </c>
      <c r="U43" s="423">
        <v>0.24100000000000002</v>
      </c>
      <c r="V43" s="423">
        <v>0.20699999999999999</v>
      </c>
      <c r="W43" s="423">
        <v>0.255</v>
      </c>
      <c r="X43" s="423">
        <v>0.23299999999999998</v>
      </c>
      <c r="Y43" s="423">
        <v>0.23199999999999998</v>
      </c>
      <c r="Z43" s="423">
        <v>0.25700000000000001</v>
      </c>
      <c r="AA43" s="423">
        <v>0.25600000000000001</v>
      </c>
      <c r="AB43" s="424">
        <v>0.27400000000000002</v>
      </c>
      <c r="AC43" s="424">
        <v>0.28999999999999998</v>
      </c>
      <c r="AD43" s="424">
        <v>0.27</v>
      </c>
      <c r="AE43" s="425">
        <v>0.29069767441860467</v>
      </c>
    </row>
    <row r="44" spans="1:31">
      <c r="A44" s="416" t="s">
        <v>100</v>
      </c>
      <c r="B44" s="417" t="s">
        <v>487</v>
      </c>
      <c r="C44" s="418">
        <v>409</v>
      </c>
      <c r="D44" s="419">
        <v>383</v>
      </c>
      <c r="E44" s="419">
        <v>454</v>
      </c>
      <c r="F44" s="419">
        <v>505</v>
      </c>
      <c r="G44" s="419">
        <v>475</v>
      </c>
      <c r="H44" s="419">
        <v>518</v>
      </c>
      <c r="I44" s="419">
        <v>476</v>
      </c>
      <c r="J44" s="419">
        <v>473</v>
      </c>
      <c r="K44" s="419">
        <v>507</v>
      </c>
      <c r="L44" s="419">
        <v>559</v>
      </c>
      <c r="M44" s="420">
        <v>607</v>
      </c>
      <c r="N44" s="420">
        <v>639</v>
      </c>
      <c r="O44" s="1056">
        <v>616</v>
      </c>
      <c r="P44" s="1012">
        <v>748</v>
      </c>
      <c r="R44" s="422">
        <v>9.5999999999999988E-2</v>
      </c>
      <c r="S44" s="423">
        <v>8.7000000000000008E-2</v>
      </c>
      <c r="T44" s="423">
        <v>9.9000000000000005E-2</v>
      </c>
      <c r="U44" s="423">
        <v>0.10900000000000001</v>
      </c>
      <c r="V44" s="423">
        <v>0.10099999999999999</v>
      </c>
      <c r="W44" s="423">
        <v>0.11099999999999999</v>
      </c>
      <c r="X44" s="423">
        <v>0.10300000000000001</v>
      </c>
      <c r="Y44" s="423">
        <v>0.10100000000000001</v>
      </c>
      <c r="Z44" s="423">
        <v>0.109</v>
      </c>
      <c r="AA44" s="423">
        <v>0.12099999999999998</v>
      </c>
      <c r="AB44" s="424">
        <v>0.13300000000000001</v>
      </c>
      <c r="AC44" s="424">
        <v>0.13900000000000001</v>
      </c>
      <c r="AD44" s="424">
        <v>0.13600000000000001</v>
      </c>
      <c r="AE44" s="425">
        <v>0.1660746003552398</v>
      </c>
    </row>
    <row r="45" spans="1:31">
      <c r="A45" s="416" t="s">
        <v>102</v>
      </c>
      <c r="B45" s="417" t="s">
        <v>772</v>
      </c>
      <c r="C45" s="418">
        <v>705</v>
      </c>
      <c r="D45" s="419">
        <v>670</v>
      </c>
      <c r="E45" s="419">
        <v>695</v>
      </c>
      <c r="F45" s="419">
        <v>731</v>
      </c>
      <c r="G45" s="419">
        <v>660</v>
      </c>
      <c r="H45" s="419">
        <v>773</v>
      </c>
      <c r="I45" s="419">
        <v>752</v>
      </c>
      <c r="J45" s="419">
        <v>740</v>
      </c>
      <c r="K45" s="419">
        <v>830</v>
      </c>
      <c r="L45" s="419">
        <v>938</v>
      </c>
      <c r="M45" s="420">
        <v>973</v>
      </c>
      <c r="N45" s="420">
        <v>985</v>
      </c>
      <c r="O45" s="1056">
        <v>992</v>
      </c>
      <c r="P45" s="1012">
        <v>1119</v>
      </c>
      <c r="R45" s="422">
        <v>0.20724231754161332</v>
      </c>
      <c r="S45" s="423">
        <v>0.19890120481927712</v>
      </c>
      <c r="T45" s="423">
        <v>0.20426443081771778</v>
      </c>
      <c r="U45" s="423">
        <v>0.21502171135061685</v>
      </c>
      <c r="V45" s="423">
        <v>0.19648156474820144</v>
      </c>
      <c r="W45" s="423">
        <v>0.23248045054375974</v>
      </c>
      <c r="X45" s="423">
        <v>0.23066181801881558</v>
      </c>
      <c r="Y45" s="423">
        <v>0.22627145085803432</v>
      </c>
      <c r="Z45" s="423">
        <v>0.25454693004130152</v>
      </c>
      <c r="AA45" s="423">
        <v>0.27317842460121688</v>
      </c>
      <c r="AB45" s="424">
        <v>0.28265350547965773</v>
      </c>
      <c r="AC45" s="424">
        <v>0.29271916790490343</v>
      </c>
      <c r="AD45" s="424">
        <v>0.29899999999999999</v>
      </c>
      <c r="AE45" s="425">
        <v>0.33878292461398729</v>
      </c>
    </row>
    <row r="46" spans="1:31">
      <c r="A46" s="416" t="s">
        <v>104</v>
      </c>
      <c r="B46" s="417" t="s">
        <v>773</v>
      </c>
      <c r="C46" s="418">
        <v>1650</v>
      </c>
      <c r="D46" s="419">
        <v>1584</v>
      </c>
      <c r="E46" s="419">
        <v>1864</v>
      </c>
      <c r="F46" s="419">
        <v>1972</v>
      </c>
      <c r="G46" s="419">
        <v>1734</v>
      </c>
      <c r="H46" s="419">
        <v>1721</v>
      </c>
      <c r="I46" s="419">
        <v>1915</v>
      </c>
      <c r="J46" s="419">
        <v>1706</v>
      </c>
      <c r="K46" s="419">
        <v>1764</v>
      </c>
      <c r="L46" s="419">
        <v>2128</v>
      </c>
      <c r="M46" s="420">
        <v>2225</v>
      </c>
      <c r="N46" s="420">
        <v>2028</v>
      </c>
      <c r="O46" s="1056">
        <v>2170</v>
      </c>
      <c r="P46" s="1012">
        <v>2110</v>
      </c>
      <c r="R46" s="422">
        <v>0.19500000000000001</v>
      </c>
      <c r="S46" s="423">
        <v>0.191</v>
      </c>
      <c r="T46" s="423">
        <v>0.22399999999999998</v>
      </c>
      <c r="U46" s="423">
        <v>0.24000000000000002</v>
      </c>
      <c r="V46" s="423">
        <v>0.21000000000000002</v>
      </c>
      <c r="W46" s="423">
        <v>0.21100000000000002</v>
      </c>
      <c r="X46" s="423">
        <v>0.24299999999999999</v>
      </c>
      <c r="Y46" s="423">
        <v>0.22100000000000003</v>
      </c>
      <c r="Z46" s="423">
        <v>0.23399999999999999</v>
      </c>
      <c r="AA46" s="423">
        <v>0.27800000000000002</v>
      </c>
      <c r="AB46" s="424">
        <v>0.28299999999999997</v>
      </c>
      <c r="AC46" s="424">
        <v>0.26200000000000001</v>
      </c>
      <c r="AD46" s="424">
        <v>0.28699999999999998</v>
      </c>
      <c r="AE46" s="425">
        <v>0.28868518265152554</v>
      </c>
    </row>
    <row r="47" spans="1:31">
      <c r="A47" s="416" t="s">
        <v>108</v>
      </c>
      <c r="B47" s="417" t="s">
        <v>488</v>
      </c>
      <c r="C47" s="418">
        <v>1074</v>
      </c>
      <c r="D47" s="419">
        <v>943</v>
      </c>
      <c r="E47" s="419">
        <v>1198</v>
      </c>
      <c r="F47" s="419">
        <v>1391</v>
      </c>
      <c r="G47" s="419">
        <v>1329</v>
      </c>
      <c r="H47" s="419">
        <v>1286</v>
      </c>
      <c r="I47" s="419">
        <v>1196</v>
      </c>
      <c r="J47" s="419">
        <v>1308</v>
      </c>
      <c r="K47" s="419">
        <v>1274</v>
      </c>
      <c r="L47" s="419">
        <v>1494</v>
      </c>
      <c r="M47" s="420">
        <v>1582</v>
      </c>
      <c r="N47" s="420">
        <v>1764</v>
      </c>
      <c r="O47" s="1056">
        <v>1746</v>
      </c>
      <c r="P47" s="1012">
        <v>1581</v>
      </c>
      <c r="R47" s="422">
        <v>4.5999999999999999E-2</v>
      </c>
      <c r="S47" s="423">
        <v>0.04</v>
      </c>
      <c r="T47" s="423">
        <v>0.05</v>
      </c>
      <c r="U47" s="423">
        <v>5.9000000000000004E-2</v>
      </c>
      <c r="V47" s="423">
        <v>5.5999999999999994E-2</v>
      </c>
      <c r="W47" s="423">
        <v>5.5000000000000007E-2</v>
      </c>
      <c r="X47" s="423">
        <v>5.0999999999999997E-2</v>
      </c>
      <c r="Y47" s="423">
        <v>5.5999999999999994E-2</v>
      </c>
      <c r="Z47" s="423">
        <v>5.5E-2</v>
      </c>
      <c r="AA47" s="423">
        <v>6.0999999999999992E-2</v>
      </c>
      <c r="AB47" s="424">
        <v>6.4000000000000001E-2</v>
      </c>
      <c r="AC47" s="424">
        <v>7.2999999999999995E-2</v>
      </c>
      <c r="AD47" s="424">
        <v>7.4999999999999997E-2</v>
      </c>
      <c r="AE47" s="425">
        <v>6.7997075394606685E-2</v>
      </c>
    </row>
    <row r="48" spans="1:31">
      <c r="A48" s="416" t="s">
        <v>110</v>
      </c>
      <c r="B48" s="417" t="s">
        <v>489</v>
      </c>
      <c r="C48" s="418">
        <v>5536</v>
      </c>
      <c r="D48" s="419">
        <v>5204</v>
      </c>
      <c r="E48" s="419">
        <v>6080</v>
      </c>
      <c r="F48" s="419">
        <v>7045</v>
      </c>
      <c r="G48" s="419">
        <v>6637</v>
      </c>
      <c r="H48" s="419">
        <v>7048</v>
      </c>
      <c r="I48" s="419">
        <v>6972</v>
      </c>
      <c r="J48" s="419">
        <v>8246</v>
      </c>
      <c r="K48" s="419">
        <v>8042</v>
      </c>
      <c r="L48" s="419">
        <v>8813</v>
      </c>
      <c r="M48" s="420">
        <v>9849</v>
      </c>
      <c r="N48" s="420">
        <v>10914</v>
      </c>
      <c r="O48" s="1056">
        <v>10016</v>
      </c>
      <c r="P48" s="1012">
        <v>10843</v>
      </c>
      <c r="R48" s="422">
        <v>8.5000000000000006E-2</v>
      </c>
      <c r="S48" s="423">
        <v>0.08</v>
      </c>
      <c r="T48" s="423">
        <v>9.0999999999999998E-2</v>
      </c>
      <c r="U48" s="423">
        <v>0.10400000000000001</v>
      </c>
      <c r="V48" s="423">
        <v>9.5999999999999988E-2</v>
      </c>
      <c r="W48" s="423">
        <v>0.10299999999999999</v>
      </c>
      <c r="X48" s="423">
        <v>0.10200000000000001</v>
      </c>
      <c r="Y48" s="423">
        <v>0.11800000000000001</v>
      </c>
      <c r="Z48" s="423">
        <v>0.115</v>
      </c>
      <c r="AA48" s="423">
        <v>0.12699999999999997</v>
      </c>
      <c r="AB48" s="424">
        <v>0.13400000000000001</v>
      </c>
      <c r="AC48" s="424">
        <v>0.14899999999999999</v>
      </c>
      <c r="AD48" s="424">
        <v>0.13600000000000001</v>
      </c>
      <c r="AE48" s="425">
        <v>0.14602973657275226</v>
      </c>
    </row>
    <row r="49" spans="1:31">
      <c r="A49" s="416" t="s">
        <v>112</v>
      </c>
      <c r="B49" s="417" t="s">
        <v>774</v>
      </c>
      <c r="C49" s="418">
        <v>2979</v>
      </c>
      <c r="D49" s="419">
        <v>2892</v>
      </c>
      <c r="E49" s="419">
        <v>3231</v>
      </c>
      <c r="F49" s="419">
        <v>3497</v>
      </c>
      <c r="G49" s="419">
        <v>3140</v>
      </c>
      <c r="H49" s="419">
        <v>3600</v>
      </c>
      <c r="I49" s="419">
        <v>3363</v>
      </c>
      <c r="J49" s="419">
        <v>3904</v>
      </c>
      <c r="K49" s="419">
        <v>3649</v>
      </c>
      <c r="L49" s="419">
        <v>4171</v>
      </c>
      <c r="M49" s="420">
        <v>4023</v>
      </c>
      <c r="N49" s="420">
        <v>4704</v>
      </c>
      <c r="O49" s="1056">
        <v>4158</v>
      </c>
      <c r="P49" s="1012">
        <v>4233</v>
      </c>
      <c r="R49" s="422">
        <v>0.18630603454114458</v>
      </c>
      <c r="S49" s="423">
        <v>0.18404195178590124</v>
      </c>
      <c r="T49" s="423">
        <v>0.20421486172728284</v>
      </c>
      <c r="U49" s="423">
        <v>0.22610694318889932</v>
      </c>
      <c r="V49" s="423">
        <v>0.20544691510861401</v>
      </c>
      <c r="W49" s="423">
        <v>0.23930468656616982</v>
      </c>
      <c r="X49" s="423">
        <v>0.23114323370386328</v>
      </c>
      <c r="Y49" s="423">
        <v>0.27677925198745235</v>
      </c>
      <c r="Z49" s="423">
        <v>0.26291531358477926</v>
      </c>
      <c r="AA49" s="423">
        <v>0.29257510477431536</v>
      </c>
      <c r="AB49" s="424">
        <v>0.29068673718230797</v>
      </c>
      <c r="AC49" s="424">
        <v>0.34396022228721856</v>
      </c>
      <c r="AD49" s="424">
        <v>0.30599999999999999</v>
      </c>
      <c r="AE49" s="425">
        <v>0.31474459067588667</v>
      </c>
    </row>
    <row r="50" spans="1:31">
      <c r="A50" s="416" t="s">
        <v>114</v>
      </c>
      <c r="B50" s="417" t="s">
        <v>490</v>
      </c>
      <c r="C50" s="418">
        <v>91</v>
      </c>
      <c r="D50" s="419">
        <v>68</v>
      </c>
      <c r="E50" s="419">
        <v>74</v>
      </c>
      <c r="F50" s="419">
        <v>74</v>
      </c>
      <c r="G50" s="419">
        <v>59</v>
      </c>
      <c r="H50" s="419">
        <v>73</v>
      </c>
      <c r="I50" s="419">
        <v>67</v>
      </c>
      <c r="J50" s="419">
        <v>67</v>
      </c>
      <c r="K50" s="419">
        <v>67</v>
      </c>
      <c r="L50" s="419">
        <v>83</v>
      </c>
      <c r="M50" s="420">
        <v>78</v>
      </c>
      <c r="N50" s="420">
        <v>72</v>
      </c>
      <c r="O50" s="1056">
        <v>62</v>
      </c>
      <c r="P50" s="1012">
        <v>67</v>
      </c>
      <c r="R50" s="422">
        <v>0.18600000000000003</v>
      </c>
      <c r="S50" s="423">
        <v>0.14699999999999999</v>
      </c>
      <c r="T50" s="423">
        <v>0.158</v>
      </c>
      <c r="U50" s="423">
        <v>0.16500000000000001</v>
      </c>
      <c r="V50" s="423">
        <v>0.13900000000000001</v>
      </c>
      <c r="W50" s="423">
        <v>0.17300000000000001</v>
      </c>
      <c r="X50" s="423">
        <v>0.16899999999999998</v>
      </c>
      <c r="Y50" s="423">
        <v>0.17800000000000002</v>
      </c>
      <c r="Z50" s="423">
        <v>0.187</v>
      </c>
      <c r="AA50" s="423">
        <v>0.221</v>
      </c>
      <c r="AB50" s="424">
        <v>0.22800000000000001</v>
      </c>
      <c r="AC50" s="424">
        <v>0.22899999999999998</v>
      </c>
      <c r="AD50" s="424">
        <v>0.21199999999999999</v>
      </c>
      <c r="AE50" s="425">
        <v>0.24275362318840579</v>
      </c>
    </row>
    <row r="51" spans="1:31">
      <c r="A51" s="416" t="s">
        <v>118</v>
      </c>
      <c r="B51" s="417" t="s">
        <v>775</v>
      </c>
      <c r="C51" s="418">
        <v>859</v>
      </c>
      <c r="D51" s="419">
        <v>747</v>
      </c>
      <c r="E51" s="419">
        <v>929</v>
      </c>
      <c r="F51" s="419">
        <v>1034</v>
      </c>
      <c r="G51" s="419">
        <v>880</v>
      </c>
      <c r="H51" s="419">
        <v>862</v>
      </c>
      <c r="I51" s="419">
        <v>837</v>
      </c>
      <c r="J51" s="419">
        <v>851</v>
      </c>
      <c r="K51" s="419">
        <v>830</v>
      </c>
      <c r="L51" s="419">
        <v>1179</v>
      </c>
      <c r="M51" s="420">
        <v>975</v>
      </c>
      <c r="N51" s="420">
        <v>1213</v>
      </c>
      <c r="O51" s="1056">
        <v>1016</v>
      </c>
      <c r="P51" s="1012">
        <v>1040</v>
      </c>
      <c r="R51" s="422">
        <v>0.115</v>
      </c>
      <c r="S51" s="423">
        <v>0.10099999999999999</v>
      </c>
      <c r="T51" s="423">
        <v>0.121</v>
      </c>
      <c r="U51" s="423">
        <v>0.13500000000000001</v>
      </c>
      <c r="V51" s="423">
        <v>0.115</v>
      </c>
      <c r="W51" s="423">
        <v>0.114</v>
      </c>
      <c r="X51" s="423">
        <v>0.11</v>
      </c>
      <c r="Y51" s="423">
        <v>0.10699999999999998</v>
      </c>
      <c r="Z51" s="423">
        <v>0.106</v>
      </c>
      <c r="AA51" s="423">
        <v>0.14699999999999999</v>
      </c>
      <c r="AB51" s="424">
        <v>0.12300000000000001</v>
      </c>
      <c r="AC51" s="424">
        <v>0.156</v>
      </c>
      <c r="AD51" s="424">
        <v>0.13300000000000001</v>
      </c>
      <c r="AE51" s="425">
        <v>0.1397286040575037</v>
      </c>
    </row>
    <row r="52" spans="1:31">
      <c r="A52" s="416" t="s">
        <v>120</v>
      </c>
      <c r="B52" s="417" t="s">
        <v>285</v>
      </c>
      <c r="C52" s="418">
        <v>946</v>
      </c>
      <c r="D52" s="419">
        <v>872</v>
      </c>
      <c r="E52" s="419">
        <v>1030</v>
      </c>
      <c r="F52" s="419">
        <v>1108</v>
      </c>
      <c r="G52" s="419">
        <v>989</v>
      </c>
      <c r="H52" s="419">
        <v>947</v>
      </c>
      <c r="I52" s="419">
        <v>947</v>
      </c>
      <c r="J52" s="419">
        <v>986</v>
      </c>
      <c r="K52" s="419">
        <v>1120</v>
      </c>
      <c r="L52" s="419">
        <v>1354</v>
      </c>
      <c r="M52" s="420">
        <v>1475</v>
      </c>
      <c r="N52" s="420">
        <v>1595</v>
      </c>
      <c r="O52" s="1056">
        <v>1611</v>
      </c>
      <c r="P52" s="1012">
        <v>1650</v>
      </c>
      <c r="R52" s="422">
        <v>8.4999999999999992E-2</v>
      </c>
      <c r="S52" s="423">
        <v>7.6999999999999999E-2</v>
      </c>
      <c r="T52" s="423">
        <v>8.8000000000000009E-2</v>
      </c>
      <c r="U52" s="423">
        <v>9.5999999999999988E-2</v>
      </c>
      <c r="V52" s="423">
        <v>8.3000000000000004E-2</v>
      </c>
      <c r="W52" s="423">
        <v>8.0999999999999989E-2</v>
      </c>
      <c r="X52" s="423">
        <v>8.199999999999999E-2</v>
      </c>
      <c r="Y52" s="423">
        <v>7.9000000000000001E-2</v>
      </c>
      <c r="Z52" s="423">
        <v>0.09</v>
      </c>
      <c r="AA52" s="423">
        <v>0.10300000000000001</v>
      </c>
      <c r="AB52" s="424">
        <v>0.10300000000000001</v>
      </c>
      <c r="AC52" s="424">
        <v>0.11199999999999999</v>
      </c>
      <c r="AD52" s="424">
        <v>0.114</v>
      </c>
      <c r="AE52" s="425">
        <v>0.1123213070115725</v>
      </c>
    </row>
    <row r="53" spans="1:31">
      <c r="A53" s="416" t="s">
        <v>122</v>
      </c>
      <c r="B53" s="417" t="s">
        <v>776</v>
      </c>
      <c r="C53" s="418">
        <v>216</v>
      </c>
      <c r="D53" s="419">
        <v>190</v>
      </c>
      <c r="E53" s="419">
        <v>217</v>
      </c>
      <c r="F53" s="419">
        <v>233</v>
      </c>
      <c r="G53" s="419">
        <v>199</v>
      </c>
      <c r="H53" s="419">
        <v>251</v>
      </c>
      <c r="I53" s="419">
        <v>221</v>
      </c>
      <c r="J53" s="419">
        <v>228</v>
      </c>
      <c r="K53" s="419">
        <v>226</v>
      </c>
      <c r="L53" s="419">
        <v>258</v>
      </c>
      <c r="M53" s="420">
        <v>276</v>
      </c>
      <c r="N53" s="420">
        <v>278</v>
      </c>
      <c r="O53" s="1056">
        <v>278</v>
      </c>
      <c r="P53" s="1012">
        <v>281</v>
      </c>
      <c r="R53" s="422">
        <v>0.151</v>
      </c>
      <c r="S53" s="423">
        <v>0.13300000000000001</v>
      </c>
      <c r="T53" s="423">
        <v>0.15300000000000002</v>
      </c>
      <c r="U53" s="423">
        <v>0.16200000000000001</v>
      </c>
      <c r="V53" s="423">
        <v>0.13700000000000001</v>
      </c>
      <c r="W53" s="423">
        <v>0.17600000000000002</v>
      </c>
      <c r="X53" s="423">
        <v>0.16</v>
      </c>
      <c r="Y53" s="423">
        <v>0.16300000000000001</v>
      </c>
      <c r="Z53" s="423">
        <v>0.16600000000000001</v>
      </c>
      <c r="AA53" s="423">
        <v>0.2</v>
      </c>
      <c r="AB53" s="424">
        <v>0.19400000000000001</v>
      </c>
      <c r="AC53" s="424">
        <v>0.20300000000000001</v>
      </c>
      <c r="AD53" s="424">
        <v>0.20899999999999999</v>
      </c>
      <c r="AE53" s="425">
        <v>0.21143717080511662</v>
      </c>
    </row>
    <row r="54" spans="1:31">
      <c r="A54" s="416" t="s">
        <v>124</v>
      </c>
      <c r="B54" s="417" t="s">
        <v>493</v>
      </c>
      <c r="C54" s="418">
        <v>417</v>
      </c>
      <c r="D54" s="419">
        <v>354</v>
      </c>
      <c r="E54" s="419">
        <v>413</v>
      </c>
      <c r="F54" s="419">
        <v>476</v>
      </c>
      <c r="G54" s="419">
        <v>425</v>
      </c>
      <c r="H54" s="419">
        <v>438</v>
      </c>
      <c r="I54" s="419">
        <v>415</v>
      </c>
      <c r="J54" s="419">
        <v>450</v>
      </c>
      <c r="K54" s="419">
        <v>484</v>
      </c>
      <c r="L54" s="419">
        <v>577</v>
      </c>
      <c r="M54" s="420">
        <v>583</v>
      </c>
      <c r="N54" s="420">
        <v>627</v>
      </c>
      <c r="O54" s="1056">
        <v>659</v>
      </c>
      <c r="P54" s="1012">
        <v>702</v>
      </c>
      <c r="R54" s="422">
        <v>9.0000000000000011E-2</v>
      </c>
      <c r="S54" s="423">
        <v>7.5999999999999984E-2</v>
      </c>
      <c r="T54" s="423">
        <v>8.5999999999999993E-2</v>
      </c>
      <c r="U54" s="423">
        <v>9.5000000000000001E-2</v>
      </c>
      <c r="V54" s="423">
        <v>0.08</v>
      </c>
      <c r="W54" s="423">
        <v>8.3000000000000004E-2</v>
      </c>
      <c r="X54" s="423">
        <v>7.6999999999999999E-2</v>
      </c>
      <c r="Y54" s="423">
        <v>7.5999999999999998E-2</v>
      </c>
      <c r="Z54" s="423">
        <v>0.08</v>
      </c>
      <c r="AA54" s="423">
        <v>9.2999999999999999E-2</v>
      </c>
      <c r="AB54" s="424">
        <v>9.0000000000000011E-2</v>
      </c>
      <c r="AC54" s="424">
        <v>9.6999999999999989E-2</v>
      </c>
      <c r="AD54" s="424">
        <v>0.10299999999999999</v>
      </c>
      <c r="AE54" s="425">
        <v>0.10768522779567419</v>
      </c>
    </row>
    <row r="55" spans="1:31">
      <c r="A55" s="416" t="s">
        <v>126</v>
      </c>
      <c r="B55" s="417" t="s">
        <v>494</v>
      </c>
      <c r="C55" s="418">
        <v>321</v>
      </c>
      <c r="D55" s="419">
        <v>270</v>
      </c>
      <c r="E55" s="419">
        <v>309</v>
      </c>
      <c r="F55" s="419">
        <v>361</v>
      </c>
      <c r="G55" s="419">
        <v>331</v>
      </c>
      <c r="H55" s="419">
        <v>341</v>
      </c>
      <c r="I55" s="419">
        <v>342</v>
      </c>
      <c r="J55" s="419">
        <v>328</v>
      </c>
      <c r="K55" s="419">
        <v>318</v>
      </c>
      <c r="L55" s="419">
        <v>403</v>
      </c>
      <c r="M55" s="420">
        <v>429</v>
      </c>
      <c r="N55" s="420">
        <v>495</v>
      </c>
      <c r="O55" s="1056">
        <v>477</v>
      </c>
      <c r="P55" s="1012">
        <v>503</v>
      </c>
      <c r="R55" s="422">
        <v>9.4E-2</v>
      </c>
      <c r="S55" s="423">
        <v>7.8E-2</v>
      </c>
      <c r="T55" s="423">
        <v>8.6999999999999994E-2</v>
      </c>
      <c r="U55" s="423">
        <v>0.1</v>
      </c>
      <c r="V55" s="423">
        <v>9.0999999999999998E-2</v>
      </c>
      <c r="W55" s="423">
        <v>9.5000000000000001E-2</v>
      </c>
      <c r="X55" s="423">
        <v>9.4E-2</v>
      </c>
      <c r="Y55" s="423">
        <v>8.5999999999999993E-2</v>
      </c>
      <c r="Z55" s="423">
        <v>8.199999999999999E-2</v>
      </c>
      <c r="AA55" s="423">
        <v>9.9000000000000005E-2</v>
      </c>
      <c r="AB55" s="424">
        <v>0.11</v>
      </c>
      <c r="AC55" s="424">
        <v>0.129</v>
      </c>
      <c r="AD55" s="424">
        <v>0.125</v>
      </c>
      <c r="AE55" s="425">
        <v>0.13313922710428799</v>
      </c>
    </row>
    <row r="56" spans="1:31">
      <c r="A56" s="416" t="s">
        <v>128</v>
      </c>
      <c r="B56" s="417" t="s">
        <v>495</v>
      </c>
      <c r="C56" s="418">
        <v>462</v>
      </c>
      <c r="D56" s="419">
        <v>394</v>
      </c>
      <c r="E56" s="419">
        <v>454</v>
      </c>
      <c r="F56" s="419">
        <v>461</v>
      </c>
      <c r="G56" s="419">
        <v>396</v>
      </c>
      <c r="H56" s="419">
        <v>454</v>
      </c>
      <c r="I56" s="419">
        <v>435</v>
      </c>
      <c r="J56" s="419">
        <v>426</v>
      </c>
      <c r="K56" s="419">
        <v>428</v>
      </c>
      <c r="L56" s="419">
        <v>427</v>
      </c>
      <c r="M56" s="420">
        <v>470</v>
      </c>
      <c r="N56" s="420">
        <v>483</v>
      </c>
      <c r="O56" s="1056">
        <v>470</v>
      </c>
      <c r="P56" s="1012">
        <v>482</v>
      </c>
      <c r="R56" s="422">
        <v>0.21500000000000002</v>
      </c>
      <c r="S56" s="423">
        <v>0.18800000000000003</v>
      </c>
      <c r="T56" s="423">
        <v>0.214</v>
      </c>
      <c r="U56" s="423">
        <v>0.22100000000000003</v>
      </c>
      <c r="V56" s="423">
        <v>0.19299999999999998</v>
      </c>
      <c r="W56" s="423">
        <v>0.22399999999999998</v>
      </c>
      <c r="X56" s="423">
        <v>0.223</v>
      </c>
      <c r="Y56" s="423">
        <v>0.215</v>
      </c>
      <c r="Z56" s="423">
        <v>0.224</v>
      </c>
      <c r="AA56" s="423">
        <v>0.23</v>
      </c>
      <c r="AB56" s="424">
        <v>0.26100000000000001</v>
      </c>
      <c r="AC56" s="424">
        <v>0.27399999999999997</v>
      </c>
      <c r="AD56" s="424">
        <v>0.27600000000000002</v>
      </c>
      <c r="AE56" s="425">
        <v>0.28352941176470586</v>
      </c>
    </row>
    <row r="57" spans="1:31">
      <c r="A57" s="416" t="s">
        <v>130</v>
      </c>
      <c r="B57" s="417" t="s">
        <v>496</v>
      </c>
      <c r="C57" s="418">
        <v>1523</v>
      </c>
      <c r="D57" s="419">
        <v>1328</v>
      </c>
      <c r="E57" s="419">
        <v>1602</v>
      </c>
      <c r="F57" s="419">
        <v>1708</v>
      </c>
      <c r="G57" s="419">
        <v>1460</v>
      </c>
      <c r="H57" s="419">
        <v>1785</v>
      </c>
      <c r="I57" s="419">
        <v>1521</v>
      </c>
      <c r="J57" s="419">
        <v>1556</v>
      </c>
      <c r="K57" s="419">
        <v>1605</v>
      </c>
      <c r="L57" s="419">
        <v>1649</v>
      </c>
      <c r="M57" s="420">
        <v>1689</v>
      </c>
      <c r="N57" s="420">
        <v>1794</v>
      </c>
      <c r="O57" s="1056">
        <v>1848</v>
      </c>
      <c r="P57" s="1012">
        <v>1870</v>
      </c>
      <c r="R57" s="422">
        <v>0.29699999999999999</v>
      </c>
      <c r="S57" s="423">
        <v>0.25800000000000001</v>
      </c>
      <c r="T57" s="423">
        <v>0.308</v>
      </c>
      <c r="U57" s="423">
        <v>0.33099999999999996</v>
      </c>
      <c r="V57" s="423">
        <v>0.28499999999999998</v>
      </c>
      <c r="W57" s="423">
        <v>0.35299999999999998</v>
      </c>
      <c r="X57" s="423">
        <v>0.309</v>
      </c>
      <c r="Y57" s="423">
        <v>0.31900000000000001</v>
      </c>
      <c r="Z57" s="423">
        <v>0.33799999999999997</v>
      </c>
      <c r="AA57" s="423">
        <v>0.33599999999999997</v>
      </c>
      <c r="AB57" s="424">
        <v>0.33100000000000002</v>
      </c>
      <c r="AC57" s="424">
        <v>0.35600000000000004</v>
      </c>
      <c r="AD57" s="424">
        <v>0.372</v>
      </c>
      <c r="AE57" s="425">
        <v>0.38628382565585623</v>
      </c>
    </row>
    <row r="58" spans="1:31">
      <c r="A58" s="416" t="s">
        <v>132</v>
      </c>
      <c r="B58" s="417" t="s">
        <v>497</v>
      </c>
      <c r="C58" s="418">
        <v>1752</v>
      </c>
      <c r="D58" s="419">
        <v>1696</v>
      </c>
      <c r="E58" s="419">
        <v>2145</v>
      </c>
      <c r="F58" s="419">
        <v>2838</v>
      </c>
      <c r="G58" s="419">
        <v>2771</v>
      </c>
      <c r="H58" s="419">
        <v>2090</v>
      </c>
      <c r="I58" s="419">
        <v>2202</v>
      </c>
      <c r="J58" s="419">
        <v>2454</v>
      </c>
      <c r="K58" s="419">
        <v>3049</v>
      </c>
      <c r="L58" s="419">
        <v>3426</v>
      </c>
      <c r="M58" s="420">
        <v>4026</v>
      </c>
      <c r="N58" s="420">
        <v>4359</v>
      </c>
      <c r="O58" s="1056">
        <v>4315</v>
      </c>
      <c r="P58" s="1012">
        <v>4231</v>
      </c>
      <c r="R58" s="422">
        <v>3.1000000000000003E-2</v>
      </c>
      <c r="S58" s="423">
        <v>2.8000000000000001E-2</v>
      </c>
      <c r="T58" s="423">
        <v>3.3000000000000002E-2</v>
      </c>
      <c r="U58" s="423">
        <v>4.0999999999999995E-2</v>
      </c>
      <c r="V58" s="423">
        <v>3.6999999999999998E-2</v>
      </c>
      <c r="W58" s="423">
        <v>2.8000000000000001E-2</v>
      </c>
      <c r="X58" s="423">
        <v>2.8999999999999998E-2</v>
      </c>
      <c r="Y58" s="423">
        <v>2.8999999999999998E-2</v>
      </c>
      <c r="Z58" s="423">
        <v>3.5000000000000003E-2</v>
      </c>
      <c r="AA58" s="423">
        <v>3.9E-2</v>
      </c>
      <c r="AB58" s="424">
        <v>4.2000000000000003E-2</v>
      </c>
      <c r="AC58" s="424">
        <v>4.4999999999999998E-2</v>
      </c>
      <c r="AD58" s="424">
        <v>4.2999999999999997E-2</v>
      </c>
      <c r="AE58" s="425">
        <v>4.1029470233996952E-2</v>
      </c>
    </row>
    <row r="59" spans="1:31">
      <c r="A59" s="416" t="s">
        <v>134</v>
      </c>
      <c r="B59" s="417" t="s">
        <v>498</v>
      </c>
      <c r="C59" s="418">
        <v>856</v>
      </c>
      <c r="D59" s="419">
        <v>777</v>
      </c>
      <c r="E59" s="419">
        <v>911</v>
      </c>
      <c r="F59" s="419">
        <v>948</v>
      </c>
      <c r="G59" s="419">
        <v>864</v>
      </c>
      <c r="H59" s="419">
        <v>1022</v>
      </c>
      <c r="I59" s="419">
        <v>908</v>
      </c>
      <c r="J59" s="419">
        <v>962</v>
      </c>
      <c r="K59" s="419">
        <v>998</v>
      </c>
      <c r="L59" s="419">
        <v>1152</v>
      </c>
      <c r="M59" s="420">
        <v>1128</v>
      </c>
      <c r="N59" s="420">
        <v>1214</v>
      </c>
      <c r="O59" s="1056">
        <v>1217</v>
      </c>
      <c r="P59" s="1012">
        <v>1228</v>
      </c>
      <c r="R59" s="422">
        <v>0.13699999999999998</v>
      </c>
      <c r="S59" s="423">
        <v>0.123</v>
      </c>
      <c r="T59" s="423">
        <v>0.14000000000000001</v>
      </c>
      <c r="U59" s="423">
        <v>0.14400000000000002</v>
      </c>
      <c r="V59" s="423">
        <v>0.129</v>
      </c>
      <c r="W59" s="423">
        <v>0.155</v>
      </c>
      <c r="X59" s="423">
        <v>0.13500000000000001</v>
      </c>
      <c r="Y59" s="423">
        <v>0.13500000000000001</v>
      </c>
      <c r="Z59" s="423">
        <v>0.13899999999999998</v>
      </c>
      <c r="AA59" s="423">
        <v>0.16200000000000001</v>
      </c>
      <c r="AB59" s="424">
        <v>0.156</v>
      </c>
      <c r="AC59" s="424">
        <v>0.17</v>
      </c>
      <c r="AD59" s="424">
        <v>0.17399999999999999</v>
      </c>
      <c r="AE59" s="425">
        <v>0.17671607425528854</v>
      </c>
    </row>
    <row r="60" spans="1:31">
      <c r="A60" s="416" t="s">
        <v>136</v>
      </c>
      <c r="B60" s="417" t="s">
        <v>499</v>
      </c>
      <c r="C60" s="418">
        <v>582</v>
      </c>
      <c r="D60" s="419">
        <v>542</v>
      </c>
      <c r="E60" s="419">
        <v>563</v>
      </c>
      <c r="F60" s="419">
        <v>614</v>
      </c>
      <c r="G60" s="419">
        <v>557</v>
      </c>
      <c r="H60" s="419">
        <v>760</v>
      </c>
      <c r="I60" s="419">
        <v>571</v>
      </c>
      <c r="J60" s="419">
        <v>595</v>
      </c>
      <c r="K60" s="419">
        <v>618</v>
      </c>
      <c r="L60" s="419">
        <v>696</v>
      </c>
      <c r="M60" s="420">
        <v>693</v>
      </c>
      <c r="N60" s="420">
        <v>715</v>
      </c>
      <c r="O60" s="1056">
        <v>754</v>
      </c>
      <c r="P60" s="1012">
        <v>675</v>
      </c>
      <c r="R60" s="422">
        <v>0.218</v>
      </c>
      <c r="S60" s="423">
        <v>0.20600000000000002</v>
      </c>
      <c r="T60" s="423">
        <v>0.214</v>
      </c>
      <c r="U60" s="423">
        <v>0.24300000000000002</v>
      </c>
      <c r="V60" s="423">
        <v>0.21800000000000003</v>
      </c>
      <c r="W60" s="423">
        <v>0.30100000000000005</v>
      </c>
      <c r="X60" s="423">
        <v>0.23899999999999999</v>
      </c>
      <c r="Y60" s="423">
        <v>0.255</v>
      </c>
      <c r="Z60" s="423">
        <v>0.27399999999999997</v>
      </c>
      <c r="AA60" s="423">
        <v>0.28800000000000003</v>
      </c>
      <c r="AB60" s="424">
        <v>0.28399999999999997</v>
      </c>
      <c r="AC60" s="424">
        <v>0.29399999999999998</v>
      </c>
      <c r="AD60" s="424">
        <v>0.316</v>
      </c>
      <c r="AE60" s="425">
        <v>0.29540481400437635</v>
      </c>
    </row>
    <row r="61" spans="1:31">
      <c r="A61" s="416" t="s">
        <v>140</v>
      </c>
      <c r="B61" s="417" t="s">
        <v>500</v>
      </c>
      <c r="C61" s="418">
        <v>452</v>
      </c>
      <c r="D61" s="419">
        <v>368</v>
      </c>
      <c r="E61" s="419">
        <v>361</v>
      </c>
      <c r="F61" s="419">
        <v>406</v>
      </c>
      <c r="G61" s="419">
        <v>370</v>
      </c>
      <c r="H61" s="419">
        <v>424</v>
      </c>
      <c r="I61" s="419">
        <v>386</v>
      </c>
      <c r="J61" s="419">
        <v>403</v>
      </c>
      <c r="K61" s="419">
        <v>435</v>
      </c>
      <c r="L61" s="419">
        <v>472</v>
      </c>
      <c r="M61" s="420">
        <v>508</v>
      </c>
      <c r="N61" s="420">
        <v>497</v>
      </c>
      <c r="O61" s="1056">
        <v>545</v>
      </c>
      <c r="P61" s="1012">
        <v>511</v>
      </c>
      <c r="R61" s="422">
        <v>0.152</v>
      </c>
      <c r="S61" s="423">
        <v>0.125</v>
      </c>
      <c r="T61" s="423">
        <v>0.12199999999999998</v>
      </c>
      <c r="U61" s="423">
        <v>0.13699999999999998</v>
      </c>
      <c r="V61" s="423">
        <v>0.124</v>
      </c>
      <c r="W61" s="423">
        <v>0.14400000000000002</v>
      </c>
      <c r="X61" s="423">
        <v>0.13699999999999998</v>
      </c>
      <c r="Y61" s="423">
        <v>0.13699999999999998</v>
      </c>
      <c r="Z61" s="423">
        <v>0.151</v>
      </c>
      <c r="AA61" s="423">
        <v>0.16199999999999998</v>
      </c>
      <c r="AB61" s="424">
        <v>0.17399999999999999</v>
      </c>
      <c r="AC61" s="424">
        <v>0.17699999999999999</v>
      </c>
      <c r="AD61" s="424">
        <v>0.193</v>
      </c>
      <c r="AE61" s="425">
        <v>0.18481012658227849</v>
      </c>
    </row>
    <row r="62" spans="1:31">
      <c r="A62" s="416" t="s">
        <v>146</v>
      </c>
      <c r="B62" s="417" t="s">
        <v>501</v>
      </c>
      <c r="C62" s="418">
        <v>222</v>
      </c>
      <c r="D62" s="419">
        <v>198</v>
      </c>
      <c r="E62" s="419">
        <v>216</v>
      </c>
      <c r="F62" s="419">
        <v>243</v>
      </c>
      <c r="G62" s="419">
        <v>201</v>
      </c>
      <c r="H62" s="419">
        <v>221</v>
      </c>
      <c r="I62" s="419">
        <v>210</v>
      </c>
      <c r="J62" s="419">
        <v>190</v>
      </c>
      <c r="K62" s="419">
        <v>211</v>
      </c>
      <c r="L62" s="419">
        <v>252</v>
      </c>
      <c r="M62" s="420">
        <v>274</v>
      </c>
      <c r="N62" s="420">
        <v>287</v>
      </c>
      <c r="O62" s="1056">
        <v>266</v>
      </c>
      <c r="P62" s="1012">
        <v>273</v>
      </c>
      <c r="R62" s="422">
        <v>0.125</v>
      </c>
      <c r="S62" s="423">
        <v>0.115</v>
      </c>
      <c r="T62" s="423">
        <v>0.127</v>
      </c>
      <c r="U62" s="423">
        <v>0.14199999999999999</v>
      </c>
      <c r="V62" s="423">
        <v>0.12</v>
      </c>
      <c r="W62" s="423">
        <v>0.13400000000000001</v>
      </c>
      <c r="X62" s="423">
        <v>0.13300000000000001</v>
      </c>
      <c r="Y62" s="423">
        <v>0.125</v>
      </c>
      <c r="Z62" s="423">
        <v>0.13800000000000001</v>
      </c>
      <c r="AA62" s="423">
        <v>0.158</v>
      </c>
      <c r="AB62" s="424">
        <v>0.17100000000000001</v>
      </c>
      <c r="AC62" s="424">
        <v>0.18100000000000002</v>
      </c>
      <c r="AD62" s="424">
        <v>0.17699999999999999</v>
      </c>
      <c r="AE62" s="425">
        <v>0.182</v>
      </c>
    </row>
    <row r="63" spans="1:31">
      <c r="A63" s="416" t="s">
        <v>148</v>
      </c>
      <c r="B63" s="417" t="s">
        <v>502</v>
      </c>
      <c r="C63" s="418">
        <v>1402</v>
      </c>
      <c r="D63" s="419">
        <v>1255</v>
      </c>
      <c r="E63" s="419">
        <v>1446</v>
      </c>
      <c r="F63" s="419">
        <v>1585</v>
      </c>
      <c r="G63" s="419">
        <v>1399</v>
      </c>
      <c r="H63" s="419">
        <v>1630</v>
      </c>
      <c r="I63" s="419">
        <v>1395</v>
      </c>
      <c r="J63" s="419">
        <v>1453</v>
      </c>
      <c r="K63" s="419">
        <v>1524</v>
      </c>
      <c r="L63" s="419">
        <v>1650</v>
      </c>
      <c r="M63" s="420">
        <v>1780</v>
      </c>
      <c r="N63" s="420">
        <v>1779</v>
      </c>
      <c r="O63" s="1056">
        <v>1732</v>
      </c>
      <c r="P63" s="1012">
        <v>1708</v>
      </c>
      <c r="R63" s="422">
        <v>0.20799999999999999</v>
      </c>
      <c r="S63" s="423">
        <v>0.188</v>
      </c>
      <c r="T63" s="423">
        <v>0.21300000000000002</v>
      </c>
      <c r="U63" s="423">
        <v>0.23799999999999999</v>
      </c>
      <c r="V63" s="423">
        <v>0.20699999999999999</v>
      </c>
      <c r="W63" s="423">
        <v>0.24399999999999997</v>
      </c>
      <c r="X63" s="423">
        <v>0.22</v>
      </c>
      <c r="Y63" s="423">
        <v>0.23</v>
      </c>
      <c r="Z63" s="423">
        <v>0.245</v>
      </c>
      <c r="AA63" s="423">
        <v>0.26700000000000002</v>
      </c>
      <c r="AB63" s="424">
        <v>0.28399999999999997</v>
      </c>
      <c r="AC63" s="424">
        <v>0.28699999999999998</v>
      </c>
      <c r="AD63" s="424">
        <v>0.28299999999999997</v>
      </c>
      <c r="AE63" s="425">
        <v>0.28433494256700514</v>
      </c>
    </row>
    <row r="64" spans="1:31">
      <c r="A64" s="416" t="s">
        <v>150</v>
      </c>
      <c r="B64" s="417" t="s">
        <v>503</v>
      </c>
      <c r="C64" s="418">
        <v>357</v>
      </c>
      <c r="D64" s="419">
        <v>318</v>
      </c>
      <c r="E64" s="419">
        <v>344</v>
      </c>
      <c r="F64" s="419">
        <v>367</v>
      </c>
      <c r="G64" s="419">
        <v>335</v>
      </c>
      <c r="H64" s="419">
        <v>392</v>
      </c>
      <c r="I64" s="419">
        <v>352</v>
      </c>
      <c r="J64" s="419">
        <v>359</v>
      </c>
      <c r="K64" s="419">
        <v>351</v>
      </c>
      <c r="L64" s="419">
        <v>383</v>
      </c>
      <c r="M64" s="420">
        <v>387</v>
      </c>
      <c r="N64" s="420">
        <v>397</v>
      </c>
      <c r="O64" s="1056">
        <v>426</v>
      </c>
      <c r="P64" s="1012">
        <v>439</v>
      </c>
      <c r="R64" s="422">
        <v>0.19</v>
      </c>
      <c r="S64" s="423">
        <v>0.17199999999999999</v>
      </c>
      <c r="T64" s="423">
        <v>0.18300000000000002</v>
      </c>
      <c r="U64" s="423">
        <v>0.19600000000000001</v>
      </c>
      <c r="V64" s="423">
        <v>0.185</v>
      </c>
      <c r="W64" s="423">
        <v>0.21899999999999997</v>
      </c>
      <c r="X64" s="423">
        <v>0.19699999999999998</v>
      </c>
      <c r="Y64" s="423">
        <v>0.20199999999999999</v>
      </c>
      <c r="Z64" s="423">
        <v>0.20399999999999999</v>
      </c>
      <c r="AA64" s="423">
        <v>0.23</v>
      </c>
      <c r="AB64" s="424">
        <v>0.22300000000000003</v>
      </c>
      <c r="AC64" s="424">
        <v>0.23899999999999999</v>
      </c>
      <c r="AD64" s="424">
        <v>0.25700000000000001</v>
      </c>
      <c r="AE64" s="425">
        <v>0.26638349514563109</v>
      </c>
    </row>
    <row r="65" spans="1:31">
      <c r="A65" s="416" t="s">
        <v>152</v>
      </c>
      <c r="B65" s="417" t="s">
        <v>504</v>
      </c>
      <c r="C65" s="418">
        <v>1802</v>
      </c>
      <c r="D65" s="419">
        <v>1671</v>
      </c>
      <c r="E65" s="419">
        <v>1797</v>
      </c>
      <c r="F65" s="419">
        <v>2120</v>
      </c>
      <c r="G65" s="419">
        <v>1912</v>
      </c>
      <c r="H65" s="419">
        <v>1934</v>
      </c>
      <c r="I65" s="419">
        <v>1842</v>
      </c>
      <c r="J65" s="419">
        <v>1925</v>
      </c>
      <c r="K65" s="419">
        <v>2238</v>
      </c>
      <c r="L65" s="419">
        <v>2246</v>
      </c>
      <c r="M65" s="420">
        <v>2557</v>
      </c>
      <c r="N65" s="420">
        <v>2411</v>
      </c>
      <c r="O65" s="1056">
        <v>2682</v>
      </c>
      <c r="P65" s="1012">
        <v>2732</v>
      </c>
      <c r="R65" s="422">
        <v>0.129</v>
      </c>
      <c r="S65" s="423">
        <v>0.12</v>
      </c>
      <c r="T65" s="423">
        <v>0.129</v>
      </c>
      <c r="U65" s="423">
        <v>0.153</v>
      </c>
      <c r="V65" s="423">
        <v>0.14300000000000002</v>
      </c>
      <c r="W65" s="423">
        <v>0.14699999999999999</v>
      </c>
      <c r="X65" s="423">
        <v>0.13499999999999998</v>
      </c>
      <c r="Y65" s="423">
        <v>0.13599999999999998</v>
      </c>
      <c r="Z65" s="423">
        <v>0.155</v>
      </c>
      <c r="AA65" s="423">
        <v>0.154</v>
      </c>
      <c r="AB65" s="424">
        <v>0.17199999999999999</v>
      </c>
      <c r="AC65" s="424">
        <v>0.17</v>
      </c>
      <c r="AD65" s="424">
        <v>0.18099999999999999</v>
      </c>
      <c r="AE65" s="425">
        <v>0.18324501978670601</v>
      </c>
    </row>
    <row r="66" spans="1:31">
      <c r="A66" s="416" t="s">
        <v>154</v>
      </c>
      <c r="B66" s="417" t="s">
        <v>505</v>
      </c>
      <c r="C66" s="418">
        <v>454</v>
      </c>
      <c r="D66" s="419">
        <v>424</v>
      </c>
      <c r="E66" s="419">
        <v>472</v>
      </c>
      <c r="F66" s="419">
        <v>512</v>
      </c>
      <c r="G66" s="419">
        <v>434</v>
      </c>
      <c r="H66" s="419">
        <v>504</v>
      </c>
      <c r="I66" s="419">
        <v>463</v>
      </c>
      <c r="J66" s="419">
        <v>479</v>
      </c>
      <c r="K66" s="419">
        <v>532</v>
      </c>
      <c r="L66" s="419">
        <v>536</v>
      </c>
      <c r="M66" s="420">
        <v>592</v>
      </c>
      <c r="N66" s="420">
        <v>599</v>
      </c>
      <c r="O66" s="1056">
        <v>635</v>
      </c>
      <c r="P66" s="1012">
        <v>632</v>
      </c>
      <c r="R66" s="422">
        <v>0.14599999999999999</v>
      </c>
      <c r="S66" s="423">
        <v>0.13700000000000001</v>
      </c>
      <c r="T66" s="423">
        <v>0.151</v>
      </c>
      <c r="U66" s="423">
        <v>0.16700000000000001</v>
      </c>
      <c r="V66" s="423">
        <v>0.14199999999999999</v>
      </c>
      <c r="W66" s="423">
        <v>0.16699999999999998</v>
      </c>
      <c r="X66" s="423">
        <v>0.158</v>
      </c>
      <c r="Y66" s="423">
        <v>0.16199999999999998</v>
      </c>
      <c r="Z66" s="423">
        <v>0.18100000000000002</v>
      </c>
      <c r="AA66" s="423">
        <v>0.18399999999999997</v>
      </c>
      <c r="AB66" s="424">
        <v>0.20899999999999999</v>
      </c>
      <c r="AC66" s="424">
        <v>0.21</v>
      </c>
      <c r="AD66" s="424">
        <v>0.23</v>
      </c>
      <c r="AE66" s="425">
        <v>0.230741146403797</v>
      </c>
    </row>
    <row r="67" spans="1:31">
      <c r="A67" s="416" t="s">
        <v>156</v>
      </c>
      <c r="B67" s="417" t="s">
        <v>506</v>
      </c>
      <c r="C67" s="418">
        <v>257</v>
      </c>
      <c r="D67" s="419">
        <v>233</v>
      </c>
      <c r="E67" s="419">
        <v>270</v>
      </c>
      <c r="F67" s="419">
        <v>291</v>
      </c>
      <c r="G67" s="419">
        <v>268</v>
      </c>
      <c r="H67" s="419">
        <v>280</v>
      </c>
      <c r="I67" s="419">
        <v>285</v>
      </c>
      <c r="J67" s="419">
        <v>285</v>
      </c>
      <c r="K67" s="419">
        <v>307</v>
      </c>
      <c r="L67" s="419">
        <v>341</v>
      </c>
      <c r="M67" s="420">
        <v>334</v>
      </c>
      <c r="N67" s="420">
        <v>428</v>
      </c>
      <c r="O67" s="1056">
        <v>413</v>
      </c>
      <c r="P67" s="1012">
        <v>400</v>
      </c>
      <c r="R67" s="422">
        <v>7.8E-2</v>
      </c>
      <c r="S67" s="423">
        <v>7.0999999999999994E-2</v>
      </c>
      <c r="T67" s="423">
        <v>0.08</v>
      </c>
      <c r="U67" s="423">
        <v>8.4000000000000005E-2</v>
      </c>
      <c r="V67" s="423">
        <v>7.6999999999999999E-2</v>
      </c>
      <c r="W67" s="423">
        <v>8.1000000000000003E-2</v>
      </c>
      <c r="X67" s="423">
        <v>8.1000000000000003E-2</v>
      </c>
      <c r="Y67" s="423">
        <v>7.5999999999999998E-2</v>
      </c>
      <c r="Z67" s="423">
        <v>8.0999999999999989E-2</v>
      </c>
      <c r="AA67" s="423">
        <v>8.8999999999999996E-2</v>
      </c>
      <c r="AB67" s="424">
        <v>8.4000000000000005E-2</v>
      </c>
      <c r="AC67" s="424">
        <v>0.10800000000000001</v>
      </c>
      <c r="AD67" s="424">
        <v>0.104</v>
      </c>
      <c r="AE67" s="425">
        <v>9.8985399653551104E-2</v>
      </c>
    </row>
    <row r="68" spans="1:31">
      <c r="A68" s="416" t="s">
        <v>162</v>
      </c>
      <c r="B68" s="417" t="s">
        <v>507</v>
      </c>
      <c r="C68" s="418">
        <v>794</v>
      </c>
      <c r="D68" s="419">
        <v>719</v>
      </c>
      <c r="E68" s="419">
        <v>775</v>
      </c>
      <c r="F68" s="419">
        <v>838</v>
      </c>
      <c r="G68" s="419">
        <v>743</v>
      </c>
      <c r="H68" s="419">
        <v>853</v>
      </c>
      <c r="I68" s="419">
        <v>838</v>
      </c>
      <c r="J68" s="419">
        <v>922</v>
      </c>
      <c r="K68" s="419">
        <v>877</v>
      </c>
      <c r="L68" s="419">
        <v>933</v>
      </c>
      <c r="M68" s="420">
        <v>760</v>
      </c>
      <c r="N68" s="420">
        <v>843</v>
      </c>
      <c r="O68" s="1056">
        <v>821</v>
      </c>
      <c r="P68" s="1012">
        <v>805</v>
      </c>
      <c r="R68" s="422">
        <v>0.27100000000000002</v>
      </c>
      <c r="S68" s="423">
        <v>0.24300000000000002</v>
      </c>
      <c r="T68" s="423">
        <v>0.252</v>
      </c>
      <c r="U68" s="423">
        <v>0.28400000000000003</v>
      </c>
      <c r="V68" s="423">
        <v>0.24399999999999997</v>
      </c>
      <c r="W68" s="423">
        <v>0.28500000000000003</v>
      </c>
      <c r="X68" s="423">
        <v>0.28299999999999997</v>
      </c>
      <c r="Y68" s="423">
        <v>0.315</v>
      </c>
      <c r="Z68" s="423">
        <v>0.30599999999999999</v>
      </c>
      <c r="AA68" s="423">
        <v>0.32200000000000006</v>
      </c>
      <c r="AB68" s="424">
        <v>0.316</v>
      </c>
      <c r="AC68" s="424">
        <v>0.35100000000000003</v>
      </c>
      <c r="AD68" s="424">
        <v>0.34599999999999997</v>
      </c>
      <c r="AE68" s="425">
        <v>0.34269902085994042</v>
      </c>
    </row>
    <row r="69" spans="1:31">
      <c r="A69" s="416" t="s">
        <v>164</v>
      </c>
      <c r="B69" s="417" t="s">
        <v>508</v>
      </c>
      <c r="C69" s="418">
        <v>445</v>
      </c>
      <c r="D69" s="419">
        <v>422</v>
      </c>
      <c r="E69" s="419">
        <v>472</v>
      </c>
      <c r="F69" s="419">
        <v>502</v>
      </c>
      <c r="G69" s="419">
        <v>426</v>
      </c>
      <c r="H69" s="419">
        <v>506</v>
      </c>
      <c r="I69" s="419">
        <v>518</v>
      </c>
      <c r="J69" s="419">
        <v>526</v>
      </c>
      <c r="K69" s="419">
        <v>555</v>
      </c>
      <c r="L69" s="419">
        <v>549</v>
      </c>
      <c r="M69" s="420">
        <v>558</v>
      </c>
      <c r="N69" s="420">
        <v>559</v>
      </c>
      <c r="O69" s="1056">
        <v>558</v>
      </c>
      <c r="P69" s="1012">
        <v>581</v>
      </c>
      <c r="R69" s="422">
        <v>0.20199999999999999</v>
      </c>
      <c r="S69" s="423">
        <v>0.18399999999999997</v>
      </c>
      <c r="T69" s="423">
        <v>0.20199999999999999</v>
      </c>
      <c r="U69" s="423">
        <v>0.218</v>
      </c>
      <c r="V69" s="423">
        <v>0.19</v>
      </c>
      <c r="W69" s="423">
        <v>0.22900000000000001</v>
      </c>
      <c r="X69" s="423">
        <v>0.23700000000000002</v>
      </c>
      <c r="Y69" s="423">
        <v>0.23199999999999998</v>
      </c>
      <c r="Z69" s="423">
        <v>0.247</v>
      </c>
      <c r="AA69" s="423">
        <v>0.26600000000000001</v>
      </c>
      <c r="AB69" s="424">
        <v>0.28200000000000003</v>
      </c>
      <c r="AC69" s="424">
        <v>0.28300000000000003</v>
      </c>
      <c r="AD69" s="424">
        <v>0.28699999999999998</v>
      </c>
      <c r="AE69" s="425">
        <v>0.31003201707577377</v>
      </c>
    </row>
    <row r="70" spans="1:31">
      <c r="A70" s="416" t="s">
        <v>168</v>
      </c>
      <c r="B70" s="417" t="s">
        <v>509</v>
      </c>
      <c r="C70" s="418">
        <v>799</v>
      </c>
      <c r="D70" s="419">
        <v>698</v>
      </c>
      <c r="E70" s="419">
        <v>748</v>
      </c>
      <c r="F70" s="419">
        <v>826</v>
      </c>
      <c r="G70" s="419">
        <v>733</v>
      </c>
      <c r="H70" s="419">
        <v>873</v>
      </c>
      <c r="I70" s="419">
        <v>811</v>
      </c>
      <c r="J70" s="419">
        <v>798</v>
      </c>
      <c r="K70" s="419">
        <v>862</v>
      </c>
      <c r="L70" s="419">
        <v>901</v>
      </c>
      <c r="M70" s="420">
        <v>895</v>
      </c>
      <c r="N70" s="420">
        <v>940</v>
      </c>
      <c r="O70" s="1056">
        <v>950</v>
      </c>
      <c r="P70" s="1012">
        <v>902</v>
      </c>
      <c r="R70" s="422">
        <v>0.224</v>
      </c>
      <c r="S70" s="423">
        <v>0.20200000000000001</v>
      </c>
      <c r="T70" s="423">
        <v>0.21699999999999997</v>
      </c>
      <c r="U70" s="423">
        <v>0.23899999999999999</v>
      </c>
      <c r="V70" s="423">
        <v>0.218</v>
      </c>
      <c r="W70" s="423">
        <v>0.26300000000000001</v>
      </c>
      <c r="X70" s="423">
        <v>0.25</v>
      </c>
      <c r="Y70" s="423">
        <v>0.24899999999999997</v>
      </c>
      <c r="Z70" s="423">
        <v>0.27200000000000002</v>
      </c>
      <c r="AA70" s="423">
        <v>0.27499999999999997</v>
      </c>
      <c r="AB70" s="424">
        <v>0.27900000000000003</v>
      </c>
      <c r="AC70" s="424">
        <v>0.29100000000000004</v>
      </c>
      <c r="AD70" s="424">
        <v>0.29899999999999999</v>
      </c>
      <c r="AE70" s="425">
        <v>0.29323797139141744</v>
      </c>
    </row>
    <row r="71" spans="1:31">
      <c r="A71" s="416" t="s">
        <v>170</v>
      </c>
      <c r="B71" s="417" t="s">
        <v>510</v>
      </c>
      <c r="C71" s="418">
        <v>767</v>
      </c>
      <c r="D71" s="419">
        <v>694</v>
      </c>
      <c r="E71" s="419">
        <v>724</v>
      </c>
      <c r="F71" s="419">
        <v>778</v>
      </c>
      <c r="G71" s="419">
        <v>722</v>
      </c>
      <c r="H71" s="419">
        <v>825</v>
      </c>
      <c r="I71" s="419">
        <v>706</v>
      </c>
      <c r="J71" s="419">
        <v>774</v>
      </c>
      <c r="K71" s="419">
        <v>845</v>
      </c>
      <c r="L71" s="419">
        <v>1051</v>
      </c>
      <c r="M71" s="420">
        <v>1120</v>
      </c>
      <c r="N71" s="420">
        <v>1292</v>
      </c>
      <c r="O71" s="1056">
        <v>1081</v>
      </c>
      <c r="P71" s="1012">
        <v>1174</v>
      </c>
      <c r="R71" s="422">
        <v>0.128</v>
      </c>
      <c r="S71" s="423">
        <v>0.115</v>
      </c>
      <c r="T71" s="423">
        <v>0.11699999999999999</v>
      </c>
      <c r="U71" s="423">
        <v>0.123</v>
      </c>
      <c r="V71" s="423">
        <v>0.112</v>
      </c>
      <c r="W71" s="423">
        <v>0.129</v>
      </c>
      <c r="X71" s="423">
        <v>0.10800000000000001</v>
      </c>
      <c r="Y71" s="423">
        <v>0.10800000000000001</v>
      </c>
      <c r="Z71" s="423">
        <v>0.11699999999999999</v>
      </c>
      <c r="AA71" s="423">
        <v>0.13899999999999998</v>
      </c>
      <c r="AB71" s="424">
        <v>0.14799999999999999</v>
      </c>
      <c r="AC71" s="424">
        <v>0.17199999999999999</v>
      </c>
      <c r="AD71" s="424">
        <v>0.14299999999999999</v>
      </c>
      <c r="AE71" s="425">
        <v>0.15467720685111991</v>
      </c>
    </row>
    <row r="72" spans="1:31">
      <c r="A72" s="416" t="s">
        <v>172</v>
      </c>
      <c r="B72" s="417" t="s">
        <v>511</v>
      </c>
      <c r="C72" s="418">
        <v>816</v>
      </c>
      <c r="D72" s="419">
        <v>734</v>
      </c>
      <c r="E72" s="419">
        <v>796</v>
      </c>
      <c r="F72" s="419">
        <v>895</v>
      </c>
      <c r="G72" s="419">
        <v>819</v>
      </c>
      <c r="H72" s="419">
        <v>997</v>
      </c>
      <c r="I72" s="419">
        <v>926</v>
      </c>
      <c r="J72" s="419">
        <v>899</v>
      </c>
      <c r="K72" s="419">
        <v>1035</v>
      </c>
      <c r="L72" s="419">
        <v>1031</v>
      </c>
      <c r="M72" s="420">
        <v>1159</v>
      </c>
      <c r="N72" s="420">
        <v>1172</v>
      </c>
      <c r="O72" s="1056">
        <v>1049</v>
      </c>
      <c r="P72" s="1012">
        <v>1065</v>
      </c>
      <c r="R72" s="422">
        <v>0.157</v>
      </c>
      <c r="S72" s="423">
        <v>0.14300000000000002</v>
      </c>
      <c r="T72" s="423">
        <v>0.153</v>
      </c>
      <c r="U72" s="423">
        <v>0.17300000000000001</v>
      </c>
      <c r="V72" s="423">
        <v>0.158</v>
      </c>
      <c r="W72" s="423">
        <v>0.19500000000000001</v>
      </c>
      <c r="X72" s="423">
        <v>0.18300000000000002</v>
      </c>
      <c r="Y72" s="423">
        <v>0.17899999999999999</v>
      </c>
      <c r="Z72" s="423">
        <v>0.20800000000000002</v>
      </c>
      <c r="AA72" s="423">
        <v>0.20700000000000002</v>
      </c>
      <c r="AB72" s="424">
        <v>0.22700000000000001</v>
      </c>
      <c r="AC72" s="424">
        <v>0.23499999999999999</v>
      </c>
      <c r="AD72" s="424">
        <v>0.215</v>
      </c>
      <c r="AE72" s="425">
        <v>0.22322364284217144</v>
      </c>
    </row>
    <row r="73" spans="1:31">
      <c r="A73" s="416" t="s">
        <v>174</v>
      </c>
      <c r="B73" s="417" t="s">
        <v>512</v>
      </c>
      <c r="C73" s="418">
        <v>736</v>
      </c>
      <c r="D73" s="419">
        <v>671</v>
      </c>
      <c r="E73" s="419">
        <v>723</v>
      </c>
      <c r="F73" s="419">
        <v>848</v>
      </c>
      <c r="G73" s="419">
        <v>748</v>
      </c>
      <c r="H73" s="419">
        <v>859</v>
      </c>
      <c r="I73" s="419">
        <v>767</v>
      </c>
      <c r="J73" s="419">
        <v>803</v>
      </c>
      <c r="K73" s="419">
        <v>863</v>
      </c>
      <c r="L73" s="419">
        <v>928</v>
      </c>
      <c r="M73" s="420">
        <v>978</v>
      </c>
      <c r="N73" s="420">
        <v>919</v>
      </c>
      <c r="O73" s="1056">
        <v>900</v>
      </c>
      <c r="P73" s="1012">
        <v>932</v>
      </c>
      <c r="R73" s="422">
        <v>0.18000000000000002</v>
      </c>
      <c r="S73" s="423">
        <v>0.16899999999999998</v>
      </c>
      <c r="T73" s="423">
        <v>0.18399999999999997</v>
      </c>
      <c r="U73" s="423">
        <v>0.218</v>
      </c>
      <c r="V73" s="423">
        <v>0.19500000000000001</v>
      </c>
      <c r="W73" s="423">
        <v>0.22700000000000001</v>
      </c>
      <c r="X73" s="423">
        <v>0.20799999999999999</v>
      </c>
      <c r="Y73" s="423">
        <v>0.221</v>
      </c>
      <c r="Z73" s="423">
        <v>0.24399999999999999</v>
      </c>
      <c r="AA73" s="423">
        <v>0.26699999999999996</v>
      </c>
      <c r="AB73" s="424">
        <v>0.28100000000000003</v>
      </c>
      <c r="AC73" s="424">
        <v>0.27</v>
      </c>
      <c r="AD73" s="424">
        <v>0.27200000000000002</v>
      </c>
      <c r="AE73" s="425">
        <v>0.28174123337363965</v>
      </c>
    </row>
    <row r="74" spans="1:31">
      <c r="A74" s="416" t="s">
        <v>178</v>
      </c>
      <c r="B74" s="417" t="s">
        <v>179</v>
      </c>
      <c r="C74" s="418">
        <v>2045</v>
      </c>
      <c r="D74" s="419">
        <v>1937</v>
      </c>
      <c r="E74" s="419">
        <v>2274</v>
      </c>
      <c r="F74" s="419">
        <v>2478</v>
      </c>
      <c r="G74" s="419">
        <v>2214</v>
      </c>
      <c r="H74" s="419">
        <v>2542</v>
      </c>
      <c r="I74" s="419">
        <v>2278</v>
      </c>
      <c r="J74" s="419">
        <v>2198</v>
      </c>
      <c r="K74" s="419">
        <v>2305</v>
      </c>
      <c r="L74" s="419">
        <v>2664</v>
      </c>
      <c r="M74" s="420">
        <v>2968</v>
      </c>
      <c r="N74" s="420">
        <v>2694</v>
      </c>
      <c r="O74" s="1056">
        <v>2639</v>
      </c>
      <c r="P74" s="1012">
        <v>2613</v>
      </c>
      <c r="R74" s="422">
        <v>0.14599999999999999</v>
      </c>
      <c r="S74" s="423">
        <v>0.14100000000000001</v>
      </c>
      <c r="T74" s="423">
        <v>0.16500000000000001</v>
      </c>
      <c r="U74" s="423">
        <v>0.182</v>
      </c>
      <c r="V74" s="423">
        <v>0.16300000000000001</v>
      </c>
      <c r="W74" s="423">
        <v>0.19</v>
      </c>
      <c r="X74" s="423">
        <v>0.17599999999999999</v>
      </c>
      <c r="Y74" s="423">
        <v>0.17199999999999999</v>
      </c>
      <c r="Z74" s="423">
        <v>0.18300000000000002</v>
      </c>
      <c r="AA74" s="423">
        <v>0.20499999999999999</v>
      </c>
      <c r="AB74" s="424">
        <v>0.224</v>
      </c>
      <c r="AC74" s="424">
        <v>0.20800000000000002</v>
      </c>
      <c r="AD74" s="424">
        <v>0.21099999999999999</v>
      </c>
      <c r="AE74" s="425">
        <v>0.21290637985822539</v>
      </c>
    </row>
    <row r="75" spans="1:31">
      <c r="A75" s="416" t="s">
        <v>182</v>
      </c>
      <c r="B75" s="417" t="s">
        <v>514</v>
      </c>
      <c r="C75" s="418">
        <v>373</v>
      </c>
      <c r="D75" s="419">
        <v>324</v>
      </c>
      <c r="E75" s="419">
        <v>346</v>
      </c>
      <c r="F75" s="419">
        <v>403</v>
      </c>
      <c r="G75" s="419">
        <v>386</v>
      </c>
      <c r="H75" s="419">
        <v>392</v>
      </c>
      <c r="I75" s="419">
        <v>373</v>
      </c>
      <c r="J75" s="419">
        <v>382</v>
      </c>
      <c r="K75" s="419">
        <v>433</v>
      </c>
      <c r="L75" s="419">
        <v>472</v>
      </c>
      <c r="M75" s="420">
        <v>569</v>
      </c>
      <c r="N75" s="420">
        <v>576</v>
      </c>
      <c r="O75" s="1056">
        <v>537</v>
      </c>
      <c r="P75" s="1012">
        <v>491</v>
      </c>
      <c r="R75" s="422">
        <v>7.0000000000000007E-2</v>
      </c>
      <c r="S75" s="423">
        <v>0.06</v>
      </c>
      <c r="T75" s="423">
        <v>6.3E-2</v>
      </c>
      <c r="U75" s="423">
        <v>7.0999999999999994E-2</v>
      </c>
      <c r="V75" s="423">
        <v>6.7000000000000004E-2</v>
      </c>
      <c r="W75" s="423">
        <v>6.9000000000000006E-2</v>
      </c>
      <c r="X75" s="423">
        <v>6.5000000000000002E-2</v>
      </c>
      <c r="Y75" s="423">
        <v>6.4000000000000001E-2</v>
      </c>
      <c r="Z75" s="423">
        <v>7.400000000000001E-2</v>
      </c>
      <c r="AA75" s="423">
        <v>7.6999999999999999E-2</v>
      </c>
      <c r="AB75" s="424">
        <v>9.1999999999999985E-2</v>
      </c>
      <c r="AC75" s="424">
        <v>9.6999999999999989E-2</v>
      </c>
      <c r="AD75" s="424">
        <v>9.2999999999999999E-2</v>
      </c>
      <c r="AE75" s="425">
        <v>9.1792858478220232E-2</v>
      </c>
    </row>
    <row r="76" spans="1:31">
      <c r="A76" s="416" t="s">
        <v>184</v>
      </c>
      <c r="B76" s="417" t="s">
        <v>515</v>
      </c>
      <c r="C76" s="418">
        <v>864</v>
      </c>
      <c r="D76" s="419">
        <v>791</v>
      </c>
      <c r="E76" s="419">
        <v>876</v>
      </c>
      <c r="F76" s="419">
        <v>918</v>
      </c>
      <c r="G76" s="419">
        <v>850</v>
      </c>
      <c r="H76" s="419">
        <v>1000</v>
      </c>
      <c r="I76" s="419">
        <v>935</v>
      </c>
      <c r="J76" s="419">
        <v>919</v>
      </c>
      <c r="K76" s="419">
        <v>1023</v>
      </c>
      <c r="L76" s="419">
        <v>990</v>
      </c>
      <c r="M76" s="420">
        <v>1071</v>
      </c>
      <c r="N76" s="420">
        <v>1069</v>
      </c>
      <c r="O76" s="1056">
        <v>1123</v>
      </c>
      <c r="P76" s="1012">
        <v>1086</v>
      </c>
      <c r="R76" s="422">
        <v>0.22399999999999998</v>
      </c>
      <c r="S76" s="423">
        <v>0.20199999999999999</v>
      </c>
      <c r="T76" s="423">
        <v>0.218</v>
      </c>
      <c r="U76" s="423">
        <v>0.23399999999999999</v>
      </c>
      <c r="V76" s="423">
        <v>0.21800000000000003</v>
      </c>
      <c r="W76" s="423">
        <v>0.26</v>
      </c>
      <c r="X76" s="423">
        <v>0.249</v>
      </c>
      <c r="Y76" s="423">
        <v>0.23899999999999999</v>
      </c>
      <c r="Z76" s="423">
        <v>0.26600000000000001</v>
      </c>
      <c r="AA76" s="423">
        <v>0.25600000000000001</v>
      </c>
      <c r="AB76" s="424">
        <v>0.27</v>
      </c>
      <c r="AC76" s="424">
        <v>0.27300000000000002</v>
      </c>
      <c r="AD76" s="424">
        <v>0.28699999999999998</v>
      </c>
      <c r="AE76" s="425">
        <v>0.29288025889967639</v>
      </c>
    </row>
    <row r="77" spans="1:31">
      <c r="A77" s="416" t="s">
        <v>186</v>
      </c>
      <c r="B77" s="417" t="s">
        <v>516</v>
      </c>
      <c r="C77" s="418">
        <v>795</v>
      </c>
      <c r="D77" s="419">
        <v>708</v>
      </c>
      <c r="E77" s="419">
        <v>695</v>
      </c>
      <c r="F77" s="419">
        <v>924</v>
      </c>
      <c r="G77" s="419">
        <v>778</v>
      </c>
      <c r="H77" s="419">
        <v>816</v>
      </c>
      <c r="I77" s="419">
        <v>785</v>
      </c>
      <c r="J77" s="419">
        <v>819</v>
      </c>
      <c r="K77" s="419">
        <v>931</v>
      </c>
      <c r="L77" s="419">
        <v>941</v>
      </c>
      <c r="M77" s="420">
        <v>1006</v>
      </c>
      <c r="N77" s="420">
        <v>1111</v>
      </c>
      <c r="O77" s="1056">
        <v>1011</v>
      </c>
      <c r="P77" s="1012">
        <v>1157</v>
      </c>
      <c r="R77" s="422">
        <v>9.6000000000000002E-2</v>
      </c>
      <c r="S77" s="423">
        <v>8.6000000000000007E-2</v>
      </c>
      <c r="T77" s="423">
        <v>8.5000000000000006E-2</v>
      </c>
      <c r="U77" s="423">
        <v>0.115</v>
      </c>
      <c r="V77" s="423">
        <v>9.6999999999999989E-2</v>
      </c>
      <c r="W77" s="423">
        <v>0.10300000000000001</v>
      </c>
      <c r="X77" s="423">
        <v>0.10400000000000001</v>
      </c>
      <c r="Y77" s="423">
        <v>0.111</v>
      </c>
      <c r="Z77" s="423">
        <v>0.128</v>
      </c>
      <c r="AA77" s="423">
        <v>0.11599999999999999</v>
      </c>
      <c r="AB77" s="424">
        <v>0.127</v>
      </c>
      <c r="AC77" s="424">
        <v>0.13600000000000001</v>
      </c>
      <c r="AD77" s="424">
        <v>0.126</v>
      </c>
      <c r="AE77" s="425">
        <v>0.14816237674478167</v>
      </c>
    </row>
    <row r="78" spans="1:31">
      <c r="A78" s="416" t="s">
        <v>188</v>
      </c>
      <c r="B78" s="417" t="s">
        <v>517</v>
      </c>
      <c r="C78" s="418">
        <v>5688</v>
      </c>
      <c r="D78" s="419">
        <v>5592</v>
      </c>
      <c r="E78" s="419">
        <v>7107</v>
      </c>
      <c r="F78" s="419">
        <v>8029</v>
      </c>
      <c r="G78" s="419">
        <v>7411</v>
      </c>
      <c r="H78" s="419">
        <v>7148</v>
      </c>
      <c r="I78" s="419">
        <v>7105</v>
      </c>
      <c r="J78" s="419">
        <v>7135</v>
      </c>
      <c r="K78" s="419">
        <v>7921</v>
      </c>
      <c r="L78" s="419">
        <v>9006</v>
      </c>
      <c r="M78" s="420">
        <v>9782</v>
      </c>
      <c r="N78" s="420">
        <v>11468</v>
      </c>
      <c r="O78" s="1056">
        <v>11471</v>
      </c>
      <c r="P78" s="1012">
        <v>12226</v>
      </c>
      <c r="R78" s="422">
        <v>6.4000000000000001E-2</v>
      </c>
      <c r="S78" s="423">
        <v>0.06</v>
      </c>
      <c r="T78" s="423">
        <v>7.2999999999999995E-2</v>
      </c>
      <c r="U78" s="423">
        <v>8.1000000000000003E-2</v>
      </c>
      <c r="V78" s="423">
        <v>7.2000000000000008E-2</v>
      </c>
      <c r="W78" s="423">
        <v>7.0000000000000007E-2</v>
      </c>
      <c r="X78" s="423">
        <v>7.0000000000000007E-2</v>
      </c>
      <c r="Y78" s="423">
        <v>6.7999999999999991E-2</v>
      </c>
      <c r="Z78" s="423">
        <v>7.4999999999999997E-2</v>
      </c>
      <c r="AA78" s="423">
        <v>8.2000000000000003E-2</v>
      </c>
      <c r="AB78" s="424">
        <v>8.4999999999999992E-2</v>
      </c>
      <c r="AC78" s="424">
        <v>9.6999999999999989E-2</v>
      </c>
      <c r="AD78" s="424">
        <v>9.6000000000000002E-2</v>
      </c>
      <c r="AE78" s="425">
        <v>0.10001145231745824</v>
      </c>
    </row>
    <row r="79" spans="1:31">
      <c r="A79" s="416" t="s">
        <v>190</v>
      </c>
      <c r="B79" s="417" t="s">
        <v>518</v>
      </c>
      <c r="C79" s="418">
        <v>1182</v>
      </c>
      <c r="D79" s="419">
        <v>1105</v>
      </c>
      <c r="E79" s="419">
        <v>1244</v>
      </c>
      <c r="F79" s="419">
        <v>1354</v>
      </c>
      <c r="G79" s="419">
        <v>1250</v>
      </c>
      <c r="H79" s="419">
        <v>1456</v>
      </c>
      <c r="I79" s="419">
        <v>1284</v>
      </c>
      <c r="J79" s="419">
        <v>1334</v>
      </c>
      <c r="K79" s="419">
        <v>1377</v>
      </c>
      <c r="L79" s="419">
        <v>1352</v>
      </c>
      <c r="M79" s="420">
        <v>1557</v>
      </c>
      <c r="N79" s="420">
        <v>1564</v>
      </c>
      <c r="O79" s="1056">
        <v>1472</v>
      </c>
      <c r="P79" s="1012">
        <v>1387</v>
      </c>
      <c r="R79" s="422">
        <v>0.16499999999999998</v>
      </c>
      <c r="S79" s="423">
        <v>0.156</v>
      </c>
      <c r="T79" s="423">
        <v>0.17399999999999999</v>
      </c>
      <c r="U79" s="423">
        <v>0.193</v>
      </c>
      <c r="V79" s="423">
        <v>0.18100000000000002</v>
      </c>
      <c r="W79" s="423">
        <v>0.21299999999999999</v>
      </c>
      <c r="X79" s="423">
        <v>0.19</v>
      </c>
      <c r="Y79" s="423">
        <v>0.19800000000000001</v>
      </c>
      <c r="Z79" s="423">
        <v>0.20799999999999999</v>
      </c>
      <c r="AA79" s="423">
        <v>0.20600000000000002</v>
      </c>
      <c r="AB79" s="424">
        <v>0.23399999999999999</v>
      </c>
      <c r="AC79" s="424">
        <v>0.23899999999999999</v>
      </c>
      <c r="AD79" s="424">
        <v>0.23100000000000001</v>
      </c>
      <c r="AE79" s="425">
        <v>0.22259669394960679</v>
      </c>
    </row>
    <row r="80" spans="1:31">
      <c r="A80" s="416" t="s">
        <v>194</v>
      </c>
      <c r="B80" s="417" t="s">
        <v>195</v>
      </c>
      <c r="C80" s="418">
        <v>190</v>
      </c>
      <c r="D80" s="419">
        <v>178</v>
      </c>
      <c r="E80" s="419">
        <v>161</v>
      </c>
      <c r="F80" s="419">
        <v>165</v>
      </c>
      <c r="G80" s="419">
        <v>134</v>
      </c>
      <c r="H80" s="419">
        <v>149</v>
      </c>
      <c r="I80" s="419">
        <v>149</v>
      </c>
      <c r="J80" s="419">
        <v>165</v>
      </c>
      <c r="K80" s="419">
        <v>186</v>
      </c>
      <c r="L80" s="419">
        <v>199</v>
      </c>
      <c r="M80" s="420">
        <v>222</v>
      </c>
      <c r="N80" s="420">
        <v>231</v>
      </c>
      <c r="O80" s="1056">
        <v>235</v>
      </c>
      <c r="P80" s="1012">
        <v>244</v>
      </c>
      <c r="R80" s="422">
        <v>0.122</v>
      </c>
      <c r="S80" s="423">
        <v>0.11399999999999999</v>
      </c>
      <c r="T80" s="423">
        <v>0.10500000000000001</v>
      </c>
      <c r="U80" s="423">
        <v>0.109</v>
      </c>
      <c r="V80" s="423">
        <v>0.09</v>
      </c>
      <c r="W80" s="423">
        <v>0.10199999999999998</v>
      </c>
      <c r="X80" s="423">
        <v>0.10300000000000001</v>
      </c>
      <c r="Y80" s="423">
        <v>0.11499999999999999</v>
      </c>
      <c r="Z80" s="423">
        <v>0.13300000000000001</v>
      </c>
      <c r="AA80" s="423">
        <v>0.14199999999999999</v>
      </c>
      <c r="AB80" s="424">
        <v>0.155</v>
      </c>
      <c r="AC80" s="424">
        <v>0.16200000000000001</v>
      </c>
      <c r="AD80" s="424">
        <v>0.17100000000000001</v>
      </c>
      <c r="AE80" s="425">
        <v>0.17655571635311143</v>
      </c>
    </row>
    <row r="81" spans="1:31">
      <c r="A81" s="416" t="s">
        <v>198</v>
      </c>
      <c r="B81" s="417" t="s">
        <v>272</v>
      </c>
      <c r="C81" s="418">
        <v>293</v>
      </c>
      <c r="D81" s="419">
        <v>262</v>
      </c>
      <c r="E81" s="419">
        <v>278</v>
      </c>
      <c r="F81" s="419">
        <v>304</v>
      </c>
      <c r="G81" s="419">
        <v>269</v>
      </c>
      <c r="H81" s="419">
        <v>305</v>
      </c>
      <c r="I81" s="419">
        <v>284</v>
      </c>
      <c r="J81" s="419">
        <v>317</v>
      </c>
      <c r="K81" s="419">
        <v>308</v>
      </c>
      <c r="L81" s="419">
        <v>325</v>
      </c>
      <c r="M81" s="420">
        <v>365</v>
      </c>
      <c r="N81" s="420">
        <v>394</v>
      </c>
      <c r="O81" s="1056">
        <v>366</v>
      </c>
      <c r="P81" s="1012">
        <v>382</v>
      </c>
      <c r="R81" s="422">
        <v>0.189</v>
      </c>
      <c r="S81" s="423">
        <v>0.17600000000000002</v>
      </c>
      <c r="T81" s="423">
        <v>0.185</v>
      </c>
      <c r="U81" s="423">
        <v>0.20100000000000001</v>
      </c>
      <c r="V81" s="423">
        <v>0.187</v>
      </c>
      <c r="W81" s="423">
        <v>0.21299999999999999</v>
      </c>
      <c r="X81" s="423">
        <v>0.19900000000000001</v>
      </c>
      <c r="Y81" s="423">
        <v>0.21500000000000002</v>
      </c>
      <c r="Z81" s="423">
        <v>0.20899999999999999</v>
      </c>
      <c r="AA81" s="423">
        <v>0.21899999999999997</v>
      </c>
      <c r="AB81" s="424">
        <v>0.23799999999999999</v>
      </c>
      <c r="AC81" s="424">
        <v>0.25900000000000001</v>
      </c>
      <c r="AD81" s="424">
        <v>0.24099999999999999</v>
      </c>
      <c r="AE81" s="425">
        <v>0.25810810810810808</v>
      </c>
    </row>
    <row r="82" spans="1:31">
      <c r="A82" s="416" t="s">
        <v>202</v>
      </c>
      <c r="B82" s="417" t="s">
        <v>620</v>
      </c>
      <c r="C82" s="418">
        <v>1630</v>
      </c>
      <c r="D82" s="419">
        <v>1584</v>
      </c>
      <c r="E82" s="419">
        <v>1955</v>
      </c>
      <c r="F82" s="419">
        <v>2276</v>
      </c>
      <c r="G82" s="419">
        <v>2031</v>
      </c>
      <c r="H82" s="419">
        <v>1890</v>
      </c>
      <c r="I82" s="419">
        <v>1886</v>
      </c>
      <c r="J82" s="419">
        <v>1987</v>
      </c>
      <c r="K82" s="419">
        <v>2095</v>
      </c>
      <c r="L82" s="419">
        <v>2424</v>
      </c>
      <c r="M82" s="420">
        <v>2510</v>
      </c>
      <c r="N82" s="420">
        <v>2734</v>
      </c>
      <c r="O82" s="1056">
        <v>2531</v>
      </c>
      <c r="P82" s="1012">
        <v>2613</v>
      </c>
      <c r="R82" s="422">
        <v>6.8193940308644313E-2</v>
      </c>
      <c r="S82" s="423">
        <v>6.5974551764025446E-2</v>
      </c>
      <c r="T82" s="423">
        <v>7.944924009010175E-2</v>
      </c>
      <c r="U82" s="423">
        <v>9.4153362380463512E-2</v>
      </c>
      <c r="V82" s="423">
        <v>8.4813546374689658E-2</v>
      </c>
      <c r="W82" s="423">
        <v>8.02463426937952E-2</v>
      </c>
      <c r="X82" s="423">
        <v>7.7264923917284428E-2</v>
      </c>
      <c r="Y82" s="423">
        <v>8.1615503397158728E-2</v>
      </c>
      <c r="Z82" s="423">
        <v>8.5679896462467639E-2</v>
      </c>
      <c r="AA82" s="423">
        <v>9.3418944062637801E-2</v>
      </c>
      <c r="AB82" s="424">
        <v>0.10149676712900199</v>
      </c>
      <c r="AC82" s="424">
        <v>0.252</v>
      </c>
      <c r="AD82" s="424">
        <v>0.105</v>
      </c>
      <c r="AE82" s="425">
        <v>0.10698493285293155</v>
      </c>
    </row>
    <row r="83" spans="1:31">
      <c r="A83" s="416" t="s">
        <v>204</v>
      </c>
      <c r="B83" s="417" t="s">
        <v>777</v>
      </c>
      <c r="C83" s="418">
        <v>815</v>
      </c>
      <c r="D83" s="419">
        <v>749</v>
      </c>
      <c r="E83" s="419">
        <v>865</v>
      </c>
      <c r="F83" s="419">
        <v>932</v>
      </c>
      <c r="G83" s="419">
        <v>785</v>
      </c>
      <c r="H83" s="419">
        <v>876</v>
      </c>
      <c r="I83" s="419">
        <v>924</v>
      </c>
      <c r="J83" s="419">
        <v>879</v>
      </c>
      <c r="K83" s="419">
        <v>938</v>
      </c>
      <c r="L83" s="419">
        <v>1017</v>
      </c>
      <c r="M83" s="420">
        <v>1130</v>
      </c>
      <c r="N83" s="420">
        <v>1164</v>
      </c>
      <c r="O83" s="1056">
        <v>1164</v>
      </c>
      <c r="P83" s="1012">
        <v>1170</v>
      </c>
      <c r="R83" s="422">
        <v>0.12251567942620668</v>
      </c>
      <c r="S83" s="423">
        <v>0.11493050403158708</v>
      </c>
      <c r="T83" s="423">
        <v>0.13090330456689325</v>
      </c>
      <c r="U83" s="423">
        <v>0.14345094670059147</v>
      </c>
      <c r="V83" s="423">
        <v>0.12311181521666978</v>
      </c>
      <c r="W83" s="423">
        <v>0.13926536034540019</v>
      </c>
      <c r="X83" s="423">
        <v>0.14667017682672617</v>
      </c>
      <c r="Y83" s="423">
        <v>0.13979679129953718</v>
      </c>
      <c r="Z83" s="423">
        <v>0.15096898355924435</v>
      </c>
      <c r="AA83" s="423">
        <v>0.16557930071263913</v>
      </c>
      <c r="AB83" s="424">
        <v>0.18075532332328353</v>
      </c>
      <c r="AC83" s="424">
        <v>0.18936066373840899</v>
      </c>
      <c r="AD83" s="424">
        <v>0.189</v>
      </c>
      <c r="AE83" s="425">
        <v>0.19196062346185397</v>
      </c>
    </row>
    <row r="84" spans="1:31">
      <c r="A84" s="416" t="s">
        <v>206</v>
      </c>
      <c r="B84" s="417" t="s">
        <v>778</v>
      </c>
      <c r="C84" s="418">
        <v>2884</v>
      </c>
      <c r="D84" s="419">
        <v>2710</v>
      </c>
      <c r="E84" s="419">
        <v>3019</v>
      </c>
      <c r="F84" s="419">
        <v>3287</v>
      </c>
      <c r="G84" s="419">
        <v>2935</v>
      </c>
      <c r="H84" s="419">
        <v>2963</v>
      </c>
      <c r="I84" s="419">
        <v>2932</v>
      </c>
      <c r="J84" s="419">
        <v>3342</v>
      </c>
      <c r="K84" s="419">
        <v>3535</v>
      </c>
      <c r="L84" s="419">
        <v>3765</v>
      </c>
      <c r="M84" s="420">
        <v>4302</v>
      </c>
      <c r="N84" s="420">
        <v>4061</v>
      </c>
      <c r="O84" s="1056">
        <v>4669</v>
      </c>
      <c r="P84" s="1012">
        <v>4392</v>
      </c>
      <c r="R84" s="422">
        <v>0.12778413353338336</v>
      </c>
      <c r="S84" s="423">
        <v>0.11888582454334963</v>
      </c>
      <c r="T84" s="423">
        <v>0.13148748332417798</v>
      </c>
      <c r="U84" s="423">
        <v>0.1414905487181094</v>
      </c>
      <c r="V84" s="423">
        <v>0.12762551060745816</v>
      </c>
      <c r="W84" s="423">
        <v>0.13042314334320348</v>
      </c>
      <c r="X84" s="423">
        <v>0.12657400610789404</v>
      </c>
      <c r="Y84" s="423">
        <v>0.13915740575977523</v>
      </c>
      <c r="Z84" s="423">
        <v>0.1465355207875364</v>
      </c>
      <c r="AA84" s="423">
        <v>0.15607638752568281</v>
      </c>
      <c r="AB84" s="424">
        <v>0.17198822367149413</v>
      </c>
      <c r="AC84" s="424">
        <v>0.16272639846129183</v>
      </c>
      <c r="AD84" s="424">
        <v>0.183</v>
      </c>
      <c r="AE84" s="425">
        <v>0.17264150943396225</v>
      </c>
    </row>
    <row r="85" spans="1:31">
      <c r="A85" s="416" t="s">
        <v>208</v>
      </c>
      <c r="B85" s="417" t="s">
        <v>520</v>
      </c>
      <c r="C85" s="418">
        <v>1360</v>
      </c>
      <c r="D85" s="419">
        <v>1181</v>
      </c>
      <c r="E85" s="419">
        <v>1396</v>
      </c>
      <c r="F85" s="419">
        <v>1499</v>
      </c>
      <c r="G85" s="419">
        <v>1321</v>
      </c>
      <c r="H85" s="419">
        <v>1596</v>
      </c>
      <c r="I85" s="419">
        <v>1295</v>
      </c>
      <c r="J85" s="419">
        <v>1476</v>
      </c>
      <c r="K85" s="419">
        <v>1428</v>
      </c>
      <c r="L85" s="419">
        <v>1500</v>
      </c>
      <c r="M85" s="420">
        <v>1464</v>
      </c>
      <c r="N85" s="420">
        <v>1546</v>
      </c>
      <c r="O85" s="1056">
        <v>1332</v>
      </c>
      <c r="P85" s="1012">
        <v>1437</v>
      </c>
      <c r="R85" s="422">
        <v>0.22100000000000003</v>
      </c>
      <c r="S85" s="423">
        <v>0.19499999999999998</v>
      </c>
      <c r="T85" s="423">
        <v>0.23</v>
      </c>
      <c r="U85" s="423">
        <v>0.249</v>
      </c>
      <c r="V85" s="423">
        <v>0.218</v>
      </c>
      <c r="W85" s="423">
        <v>0.26699999999999996</v>
      </c>
      <c r="X85" s="423">
        <v>0.22500000000000001</v>
      </c>
      <c r="Y85" s="423">
        <v>0.255</v>
      </c>
      <c r="Z85" s="423">
        <v>0.251</v>
      </c>
      <c r="AA85" s="423">
        <v>0.25600000000000001</v>
      </c>
      <c r="AB85" s="424">
        <v>0.252</v>
      </c>
      <c r="AC85" s="424">
        <v>0.27200000000000002</v>
      </c>
      <c r="AD85" s="424">
        <v>0.23899999999999999</v>
      </c>
      <c r="AE85" s="425">
        <v>0.26217843459222767</v>
      </c>
    </row>
    <row r="86" spans="1:31">
      <c r="A86" s="416" t="s">
        <v>210</v>
      </c>
      <c r="B86" s="417" t="s">
        <v>521</v>
      </c>
      <c r="C86" s="418">
        <v>900</v>
      </c>
      <c r="D86" s="419">
        <v>828</v>
      </c>
      <c r="E86" s="419">
        <v>877</v>
      </c>
      <c r="F86" s="419">
        <v>1004</v>
      </c>
      <c r="G86" s="419">
        <v>884</v>
      </c>
      <c r="H86" s="419">
        <v>1075</v>
      </c>
      <c r="I86" s="419">
        <v>1046</v>
      </c>
      <c r="J86" s="419">
        <v>942</v>
      </c>
      <c r="K86" s="419">
        <v>936</v>
      </c>
      <c r="L86" s="419">
        <v>1035</v>
      </c>
      <c r="M86" s="420">
        <v>1094</v>
      </c>
      <c r="N86" s="420">
        <v>1076</v>
      </c>
      <c r="O86" s="1056">
        <v>1195</v>
      </c>
      <c r="P86" s="1012">
        <v>1114</v>
      </c>
      <c r="R86" s="422">
        <v>0.192</v>
      </c>
      <c r="S86" s="423">
        <v>0.18</v>
      </c>
      <c r="T86" s="423">
        <v>0.191</v>
      </c>
      <c r="U86" s="423">
        <v>0.22100000000000003</v>
      </c>
      <c r="V86" s="423">
        <v>0.19699999999999998</v>
      </c>
      <c r="W86" s="423">
        <v>0.24300000000000002</v>
      </c>
      <c r="X86" s="423">
        <v>0.24000000000000002</v>
      </c>
      <c r="Y86" s="423">
        <v>0.221</v>
      </c>
      <c r="Z86" s="423">
        <v>0.221</v>
      </c>
      <c r="AA86" s="423">
        <v>0.24100000000000002</v>
      </c>
      <c r="AB86" s="424">
        <v>0.25</v>
      </c>
      <c r="AC86" s="424">
        <v>0.249</v>
      </c>
      <c r="AD86" s="424">
        <v>0.28199999999999997</v>
      </c>
      <c r="AE86" s="425">
        <v>0.26485972420351878</v>
      </c>
    </row>
    <row r="87" spans="1:31">
      <c r="A87" s="416" t="s">
        <v>212</v>
      </c>
      <c r="B87" s="417" t="s">
        <v>522</v>
      </c>
      <c r="C87" s="418">
        <v>952</v>
      </c>
      <c r="D87" s="419">
        <v>910</v>
      </c>
      <c r="E87" s="419">
        <v>942</v>
      </c>
      <c r="F87" s="419">
        <v>1070</v>
      </c>
      <c r="G87" s="419">
        <v>1038</v>
      </c>
      <c r="H87" s="419">
        <v>1094</v>
      </c>
      <c r="I87" s="419">
        <v>1059</v>
      </c>
      <c r="J87" s="419">
        <v>1086</v>
      </c>
      <c r="K87" s="419">
        <v>1281</v>
      </c>
      <c r="L87" s="419">
        <v>1375</v>
      </c>
      <c r="M87" s="420">
        <v>1556</v>
      </c>
      <c r="N87" s="420">
        <v>1838</v>
      </c>
      <c r="O87" s="1056">
        <v>1583</v>
      </c>
      <c r="P87" s="1012">
        <v>1618</v>
      </c>
      <c r="R87" s="422">
        <v>0.12300000000000001</v>
      </c>
      <c r="S87" s="423">
        <v>0.11499999999999999</v>
      </c>
      <c r="T87" s="423">
        <v>0.115</v>
      </c>
      <c r="U87" s="423">
        <v>0.13100000000000001</v>
      </c>
      <c r="V87" s="423">
        <v>0.12300000000000001</v>
      </c>
      <c r="W87" s="423">
        <v>0.13100000000000001</v>
      </c>
      <c r="X87" s="423">
        <v>0.12699999999999997</v>
      </c>
      <c r="Y87" s="423">
        <v>0.124</v>
      </c>
      <c r="Z87" s="423">
        <v>0.14599999999999999</v>
      </c>
      <c r="AA87" s="423">
        <v>0.15500000000000003</v>
      </c>
      <c r="AB87" s="424">
        <v>0.17199999999999999</v>
      </c>
      <c r="AC87" s="424">
        <v>0.20300000000000001</v>
      </c>
      <c r="AD87" s="424">
        <v>0.17599999999999999</v>
      </c>
      <c r="AE87" s="425">
        <v>0.18003783242461333</v>
      </c>
    </row>
    <row r="88" spans="1:31">
      <c r="A88" s="416" t="s">
        <v>214</v>
      </c>
      <c r="B88" s="417" t="s">
        <v>523</v>
      </c>
      <c r="C88" s="418">
        <v>1245</v>
      </c>
      <c r="D88" s="419">
        <v>1207</v>
      </c>
      <c r="E88" s="419">
        <v>1367</v>
      </c>
      <c r="F88" s="419">
        <v>1524</v>
      </c>
      <c r="G88" s="419">
        <v>1291</v>
      </c>
      <c r="H88" s="419">
        <v>1295</v>
      </c>
      <c r="I88" s="419">
        <v>1401</v>
      </c>
      <c r="J88" s="419">
        <v>1410</v>
      </c>
      <c r="K88" s="419">
        <v>1545</v>
      </c>
      <c r="L88" s="419">
        <v>1593</v>
      </c>
      <c r="M88" s="420">
        <v>1843</v>
      </c>
      <c r="N88" s="420">
        <v>1786</v>
      </c>
      <c r="O88" s="1056">
        <v>1764</v>
      </c>
      <c r="P88" s="1012">
        <v>1618</v>
      </c>
      <c r="R88" s="422">
        <v>0.18</v>
      </c>
      <c r="S88" s="423">
        <v>0.17500000000000002</v>
      </c>
      <c r="T88" s="423">
        <v>0.19500000000000001</v>
      </c>
      <c r="U88" s="423">
        <v>0.22399999999999998</v>
      </c>
      <c r="V88" s="423">
        <v>0.18600000000000003</v>
      </c>
      <c r="W88" s="423">
        <v>0.19</v>
      </c>
      <c r="X88" s="423">
        <v>0.214</v>
      </c>
      <c r="Y88" s="423">
        <v>0.218</v>
      </c>
      <c r="Z88" s="423">
        <v>0.24299999999999999</v>
      </c>
      <c r="AA88" s="423">
        <v>0.247</v>
      </c>
      <c r="AB88" s="424">
        <v>0.28000000000000003</v>
      </c>
      <c r="AC88" s="424">
        <v>0.27899999999999997</v>
      </c>
      <c r="AD88" s="424">
        <v>0.28000000000000003</v>
      </c>
      <c r="AE88" s="425">
        <v>0.25925332478769431</v>
      </c>
    </row>
    <row r="89" spans="1:31">
      <c r="A89" s="416" t="s">
        <v>216</v>
      </c>
      <c r="B89" s="417" t="s">
        <v>524</v>
      </c>
      <c r="C89" s="418">
        <v>714</v>
      </c>
      <c r="D89" s="419">
        <v>607</v>
      </c>
      <c r="E89" s="419">
        <v>656</v>
      </c>
      <c r="F89" s="419">
        <v>707</v>
      </c>
      <c r="G89" s="419">
        <v>640</v>
      </c>
      <c r="H89" s="419">
        <v>701</v>
      </c>
      <c r="I89" s="419">
        <v>717</v>
      </c>
      <c r="J89" s="419">
        <v>662</v>
      </c>
      <c r="K89" s="419">
        <v>747</v>
      </c>
      <c r="L89" s="419">
        <v>704</v>
      </c>
      <c r="M89" s="420">
        <v>768</v>
      </c>
      <c r="N89" s="420">
        <v>831</v>
      </c>
      <c r="O89" s="1056">
        <v>826</v>
      </c>
      <c r="P89" s="1012">
        <v>785</v>
      </c>
      <c r="R89" s="422">
        <v>0.18899999999999997</v>
      </c>
      <c r="S89" s="423">
        <v>0.16399999999999998</v>
      </c>
      <c r="T89" s="423">
        <v>0.17399999999999999</v>
      </c>
      <c r="U89" s="423">
        <v>0.19600000000000001</v>
      </c>
      <c r="V89" s="423">
        <v>0.17499999999999999</v>
      </c>
      <c r="W89" s="423">
        <v>0.19399999999999998</v>
      </c>
      <c r="X89" s="423">
        <v>0.20199999999999999</v>
      </c>
      <c r="Y89" s="423">
        <v>0.188</v>
      </c>
      <c r="Z89" s="423">
        <v>0.218</v>
      </c>
      <c r="AA89" s="423">
        <v>0.19500000000000001</v>
      </c>
      <c r="AB89" s="424">
        <v>0.2</v>
      </c>
      <c r="AC89" s="424">
        <v>0.221</v>
      </c>
      <c r="AD89" s="424">
        <v>0.22500000000000001</v>
      </c>
      <c r="AE89" s="425">
        <v>0.2248639358350043</v>
      </c>
    </row>
    <row r="90" spans="1:31">
      <c r="A90" s="416" t="s">
        <v>218</v>
      </c>
      <c r="B90" s="417" t="s">
        <v>525</v>
      </c>
      <c r="C90" s="418">
        <v>2013</v>
      </c>
      <c r="D90" s="419">
        <v>1875</v>
      </c>
      <c r="E90" s="419">
        <v>2164</v>
      </c>
      <c r="F90" s="419">
        <v>2418</v>
      </c>
      <c r="G90" s="419">
        <v>2320</v>
      </c>
      <c r="H90" s="419">
        <v>2365</v>
      </c>
      <c r="I90" s="419">
        <v>2241</v>
      </c>
      <c r="J90" s="419">
        <v>2473</v>
      </c>
      <c r="K90" s="419">
        <v>2790</v>
      </c>
      <c r="L90" s="419">
        <v>3473</v>
      </c>
      <c r="M90" s="420">
        <v>3532</v>
      </c>
      <c r="N90" s="420">
        <v>3814</v>
      </c>
      <c r="O90" s="1056">
        <v>3803</v>
      </c>
      <c r="P90" s="1012">
        <v>3385</v>
      </c>
      <c r="R90" s="422">
        <v>7.2000000000000008E-2</v>
      </c>
      <c r="S90" s="423">
        <v>6.4000000000000001E-2</v>
      </c>
      <c r="T90" s="423">
        <v>7.0999999999999994E-2</v>
      </c>
      <c r="U90" s="423">
        <v>7.8E-2</v>
      </c>
      <c r="V90" s="423">
        <v>7.2999999999999995E-2</v>
      </c>
      <c r="W90" s="423">
        <v>7.4999999999999997E-2</v>
      </c>
      <c r="X90" s="423">
        <v>7.0999999999999994E-2</v>
      </c>
      <c r="Y90" s="423">
        <v>7.6999999999999999E-2</v>
      </c>
      <c r="Z90" s="423">
        <v>8.6999999999999994E-2</v>
      </c>
      <c r="AA90" s="423">
        <v>0.10400000000000001</v>
      </c>
      <c r="AB90" s="424">
        <v>0.10500000000000001</v>
      </c>
      <c r="AC90" s="424">
        <v>0.11599999999999999</v>
      </c>
      <c r="AD90" s="424">
        <v>0.11600000000000001</v>
      </c>
      <c r="AE90" s="425">
        <v>0.10372299678259538</v>
      </c>
    </row>
    <row r="91" spans="1:31">
      <c r="A91" s="416" t="s">
        <v>220</v>
      </c>
      <c r="B91" s="417" t="s">
        <v>526</v>
      </c>
      <c r="C91" s="418">
        <v>1608</v>
      </c>
      <c r="D91" s="419">
        <v>1416</v>
      </c>
      <c r="E91" s="419">
        <v>1718</v>
      </c>
      <c r="F91" s="419">
        <v>2023</v>
      </c>
      <c r="G91" s="419">
        <v>1944</v>
      </c>
      <c r="H91" s="419">
        <v>1758</v>
      </c>
      <c r="I91" s="419">
        <v>1493</v>
      </c>
      <c r="J91" s="419">
        <v>1706</v>
      </c>
      <c r="K91" s="419">
        <v>1930</v>
      </c>
      <c r="L91" s="419">
        <v>2223</v>
      </c>
      <c r="M91" s="420">
        <v>2504</v>
      </c>
      <c r="N91" s="420">
        <v>2894</v>
      </c>
      <c r="O91" s="1056">
        <v>2549</v>
      </c>
      <c r="P91" s="1012">
        <v>2952</v>
      </c>
      <c r="R91" s="422">
        <v>5.2999999999999999E-2</v>
      </c>
      <c r="S91" s="423">
        <v>4.4999999999999998E-2</v>
      </c>
      <c r="T91" s="423">
        <v>5.2999999999999999E-2</v>
      </c>
      <c r="U91" s="423">
        <v>6.2E-2</v>
      </c>
      <c r="V91" s="423">
        <v>5.7999999999999996E-2</v>
      </c>
      <c r="W91" s="423">
        <v>5.2999999999999992E-2</v>
      </c>
      <c r="X91" s="423">
        <v>4.5999999999999999E-2</v>
      </c>
      <c r="Y91" s="423">
        <v>5.099999999999999E-2</v>
      </c>
      <c r="Z91" s="423">
        <v>5.9000000000000004E-2</v>
      </c>
      <c r="AA91" s="423">
        <v>6.2000000000000006E-2</v>
      </c>
      <c r="AB91" s="424">
        <v>6.8000000000000005E-2</v>
      </c>
      <c r="AC91" s="424">
        <v>7.9000000000000001E-2</v>
      </c>
      <c r="AD91" s="424">
        <v>7.0000000000000007E-2</v>
      </c>
      <c r="AE91" s="425">
        <v>8.0715281765236652E-2</v>
      </c>
    </row>
    <row r="92" spans="1:31">
      <c r="A92" s="416" t="s">
        <v>224</v>
      </c>
      <c r="B92" s="417" t="s">
        <v>527</v>
      </c>
      <c r="C92" s="418">
        <v>279</v>
      </c>
      <c r="D92" s="419">
        <v>240</v>
      </c>
      <c r="E92" s="419">
        <v>256</v>
      </c>
      <c r="F92" s="419">
        <v>265</v>
      </c>
      <c r="G92" s="419">
        <v>231</v>
      </c>
      <c r="H92" s="419">
        <v>262</v>
      </c>
      <c r="I92" s="419">
        <v>232</v>
      </c>
      <c r="J92" s="419">
        <v>236</v>
      </c>
      <c r="K92" s="419">
        <v>246</v>
      </c>
      <c r="L92" s="419">
        <v>240</v>
      </c>
      <c r="M92" s="420">
        <v>288</v>
      </c>
      <c r="N92" s="420">
        <v>282</v>
      </c>
      <c r="O92" s="1056">
        <v>264</v>
      </c>
      <c r="P92" s="1012">
        <v>256</v>
      </c>
      <c r="R92" s="422">
        <v>0.16600000000000001</v>
      </c>
      <c r="S92" s="423">
        <v>0.14199999999999999</v>
      </c>
      <c r="T92" s="423">
        <v>0.15</v>
      </c>
      <c r="U92" s="423">
        <v>0.16200000000000001</v>
      </c>
      <c r="V92" s="423">
        <v>0.14499999999999999</v>
      </c>
      <c r="W92" s="423">
        <v>0.16699999999999998</v>
      </c>
      <c r="X92" s="423">
        <v>0.151</v>
      </c>
      <c r="Y92" s="423">
        <v>0.157</v>
      </c>
      <c r="Z92" s="423">
        <v>0.16499999999999998</v>
      </c>
      <c r="AA92" s="423">
        <v>0.17199999999999999</v>
      </c>
      <c r="AB92" s="424">
        <v>0.19700000000000001</v>
      </c>
      <c r="AC92" s="424">
        <v>0.20300000000000001</v>
      </c>
      <c r="AD92" s="424">
        <v>0.19700000000000001</v>
      </c>
      <c r="AE92" s="425">
        <v>0.20173364854215919</v>
      </c>
    </row>
    <row r="93" spans="1:31">
      <c r="A93" s="416" t="s">
        <v>226</v>
      </c>
      <c r="B93" s="417" t="s">
        <v>528</v>
      </c>
      <c r="C93" s="418">
        <v>504</v>
      </c>
      <c r="D93" s="419">
        <v>437</v>
      </c>
      <c r="E93" s="419">
        <v>446</v>
      </c>
      <c r="F93" s="419">
        <v>513</v>
      </c>
      <c r="G93" s="419">
        <v>464</v>
      </c>
      <c r="H93" s="419">
        <v>534</v>
      </c>
      <c r="I93" s="419">
        <v>610</v>
      </c>
      <c r="J93" s="419">
        <v>510</v>
      </c>
      <c r="K93" s="419">
        <v>472</v>
      </c>
      <c r="L93" s="419">
        <v>481</v>
      </c>
      <c r="M93" s="420">
        <v>473</v>
      </c>
      <c r="N93" s="420">
        <v>465</v>
      </c>
      <c r="O93" s="1056">
        <v>529</v>
      </c>
      <c r="P93" s="1012">
        <v>567</v>
      </c>
      <c r="R93" s="422">
        <v>0.21100000000000002</v>
      </c>
      <c r="S93" s="423">
        <v>0.188</v>
      </c>
      <c r="T93" s="423">
        <v>0.19399999999999998</v>
      </c>
      <c r="U93" s="423">
        <v>0.22600000000000001</v>
      </c>
      <c r="V93" s="423">
        <v>0.21</v>
      </c>
      <c r="W93" s="423">
        <v>0.245</v>
      </c>
      <c r="X93" s="423">
        <v>0.28000000000000003</v>
      </c>
      <c r="Y93" s="423">
        <v>0.24</v>
      </c>
      <c r="Z93" s="423">
        <v>0.22800000000000004</v>
      </c>
      <c r="AA93" s="423">
        <v>0.23600000000000002</v>
      </c>
      <c r="AB93" s="424">
        <v>0.24000000000000002</v>
      </c>
      <c r="AC93" s="424">
        <v>0.23199999999999998</v>
      </c>
      <c r="AD93" s="424">
        <v>0.27</v>
      </c>
      <c r="AE93" s="425">
        <v>0.30353319057815847</v>
      </c>
    </row>
    <row r="94" spans="1:31">
      <c r="A94" s="416" t="s">
        <v>228</v>
      </c>
      <c r="B94" s="417" t="s">
        <v>529</v>
      </c>
      <c r="C94" s="418">
        <v>1886</v>
      </c>
      <c r="D94" s="419">
        <v>1666</v>
      </c>
      <c r="E94" s="419">
        <v>2007</v>
      </c>
      <c r="F94" s="419">
        <v>2172</v>
      </c>
      <c r="G94" s="419">
        <v>1979</v>
      </c>
      <c r="H94" s="419">
        <v>2139</v>
      </c>
      <c r="I94" s="419">
        <v>1865</v>
      </c>
      <c r="J94" s="419">
        <v>2038</v>
      </c>
      <c r="K94" s="419">
        <v>2088</v>
      </c>
      <c r="L94" s="419">
        <v>1961</v>
      </c>
      <c r="M94" s="420">
        <v>2127</v>
      </c>
      <c r="N94" s="420">
        <v>2038</v>
      </c>
      <c r="O94" s="1056">
        <v>2254</v>
      </c>
      <c r="P94" s="1012">
        <v>1960</v>
      </c>
      <c r="R94" s="422">
        <v>0.20699999999999999</v>
      </c>
      <c r="S94" s="423">
        <v>0.18399999999999997</v>
      </c>
      <c r="T94" s="423">
        <v>0.22000000000000003</v>
      </c>
      <c r="U94" s="423">
        <v>0.24</v>
      </c>
      <c r="V94" s="423">
        <v>0.21600000000000003</v>
      </c>
      <c r="W94" s="423">
        <v>0.23700000000000002</v>
      </c>
      <c r="X94" s="423">
        <v>0.21199999999999999</v>
      </c>
      <c r="Y94" s="423">
        <v>0.23500000000000001</v>
      </c>
      <c r="Z94" s="423">
        <v>0.24199999999999999</v>
      </c>
      <c r="AA94" s="423">
        <v>0.21600000000000003</v>
      </c>
      <c r="AB94" s="424">
        <v>0.23500000000000001</v>
      </c>
      <c r="AC94" s="424">
        <v>0.23100000000000001</v>
      </c>
      <c r="AD94" s="424">
        <v>0.26100000000000001</v>
      </c>
      <c r="AE94" s="425">
        <v>0.22899871480313122</v>
      </c>
    </row>
    <row r="95" spans="1:31">
      <c r="A95" s="416" t="s">
        <v>232</v>
      </c>
      <c r="B95" s="417" t="s">
        <v>530</v>
      </c>
      <c r="C95" s="418">
        <v>939</v>
      </c>
      <c r="D95" s="419">
        <v>861</v>
      </c>
      <c r="E95" s="419">
        <v>993</v>
      </c>
      <c r="F95" s="419">
        <v>1111</v>
      </c>
      <c r="G95" s="419">
        <v>982</v>
      </c>
      <c r="H95" s="419">
        <v>1095</v>
      </c>
      <c r="I95" s="419">
        <v>1011</v>
      </c>
      <c r="J95" s="419">
        <v>1000</v>
      </c>
      <c r="K95" s="419">
        <v>1161</v>
      </c>
      <c r="L95" s="419">
        <v>1179</v>
      </c>
      <c r="M95" s="420">
        <v>1290</v>
      </c>
      <c r="N95" s="420">
        <v>1390</v>
      </c>
      <c r="O95" s="1056">
        <v>1342</v>
      </c>
      <c r="P95" s="1012">
        <v>1485</v>
      </c>
      <c r="R95" s="422">
        <v>0.11599999999999999</v>
      </c>
      <c r="S95" s="423">
        <v>0.105</v>
      </c>
      <c r="T95" s="423">
        <v>0.11699999999999998</v>
      </c>
      <c r="U95" s="423">
        <v>0.13099999999999998</v>
      </c>
      <c r="V95" s="423">
        <v>0.112</v>
      </c>
      <c r="W95" s="423">
        <v>0.127</v>
      </c>
      <c r="X95" s="423">
        <v>0.11800000000000001</v>
      </c>
      <c r="Y95" s="423">
        <v>0.114</v>
      </c>
      <c r="Z95" s="423">
        <v>0.13100000000000001</v>
      </c>
      <c r="AA95" s="423">
        <v>0.13700000000000001</v>
      </c>
      <c r="AB95" s="424">
        <v>0.14399999999999999</v>
      </c>
      <c r="AC95" s="424">
        <v>0.158</v>
      </c>
      <c r="AD95" s="424">
        <v>0.154</v>
      </c>
      <c r="AE95" s="425">
        <v>0.17012257990606025</v>
      </c>
    </row>
    <row r="96" spans="1:31">
      <c r="A96" s="416" t="s">
        <v>234</v>
      </c>
      <c r="B96" s="417" t="s">
        <v>531</v>
      </c>
      <c r="C96" s="418">
        <v>1611</v>
      </c>
      <c r="D96" s="419">
        <v>1484</v>
      </c>
      <c r="E96" s="419">
        <v>1695</v>
      </c>
      <c r="F96" s="419">
        <v>1885</v>
      </c>
      <c r="G96" s="419">
        <v>1709</v>
      </c>
      <c r="H96" s="419">
        <v>1690</v>
      </c>
      <c r="I96" s="419">
        <v>1764</v>
      </c>
      <c r="J96" s="419">
        <v>1927</v>
      </c>
      <c r="K96" s="419">
        <v>1908</v>
      </c>
      <c r="L96" s="419">
        <v>2024</v>
      </c>
      <c r="M96" s="420">
        <v>2037</v>
      </c>
      <c r="N96" s="420">
        <v>2060</v>
      </c>
      <c r="O96" s="1056">
        <v>2038</v>
      </c>
      <c r="P96" s="1012">
        <v>2222</v>
      </c>
      <c r="R96" s="422">
        <v>0.157</v>
      </c>
      <c r="S96" s="423">
        <v>0.14499999999999999</v>
      </c>
      <c r="T96" s="423">
        <v>0.16300000000000001</v>
      </c>
      <c r="U96" s="423">
        <v>0.18099999999999999</v>
      </c>
      <c r="V96" s="423">
        <v>0.16499999999999998</v>
      </c>
      <c r="W96" s="423">
        <v>0.16500000000000001</v>
      </c>
      <c r="X96" s="423">
        <v>0.17800000000000002</v>
      </c>
      <c r="Y96" s="423">
        <v>0.19100000000000003</v>
      </c>
      <c r="Z96" s="423">
        <v>0.19</v>
      </c>
      <c r="AA96" s="423">
        <v>0.19600000000000004</v>
      </c>
      <c r="AB96" s="424">
        <v>0.193</v>
      </c>
      <c r="AC96" s="424">
        <v>0.19800000000000001</v>
      </c>
      <c r="AD96" s="424">
        <v>0.19500000000000001</v>
      </c>
      <c r="AE96" s="425">
        <v>0.212205138000191</v>
      </c>
    </row>
    <row r="97" spans="1:31">
      <c r="A97" s="416" t="s">
        <v>236</v>
      </c>
      <c r="B97" s="417" t="s">
        <v>532</v>
      </c>
      <c r="C97" s="418">
        <v>788</v>
      </c>
      <c r="D97" s="419">
        <v>711</v>
      </c>
      <c r="E97" s="419">
        <v>758</v>
      </c>
      <c r="F97" s="419">
        <v>833</v>
      </c>
      <c r="G97" s="419">
        <v>733</v>
      </c>
      <c r="H97" s="419">
        <v>891</v>
      </c>
      <c r="I97" s="419">
        <v>795</v>
      </c>
      <c r="J97" s="419">
        <v>765</v>
      </c>
      <c r="K97" s="419">
        <v>870</v>
      </c>
      <c r="L97" s="419">
        <v>879</v>
      </c>
      <c r="M97" s="420">
        <v>897</v>
      </c>
      <c r="N97" s="420">
        <v>979</v>
      </c>
      <c r="O97" s="1056">
        <v>973</v>
      </c>
      <c r="P97" s="1012">
        <v>931</v>
      </c>
      <c r="R97" s="422">
        <v>0.21199999999999999</v>
      </c>
      <c r="S97" s="423">
        <v>0.192</v>
      </c>
      <c r="T97" s="423">
        <v>0.20199999999999999</v>
      </c>
      <c r="U97" s="423">
        <v>0.221</v>
      </c>
      <c r="V97" s="423">
        <v>0.19899999999999998</v>
      </c>
      <c r="W97" s="423">
        <v>0.24500000000000002</v>
      </c>
      <c r="X97" s="423">
        <v>0.22399999999999998</v>
      </c>
      <c r="Y97" s="423">
        <v>0.214</v>
      </c>
      <c r="Z97" s="423">
        <v>0.24300000000000002</v>
      </c>
      <c r="AA97" s="423">
        <v>0.249</v>
      </c>
      <c r="AB97" s="424">
        <v>0.26200000000000001</v>
      </c>
      <c r="AC97" s="424">
        <v>0.28499999999999998</v>
      </c>
      <c r="AD97" s="424">
        <v>0.29399999999999998</v>
      </c>
      <c r="AE97" s="425">
        <v>0.28540772532188841</v>
      </c>
    </row>
    <row r="98" spans="1:31">
      <c r="A98" s="416" t="s">
        <v>242</v>
      </c>
      <c r="B98" s="417" t="s">
        <v>533</v>
      </c>
      <c r="C98" s="418">
        <v>2192</v>
      </c>
      <c r="D98" s="419">
        <v>1920</v>
      </c>
      <c r="E98" s="419">
        <v>2292</v>
      </c>
      <c r="F98" s="419">
        <v>2477</v>
      </c>
      <c r="G98" s="419">
        <v>2202</v>
      </c>
      <c r="H98" s="419">
        <v>2706</v>
      </c>
      <c r="I98" s="419">
        <v>2260</v>
      </c>
      <c r="J98" s="419">
        <v>2386</v>
      </c>
      <c r="K98" s="419">
        <v>2501</v>
      </c>
      <c r="L98" s="419">
        <v>2396</v>
      </c>
      <c r="M98" s="420">
        <v>2327</v>
      </c>
      <c r="N98" s="420">
        <v>2353</v>
      </c>
      <c r="O98" s="1056">
        <v>2429</v>
      </c>
      <c r="P98" s="1012">
        <v>2233</v>
      </c>
      <c r="R98" s="422">
        <v>0.24600000000000002</v>
      </c>
      <c r="S98" s="423">
        <v>0.217</v>
      </c>
      <c r="T98" s="423">
        <v>0.25600000000000001</v>
      </c>
      <c r="U98" s="423">
        <v>0.27800000000000002</v>
      </c>
      <c r="V98" s="423">
        <v>0.24399999999999999</v>
      </c>
      <c r="W98" s="423">
        <v>0.30600000000000005</v>
      </c>
      <c r="X98" s="423">
        <v>0.25900000000000001</v>
      </c>
      <c r="Y98" s="423">
        <v>0.27800000000000002</v>
      </c>
      <c r="Z98" s="423">
        <v>0.29299999999999998</v>
      </c>
      <c r="AA98" s="423">
        <v>0.27100000000000002</v>
      </c>
      <c r="AB98" s="424">
        <v>0.27500000000000002</v>
      </c>
      <c r="AC98" s="424">
        <v>0.27800000000000002</v>
      </c>
      <c r="AD98" s="424">
        <v>0.29299999999999998</v>
      </c>
      <c r="AE98" s="425">
        <v>0.27801294820717132</v>
      </c>
    </row>
    <row r="99" spans="1:31">
      <c r="A99" s="416" t="s">
        <v>244</v>
      </c>
      <c r="B99" s="417" t="s">
        <v>534</v>
      </c>
      <c r="C99" s="418">
        <v>945</v>
      </c>
      <c r="D99" s="419">
        <v>888</v>
      </c>
      <c r="E99" s="419">
        <v>1159</v>
      </c>
      <c r="F99" s="419">
        <v>1153</v>
      </c>
      <c r="G99" s="419">
        <v>976</v>
      </c>
      <c r="H99" s="419">
        <v>1167</v>
      </c>
      <c r="I99" s="419">
        <v>1186</v>
      </c>
      <c r="J99" s="419">
        <v>1038</v>
      </c>
      <c r="K99" s="419">
        <v>1164</v>
      </c>
      <c r="L99" s="419">
        <v>1242</v>
      </c>
      <c r="M99" s="420">
        <v>1364</v>
      </c>
      <c r="N99" s="420">
        <v>1303</v>
      </c>
      <c r="O99" s="1056">
        <v>1365</v>
      </c>
      <c r="P99" s="1012">
        <v>1260</v>
      </c>
      <c r="R99" s="422">
        <v>0.16</v>
      </c>
      <c r="S99" s="423">
        <v>0.151</v>
      </c>
      <c r="T99" s="423">
        <v>0.19399999999999998</v>
      </c>
      <c r="U99" s="423">
        <v>0.19500000000000001</v>
      </c>
      <c r="V99" s="423">
        <v>0.16300000000000001</v>
      </c>
      <c r="W99" s="423">
        <v>0.19700000000000001</v>
      </c>
      <c r="X99" s="423">
        <v>0.20199999999999999</v>
      </c>
      <c r="Y99" s="423">
        <v>0.17699999999999999</v>
      </c>
      <c r="Z99" s="423">
        <v>0.2</v>
      </c>
      <c r="AA99" s="423">
        <v>0.21199999999999999</v>
      </c>
      <c r="AB99" s="424">
        <v>0.22899999999999998</v>
      </c>
      <c r="AC99" s="424">
        <v>0.222</v>
      </c>
      <c r="AD99" s="424">
        <v>0.23400000000000001</v>
      </c>
      <c r="AE99" s="425">
        <v>0.21612349914236706</v>
      </c>
    </row>
    <row r="100" spans="1:31">
      <c r="A100" s="416" t="s">
        <v>246</v>
      </c>
      <c r="B100" s="417" t="s">
        <v>779</v>
      </c>
      <c r="C100" s="418">
        <v>1102</v>
      </c>
      <c r="D100" s="419">
        <v>962</v>
      </c>
      <c r="E100" s="419">
        <v>1018</v>
      </c>
      <c r="F100" s="419">
        <v>1110</v>
      </c>
      <c r="G100" s="419">
        <v>1033</v>
      </c>
      <c r="H100" s="419">
        <v>881</v>
      </c>
      <c r="I100" s="419">
        <v>871</v>
      </c>
      <c r="J100" s="419">
        <v>882</v>
      </c>
      <c r="K100" s="419">
        <v>906</v>
      </c>
      <c r="L100" s="419">
        <v>1106</v>
      </c>
      <c r="M100" s="420">
        <v>1351</v>
      </c>
      <c r="N100" s="420">
        <v>1443</v>
      </c>
      <c r="O100" s="1056">
        <v>1530</v>
      </c>
      <c r="P100" s="1012">
        <v>1352</v>
      </c>
      <c r="R100" s="422">
        <v>5.6401280791515608E-2</v>
      </c>
      <c r="S100" s="423">
        <v>5.0256129333956845E-2</v>
      </c>
      <c r="T100" s="423">
        <v>5.2533947265540157E-2</v>
      </c>
      <c r="U100" s="423">
        <v>6.0559770540340487E-2</v>
      </c>
      <c r="V100" s="423">
        <v>5.685748279964823E-2</v>
      </c>
      <c r="W100" s="423">
        <v>4.9573310510692706E-2</v>
      </c>
      <c r="X100" s="423">
        <v>5.1145672342404185E-2</v>
      </c>
      <c r="Y100" s="423">
        <v>5.3281178762382392E-2</v>
      </c>
      <c r="Z100" s="423">
        <v>5.6580193560167996E-2</v>
      </c>
      <c r="AA100" s="423">
        <v>6.1533224839921533E-2</v>
      </c>
      <c r="AB100" s="424">
        <v>6.7706896551724141E-2</v>
      </c>
      <c r="AC100" s="424">
        <v>7.4018979225442427E-2</v>
      </c>
      <c r="AD100" s="424">
        <v>8.1000000000000003E-2</v>
      </c>
      <c r="AE100" s="425">
        <v>7.2314933675652546E-2</v>
      </c>
    </row>
    <row r="101" spans="1:31">
      <c r="A101" s="416" t="s">
        <v>14</v>
      </c>
      <c r="B101" s="417" t="s">
        <v>15</v>
      </c>
      <c r="C101" s="418">
        <v>3146</v>
      </c>
      <c r="D101" s="419">
        <v>2860</v>
      </c>
      <c r="E101" s="419">
        <v>3202</v>
      </c>
      <c r="F101" s="419">
        <v>3504</v>
      </c>
      <c r="G101" s="419">
        <v>3196</v>
      </c>
      <c r="H101" s="419">
        <v>3557</v>
      </c>
      <c r="I101" s="419">
        <v>3098</v>
      </c>
      <c r="J101" s="419">
        <v>3511</v>
      </c>
      <c r="K101" s="419">
        <v>4030</v>
      </c>
      <c r="L101" s="419">
        <v>3990</v>
      </c>
      <c r="M101" s="420">
        <v>3332</v>
      </c>
      <c r="N101" s="420">
        <v>3614</v>
      </c>
      <c r="O101" s="1056">
        <v>3578</v>
      </c>
      <c r="P101" s="1012">
        <v>3921</v>
      </c>
      <c r="R101" s="422">
        <v>0.14199999999999999</v>
      </c>
      <c r="S101" s="423">
        <v>0.126</v>
      </c>
      <c r="T101" s="423">
        <v>0.13599999999999998</v>
      </c>
      <c r="U101" s="423">
        <v>0.13900000000000001</v>
      </c>
      <c r="V101" s="423">
        <v>0.121</v>
      </c>
      <c r="W101" s="423">
        <v>0.13599999999999998</v>
      </c>
      <c r="X101" s="423">
        <v>0.11900000000000001</v>
      </c>
      <c r="Y101" s="423">
        <v>0.129</v>
      </c>
      <c r="Z101" s="423">
        <v>0.13700000000000001</v>
      </c>
      <c r="AA101" s="423">
        <v>0.14800000000000002</v>
      </c>
      <c r="AB101" s="424">
        <v>0.14199999999999999</v>
      </c>
      <c r="AC101" s="424">
        <v>0.14699999999999999</v>
      </c>
      <c r="AD101" s="424">
        <v>0.14199999999999999</v>
      </c>
      <c r="AE101" s="425">
        <v>0.1532119412316349</v>
      </c>
    </row>
    <row r="102" spans="1:31">
      <c r="A102" s="416" t="s">
        <v>34</v>
      </c>
      <c r="B102" s="417" t="s">
        <v>35</v>
      </c>
      <c r="C102" s="418">
        <v>817</v>
      </c>
      <c r="D102" s="419">
        <v>756</v>
      </c>
      <c r="E102" s="419">
        <v>900</v>
      </c>
      <c r="F102" s="419">
        <v>929</v>
      </c>
      <c r="G102" s="419">
        <v>835</v>
      </c>
      <c r="H102" s="419">
        <v>968</v>
      </c>
      <c r="I102" s="419">
        <v>1070</v>
      </c>
      <c r="J102" s="419">
        <v>1000</v>
      </c>
      <c r="K102" s="419">
        <v>1215</v>
      </c>
      <c r="L102" s="419">
        <v>1136</v>
      </c>
      <c r="M102" s="420">
        <v>1222</v>
      </c>
      <c r="N102" s="420">
        <v>1239</v>
      </c>
      <c r="O102" s="1056">
        <v>1140</v>
      </c>
      <c r="P102" s="1012">
        <v>1233</v>
      </c>
      <c r="R102" s="422">
        <v>0.23699999999999999</v>
      </c>
      <c r="S102" s="423">
        <v>0.22</v>
      </c>
      <c r="T102" s="423">
        <v>0.25700000000000001</v>
      </c>
      <c r="U102" s="423">
        <v>0.26899999999999996</v>
      </c>
      <c r="V102" s="423">
        <v>0.245</v>
      </c>
      <c r="W102" s="423">
        <v>0.28800000000000003</v>
      </c>
      <c r="X102" s="423">
        <v>0.317</v>
      </c>
      <c r="Y102" s="423">
        <v>0.29100000000000004</v>
      </c>
      <c r="Z102" s="423">
        <v>0.36200000000000004</v>
      </c>
      <c r="AA102" s="423">
        <v>0.33100000000000002</v>
      </c>
      <c r="AB102" s="424">
        <v>0.33899999999999997</v>
      </c>
      <c r="AC102" s="424">
        <v>0.35200000000000004</v>
      </c>
      <c r="AD102" s="424">
        <v>0.33200000000000002</v>
      </c>
      <c r="AE102" s="425">
        <v>0.36403897254207263</v>
      </c>
    </row>
    <row r="103" spans="1:31">
      <c r="A103" s="416" t="s">
        <v>52</v>
      </c>
      <c r="B103" s="417" t="s">
        <v>53</v>
      </c>
      <c r="C103" s="418">
        <v>1357</v>
      </c>
      <c r="D103" s="419">
        <v>1141</v>
      </c>
      <c r="E103" s="419">
        <v>1363</v>
      </c>
      <c r="F103" s="419">
        <v>1436</v>
      </c>
      <c r="G103" s="419">
        <v>1378</v>
      </c>
      <c r="H103" s="419">
        <v>1605</v>
      </c>
      <c r="I103" s="419">
        <v>1367</v>
      </c>
      <c r="J103" s="419">
        <v>1497</v>
      </c>
      <c r="K103" s="419">
        <v>1442</v>
      </c>
      <c r="L103" s="419">
        <v>1406</v>
      </c>
      <c r="M103" s="420">
        <v>1439</v>
      </c>
      <c r="N103" s="420">
        <v>1387</v>
      </c>
      <c r="O103" s="1056">
        <v>1570</v>
      </c>
      <c r="P103" s="1012">
        <v>1584</v>
      </c>
      <c r="R103" s="422">
        <v>0.20100000000000001</v>
      </c>
      <c r="S103" s="423">
        <v>0.17199999999999999</v>
      </c>
      <c r="T103" s="423">
        <v>0.20499999999999999</v>
      </c>
      <c r="U103" s="423">
        <v>0.22700000000000001</v>
      </c>
      <c r="V103" s="423">
        <v>0.20300000000000001</v>
      </c>
      <c r="W103" s="423">
        <v>0.24</v>
      </c>
      <c r="X103" s="423">
        <v>0.20300000000000001</v>
      </c>
      <c r="Y103" s="423">
        <v>0.219</v>
      </c>
      <c r="Z103" s="423">
        <v>0.20899999999999999</v>
      </c>
      <c r="AA103" s="423">
        <v>0.214</v>
      </c>
      <c r="AB103" s="424">
        <v>0.22699999999999998</v>
      </c>
      <c r="AC103" s="424">
        <v>0.222</v>
      </c>
      <c r="AD103" s="424">
        <v>0.23200000000000001</v>
      </c>
      <c r="AE103" s="425">
        <v>0.23748125937031483</v>
      </c>
    </row>
    <row r="104" spans="1:31">
      <c r="A104" s="416" t="s">
        <v>54</v>
      </c>
      <c r="B104" s="417" t="s">
        <v>55</v>
      </c>
      <c r="C104" s="418">
        <v>5930</v>
      </c>
      <c r="D104" s="419">
        <v>5513</v>
      </c>
      <c r="E104" s="419">
        <v>6438</v>
      </c>
      <c r="F104" s="419">
        <v>7178</v>
      </c>
      <c r="G104" s="419">
        <v>6550</v>
      </c>
      <c r="H104" s="419">
        <v>5357</v>
      </c>
      <c r="I104" s="419">
        <v>5276</v>
      </c>
      <c r="J104" s="419">
        <v>6136</v>
      </c>
      <c r="K104" s="419">
        <v>6087</v>
      </c>
      <c r="L104" s="419">
        <v>5937</v>
      </c>
      <c r="M104" s="420">
        <v>6512</v>
      </c>
      <c r="N104" s="420">
        <v>7653</v>
      </c>
      <c r="O104" s="1056">
        <v>8034</v>
      </c>
      <c r="P104" s="1012">
        <v>7060</v>
      </c>
      <c r="R104" s="422">
        <v>0.10400000000000001</v>
      </c>
      <c r="S104" s="423">
        <v>9.7000000000000003E-2</v>
      </c>
      <c r="T104" s="423">
        <v>0.111</v>
      </c>
      <c r="U104" s="423">
        <v>0.124</v>
      </c>
      <c r="V104" s="423">
        <v>0.11199999999999999</v>
      </c>
      <c r="W104" s="423">
        <v>9.2999999999999999E-2</v>
      </c>
      <c r="X104" s="423">
        <v>9.2999999999999999E-2</v>
      </c>
      <c r="Y104" s="423">
        <v>0.109</v>
      </c>
      <c r="Z104" s="423">
        <v>0.10999999999999999</v>
      </c>
      <c r="AA104" s="423">
        <v>0.104</v>
      </c>
      <c r="AB104" s="424">
        <v>0.114</v>
      </c>
      <c r="AC104" s="424">
        <v>0.13500000000000001</v>
      </c>
      <c r="AD104" s="424">
        <v>0.14399999999999999</v>
      </c>
      <c r="AE104" s="425">
        <v>0.12580857850562219</v>
      </c>
    </row>
    <row r="105" spans="1:31">
      <c r="A105" s="416" t="s">
        <v>66</v>
      </c>
      <c r="B105" s="417" t="s">
        <v>67</v>
      </c>
      <c r="C105" s="418">
        <v>2860</v>
      </c>
      <c r="D105" s="419">
        <v>2683</v>
      </c>
      <c r="E105" s="419">
        <v>2994</v>
      </c>
      <c r="F105" s="419">
        <v>3217</v>
      </c>
      <c r="G105" s="419">
        <v>2948</v>
      </c>
      <c r="H105" s="419">
        <v>3628</v>
      </c>
      <c r="I105" s="419">
        <v>3560</v>
      </c>
      <c r="J105" s="419">
        <v>3593</v>
      </c>
      <c r="K105" s="419">
        <v>3075</v>
      </c>
      <c r="L105" s="419">
        <v>3443</v>
      </c>
      <c r="M105" s="420">
        <v>3778</v>
      </c>
      <c r="N105" s="420">
        <v>3791</v>
      </c>
      <c r="O105" s="1056">
        <v>3798</v>
      </c>
      <c r="P105" s="1012">
        <v>3643</v>
      </c>
      <c r="R105" s="422">
        <v>0.26300000000000001</v>
      </c>
      <c r="S105" s="423">
        <v>0.251</v>
      </c>
      <c r="T105" s="423">
        <v>0.27800000000000002</v>
      </c>
      <c r="U105" s="423">
        <v>0.307</v>
      </c>
      <c r="V105" s="423">
        <v>0.28100000000000003</v>
      </c>
      <c r="W105" s="423">
        <v>0.35100000000000003</v>
      </c>
      <c r="X105" s="423">
        <v>0.35700000000000004</v>
      </c>
      <c r="Y105" s="423">
        <v>0.37000000000000005</v>
      </c>
      <c r="Z105" s="423">
        <v>0.32400000000000001</v>
      </c>
      <c r="AA105" s="423">
        <v>0.37600000000000006</v>
      </c>
      <c r="AB105" s="424">
        <v>0.41700000000000004</v>
      </c>
      <c r="AC105" s="424">
        <v>0.41299999999999998</v>
      </c>
      <c r="AD105" s="424">
        <v>0.40600000000000003</v>
      </c>
      <c r="AE105" s="425">
        <v>0.39083789292994314</v>
      </c>
    </row>
    <row r="106" spans="1:31">
      <c r="A106" s="416" t="s">
        <v>82</v>
      </c>
      <c r="B106" s="417" t="s">
        <v>83</v>
      </c>
      <c r="C106" s="418">
        <v>569</v>
      </c>
      <c r="D106" s="419">
        <v>472</v>
      </c>
      <c r="E106" s="419">
        <v>542</v>
      </c>
      <c r="F106" s="419">
        <v>583</v>
      </c>
      <c r="G106" s="419">
        <v>517</v>
      </c>
      <c r="H106" s="419">
        <v>654</v>
      </c>
      <c r="I106" s="419">
        <v>586</v>
      </c>
      <c r="J106" s="419">
        <v>652</v>
      </c>
      <c r="K106" s="419">
        <v>621</v>
      </c>
      <c r="L106" s="419">
        <v>635</v>
      </c>
      <c r="M106" s="420">
        <v>671</v>
      </c>
      <c r="N106" s="420">
        <v>688</v>
      </c>
      <c r="O106" s="1056">
        <v>689</v>
      </c>
      <c r="P106" s="1012">
        <v>798</v>
      </c>
      <c r="R106" s="422">
        <v>0.27700000000000002</v>
      </c>
      <c r="S106" s="423">
        <v>0.23399999999999999</v>
      </c>
      <c r="T106" s="423">
        <v>0.26400000000000001</v>
      </c>
      <c r="U106" s="423">
        <v>0.27199999999999996</v>
      </c>
      <c r="V106" s="423">
        <v>0.23600000000000002</v>
      </c>
      <c r="W106" s="423">
        <v>0.30299999999999999</v>
      </c>
      <c r="X106" s="423">
        <v>0.26900000000000002</v>
      </c>
      <c r="Y106" s="423">
        <v>0.28999999999999998</v>
      </c>
      <c r="Z106" s="423">
        <v>0.28200000000000003</v>
      </c>
      <c r="AA106" s="423">
        <v>0.28600000000000003</v>
      </c>
      <c r="AB106" s="424">
        <v>0.33200000000000002</v>
      </c>
      <c r="AC106" s="424">
        <v>0.33700000000000002</v>
      </c>
      <c r="AD106" s="424">
        <v>0.33100000000000002</v>
      </c>
      <c r="AE106" s="425">
        <v>0.36555199267063676</v>
      </c>
    </row>
    <row r="107" spans="1:31">
      <c r="A107" s="416" t="s">
        <v>88</v>
      </c>
      <c r="B107" s="417" t="s">
        <v>89</v>
      </c>
      <c r="C107" s="418">
        <v>646</v>
      </c>
      <c r="D107" s="419">
        <v>583</v>
      </c>
      <c r="E107" s="419">
        <v>715</v>
      </c>
      <c r="F107" s="419">
        <v>830</v>
      </c>
      <c r="G107" s="419">
        <v>765</v>
      </c>
      <c r="H107" s="419">
        <v>871</v>
      </c>
      <c r="I107" s="419">
        <v>868</v>
      </c>
      <c r="J107" s="419">
        <v>911</v>
      </c>
      <c r="K107" s="419">
        <v>995</v>
      </c>
      <c r="L107" s="419">
        <v>1060</v>
      </c>
      <c r="M107" s="420">
        <v>1092</v>
      </c>
      <c r="N107" s="420">
        <v>1183</v>
      </c>
      <c r="O107" s="1056">
        <v>1181</v>
      </c>
      <c r="P107" s="1012">
        <v>1276</v>
      </c>
      <c r="R107" s="422">
        <v>0.17899999999999999</v>
      </c>
      <c r="S107" s="423">
        <v>0.156</v>
      </c>
      <c r="T107" s="423">
        <v>0.18</v>
      </c>
      <c r="U107" s="423">
        <v>0.19699999999999998</v>
      </c>
      <c r="V107" s="423">
        <v>0.18100000000000002</v>
      </c>
      <c r="W107" s="423">
        <v>0.20799999999999999</v>
      </c>
      <c r="X107" s="423">
        <v>0.20200000000000001</v>
      </c>
      <c r="Y107" s="423">
        <v>0.193</v>
      </c>
      <c r="Z107" s="423">
        <v>0.20300000000000001</v>
      </c>
      <c r="AA107" s="423">
        <v>0.23199999999999998</v>
      </c>
      <c r="AB107" s="424">
        <v>0.23399999999999999</v>
      </c>
      <c r="AC107" s="424">
        <v>0.22899999999999998</v>
      </c>
      <c r="AD107" s="424">
        <v>0.21199999999999999</v>
      </c>
      <c r="AE107" s="425">
        <v>0.23028334235697528</v>
      </c>
    </row>
    <row r="108" spans="1:31">
      <c r="A108" s="416" t="s">
        <v>90</v>
      </c>
      <c r="B108" s="417" t="s">
        <v>91</v>
      </c>
      <c r="C108" s="418">
        <v>412</v>
      </c>
      <c r="D108" s="419">
        <v>376</v>
      </c>
      <c r="E108" s="419">
        <v>408</v>
      </c>
      <c r="F108" s="419">
        <v>464</v>
      </c>
      <c r="G108" s="419">
        <v>390</v>
      </c>
      <c r="H108" s="419">
        <v>456</v>
      </c>
      <c r="I108" s="419">
        <v>459</v>
      </c>
      <c r="J108" s="419">
        <v>453</v>
      </c>
      <c r="K108" s="419">
        <v>502</v>
      </c>
      <c r="L108" s="419">
        <v>533</v>
      </c>
      <c r="M108" s="420">
        <v>541</v>
      </c>
      <c r="N108" s="420">
        <v>565</v>
      </c>
      <c r="O108" s="1056">
        <v>562</v>
      </c>
      <c r="P108" s="1012">
        <v>600</v>
      </c>
      <c r="R108" s="422">
        <v>0.26899999999999996</v>
      </c>
      <c r="S108" s="423">
        <v>0.24399999999999997</v>
      </c>
      <c r="T108" s="423">
        <v>0.26</v>
      </c>
      <c r="U108" s="423">
        <v>0.29600000000000004</v>
      </c>
      <c r="V108" s="423">
        <v>0.24899999999999997</v>
      </c>
      <c r="W108" s="423">
        <v>0.29499999999999998</v>
      </c>
      <c r="X108" s="423">
        <v>0.29799999999999999</v>
      </c>
      <c r="Y108" s="423">
        <v>0.29399999999999998</v>
      </c>
      <c r="Z108" s="423">
        <v>0.32400000000000001</v>
      </c>
      <c r="AA108" s="423">
        <v>0.34299999999999997</v>
      </c>
      <c r="AB108" s="424">
        <v>0.35899999999999999</v>
      </c>
      <c r="AC108" s="424">
        <v>0.373</v>
      </c>
      <c r="AD108" s="424">
        <v>0.36399999999999999</v>
      </c>
      <c r="AE108" s="425">
        <v>0.36742192284139619</v>
      </c>
    </row>
    <row r="109" spans="1:31">
      <c r="A109" s="416" t="s">
        <v>106</v>
      </c>
      <c r="B109" s="417" t="s">
        <v>107</v>
      </c>
      <c r="C109" s="418">
        <v>6095</v>
      </c>
      <c r="D109" s="419">
        <v>5622</v>
      </c>
      <c r="E109" s="419">
        <v>6355</v>
      </c>
      <c r="F109" s="419">
        <v>6489</v>
      </c>
      <c r="G109" s="419">
        <v>5995</v>
      </c>
      <c r="H109" s="419">
        <v>6926</v>
      </c>
      <c r="I109" s="419">
        <v>5650</v>
      </c>
      <c r="J109" s="419">
        <v>6578</v>
      </c>
      <c r="K109" s="419">
        <v>6452</v>
      </c>
      <c r="L109" s="419">
        <v>6526</v>
      </c>
      <c r="M109" s="420">
        <v>6225</v>
      </c>
      <c r="N109" s="420">
        <v>7163</v>
      </c>
      <c r="O109" s="1056">
        <v>7560</v>
      </c>
      <c r="P109" s="1012">
        <v>6544</v>
      </c>
      <c r="R109" s="422">
        <v>0.17500000000000002</v>
      </c>
      <c r="S109" s="423">
        <v>0.16300000000000001</v>
      </c>
      <c r="T109" s="423">
        <v>0.18</v>
      </c>
      <c r="U109" s="423">
        <v>0.18699999999999997</v>
      </c>
      <c r="V109" s="423">
        <v>0.17399999999999999</v>
      </c>
      <c r="W109" s="423">
        <v>0.20300000000000001</v>
      </c>
      <c r="X109" s="423">
        <v>0.16899999999999998</v>
      </c>
      <c r="Y109" s="423">
        <v>0.19800000000000001</v>
      </c>
      <c r="Z109" s="423">
        <v>0.19899999999999998</v>
      </c>
      <c r="AA109" s="423">
        <v>0.20699999999999999</v>
      </c>
      <c r="AB109" s="424">
        <v>0.20300000000000001</v>
      </c>
      <c r="AC109" s="424">
        <v>0.23699999999999999</v>
      </c>
      <c r="AD109" s="424">
        <v>0.253</v>
      </c>
      <c r="AE109" s="425">
        <v>0.22343621961212784</v>
      </c>
    </row>
    <row r="110" spans="1:31">
      <c r="A110" s="416" t="s">
        <v>116</v>
      </c>
      <c r="B110" s="417" t="s">
        <v>117</v>
      </c>
      <c r="C110" s="418">
        <v>1348</v>
      </c>
      <c r="D110" s="419">
        <v>1213</v>
      </c>
      <c r="E110" s="419">
        <v>1480</v>
      </c>
      <c r="F110" s="419">
        <v>1567</v>
      </c>
      <c r="G110" s="419">
        <v>1342</v>
      </c>
      <c r="H110" s="419">
        <v>1611</v>
      </c>
      <c r="I110" s="419">
        <v>1546</v>
      </c>
      <c r="J110" s="419">
        <v>1488</v>
      </c>
      <c r="K110" s="419">
        <v>1655</v>
      </c>
      <c r="L110" s="419">
        <v>1758</v>
      </c>
      <c r="M110" s="420">
        <v>1535</v>
      </c>
      <c r="N110" s="420">
        <v>1664</v>
      </c>
      <c r="O110" s="1056">
        <v>1647</v>
      </c>
      <c r="P110" s="1012">
        <v>1854</v>
      </c>
      <c r="R110" s="422">
        <v>0.22800000000000001</v>
      </c>
      <c r="S110" s="423">
        <v>0.20200000000000001</v>
      </c>
      <c r="T110" s="423">
        <v>0.24200000000000002</v>
      </c>
      <c r="U110" s="423">
        <v>0.26</v>
      </c>
      <c r="V110" s="423">
        <v>0.219</v>
      </c>
      <c r="W110" s="423">
        <v>0.26600000000000001</v>
      </c>
      <c r="X110" s="423">
        <v>0.26100000000000001</v>
      </c>
      <c r="Y110" s="423">
        <v>0.24500000000000002</v>
      </c>
      <c r="Z110" s="423">
        <v>0.27</v>
      </c>
      <c r="AA110" s="423">
        <v>0.29500000000000004</v>
      </c>
      <c r="AB110" s="424">
        <v>0.27499999999999997</v>
      </c>
      <c r="AC110" s="424">
        <v>0.30199999999999999</v>
      </c>
      <c r="AD110" s="424">
        <v>0.29799999999999999</v>
      </c>
      <c r="AE110" s="425">
        <v>0.34282544378698226</v>
      </c>
    </row>
    <row r="111" spans="1:31">
      <c r="A111" s="416" t="s">
        <v>138</v>
      </c>
      <c r="B111" s="417" t="s">
        <v>139</v>
      </c>
      <c r="C111" s="418">
        <v>2811</v>
      </c>
      <c r="D111" s="419">
        <v>2742</v>
      </c>
      <c r="E111" s="419">
        <v>3339</v>
      </c>
      <c r="F111" s="419">
        <v>3579</v>
      </c>
      <c r="G111" s="419">
        <v>3266</v>
      </c>
      <c r="H111" s="419">
        <v>3540</v>
      </c>
      <c r="I111" s="419">
        <v>3488</v>
      </c>
      <c r="J111" s="419">
        <v>4018</v>
      </c>
      <c r="K111" s="419">
        <v>3522</v>
      </c>
      <c r="L111" s="419">
        <v>3857</v>
      </c>
      <c r="M111" s="420">
        <v>4267</v>
      </c>
      <c r="N111" s="420">
        <v>3687</v>
      </c>
      <c r="O111" s="1056">
        <v>4341</v>
      </c>
      <c r="P111" s="1012">
        <v>4483</v>
      </c>
      <c r="R111" s="422">
        <v>0.2</v>
      </c>
      <c r="S111" s="423">
        <v>0.19699999999999998</v>
      </c>
      <c r="T111" s="423">
        <v>0.23500000000000001</v>
      </c>
      <c r="U111" s="423">
        <v>0.253</v>
      </c>
      <c r="V111" s="423">
        <v>0.23100000000000001</v>
      </c>
      <c r="W111" s="423">
        <v>0.25399999999999995</v>
      </c>
      <c r="X111" s="423">
        <v>0.252</v>
      </c>
      <c r="Y111" s="423">
        <v>0.27699999999999997</v>
      </c>
      <c r="Z111" s="423">
        <v>0.24</v>
      </c>
      <c r="AA111" s="423">
        <v>0.26600000000000001</v>
      </c>
      <c r="AB111" s="424">
        <v>0.29599999999999999</v>
      </c>
      <c r="AC111" s="424">
        <v>0.252</v>
      </c>
      <c r="AD111" s="424">
        <v>0.29299999999999998</v>
      </c>
      <c r="AE111" s="425">
        <v>0.29990634198554988</v>
      </c>
    </row>
    <row r="112" spans="1:31">
      <c r="A112" s="416" t="s">
        <v>142</v>
      </c>
      <c r="B112" s="417" t="s">
        <v>143</v>
      </c>
      <c r="C112" s="418">
        <v>862</v>
      </c>
      <c r="D112" s="419">
        <v>803</v>
      </c>
      <c r="E112" s="419">
        <v>919</v>
      </c>
      <c r="F112" s="419">
        <v>1055</v>
      </c>
      <c r="G112" s="419">
        <v>1038</v>
      </c>
      <c r="H112" s="419">
        <v>1017</v>
      </c>
      <c r="I112" s="419">
        <v>1022</v>
      </c>
      <c r="J112" s="419">
        <v>1324</v>
      </c>
      <c r="K112" s="419">
        <v>1308</v>
      </c>
      <c r="L112" s="419">
        <v>1504</v>
      </c>
      <c r="M112" s="420">
        <v>1888</v>
      </c>
      <c r="N112" s="420">
        <v>1790</v>
      </c>
      <c r="O112" s="1056">
        <v>1882</v>
      </c>
      <c r="P112" s="1012">
        <v>1850</v>
      </c>
      <c r="R112" s="422">
        <v>8.1000000000000003E-2</v>
      </c>
      <c r="S112" s="423">
        <v>7.5000000000000011E-2</v>
      </c>
      <c r="T112" s="423">
        <v>8.3999999999999991E-2</v>
      </c>
      <c r="U112" s="423">
        <v>9.5000000000000001E-2</v>
      </c>
      <c r="V112" s="423">
        <v>9.3000000000000013E-2</v>
      </c>
      <c r="W112" s="423">
        <v>9.1999999999999985E-2</v>
      </c>
      <c r="X112" s="423">
        <v>9.8000000000000004E-2</v>
      </c>
      <c r="Y112" s="423">
        <v>0.13099999999999998</v>
      </c>
      <c r="Z112" s="423">
        <v>0.13100000000000001</v>
      </c>
      <c r="AA112" s="423">
        <v>0.14599999999999999</v>
      </c>
      <c r="AB112" s="424">
        <v>0.17899999999999999</v>
      </c>
      <c r="AC112" s="424">
        <v>0.16699999999999998</v>
      </c>
      <c r="AD112" s="424">
        <v>0.17299999999999999</v>
      </c>
      <c r="AE112" s="425">
        <v>0.167420814479638</v>
      </c>
    </row>
    <row r="113" spans="1:31">
      <c r="A113" s="416" t="s">
        <v>144</v>
      </c>
      <c r="B113" s="417" t="s">
        <v>145</v>
      </c>
      <c r="C113" s="418">
        <v>275</v>
      </c>
      <c r="D113" s="419">
        <v>250</v>
      </c>
      <c r="E113" s="419">
        <v>293</v>
      </c>
      <c r="F113" s="419">
        <v>339</v>
      </c>
      <c r="G113" s="419">
        <v>286</v>
      </c>
      <c r="H113" s="419">
        <v>319</v>
      </c>
      <c r="I113" s="419">
        <v>349</v>
      </c>
      <c r="J113" s="419">
        <v>363</v>
      </c>
      <c r="K113" s="419">
        <v>409</v>
      </c>
      <c r="L113" s="419">
        <v>452</v>
      </c>
      <c r="M113" s="420">
        <v>546</v>
      </c>
      <c r="N113" s="420">
        <v>615</v>
      </c>
      <c r="O113" s="1056">
        <v>618</v>
      </c>
      <c r="P113" s="1012">
        <v>588</v>
      </c>
      <c r="R113" s="422">
        <v>8.3000000000000004E-2</v>
      </c>
      <c r="S113" s="423">
        <v>7.2999999999999995E-2</v>
      </c>
      <c r="T113" s="423">
        <v>8.4000000000000005E-2</v>
      </c>
      <c r="U113" s="423">
        <v>9.1999999999999998E-2</v>
      </c>
      <c r="V113" s="423">
        <v>7.6999999999999999E-2</v>
      </c>
      <c r="W113" s="423">
        <v>8.6999999999999994E-2</v>
      </c>
      <c r="X113" s="423">
        <v>9.2999999999999999E-2</v>
      </c>
      <c r="Y113" s="423">
        <v>0.1</v>
      </c>
      <c r="Z113" s="423">
        <v>0.113</v>
      </c>
      <c r="AA113" s="423">
        <v>0.126</v>
      </c>
      <c r="AB113" s="424">
        <v>0.13599999999999998</v>
      </c>
      <c r="AC113" s="424">
        <v>0.14199999999999999</v>
      </c>
      <c r="AD113" s="424">
        <v>0.14199999999999999</v>
      </c>
      <c r="AE113" s="425">
        <v>0.13747954173486088</v>
      </c>
    </row>
    <row r="114" spans="1:31">
      <c r="A114" s="416" t="s">
        <v>158</v>
      </c>
      <c r="B114" s="417" t="s">
        <v>159</v>
      </c>
      <c r="C114" s="418">
        <v>9366</v>
      </c>
      <c r="D114" s="419">
        <v>8608</v>
      </c>
      <c r="E114" s="419">
        <v>10012</v>
      </c>
      <c r="F114" s="419">
        <v>10363</v>
      </c>
      <c r="G114" s="419">
        <v>9610</v>
      </c>
      <c r="H114" s="419">
        <v>10934</v>
      </c>
      <c r="I114" s="419">
        <v>9486</v>
      </c>
      <c r="J114" s="419">
        <v>10346</v>
      </c>
      <c r="K114" s="419">
        <v>9552</v>
      </c>
      <c r="L114" s="419">
        <v>9976</v>
      </c>
      <c r="M114" s="420">
        <v>10038</v>
      </c>
      <c r="N114" s="420">
        <v>9700</v>
      </c>
      <c r="O114" s="1056">
        <v>10744</v>
      </c>
      <c r="P114" s="1012">
        <v>11435</v>
      </c>
      <c r="R114" s="422">
        <v>0.188</v>
      </c>
      <c r="S114" s="423">
        <v>0.17100000000000001</v>
      </c>
      <c r="T114" s="423">
        <v>0.192</v>
      </c>
      <c r="U114" s="423">
        <v>0.19899999999999998</v>
      </c>
      <c r="V114" s="423">
        <v>0.18399999999999997</v>
      </c>
      <c r="W114" s="423">
        <v>0.21199999999999999</v>
      </c>
      <c r="X114" s="423">
        <v>0.189</v>
      </c>
      <c r="Y114" s="423">
        <v>0.20799999999999999</v>
      </c>
      <c r="Z114" s="423">
        <v>0.19399999999999998</v>
      </c>
      <c r="AA114" s="423">
        <v>0.20600000000000002</v>
      </c>
      <c r="AB114" s="424">
        <v>0.23300000000000001</v>
      </c>
      <c r="AC114" s="424">
        <v>0.22699999999999998</v>
      </c>
      <c r="AD114" s="424">
        <v>0.253</v>
      </c>
      <c r="AE114" s="425">
        <v>0.27058684335068622</v>
      </c>
    </row>
    <row r="115" spans="1:31">
      <c r="A115" s="416" t="s">
        <v>160</v>
      </c>
      <c r="B115" s="417" t="s">
        <v>161</v>
      </c>
      <c r="C115" s="418">
        <v>14823</v>
      </c>
      <c r="D115" s="419">
        <v>13868</v>
      </c>
      <c r="E115" s="419">
        <v>15592</v>
      </c>
      <c r="F115" s="419">
        <v>16014</v>
      </c>
      <c r="G115" s="419">
        <v>14146</v>
      </c>
      <c r="H115" s="419">
        <v>16042</v>
      </c>
      <c r="I115" s="419">
        <v>13864</v>
      </c>
      <c r="J115" s="419">
        <v>14375</v>
      </c>
      <c r="K115" s="419">
        <v>16416</v>
      </c>
      <c r="L115" s="419">
        <v>14190</v>
      </c>
      <c r="M115" s="420">
        <v>12663</v>
      </c>
      <c r="N115" s="420">
        <v>13951</v>
      </c>
      <c r="O115" s="1056">
        <v>13799</v>
      </c>
      <c r="P115" s="1012">
        <v>16150</v>
      </c>
      <c r="R115" s="422">
        <v>0.26399999999999996</v>
      </c>
      <c r="S115" s="423">
        <v>0.24100000000000002</v>
      </c>
      <c r="T115" s="423">
        <v>0.26200000000000001</v>
      </c>
      <c r="U115" s="423">
        <v>0.27100000000000002</v>
      </c>
      <c r="V115" s="423">
        <v>0.24000000000000002</v>
      </c>
      <c r="W115" s="423">
        <v>0.27499999999999997</v>
      </c>
      <c r="X115" s="423">
        <v>0.24000000000000002</v>
      </c>
      <c r="Y115" s="423">
        <v>0.24299999999999999</v>
      </c>
      <c r="Z115" s="423">
        <v>0.27899999999999997</v>
      </c>
      <c r="AA115" s="423">
        <v>0.26700000000000002</v>
      </c>
      <c r="AB115" s="424">
        <v>0.255</v>
      </c>
      <c r="AC115" s="424">
        <v>0.28000000000000003</v>
      </c>
      <c r="AD115" s="424">
        <v>0.27600000000000002</v>
      </c>
      <c r="AE115" s="425">
        <v>0.33011058193487725</v>
      </c>
    </row>
    <row r="116" spans="1:31">
      <c r="A116" s="416" t="s">
        <v>166</v>
      </c>
      <c r="B116" s="417" t="s">
        <v>167</v>
      </c>
      <c r="C116" s="418">
        <v>231</v>
      </c>
      <c r="D116" s="419">
        <v>219</v>
      </c>
      <c r="E116" s="419">
        <v>210</v>
      </c>
      <c r="F116" s="419">
        <v>221</v>
      </c>
      <c r="G116" s="419">
        <v>207</v>
      </c>
      <c r="H116" s="419">
        <v>252</v>
      </c>
      <c r="I116" s="419">
        <v>211</v>
      </c>
      <c r="J116" s="419">
        <v>227</v>
      </c>
      <c r="K116" s="419">
        <v>237</v>
      </c>
      <c r="L116" s="419">
        <v>232</v>
      </c>
      <c r="M116" s="420">
        <v>268</v>
      </c>
      <c r="N116" s="420">
        <v>279</v>
      </c>
      <c r="O116" s="1056">
        <v>259</v>
      </c>
      <c r="P116" s="1012">
        <v>315</v>
      </c>
      <c r="R116" s="422">
        <v>0.27100000000000002</v>
      </c>
      <c r="S116" s="423">
        <v>0.25900000000000001</v>
      </c>
      <c r="T116" s="423">
        <v>0.254</v>
      </c>
      <c r="U116" s="423">
        <v>0.28899999999999998</v>
      </c>
      <c r="V116" s="423">
        <v>0.26499999999999996</v>
      </c>
      <c r="W116" s="423">
        <v>0.32600000000000001</v>
      </c>
      <c r="X116" s="423">
        <v>0.28999999999999998</v>
      </c>
      <c r="Y116" s="423">
        <v>0.31</v>
      </c>
      <c r="Z116" s="423">
        <v>0.32200000000000001</v>
      </c>
      <c r="AA116" s="423">
        <v>0.314</v>
      </c>
      <c r="AB116" s="424">
        <v>0.316</v>
      </c>
      <c r="AC116" s="424">
        <v>0.32100000000000001</v>
      </c>
      <c r="AD116" s="424">
        <v>0.312</v>
      </c>
      <c r="AE116" s="425">
        <v>0.36500579374275782</v>
      </c>
    </row>
    <row r="117" spans="1:31">
      <c r="A117" s="416" t="s">
        <v>176</v>
      </c>
      <c r="B117" s="417" t="s">
        <v>177</v>
      </c>
      <c r="C117" s="418">
        <v>2149</v>
      </c>
      <c r="D117" s="419">
        <v>2018</v>
      </c>
      <c r="E117" s="419">
        <v>2272</v>
      </c>
      <c r="F117" s="419">
        <v>2337</v>
      </c>
      <c r="G117" s="419">
        <v>2112</v>
      </c>
      <c r="H117" s="419">
        <v>2519</v>
      </c>
      <c r="I117" s="419">
        <v>2266</v>
      </c>
      <c r="J117" s="419">
        <v>2293</v>
      </c>
      <c r="K117" s="419">
        <v>2473</v>
      </c>
      <c r="L117" s="419">
        <v>2646</v>
      </c>
      <c r="M117" s="420">
        <v>2694</v>
      </c>
      <c r="N117" s="420">
        <v>2540</v>
      </c>
      <c r="O117" s="1056">
        <v>2615</v>
      </c>
      <c r="P117" s="1012">
        <v>3179</v>
      </c>
      <c r="R117" s="422">
        <v>0.26600000000000001</v>
      </c>
      <c r="S117" s="423">
        <v>0.247</v>
      </c>
      <c r="T117" s="423">
        <v>0.27100000000000002</v>
      </c>
      <c r="U117" s="423">
        <v>0.28299999999999997</v>
      </c>
      <c r="V117" s="423">
        <v>0.255</v>
      </c>
      <c r="W117" s="423">
        <v>0.308</v>
      </c>
      <c r="X117" s="423">
        <v>0.28499999999999998</v>
      </c>
      <c r="Y117" s="423">
        <v>0.28299999999999997</v>
      </c>
      <c r="Z117" s="423">
        <v>0.307</v>
      </c>
      <c r="AA117" s="423">
        <v>0.34200000000000003</v>
      </c>
      <c r="AB117" s="424">
        <v>0.41400000000000003</v>
      </c>
      <c r="AC117" s="424">
        <v>0.377</v>
      </c>
      <c r="AD117" s="424">
        <v>0.38200000000000001</v>
      </c>
      <c r="AE117" s="425">
        <v>0.46943295924394568</v>
      </c>
    </row>
    <row r="118" spans="1:31">
      <c r="A118" s="416" t="s">
        <v>180</v>
      </c>
      <c r="B118" s="417" t="s">
        <v>181</v>
      </c>
      <c r="C118" s="418">
        <v>5804</v>
      </c>
      <c r="D118" s="419">
        <v>5510</v>
      </c>
      <c r="E118" s="419">
        <v>6185</v>
      </c>
      <c r="F118" s="419">
        <v>6463</v>
      </c>
      <c r="G118" s="419">
        <v>5669</v>
      </c>
      <c r="H118" s="419">
        <v>7067</v>
      </c>
      <c r="I118" s="419">
        <v>6160</v>
      </c>
      <c r="J118" s="419">
        <v>6087</v>
      </c>
      <c r="K118" s="419">
        <v>7321</v>
      </c>
      <c r="L118" s="419">
        <v>5829</v>
      </c>
      <c r="M118" s="420">
        <v>6280</v>
      </c>
      <c r="N118" s="420">
        <v>6231</v>
      </c>
      <c r="O118" s="1056">
        <v>6818</v>
      </c>
      <c r="P118" s="1012">
        <v>7318</v>
      </c>
      <c r="R118" s="422">
        <v>0.23300000000000001</v>
      </c>
      <c r="S118" s="423">
        <v>0.21899999999999997</v>
      </c>
      <c r="T118" s="423">
        <v>0.24100000000000002</v>
      </c>
      <c r="U118" s="423">
        <v>0.251</v>
      </c>
      <c r="V118" s="423">
        <v>0.21600000000000003</v>
      </c>
      <c r="W118" s="423">
        <v>0.27299999999999996</v>
      </c>
      <c r="X118" s="423">
        <v>0.23800000000000002</v>
      </c>
      <c r="Y118" s="423">
        <v>0.23500000000000001</v>
      </c>
      <c r="Z118" s="423">
        <v>0.28800000000000003</v>
      </c>
      <c r="AA118" s="423">
        <v>0.25100000000000006</v>
      </c>
      <c r="AB118" s="424">
        <v>0.28500000000000003</v>
      </c>
      <c r="AC118" s="424">
        <v>0.28100000000000003</v>
      </c>
      <c r="AD118" s="424">
        <v>0.30399999999999999</v>
      </c>
      <c r="AE118" s="425">
        <v>0.33206280061711591</v>
      </c>
    </row>
    <row r="119" spans="1:31">
      <c r="A119" s="416" t="s">
        <v>192</v>
      </c>
      <c r="B119" s="417" t="s">
        <v>193</v>
      </c>
      <c r="C119" s="418">
        <v>255</v>
      </c>
      <c r="D119" s="419">
        <v>236</v>
      </c>
      <c r="E119" s="419">
        <v>285</v>
      </c>
      <c r="F119" s="419">
        <v>291</v>
      </c>
      <c r="G119" s="419">
        <v>237</v>
      </c>
      <c r="H119" s="419">
        <v>245</v>
      </c>
      <c r="I119" s="419">
        <v>267</v>
      </c>
      <c r="J119" s="419">
        <v>323</v>
      </c>
      <c r="K119" s="419">
        <v>331</v>
      </c>
      <c r="L119" s="419">
        <v>346</v>
      </c>
      <c r="M119" s="420">
        <v>408</v>
      </c>
      <c r="N119" s="420">
        <v>391</v>
      </c>
      <c r="O119" s="1056">
        <v>489</v>
      </c>
      <c r="P119" s="1012">
        <v>455</v>
      </c>
      <c r="R119" s="422">
        <v>0.13100000000000001</v>
      </c>
      <c r="S119" s="423">
        <v>0.126</v>
      </c>
      <c r="T119" s="423">
        <v>0.158</v>
      </c>
      <c r="U119" s="423">
        <v>0.16</v>
      </c>
      <c r="V119" s="423">
        <v>0.14800000000000002</v>
      </c>
      <c r="W119" s="423">
        <v>0.155</v>
      </c>
      <c r="X119" s="423">
        <v>0.16300000000000001</v>
      </c>
      <c r="Y119" s="423">
        <v>0.16699999999999998</v>
      </c>
      <c r="Z119" s="423">
        <v>0.16600000000000001</v>
      </c>
      <c r="AA119" s="423">
        <v>0.183</v>
      </c>
      <c r="AB119" s="424">
        <v>0.193</v>
      </c>
      <c r="AC119" s="424">
        <v>0.19399999999999998</v>
      </c>
      <c r="AD119" s="424">
        <v>0.20100000000000001</v>
      </c>
      <c r="AE119" s="425">
        <v>0.20504731861198738</v>
      </c>
    </row>
    <row r="120" spans="1:31">
      <c r="A120" s="416" t="s">
        <v>196</v>
      </c>
      <c r="B120" s="417" t="s">
        <v>197</v>
      </c>
      <c r="C120" s="418">
        <v>11931</v>
      </c>
      <c r="D120" s="419">
        <v>10957</v>
      </c>
      <c r="E120" s="419">
        <v>12863</v>
      </c>
      <c r="F120" s="419">
        <v>13332</v>
      </c>
      <c r="G120" s="419">
        <v>12062</v>
      </c>
      <c r="H120" s="419">
        <v>12857</v>
      </c>
      <c r="I120" s="419">
        <v>12459</v>
      </c>
      <c r="J120" s="419">
        <v>14145</v>
      </c>
      <c r="K120" s="419">
        <v>15714</v>
      </c>
      <c r="L120" s="419">
        <v>13912</v>
      </c>
      <c r="M120" s="420">
        <v>13051</v>
      </c>
      <c r="N120" s="420">
        <v>14013</v>
      </c>
      <c r="O120" s="1056">
        <v>14574</v>
      </c>
      <c r="P120" s="1012">
        <v>14649</v>
      </c>
      <c r="R120" s="422">
        <v>0.28200000000000003</v>
      </c>
      <c r="S120" s="423">
        <v>0.25700000000000001</v>
      </c>
      <c r="T120" s="423">
        <v>0.29499999999999998</v>
      </c>
      <c r="U120" s="423">
        <v>0.30599999999999999</v>
      </c>
      <c r="V120" s="423">
        <v>0.27499999999999997</v>
      </c>
      <c r="W120" s="423">
        <v>0.29700000000000004</v>
      </c>
      <c r="X120" s="423">
        <v>0.29300000000000004</v>
      </c>
      <c r="Y120" s="423">
        <v>0.32299999999999995</v>
      </c>
      <c r="Z120" s="423">
        <v>0.35600000000000004</v>
      </c>
      <c r="AA120" s="423">
        <v>0.34700000000000003</v>
      </c>
      <c r="AB120" s="424">
        <v>0.35000000000000003</v>
      </c>
      <c r="AC120" s="424">
        <v>0.36200000000000004</v>
      </c>
      <c r="AD120" s="424">
        <v>0.36499999999999999</v>
      </c>
      <c r="AE120" s="425">
        <v>0.37791192632149212</v>
      </c>
    </row>
    <row r="121" spans="1:31">
      <c r="A121" s="416" t="s">
        <v>200</v>
      </c>
      <c r="B121" s="417" t="s">
        <v>201</v>
      </c>
      <c r="C121" s="418">
        <v>5094</v>
      </c>
      <c r="D121" s="419">
        <v>4846</v>
      </c>
      <c r="E121" s="419">
        <v>5503</v>
      </c>
      <c r="F121" s="419">
        <v>5900</v>
      </c>
      <c r="G121" s="419">
        <v>5325</v>
      </c>
      <c r="H121" s="419">
        <v>5575</v>
      </c>
      <c r="I121" s="419">
        <v>4915</v>
      </c>
      <c r="J121" s="419">
        <v>5669</v>
      </c>
      <c r="K121" s="419">
        <v>5608</v>
      </c>
      <c r="L121" s="419">
        <v>5862</v>
      </c>
      <c r="M121" s="420">
        <v>6981</v>
      </c>
      <c r="N121" s="420">
        <v>6126</v>
      </c>
      <c r="O121" s="1056">
        <v>6335</v>
      </c>
      <c r="P121" s="1012">
        <v>7719</v>
      </c>
      <c r="R121" s="422">
        <v>0.23899999999999999</v>
      </c>
      <c r="S121" s="423">
        <v>0.22699999999999998</v>
      </c>
      <c r="T121" s="423">
        <v>0.255</v>
      </c>
      <c r="U121" s="423">
        <v>0.27600000000000002</v>
      </c>
      <c r="V121" s="423">
        <v>0.24300000000000002</v>
      </c>
      <c r="W121" s="423">
        <v>0.25700000000000001</v>
      </c>
      <c r="X121" s="423">
        <v>0.24199999999999999</v>
      </c>
      <c r="Y121" s="423">
        <v>0.27600000000000002</v>
      </c>
      <c r="Z121" s="423">
        <v>0.27300000000000002</v>
      </c>
      <c r="AA121" s="423">
        <v>0.3</v>
      </c>
      <c r="AB121" s="424">
        <v>0.33899999999999997</v>
      </c>
      <c r="AC121" s="424">
        <v>0.29600000000000004</v>
      </c>
      <c r="AD121" s="424">
        <v>0.30299999999999999</v>
      </c>
      <c r="AE121" s="425">
        <v>0.36543104672631727</v>
      </c>
    </row>
    <row r="122" spans="1:31">
      <c r="A122" s="416" t="s">
        <v>222</v>
      </c>
      <c r="B122" s="417" t="s">
        <v>223</v>
      </c>
      <c r="C122" s="418">
        <v>2997</v>
      </c>
      <c r="D122" s="419">
        <v>2660</v>
      </c>
      <c r="E122" s="419">
        <v>3031</v>
      </c>
      <c r="F122" s="419">
        <v>3412</v>
      </c>
      <c r="G122" s="419">
        <v>3136</v>
      </c>
      <c r="H122" s="419">
        <v>3335</v>
      </c>
      <c r="I122" s="419">
        <v>3012</v>
      </c>
      <c r="J122" s="419">
        <v>3249</v>
      </c>
      <c r="K122" s="419">
        <v>3100</v>
      </c>
      <c r="L122" s="419">
        <v>3779</v>
      </c>
      <c r="M122" s="420">
        <v>3764</v>
      </c>
      <c r="N122" s="420">
        <v>3897</v>
      </c>
      <c r="O122" s="1056">
        <v>3872</v>
      </c>
      <c r="P122" s="1012">
        <v>3689</v>
      </c>
      <c r="R122" s="422">
        <v>0.16500000000000001</v>
      </c>
      <c r="S122" s="423">
        <v>0.14200000000000002</v>
      </c>
      <c r="T122" s="423">
        <v>0.15400000000000003</v>
      </c>
      <c r="U122" s="423">
        <v>0.16800000000000001</v>
      </c>
      <c r="V122" s="423">
        <v>0.151</v>
      </c>
      <c r="W122" s="423">
        <v>0.16300000000000001</v>
      </c>
      <c r="X122" s="423">
        <v>0.14599999999999999</v>
      </c>
      <c r="Y122" s="423">
        <v>0.151</v>
      </c>
      <c r="Z122" s="423">
        <v>0.14499999999999999</v>
      </c>
      <c r="AA122" s="423">
        <v>0.17799999999999999</v>
      </c>
      <c r="AB122" s="424">
        <v>0.17200000000000001</v>
      </c>
      <c r="AC122" s="424">
        <v>0.18100000000000002</v>
      </c>
      <c r="AD122" s="424">
        <v>0.182</v>
      </c>
      <c r="AE122" s="425">
        <v>0.17326569912169462</v>
      </c>
    </row>
    <row r="123" spans="1:31">
      <c r="A123" s="416" t="s">
        <v>230</v>
      </c>
      <c r="B123" s="417" t="s">
        <v>231</v>
      </c>
      <c r="C123" s="418">
        <v>11838</v>
      </c>
      <c r="D123" s="419">
        <v>10658</v>
      </c>
      <c r="E123" s="419">
        <v>11881</v>
      </c>
      <c r="F123" s="419">
        <v>12534</v>
      </c>
      <c r="G123" s="419">
        <v>11858</v>
      </c>
      <c r="H123" s="419">
        <v>12423</v>
      </c>
      <c r="I123" s="419">
        <v>10822</v>
      </c>
      <c r="J123" s="419">
        <v>10830</v>
      </c>
      <c r="K123" s="419">
        <v>11069</v>
      </c>
      <c r="L123" s="419">
        <v>10958</v>
      </c>
      <c r="M123" s="420">
        <v>11472</v>
      </c>
      <c r="N123" s="420">
        <v>13019</v>
      </c>
      <c r="O123" s="1056">
        <v>14601</v>
      </c>
      <c r="P123" s="1012">
        <v>13510</v>
      </c>
      <c r="R123" s="422">
        <v>0.10099999999999999</v>
      </c>
      <c r="S123" s="423">
        <v>9.0999999999999998E-2</v>
      </c>
      <c r="T123" s="423">
        <v>0.1</v>
      </c>
      <c r="U123" s="423">
        <v>0.106</v>
      </c>
      <c r="V123" s="423">
        <v>0.10099999999999999</v>
      </c>
      <c r="W123" s="423">
        <v>0.10800000000000001</v>
      </c>
      <c r="X123" s="423">
        <v>9.6000000000000002E-2</v>
      </c>
      <c r="Y123" s="423">
        <v>9.9000000000000005E-2</v>
      </c>
      <c r="Z123" s="423">
        <v>0.10300000000000001</v>
      </c>
      <c r="AA123" s="423">
        <v>0.10400000000000001</v>
      </c>
      <c r="AB123" s="424">
        <v>0.11</v>
      </c>
      <c r="AC123" s="424">
        <v>0.126</v>
      </c>
      <c r="AD123" s="424">
        <v>0.14299999999999999</v>
      </c>
      <c r="AE123" s="425">
        <v>0.13225130685044148</v>
      </c>
    </row>
    <row r="124" spans="1:31">
      <c r="A124" s="416" t="s">
        <v>238</v>
      </c>
      <c r="B124" s="417" t="s">
        <v>239</v>
      </c>
      <c r="C124" s="418">
        <v>229</v>
      </c>
      <c r="D124" s="419">
        <v>210</v>
      </c>
      <c r="E124" s="419">
        <v>208</v>
      </c>
      <c r="F124" s="419">
        <v>229</v>
      </c>
      <c r="G124" s="419">
        <v>241</v>
      </c>
      <c r="H124" s="419">
        <v>322</v>
      </c>
      <c r="I124" s="419">
        <v>263</v>
      </c>
      <c r="J124" s="419">
        <v>324</v>
      </c>
      <c r="K124" s="419">
        <v>372</v>
      </c>
      <c r="L124" s="419">
        <v>400</v>
      </c>
      <c r="M124" s="420">
        <v>319</v>
      </c>
      <c r="N124" s="420">
        <v>350</v>
      </c>
      <c r="O124" s="1056">
        <v>411</v>
      </c>
      <c r="P124" s="1012">
        <v>408</v>
      </c>
      <c r="R124" s="422">
        <v>0.21199999999999999</v>
      </c>
      <c r="S124" s="423">
        <v>0.20199999999999999</v>
      </c>
      <c r="T124" s="423">
        <v>0.19699999999999998</v>
      </c>
      <c r="U124" s="423">
        <v>0.19800000000000001</v>
      </c>
      <c r="V124" s="423">
        <v>0.182</v>
      </c>
      <c r="W124" s="423">
        <v>0.24500000000000002</v>
      </c>
      <c r="X124" s="423">
        <v>0.19500000000000001</v>
      </c>
      <c r="Y124" s="423">
        <v>0.20499999999999999</v>
      </c>
      <c r="Z124" s="423">
        <v>0.222</v>
      </c>
      <c r="AA124" s="423">
        <v>0.224</v>
      </c>
      <c r="AB124" s="424">
        <v>0.22700000000000001</v>
      </c>
      <c r="AC124" s="424">
        <v>0.23399999999999999</v>
      </c>
      <c r="AD124" s="424">
        <v>0.23499999999999999</v>
      </c>
      <c r="AE124" s="425">
        <v>0.25660377358490566</v>
      </c>
    </row>
    <row r="125" spans="1:31">
      <c r="A125" s="416" t="s">
        <v>240</v>
      </c>
      <c r="B125" s="417" t="s">
        <v>241</v>
      </c>
      <c r="C125" s="418">
        <v>850</v>
      </c>
      <c r="D125" s="419">
        <v>806</v>
      </c>
      <c r="E125" s="419">
        <v>887</v>
      </c>
      <c r="F125" s="419">
        <v>948</v>
      </c>
      <c r="G125" s="419">
        <v>847</v>
      </c>
      <c r="H125" s="419">
        <v>963</v>
      </c>
      <c r="I125" s="419">
        <v>921</v>
      </c>
      <c r="J125" s="419">
        <v>938</v>
      </c>
      <c r="K125" s="419">
        <v>1032</v>
      </c>
      <c r="L125" s="419">
        <v>1262</v>
      </c>
      <c r="M125" s="420">
        <v>1403</v>
      </c>
      <c r="N125" s="420">
        <v>1384</v>
      </c>
      <c r="O125" s="1056">
        <v>1343</v>
      </c>
      <c r="P125" s="1012">
        <v>1454</v>
      </c>
      <c r="R125" s="422">
        <v>0.16600000000000001</v>
      </c>
      <c r="S125" s="423">
        <v>0.15400000000000003</v>
      </c>
      <c r="T125" s="423">
        <v>0.16399999999999998</v>
      </c>
      <c r="U125" s="423">
        <v>0.17300000000000001</v>
      </c>
      <c r="V125" s="423">
        <v>0.15</v>
      </c>
      <c r="W125" s="423">
        <v>0.17300000000000001</v>
      </c>
      <c r="X125" s="423">
        <v>0.16800000000000001</v>
      </c>
      <c r="Y125" s="423">
        <v>0.16600000000000001</v>
      </c>
      <c r="Z125" s="423">
        <v>0.18100000000000002</v>
      </c>
      <c r="AA125" s="423">
        <v>0.222</v>
      </c>
      <c r="AB125" s="424">
        <v>0.247</v>
      </c>
      <c r="AC125" s="424">
        <v>0.23600000000000002</v>
      </c>
      <c r="AD125" s="424">
        <v>0.22500000000000001</v>
      </c>
      <c r="AE125" s="425">
        <v>0.23867367038739332</v>
      </c>
    </row>
    <row r="126" spans="1:31">
      <c r="A126" s="426"/>
      <c r="B126" s="426"/>
      <c r="C126" s="418"/>
      <c r="D126" s="419"/>
      <c r="E126" s="419"/>
      <c r="F126" s="419"/>
      <c r="G126" s="419"/>
      <c r="H126" s="419"/>
      <c r="I126" s="419"/>
      <c r="J126" s="419"/>
      <c r="K126" s="419"/>
      <c r="L126" s="419"/>
      <c r="M126" s="420"/>
      <c r="N126" s="420"/>
      <c r="O126" s="421"/>
      <c r="P126" s="1532"/>
      <c r="R126" s="422"/>
      <c r="S126" s="423"/>
      <c r="T126" s="423"/>
      <c r="U126" s="423"/>
      <c r="V126" s="423"/>
      <c r="W126" s="423"/>
      <c r="X126" s="423"/>
      <c r="Y126" s="423"/>
      <c r="Z126" s="423"/>
      <c r="AA126" s="423"/>
      <c r="AB126" s="424"/>
      <c r="AC126" s="424"/>
      <c r="AD126" s="425"/>
      <c r="AE126" s="1535"/>
    </row>
    <row r="127" spans="1:31">
      <c r="A127" s="427" t="s">
        <v>745</v>
      </c>
      <c r="B127" s="426"/>
      <c r="C127" s="418"/>
      <c r="D127" s="419"/>
      <c r="E127" s="419"/>
      <c r="F127" s="419"/>
      <c r="G127" s="419"/>
      <c r="H127" s="419"/>
      <c r="I127" s="419"/>
      <c r="J127" s="419"/>
      <c r="K127" s="419"/>
      <c r="L127" s="419"/>
      <c r="M127" s="420"/>
      <c r="N127" s="420"/>
      <c r="O127" s="421"/>
      <c r="P127" s="1532"/>
      <c r="R127" s="422"/>
      <c r="S127" s="423"/>
      <c r="T127" s="423"/>
      <c r="U127" s="423"/>
      <c r="V127" s="423"/>
      <c r="W127" s="423"/>
      <c r="X127" s="423"/>
      <c r="Y127" s="423"/>
      <c r="Z127" s="423"/>
      <c r="AA127" s="423"/>
      <c r="AB127" s="424"/>
      <c r="AC127" s="424"/>
      <c r="AD127" s="425"/>
      <c r="AE127" s="1535"/>
    </row>
    <row r="128" spans="1:31">
      <c r="A128" s="656" t="s">
        <v>266</v>
      </c>
      <c r="B128" s="657"/>
      <c r="C128" s="431">
        <v>36457</v>
      </c>
      <c r="D128" s="432">
        <v>33372</v>
      </c>
      <c r="E128" s="432">
        <v>39132</v>
      </c>
      <c r="F128" s="432">
        <v>42635</v>
      </c>
      <c r="G128" s="432">
        <v>39171</v>
      </c>
      <c r="H128" s="432">
        <v>42547</v>
      </c>
      <c r="I128" s="432">
        <v>39789</v>
      </c>
      <c r="J128" s="432">
        <v>43372</v>
      </c>
      <c r="K128" s="432">
        <v>46022</v>
      </c>
      <c r="L128" s="432">
        <v>47153</v>
      </c>
      <c r="M128" s="433">
        <v>48304</v>
      </c>
      <c r="N128" s="433">
        <v>52189</v>
      </c>
      <c r="O128" s="433">
        <v>51260</v>
      </c>
      <c r="P128" s="1538">
        <v>53690</v>
      </c>
      <c r="Q128" s="64"/>
      <c r="R128" s="434">
        <v>0.12777045687129379</v>
      </c>
      <c r="S128" s="435">
        <v>0.11654920477484336</v>
      </c>
      <c r="T128" s="435">
        <v>0.1354493691697963</v>
      </c>
      <c r="U128" s="435">
        <v>0.1470167344250537</v>
      </c>
      <c r="V128" s="435">
        <v>0.13365566375727633</v>
      </c>
      <c r="W128" s="435">
        <v>0.14388618155624469</v>
      </c>
      <c r="X128" s="435">
        <v>0.13311676363234895</v>
      </c>
      <c r="Y128" s="435">
        <v>0.14410690731000661</v>
      </c>
      <c r="Z128" s="435">
        <v>0.15284216958699204</v>
      </c>
      <c r="AA128" s="435">
        <v>0.15668623873941231</v>
      </c>
      <c r="AB128" s="436">
        <v>0.15997456515691444</v>
      </c>
      <c r="AC128" s="436">
        <v>0.17401205670921191</v>
      </c>
      <c r="AD128" s="436">
        <v>0.17363851617995266</v>
      </c>
      <c r="AE128" s="437">
        <v>0.18307861229889996</v>
      </c>
    </row>
    <row r="129" spans="1:31">
      <c r="A129" s="403" t="s">
        <v>264</v>
      </c>
      <c r="C129" s="418">
        <v>69450</v>
      </c>
      <c r="D129" s="419">
        <v>63514</v>
      </c>
      <c r="E129" s="419">
        <v>71700</v>
      </c>
      <c r="F129" s="419">
        <v>75816</v>
      </c>
      <c r="G129" s="419">
        <v>68689</v>
      </c>
      <c r="H129" s="419">
        <v>74957</v>
      </c>
      <c r="I129" s="419">
        <v>66664</v>
      </c>
      <c r="J129" s="419">
        <v>70198</v>
      </c>
      <c r="K129" s="419">
        <v>73388</v>
      </c>
      <c r="L129" s="419">
        <v>71473</v>
      </c>
      <c r="M129" s="420">
        <v>71308</v>
      </c>
      <c r="N129" s="420">
        <v>77113</v>
      </c>
      <c r="O129" s="420">
        <v>80654</v>
      </c>
      <c r="P129" s="421">
        <v>81141</v>
      </c>
      <c r="Q129" s="64"/>
      <c r="R129" s="422">
        <v>0.15304435972586439</v>
      </c>
      <c r="S129" s="423">
        <v>0.14033358889775141</v>
      </c>
      <c r="T129" s="423">
        <v>0.15771795103044595</v>
      </c>
      <c r="U129" s="423">
        <v>0.16505708289428997</v>
      </c>
      <c r="V129" s="423">
        <v>0.14922302530245857</v>
      </c>
      <c r="W129" s="423">
        <v>0.16352767930188164</v>
      </c>
      <c r="X129" s="423">
        <v>0.14641453075926292</v>
      </c>
      <c r="Y129" s="423">
        <v>0.15611975749596346</v>
      </c>
      <c r="Z129" s="423">
        <v>0.16549851613310601</v>
      </c>
      <c r="AA129" s="423">
        <v>0.16261973561466178</v>
      </c>
      <c r="AB129" s="424">
        <v>0.16684839324070738</v>
      </c>
      <c r="AC129" s="424">
        <v>0.18344688787599084</v>
      </c>
      <c r="AD129" s="424">
        <v>0.19465468306527908</v>
      </c>
      <c r="AE129" s="425">
        <v>0.19731917697955095</v>
      </c>
    </row>
    <row r="130" spans="1:31">
      <c r="A130" s="403" t="s">
        <v>267</v>
      </c>
      <c r="C130" s="418">
        <v>47040</v>
      </c>
      <c r="D130" s="419">
        <v>43966</v>
      </c>
      <c r="E130" s="419">
        <v>50455</v>
      </c>
      <c r="F130" s="419">
        <v>56849</v>
      </c>
      <c r="G130" s="419">
        <v>52855</v>
      </c>
      <c r="H130" s="419">
        <v>53180</v>
      </c>
      <c r="I130" s="419">
        <v>49691</v>
      </c>
      <c r="J130" s="419">
        <v>52682</v>
      </c>
      <c r="K130" s="419">
        <v>57771</v>
      </c>
      <c r="L130" s="419">
        <v>64512</v>
      </c>
      <c r="M130" s="420">
        <v>69253</v>
      </c>
      <c r="N130" s="420">
        <v>77653</v>
      </c>
      <c r="O130" s="420">
        <v>74096</v>
      </c>
      <c r="P130" s="421">
        <v>76048</v>
      </c>
      <c r="Q130" s="64"/>
      <c r="R130" s="422">
        <v>7.3972848316347151E-2</v>
      </c>
      <c r="S130" s="423">
        <v>6.7403569019439502E-2</v>
      </c>
      <c r="T130" s="423">
        <v>7.5487365161058667E-2</v>
      </c>
      <c r="U130" s="423">
        <v>8.3378188703486691E-2</v>
      </c>
      <c r="V130" s="423">
        <v>7.5877860403686589E-2</v>
      </c>
      <c r="W130" s="423">
        <v>7.4756843456245878E-2</v>
      </c>
      <c r="X130" s="423">
        <v>6.9055752121382249E-2</v>
      </c>
      <c r="Y130" s="423">
        <v>7.2126218829321451E-2</v>
      </c>
      <c r="Z130" s="423">
        <v>7.8048984786318096E-2</v>
      </c>
      <c r="AA130" s="423">
        <v>8.5547995432984622E-2</v>
      </c>
      <c r="AB130" s="424">
        <v>9.0402479205067013E-2</v>
      </c>
      <c r="AC130" s="424">
        <v>9.8850753222550089E-2</v>
      </c>
      <c r="AD130" s="424">
        <v>9.5595160378892069E-2</v>
      </c>
      <c r="AE130" s="425">
        <v>9.6413769845848013E-2</v>
      </c>
    </row>
    <row r="131" spans="1:31">
      <c r="A131" s="403" t="s">
        <v>265</v>
      </c>
      <c r="C131" s="418">
        <v>36510</v>
      </c>
      <c r="D131" s="419">
        <v>34262</v>
      </c>
      <c r="E131" s="419">
        <v>39344</v>
      </c>
      <c r="F131" s="419">
        <v>42781</v>
      </c>
      <c r="G131" s="419">
        <v>38492</v>
      </c>
      <c r="H131" s="419">
        <v>41515</v>
      </c>
      <c r="I131" s="419">
        <v>39447</v>
      </c>
      <c r="J131" s="419">
        <v>42272</v>
      </c>
      <c r="K131" s="419">
        <v>41499</v>
      </c>
      <c r="L131" s="419">
        <v>45820</v>
      </c>
      <c r="M131" s="420">
        <v>50023</v>
      </c>
      <c r="N131" s="420">
        <v>49999</v>
      </c>
      <c r="O131" s="420">
        <v>49491</v>
      </c>
      <c r="P131" s="421">
        <v>50820</v>
      </c>
      <c r="Q131" s="64"/>
      <c r="R131" s="422">
        <v>0.14798451654743328</v>
      </c>
      <c r="S131" s="423">
        <v>0.13950212131823031</v>
      </c>
      <c r="T131" s="423">
        <v>0.16081026399794002</v>
      </c>
      <c r="U131" s="423">
        <v>0.17657450171906408</v>
      </c>
      <c r="V131" s="423">
        <v>0.1593198731798578</v>
      </c>
      <c r="W131" s="423">
        <v>0.17241307706364103</v>
      </c>
      <c r="X131" s="423">
        <v>0.16388858883063143</v>
      </c>
      <c r="Y131" s="423">
        <v>0.17567876453011166</v>
      </c>
      <c r="Z131" s="423">
        <v>0.17290313441355259</v>
      </c>
      <c r="AA131" s="423">
        <v>0.19168981558954451</v>
      </c>
      <c r="AB131" s="424">
        <v>0.20643619721274198</v>
      </c>
      <c r="AC131" s="424">
        <v>0.20991666141864518</v>
      </c>
      <c r="AD131" s="424">
        <v>0.21105894093113109</v>
      </c>
      <c r="AE131" s="425">
        <v>0.21831772489045451</v>
      </c>
    </row>
    <row r="132" spans="1:31">
      <c r="A132" s="403" t="s">
        <v>268</v>
      </c>
      <c r="C132" s="418">
        <v>22399</v>
      </c>
      <c r="D132" s="419">
        <v>20317</v>
      </c>
      <c r="E132" s="419">
        <v>23387</v>
      </c>
      <c r="F132" s="419">
        <v>25548</v>
      </c>
      <c r="G132" s="419">
        <v>22472</v>
      </c>
      <c r="H132" s="419">
        <v>25663</v>
      </c>
      <c r="I132" s="419">
        <v>23670</v>
      </c>
      <c r="J132" s="419">
        <v>24049</v>
      </c>
      <c r="K132" s="419">
        <v>25530</v>
      </c>
      <c r="L132" s="419">
        <v>26197</v>
      </c>
      <c r="M132" s="420">
        <v>27721</v>
      </c>
      <c r="N132" s="420">
        <v>27602</v>
      </c>
      <c r="O132" s="420">
        <v>27536</v>
      </c>
      <c r="P132" s="421">
        <v>27331</v>
      </c>
      <c r="Q132" s="64"/>
      <c r="R132" s="422">
        <v>0.18734683294440402</v>
      </c>
      <c r="S132" s="423">
        <v>0.17247175273134746</v>
      </c>
      <c r="T132" s="423">
        <v>0.20006672597864769</v>
      </c>
      <c r="U132" s="423">
        <v>0.22071896949433689</v>
      </c>
      <c r="V132" s="423">
        <v>0.19469087884668701</v>
      </c>
      <c r="W132" s="423">
        <v>0.22345575814569074</v>
      </c>
      <c r="X132" s="423">
        <v>0.20651927338719528</v>
      </c>
      <c r="Y132" s="423">
        <v>0.20957003677431724</v>
      </c>
      <c r="Z132" s="423">
        <v>0.22360411648784762</v>
      </c>
      <c r="AA132" s="423">
        <v>0.23061145442701456</v>
      </c>
      <c r="AB132" s="424">
        <v>0.2390194692096777</v>
      </c>
      <c r="AC132" s="424">
        <v>0.24486790511169071</v>
      </c>
      <c r="AD132" s="424">
        <v>0.24867022477490902</v>
      </c>
      <c r="AE132" s="425">
        <v>0.24932721517255221</v>
      </c>
    </row>
    <row r="134" spans="1:31">
      <c r="A134" s="1057" t="s">
        <v>1009</v>
      </c>
    </row>
    <row r="136" spans="1:31">
      <c r="A136" s="428" t="s">
        <v>248</v>
      </c>
      <c r="B136" s="428"/>
    </row>
    <row r="137" spans="1:31">
      <c r="A137" s="429" t="s">
        <v>249</v>
      </c>
      <c r="B137" s="430" t="s">
        <v>250</v>
      </c>
    </row>
  </sheetData>
  <autoFilter ref="A4:B4"/>
  <mergeCells count="2">
    <mergeCell ref="C3:M3"/>
    <mergeCell ref="R3:AB3"/>
  </mergeCells>
  <hyperlinks>
    <hyperlink ref="B137" r:id="rId1"/>
  </hyperlink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BC126"/>
  <sheetViews>
    <sheetView workbookViewId="0">
      <selection activeCell="C16" sqref="C16"/>
    </sheetView>
  </sheetViews>
  <sheetFormatPr defaultRowHeight="12.75"/>
  <cols>
    <col min="1" max="1" width="9" style="978"/>
    <col min="2" max="2" width="30.375" style="991" customWidth="1"/>
    <col min="3" max="42" width="9" style="978"/>
    <col min="43" max="43" width="2.125" style="978" customWidth="1"/>
    <col min="44" max="46" width="9" style="978"/>
    <col min="47" max="47" width="2.5" style="978" customWidth="1"/>
    <col min="48" max="50" width="12" style="979" customWidth="1"/>
    <col min="51" max="51" width="2.875" style="978" customWidth="1"/>
    <col min="52" max="54" width="9.875" style="978" bestFit="1" customWidth="1"/>
    <col min="55" max="55" width="14.375" style="978" customWidth="1"/>
    <col min="56" max="16384" width="9" style="978"/>
  </cols>
  <sheetData>
    <row r="1" spans="1:55" ht="12" customHeight="1">
      <c r="A1" s="983" t="s">
        <v>831</v>
      </c>
      <c r="B1" s="988"/>
    </row>
    <row r="2" spans="1:55" ht="12" customHeight="1">
      <c r="A2" s="983" t="s">
        <v>832</v>
      </c>
      <c r="B2" s="988"/>
    </row>
    <row r="3" spans="1:55" ht="12" customHeight="1">
      <c r="B3" s="989" t="s">
        <v>833</v>
      </c>
      <c r="AZ3" s="1895" t="s">
        <v>834</v>
      </c>
      <c r="BA3" s="1895"/>
      <c r="BB3" s="1895"/>
    </row>
    <row r="4" spans="1:55" ht="12" customHeight="1">
      <c r="B4" s="990"/>
      <c r="C4" s="1894" t="s">
        <v>835</v>
      </c>
      <c r="D4" s="1894"/>
      <c r="E4" s="1894"/>
      <c r="F4" s="1894" t="s">
        <v>836</v>
      </c>
      <c r="G4" s="1894"/>
      <c r="H4" s="1894"/>
      <c r="I4" s="1896" t="s">
        <v>837</v>
      </c>
      <c r="J4" s="1894"/>
      <c r="K4" s="1894"/>
      <c r="L4" s="1896" t="s">
        <v>838</v>
      </c>
      <c r="M4" s="1894"/>
      <c r="N4" s="1894"/>
      <c r="O4" s="1896" t="s">
        <v>839</v>
      </c>
      <c r="P4" s="1894"/>
      <c r="Q4" s="1894"/>
      <c r="R4" s="1896" t="s">
        <v>840</v>
      </c>
      <c r="S4" s="1894"/>
      <c r="T4" s="1894"/>
      <c r="U4" s="1896" t="s">
        <v>841</v>
      </c>
      <c r="V4" s="1894"/>
      <c r="W4" s="1894"/>
      <c r="X4" s="1896" t="s">
        <v>842</v>
      </c>
      <c r="Y4" s="1894"/>
      <c r="Z4" s="1894"/>
      <c r="AA4" s="1896" t="s">
        <v>843</v>
      </c>
      <c r="AB4" s="1894"/>
      <c r="AC4" s="1894"/>
      <c r="AD4" s="1896" t="s">
        <v>844</v>
      </c>
      <c r="AE4" s="1894"/>
      <c r="AF4" s="1894"/>
      <c r="AG4" s="997"/>
      <c r="AH4" s="1894" t="s">
        <v>628</v>
      </c>
      <c r="AI4" s="1894"/>
      <c r="AJ4" s="1894"/>
      <c r="AK4" s="1894" t="s">
        <v>740</v>
      </c>
      <c r="AL4" s="1894"/>
      <c r="AM4" s="1894"/>
      <c r="AN4" s="1894" t="s">
        <v>813</v>
      </c>
      <c r="AO4" s="1894"/>
      <c r="AP4" s="1894"/>
      <c r="AQ4" s="997"/>
      <c r="AR4" s="998" t="s">
        <v>7</v>
      </c>
      <c r="AS4" s="998" t="s">
        <v>6</v>
      </c>
      <c r="AT4" s="998" t="s">
        <v>747</v>
      </c>
      <c r="AU4" s="997"/>
      <c r="AV4" s="999" t="s">
        <v>7</v>
      </c>
      <c r="AW4" s="999" t="s">
        <v>6</v>
      </c>
      <c r="AX4" s="999" t="s">
        <v>747</v>
      </c>
      <c r="AY4" s="997"/>
      <c r="AZ4" s="998" t="s">
        <v>7</v>
      </c>
      <c r="BA4" s="998" t="s">
        <v>6</v>
      </c>
      <c r="BB4" s="998" t="s">
        <v>747</v>
      </c>
      <c r="BC4" s="992" t="s">
        <v>850</v>
      </c>
    </row>
    <row r="5" spans="1:55" ht="12" customHeight="1">
      <c r="A5" s="994" t="s">
        <v>4</v>
      </c>
      <c r="B5" s="995" t="s">
        <v>5</v>
      </c>
      <c r="C5" s="996" t="s">
        <v>845</v>
      </c>
      <c r="D5" s="996" t="s">
        <v>846</v>
      </c>
      <c r="E5" s="996" t="s">
        <v>281</v>
      </c>
      <c r="F5" s="996" t="s">
        <v>845</v>
      </c>
      <c r="G5" s="996" t="s">
        <v>846</v>
      </c>
      <c r="H5" s="996" t="s">
        <v>281</v>
      </c>
      <c r="I5" s="996" t="s">
        <v>845</v>
      </c>
      <c r="J5" s="996" t="s">
        <v>846</v>
      </c>
      <c r="K5" s="996" t="s">
        <v>281</v>
      </c>
      <c r="L5" s="996" t="s">
        <v>845</v>
      </c>
      <c r="M5" s="996" t="s">
        <v>846</v>
      </c>
      <c r="N5" s="996" t="s">
        <v>281</v>
      </c>
      <c r="O5" s="996" t="s">
        <v>845</v>
      </c>
      <c r="P5" s="996" t="s">
        <v>846</v>
      </c>
      <c r="Q5" s="996" t="s">
        <v>281</v>
      </c>
      <c r="R5" s="996" t="s">
        <v>845</v>
      </c>
      <c r="S5" s="996" t="s">
        <v>846</v>
      </c>
      <c r="T5" s="996" t="s">
        <v>281</v>
      </c>
      <c r="U5" s="996" t="s">
        <v>845</v>
      </c>
      <c r="V5" s="996" t="s">
        <v>846</v>
      </c>
      <c r="W5" s="996" t="s">
        <v>281</v>
      </c>
      <c r="X5" s="996" t="s">
        <v>845</v>
      </c>
      <c r="Y5" s="996" t="s">
        <v>846</v>
      </c>
      <c r="Z5" s="996" t="s">
        <v>281</v>
      </c>
      <c r="AA5" s="996" t="s">
        <v>845</v>
      </c>
      <c r="AB5" s="996" t="s">
        <v>846</v>
      </c>
      <c r="AC5" s="996" t="s">
        <v>281</v>
      </c>
      <c r="AD5" s="996" t="s">
        <v>845</v>
      </c>
      <c r="AE5" s="996" t="s">
        <v>846</v>
      </c>
      <c r="AF5" s="996" t="s">
        <v>281</v>
      </c>
      <c r="AH5" s="976" t="s">
        <v>845</v>
      </c>
      <c r="AI5" s="976" t="s">
        <v>846</v>
      </c>
      <c r="AJ5" s="976" t="s">
        <v>281</v>
      </c>
      <c r="AK5" s="976" t="s">
        <v>845</v>
      </c>
      <c r="AL5" s="976" t="s">
        <v>846</v>
      </c>
      <c r="AM5" s="976" t="s">
        <v>281</v>
      </c>
      <c r="AN5" s="976" t="s">
        <v>845</v>
      </c>
      <c r="AO5" s="976" t="s">
        <v>846</v>
      </c>
      <c r="AP5" s="976" t="s">
        <v>281</v>
      </c>
      <c r="AR5" s="976" t="s">
        <v>847</v>
      </c>
      <c r="AS5" s="976" t="s">
        <v>847</v>
      </c>
      <c r="AT5" s="976" t="s">
        <v>847</v>
      </c>
      <c r="AV5" s="977" t="s">
        <v>848</v>
      </c>
      <c r="AW5" s="977" t="s">
        <v>848</v>
      </c>
      <c r="AX5" s="977" t="s">
        <v>848</v>
      </c>
      <c r="AZ5" s="976" t="s">
        <v>847</v>
      </c>
      <c r="BA5" s="976" t="s">
        <v>847</v>
      </c>
      <c r="BB5" s="976" t="s">
        <v>847</v>
      </c>
    </row>
    <row r="6" spans="1:55" ht="12" customHeight="1">
      <c r="A6" s="1002">
        <v>999</v>
      </c>
      <c r="B6" s="1003" t="s">
        <v>849</v>
      </c>
      <c r="C6" s="1000">
        <v>125317</v>
      </c>
      <c r="D6" s="993">
        <v>474351</v>
      </c>
      <c r="E6" s="993">
        <v>599668</v>
      </c>
      <c r="F6" s="993">
        <v>109777</v>
      </c>
      <c r="G6" s="993">
        <v>488763</v>
      </c>
      <c r="H6" s="993">
        <v>598540</v>
      </c>
      <c r="I6" s="993">
        <v>100011</v>
      </c>
      <c r="J6" s="993">
        <v>519188</v>
      </c>
      <c r="K6" s="993">
        <v>619199</v>
      </c>
      <c r="L6" s="993">
        <v>172606</v>
      </c>
      <c r="M6" s="993">
        <v>509335</v>
      </c>
      <c r="N6" s="993">
        <v>681941</v>
      </c>
      <c r="O6" s="993">
        <v>139803</v>
      </c>
      <c r="P6" s="993">
        <v>900533</v>
      </c>
      <c r="Q6" s="993">
        <v>1040336</v>
      </c>
      <c r="R6" s="993">
        <v>116509</v>
      </c>
      <c r="S6" s="993">
        <v>990782</v>
      </c>
      <c r="T6" s="993">
        <v>1107291</v>
      </c>
      <c r="U6" s="993">
        <v>113684</v>
      </c>
      <c r="V6" s="993">
        <v>1067688</v>
      </c>
      <c r="W6" s="993">
        <v>1181372</v>
      </c>
      <c r="X6" s="993">
        <v>86625</v>
      </c>
      <c r="Y6" s="993">
        <v>838307</v>
      </c>
      <c r="Z6" s="993">
        <v>924932</v>
      </c>
      <c r="AA6" s="993">
        <v>54846</v>
      </c>
      <c r="AB6" s="993">
        <v>473761</v>
      </c>
      <c r="AC6" s="993">
        <v>528607</v>
      </c>
      <c r="AD6" s="993">
        <v>64094</v>
      </c>
      <c r="AE6" s="993">
        <v>335413</v>
      </c>
      <c r="AF6" s="993">
        <v>399507</v>
      </c>
      <c r="AH6" s="980">
        <f t="shared" ref="AH6:AH37" si="0">C6+F6+I6</f>
        <v>335105</v>
      </c>
      <c r="AI6" s="980">
        <f t="shared" ref="AI6:AI37" si="1">D6+G6+J6</f>
        <v>1482302</v>
      </c>
      <c r="AJ6" s="980">
        <f t="shared" ref="AJ6:AJ37" si="2">E6+H6+K6</f>
        <v>1817407</v>
      </c>
      <c r="AK6" s="980">
        <f t="shared" ref="AK6:AK37" si="3">L6+O6+R6+U6+X6</f>
        <v>629227</v>
      </c>
      <c r="AL6" s="980">
        <f t="shared" ref="AL6:AL37" si="4">M6+P6+S6+V6+Y6</f>
        <v>4306645</v>
      </c>
      <c r="AM6" s="980">
        <f t="shared" ref="AM6:AM37" si="5">N6+Q6+T6+W6+Z6</f>
        <v>4935872</v>
      </c>
      <c r="AN6" s="980">
        <f t="shared" ref="AN6:AN37" si="6">AA6+AD6</f>
        <v>118940</v>
      </c>
      <c r="AO6" s="980">
        <f t="shared" ref="AO6:AO37" si="7">AB6+AE6</f>
        <v>809174</v>
      </c>
      <c r="AP6" s="980">
        <f t="shared" ref="AP6:AP37" si="8">AC6+AF6</f>
        <v>928114</v>
      </c>
      <c r="AR6" s="981">
        <f t="shared" ref="AR6:AR37" si="9">AH6/AJ6</f>
        <v>0.18438632623292417</v>
      </c>
      <c r="AS6" s="981">
        <f t="shared" ref="AS6:AS37" si="10">AK6/AM6</f>
        <v>0.12748041278217911</v>
      </c>
      <c r="AT6" s="981">
        <f t="shared" ref="AT6:AT37" si="11">AN6/AP6</f>
        <v>0.12815236059363397</v>
      </c>
      <c r="AV6" s="982">
        <v>1853546</v>
      </c>
      <c r="AW6" s="982">
        <v>5231995</v>
      </c>
      <c r="AX6" s="982">
        <v>1011063</v>
      </c>
      <c r="AZ6" s="982">
        <f t="shared" ref="AZ6:AZ37" si="12">AR6*AV6</f>
        <v>341768.53744373168</v>
      </c>
      <c r="BA6" s="982">
        <f t="shared" ref="BA6:BA37" si="13">AS6*AW6</f>
        <v>666976.88227429718</v>
      </c>
      <c r="BB6" s="982">
        <f t="shared" ref="BB6:BB37" si="14">AT6*AX6</f>
        <v>129570.11015888135</v>
      </c>
      <c r="BC6" s="1005">
        <f>SUM(AZ6:BB6)</f>
        <v>1138315.5298769102</v>
      </c>
    </row>
    <row r="7" spans="1:55" s="984" customFormat="1" ht="12" customHeight="1">
      <c r="A7" s="984" t="s">
        <v>10</v>
      </c>
      <c r="B7" s="988" t="s">
        <v>455</v>
      </c>
      <c r="C7" s="1001">
        <v>1259</v>
      </c>
      <c r="D7" s="985">
        <v>1135</v>
      </c>
      <c r="E7" s="985">
        <v>2394</v>
      </c>
      <c r="F7" s="985">
        <v>716</v>
      </c>
      <c r="G7" s="985">
        <v>1777</v>
      </c>
      <c r="H7" s="985">
        <v>2493</v>
      </c>
      <c r="I7" s="985">
        <v>496</v>
      </c>
      <c r="J7" s="985">
        <v>1833</v>
      </c>
      <c r="K7" s="985">
        <v>2329</v>
      </c>
      <c r="L7" s="985">
        <v>783</v>
      </c>
      <c r="M7" s="985">
        <v>1677</v>
      </c>
      <c r="N7" s="985">
        <v>2460</v>
      </c>
      <c r="O7" s="985">
        <v>806</v>
      </c>
      <c r="P7" s="985">
        <v>2617</v>
      </c>
      <c r="Q7" s="985">
        <v>3423</v>
      </c>
      <c r="R7" s="985">
        <v>623</v>
      </c>
      <c r="S7" s="985">
        <v>3263</v>
      </c>
      <c r="T7" s="985">
        <v>3886</v>
      </c>
      <c r="U7" s="985">
        <v>1058</v>
      </c>
      <c r="V7" s="985">
        <v>4232</v>
      </c>
      <c r="W7" s="985">
        <v>5290</v>
      </c>
      <c r="X7" s="985">
        <v>1083</v>
      </c>
      <c r="Y7" s="985">
        <v>3810</v>
      </c>
      <c r="Z7" s="985">
        <v>4893</v>
      </c>
      <c r="AA7" s="985">
        <v>497</v>
      </c>
      <c r="AB7" s="985">
        <v>2921</v>
      </c>
      <c r="AC7" s="985">
        <v>3418</v>
      </c>
      <c r="AD7" s="985">
        <v>913</v>
      </c>
      <c r="AE7" s="985">
        <v>1739</v>
      </c>
      <c r="AF7" s="985">
        <v>2652</v>
      </c>
      <c r="AH7" s="985">
        <f t="shared" si="0"/>
        <v>2471</v>
      </c>
      <c r="AI7" s="985">
        <f t="shared" si="1"/>
        <v>4745</v>
      </c>
      <c r="AJ7" s="985">
        <f t="shared" si="2"/>
        <v>7216</v>
      </c>
      <c r="AK7" s="985">
        <f t="shared" si="3"/>
        <v>4353</v>
      </c>
      <c r="AL7" s="985">
        <f t="shared" si="4"/>
        <v>15599</v>
      </c>
      <c r="AM7" s="985">
        <f t="shared" si="5"/>
        <v>19952</v>
      </c>
      <c r="AN7" s="985">
        <f t="shared" si="6"/>
        <v>1410</v>
      </c>
      <c r="AO7" s="985">
        <f t="shared" si="7"/>
        <v>4660</v>
      </c>
      <c r="AP7" s="985">
        <f t="shared" si="8"/>
        <v>6070</v>
      </c>
      <c r="AR7" s="986">
        <f t="shared" si="9"/>
        <v>0.34243348115299332</v>
      </c>
      <c r="AS7" s="986">
        <f t="shared" si="10"/>
        <v>0.21817361668003207</v>
      </c>
      <c r="AT7" s="986">
        <f t="shared" si="11"/>
        <v>0.23228995057660626</v>
      </c>
      <c r="AV7" s="987">
        <v>7036</v>
      </c>
      <c r="AW7" s="987">
        <v>19832</v>
      </c>
      <c r="AX7" s="987">
        <v>6468</v>
      </c>
      <c r="AZ7" s="987">
        <f t="shared" si="12"/>
        <v>2409.3619733924611</v>
      </c>
      <c r="BA7" s="987">
        <f t="shared" si="13"/>
        <v>4326.8191659983959</v>
      </c>
      <c r="BB7" s="987">
        <f t="shared" si="14"/>
        <v>1502.4514003294894</v>
      </c>
      <c r="BC7" s="1004">
        <f t="shared" ref="BC7:BC70" si="15">SUM(AZ7:BB7)</f>
        <v>8238.6325397203473</v>
      </c>
    </row>
    <row r="8" spans="1:55" s="984" customFormat="1" ht="12" customHeight="1">
      <c r="A8" s="984" t="s">
        <v>12</v>
      </c>
      <c r="B8" s="988" t="s">
        <v>456</v>
      </c>
      <c r="C8" s="1001">
        <v>1302</v>
      </c>
      <c r="D8" s="985">
        <v>5120</v>
      </c>
      <c r="E8" s="985">
        <v>6422</v>
      </c>
      <c r="F8" s="985">
        <v>913</v>
      </c>
      <c r="G8" s="985">
        <v>6447</v>
      </c>
      <c r="H8" s="985">
        <v>7360</v>
      </c>
      <c r="I8" s="985">
        <v>1165</v>
      </c>
      <c r="J8" s="985">
        <v>6249</v>
      </c>
      <c r="K8" s="985">
        <v>7414</v>
      </c>
      <c r="L8" s="985">
        <v>2216</v>
      </c>
      <c r="M8" s="985">
        <v>5933</v>
      </c>
      <c r="N8" s="985">
        <v>8149</v>
      </c>
      <c r="O8" s="985">
        <v>1867</v>
      </c>
      <c r="P8" s="985">
        <v>9965</v>
      </c>
      <c r="Q8" s="985">
        <v>11832</v>
      </c>
      <c r="R8" s="985">
        <v>1068</v>
      </c>
      <c r="S8" s="985">
        <v>11128</v>
      </c>
      <c r="T8" s="985">
        <v>12196</v>
      </c>
      <c r="U8" s="985">
        <v>1150</v>
      </c>
      <c r="V8" s="985">
        <v>13176</v>
      </c>
      <c r="W8" s="985">
        <v>14326</v>
      </c>
      <c r="X8" s="985">
        <v>961</v>
      </c>
      <c r="Y8" s="985">
        <v>11026</v>
      </c>
      <c r="Z8" s="985">
        <v>11987</v>
      </c>
      <c r="AA8" s="985">
        <v>440</v>
      </c>
      <c r="AB8" s="985">
        <v>6378</v>
      </c>
      <c r="AC8" s="985">
        <v>6818</v>
      </c>
      <c r="AD8" s="985">
        <v>779</v>
      </c>
      <c r="AE8" s="985">
        <v>5574</v>
      </c>
      <c r="AF8" s="985">
        <v>6353</v>
      </c>
      <c r="AH8" s="985">
        <f t="shared" si="0"/>
        <v>3380</v>
      </c>
      <c r="AI8" s="985">
        <f t="shared" si="1"/>
        <v>17816</v>
      </c>
      <c r="AJ8" s="985">
        <f t="shared" si="2"/>
        <v>21196</v>
      </c>
      <c r="AK8" s="985">
        <f t="shared" si="3"/>
        <v>7262</v>
      </c>
      <c r="AL8" s="985">
        <f t="shared" si="4"/>
        <v>51228</v>
      </c>
      <c r="AM8" s="985">
        <f t="shared" si="5"/>
        <v>58490</v>
      </c>
      <c r="AN8" s="985">
        <f t="shared" si="6"/>
        <v>1219</v>
      </c>
      <c r="AO8" s="985">
        <f t="shared" si="7"/>
        <v>11952</v>
      </c>
      <c r="AP8" s="985">
        <f t="shared" si="8"/>
        <v>13171</v>
      </c>
      <c r="AR8" s="986">
        <f t="shared" si="9"/>
        <v>0.1594640498207209</v>
      </c>
      <c r="AS8" s="986">
        <f t="shared" si="10"/>
        <v>0.1241579757223457</v>
      </c>
      <c r="AT8" s="986">
        <f t="shared" si="11"/>
        <v>9.2551818388884668E-2</v>
      </c>
      <c r="AV8" s="987">
        <v>21443</v>
      </c>
      <c r="AW8" s="987">
        <v>64549</v>
      </c>
      <c r="AX8" s="987">
        <v>14561</v>
      </c>
      <c r="AZ8" s="987">
        <f t="shared" si="12"/>
        <v>3419.3876203057184</v>
      </c>
      <c r="BA8" s="987">
        <f t="shared" si="13"/>
        <v>8014.273174901693</v>
      </c>
      <c r="BB8" s="987">
        <f t="shared" si="14"/>
        <v>1347.6470275605498</v>
      </c>
      <c r="BC8" s="1004">
        <f t="shared" si="15"/>
        <v>12781.307822767962</v>
      </c>
    </row>
    <row r="9" spans="1:55" s="984" customFormat="1" ht="12" customHeight="1">
      <c r="A9" s="984" t="s">
        <v>16</v>
      </c>
      <c r="B9" s="988" t="s">
        <v>769</v>
      </c>
      <c r="C9" s="1001">
        <v>369</v>
      </c>
      <c r="D9" s="985">
        <v>895</v>
      </c>
      <c r="E9" s="985">
        <v>1264</v>
      </c>
      <c r="F9" s="985">
        <v>481</v>
      </c>
      <c r="G9" s="985">
        <v>1061</v>
      </c>
      <c r="H9" s="985">
        <v>1542</v>
      </c>
      <c r="I9" s="985">
        <v>356</v>
      </c>
      <c r="J9" s="985">
        <v>1536</v>
      </c>
      <c r="K9" s="985">
        <v>1892</v>
      </c>
      <c r="L9" s="985">
        <v>387</v>
      </c>
      <c r="M9" s="985">
        <v>1292</v>
      </c>
      <c r="N9" s="985">
        <v>1679</v>
      </c>
      <c r="O9" s="985">
        <v>422</v>
      </c>
      <c r="P9" s="985">
        <v>1329</v>
      </c>
      <c r="Q9" s="985">
        <v>1751</v>
      </c>
      <c r="R9" s="985">
        <v>325</v>
      </c>
      <c r="S9" s="985">
        <v>2656</v>
      </c>
      <c r="T9" s="985">
        <v>2981</v>
      </c>
      <c r="U9" s="985">
        <v>513</v>
      </c>
      <c r="V9" s="985">
        <v>2898</v>
      </c>
      <c r="W9" s="985">
        <v>3411</v>
      </c>
      <c r="X9" s="985">
        <v>526</v>
      </c>
      <c r="Y9" s="985">
        <v>2680</v>
      </c>
      <c r="Z9" s="985">
        <v>3206</v>
      </c>
      <c r="AA9" s="985">
        <v>218</v>
      </c>
      <c r="AB9" s="985">
        <v>2173</v>
      </c>
      <c r="AC9" s="985">
        <v>2391</v>
      </c>
      <c r="AD9" s="985">
        <v>361</v>
      </c>
      <c r="AE9" s="985">
        <v>1439</v>
      </c>
      <c r="AF9" s="985">
        <v>1800</v>
      </c>
      <c r="AH9" s="985">
        <f t="shared" si="0"/>
        <v>1206</v>
      </c>
      <c r="AI9" s="985">
        <f t="shared" si="1"/>
        <v>3492</v>
      </c>
      <c r="AJ9" s="985">
        <f t="shared" si="2"/>
        <v>4698</v>
      </c>
      <c r="AK9" s="985">
        <f t="shared" si="3"/>
        <v>2173</v>
      </c>
      <c r="AL9" s="985">
        <f t="shared" si="4"/>
        <v>10855</v>
      </c>
      <c r="AM9" s="985">
        <f t="shared" si="5"/>
        <v>13028</v>
      </c>
      <c r="AN9" s="985">
        <f t="shared" si="6"/>
        <v>579</v>
      </c>
      <c r="AO9" s="985">
        <f t="shared" si="7"/>
        <v>3612</v>
      </c>
      <c r="AP9" s="985">
        <f t="shared" si="8"/>
        <v>4191</v>
      </c>
      <c r="AR9" s="986">
        <f t="shared" si="9"/>
        <v>0.25670498084291188</v>
      </c>
      <c r="AS9" s="986">
        <f t="shared" si="10"/>
        <v>0.16679459625422169</v>
      </c>
      <c r="AT9" s="986">
        <f t="shared" si="11"/>
        <v>0.13815318539727989</v>
      </c>
      <c r="AV9" s="987">
        <v>3385</v>
      </c>
      <c r="AW9" s="987">
        <v>9456</v>
      </c>
      <c r="AX9" s="987">
        <v>3334</v>
      </c>
      <c r="AZ9" s="987">
        <f t="shared" si="12"/>
        <v>868.94636015325671</v>
      </c>
      <c r="BA9" s="987">
        <f t="shared" si="13"/>
        <v>1577.2097021799202</v>
      </c>
      <c r="BB9" s="987">
        <f t="shared" si="14"/>
        <v>460.60272011453117</v>
      </c>
      <c r="BC9" s="1004">
        <f t="shared" si="15"/>
        <v>2906.7587824477082</v>
      </c>
    </row>
    <row r="10" spans="1:55" s="984" customFormat="1" ht="12" customHeight="1">
      <c r="A10" s="984" t="s">
        <v>18</v>
      </c>
      <c r="B10" s="988" t="s">
        <v>457</v>
      </c>
      <c r="C10" s="1001">
        <v>317</v>
      </c>
      <c r="D10" s="985">
        <v>635</v>
      </c>
      <c r="E10" s="985">
        <v>952</v>
      </c>
      <c r="F10" s="985">
        <v>171</v>
      </c>
      <c r="G10" s="985">
        <v>787</v>
      </c>
      <c r="H10" s="985">
        <v>958</v>
      </c>
      <c r="I10" s="985">
        <v>216</v>
      </c>
      <c r="J10" s="985">
        <v>714</v>
      </c>
      <c r="K10" s="985">
        <v>930</v>
      </c>
      <c r="L10" s="985">
        <v>129</v>
      </c>
      <c r="M10" s="985">
        <v>812</v>
      </c>
      <c r="N10" s="985">
        <v>941</v>
      </c>
      <c r="O10" s="985">
        <v>509</v>
      </c>
      <c r="P10" s="985">
        <v>763</v>
      </c>
      <c r="Q10" s="985">
        <v>1272</v>
      </c>
      <c r="R10" s="985">
        <v>124</v>
      </c>
      <c r="S10" s="985">
        <v>1615</v>
      </c>
      <c r="T10" s="985">
        <v>1739</v>
      </c>
      <c r="U10" s="985">
        <v>333</v>
      </c>
      <c r="V10" s="985">
        <v>1782</v>
      </c>
      <c r="W10" s="985">
        <v>2115</v>
      </c>
      <c r="X10" s="985">
        <v>283</v>
      </c>
      <c r="Y10" s="985">
        <v>1329</v>
      </c>
      <c r="Z10" s="985">
        <v>1612</v>
      </c>
      <c r="AA10" s="985">
        <v>230</v>
      </c>
      <c r="AB10" s="985">
        <v>1029</v>
      </c>
      <c r="AC10" s="985">
        <v>1259</v>
      </c>
      <c r="AD10" s="985">
        <v>134</v>
      </c>
      <c r="AE10" s="985">
        <v>615</v>
      </c>
      <c r="AF10" s="985">
        <v>749</v>
      </c>
      <c r="AH10" s="985">
        <f t="shared" si="0"/>
        <v>704</v>
      </c>
      <c r="AI10" s="985">
        <f t="shared" si="1"/>
        <v>2136</v>
      </c>
      <c r="AJ10" s="985">
        <f t="shared" si="2"/>
        <v>2840</v>
      </c>
      <c r="AK10" s="985">
        <f t="shared" si="3"/>
        <v>1378</v>
      </c>
      <c r="AL10" s="985">
        <f t="shared" si="4"/>
        <v>6301</v>
      </c>
      <c r="AM10" s="985">
        <f t="shared" si="5"/>
        <v>7679</v>
      </c>
      <c r="AN10" s="985">
        <f t="shared" si="6"/>
        <v>364</v>
      </c>
      <c r="AO10" s="985">
        <f t="shared" si="7"/>
        <v>1644</v>
      </c>
      <c r="AP10" s="985">
        <f t="shared" si="8"/>
        <v>2008</v>
      </c>
      <c r="AR10" s="986">
        <f t="shared" si="9"/>
        <v>0.24788732394366197</v>
      </c>
      <c r="AS10" s="986">
        <f t="shared" si="10"/>
        <v>0.17945044927724965</v>
      </c>
      <c r="AT10" s="986">
        <f t="shared" si="11"/>
        <v>0.18127490039840638</v>
      </c>
      <c r="AV10" s="987">
        <v>2782</v>
      </c>
      <c r="AW10" s="987">
        <v>7949</v>
      </c>
      <c r="AX10" s="987">
        <v>2074</v>
      </c>
      <c r="AZ10" s="987">
        <f t="shared" si="12"/>
        <v>689.62253521126763</v>
      </c>
      <c r="BA10" s="987">
        <f t="shared" si="13"/>
        <v>1426.4516213048576</v>
      </c>
      <c r="BB10" s="987">
        <f t="shared" si="14"/>
        <v>375.96414342629481</v>
      </c>
      <c r="BC10" s="1004">
        <f t="shared" si="15"/>
        <v>2492.0382999424201</v>
      </c>
    </row>
    <row r="11" spans="1:55" s="984" customFormat="1" ht="12" customHeight="1">
      <c r="A11" s="984" t="s">
        <v>20</v>
      </c>
      <c r="B11" s="988" t="s">
        <v>458</v>
      </c>
      <c r="C11" s="1001">
        <v>499</v>
      </c>
      <c r="D11" s="985">
        <v>1423</v>
      </c>
      <c r="E11" s="985">
        <v>1922</v>
      </c>
      <c r="F11" s="985">
        <v>452</v>
      </c>
      <c r="G11" s="985">
        <v>1514</v>
      </c>
      <c r="H11" s="985">
        <v>1966</v>
      </c>
      <c r="I11" s="985">
        <v>424</v>
      </c>
      <c r="J11" s="985">
        <v>2181</v>
      </c>
      <c r="K11" s="985">
        <v>2605</v>
      </c>
      <c r="L11" s="985">
        <v>585</v>
      </c>
      <c r="M11" s="985">
        <v>1914</v>
      </c>
      <c r="N11" s="985">
        <v>2499</v>
      </c>
      <c r="O11" s="985">
        <v>480</v>
      </c>
      <c r="P11" s="985">
        <v>2687</v>
      </c>
      <c r="Q11" s="985">
        <v>3167</v>
      </c>
      <c r="R11" s="985">
        <v>670</v>
      </c>
      <c r="S11" s="985">
        <v>3409</v>
      </c>
      <c r="T11" s="985">
        <v>4079</v>
      </c>
      <c r="U11" s="985">
        <v>695</v>
      </c>
      <c r="V11" s="985">
        <v>4317</v>
      </c>
      <c r="W11" s="985">
        <v>5012</v>
      </c>
      <c r="X11" s="985">
        <v>485</v>
      </c>
      <c r="Y11" s="985">
        <v>3869</v>
      </c>
      <c r="Z11" s="985">
        <v>4354</v>
      </c>
      <c r="AA11" s="985">
        <v>399</v>
      </c>
      <c r="AB11" s="985">
        <v>2737</v>
      </c>
      <c r="AC11" s="985">
        <v>3136</v>
      </c>
      <c r="AD11" s="985">
        <v>491</v>
      </c>
      <c r="AE11" s="985">
        <v>1822</v>
      </c>
      <c r="AF11" s="985">
        <v>2313</v>
      </c>
      <c r="AH11" s="985">
        <f t="shared" si="0"/>
        <v>1375</v>
      </c>
      <c r="AI11" s="985">
        <f t="shared" si="1"/>
        <v>5118</v>
      </c>
      <c r="AJ11" s="985">
        <f t="shared" si="2"/>
        <v>6493</v>
      </c>
      <c r="AK11" s="985">
        <f t="shared" si="3"/>
        <v>2915</v>
      </c>
      <c r="AL11" s="985">
        <f t="shared" si="4"/>
        <v>16196</v>
      </c>
      <c r="AM11" s="985">
        <f t="shared" si="5"/>
        <v>19111</v>
      </c>
      <c r="AN11" s="985">
        <f t="shared" si="6"/>
        <v>890</v>
      </c>
      <c r="AO11" s="985">
        <f t="shared" si="7"/>
        <v>4559</v>
      </c>
      <c r="AP11" s="985">
        <f t="shared" si="8"/>
        <v>5449</v>
      </c>
      <c r="AR11" s="986">
        <f t="shared" si="9"/>
        <v>0.21176651778838748</v>
      </c>
      <c r="AS11" s="986">
        <f t="shared" si="10"/>
        <v>0.15252995656951493</v>
      </c>
      <c r="AT11" s="986">
        <f t="shared" si="11"/>
        <v>0.16333272160029363</v>
      </c>
      <c r="AV11" s="987">
        <v>6688</v>
      </c>
      <c r="AW11" s="987">
        <v>19942</v>
      </c>
      <c r="AX11" s="987">
        <v>5537</v>
      </c>
      <c r="AZ11" s="987">
        <f t="shared" si="12"/>
        <v>1416.2944709687354</v>
      </c>
      <c r="BA11" s="987">
        <f t="shared" si="13"/>
        <v>3041.7523939092666</v>
      </c>
      <c r="BB11" s="987">
        <f t="shared" si="14"/>
        <v>904.3732795008259</v>
      </c>
      <c r="BC11" s="1004">
        <f t="shared" si="15"/>
        <v>5362.4201443788279</v>
      </c>
    </row>
    <row r="12" spans="1:55" s="984" customFormat="1" ht="12" customHeight="1">
      <c r="A12" s="984" t="s">
        <v>22</v>
      </c>
      <c r="B12" s="988" t="s">
        <v>459</v>
      </c>
      <c r="C12" s="1001">
        <v>272</v>
      </c>
      <c r="D12" s="985">
        <v>542</v>
      </c>
      <c r="E12" s="985">
        <v>814</v>
      </c>
      <c r="F12" s="985">
        <v>406</v>
      </c>
      <c r="G12" s="985">
        <v>780</v>
      </c>
      <c r="H12" s="985">
        <v>1186</v>
      </c>
      <c r="I12" s="985">
        <v>300</v>
      </c>
      <c r="J12" s="985">
        <v>876</v>
      </c>
      <c r="K12" s="985">
        <v>1176</v>
      </c>
      <c r="L12" s="985">
        <v>178</v>
      </c>
      <c r="M12" s="985">
        <v>850</v>
      </c>
      <c r="N12" s="985">
        <v>1028</v>
      </c>
      <c r="O12" s="985">
        <v>556</v>
      </c>
      <c r="P12" s="985">
        <v>1209</v>
      </c>
      <c r="Q12" s="985">
        <v>1765</v>
      </c>
      <c r="R12" s="985">
        <v>224</v>
      </c>
      <c r="S12" s="985">
        <v>1563</v>
      </c>
      <c r="T12" s="985">
        <v>1787</v>
      </c>
      <c r="U12" s="985">
        <v>231</v>
      </c>
      <c r="V12" s="985">
        <v>2075</v>
      </c>
      <c r="W12" s="985">
        <v>2306</v>
      </c>
      <c r="X12" s="985">
        <v>267</v>
      </c>
      <c r="Y12" s="985">
        <v>1758</v>
      </c>
      <c r="Z12" s="985">
        <v>2025</v>
      </c>
      <c r="AA12" s="985">
        <v>230</v>
      </c>
      <c r="AB12" s="985">
        <v>1185</v>
      </c>
      <c r="AC12" s="985">
        <v>1415</v>
      </c>
      <c r="AD12" s="985">
        <v>205</v>
      </c>
      <c r="AE12" s="985">
        <v>895</v>
      </c>
      <c r="AF12" s="985">
        <v>1100</v>
      </c>
      <c r="AH12" s="985">
        <f t="shared" si="0"/>
        <v>978</v>
      </c>
      <c r="AI12" s="985">
        <f t="shared" si="1"/>
        <v>2198</v>
      </c>
      <c r="AJ12" s="985">
        <f t="shared" si="2"/>
        <v>3176</v>
      </c>
      <c r="AK12" s="985">
        <f t="shared" si="3"/>
        <v>1456</v>
      </c>
      <c r="AL12" s="985">
        <f t="shared" si="4"/>
        <v>7455</v>
      </c>
      <c r="AM12" s="985">
        <f t="shared" si="5"/>
        <v>8911</v>
      </c>
      <c r="AN12" s="985">
        <f t="shared" si="6"/>
        <v>435</v>
      </c>
      <c r="AO12" s="985">
        <f t="shared" si="7"/>
        <v>2080</v>
      </c>
      <c r="AP12" s="985">
        <f t="shared" si="8"/>
        <v>2515</v>
      </c>
      <c r="AR12" s="986">
        <f t="shared" si="9"/>
        <v>0.30793450881612089</v>
      </c>
      <c r="AS12" s="986">
        <f t="shared" si="10"/>
        <v>0.16339355852317361</v>
      </c>
      <c r="AT12" s="986">
        <f t="shared" si="11"/>
        <v>0.17296222664015903</v>
      </c>
      <c r="AV12" s="987">
        <v>3299</v>
      </c>
      <c r="AW12" s="987">
        <v>9056</v>
      </c>
      <c r="AX12" s="987">
        <v>2686</v>
      </c>
      <c r="AZ12" s="987">
        <f t="shared" si="12"/>
        <v>1015.8759445843829</v>
      </c>
      <c r="BA12" s="987">
        <f t="shared" si="13"/>
        <v>1479.6920659858602</v>
      </c>
      <c r="BB12" s="987">
        <f t="shared" si="14"/>
        <v>464.57654075546719</v>
      </c>
      <c r="BC12" s="1004">
        <f t="shared" si="15"/>
        <v>2960.1445513257104</v>
      </c>
    </row>
    <row r="13" spans="1:55" s="984" customFormat="1" ht="12" customHeight="1">
      <c r="A13" s="984" t="s">
        <v>24</v>
      </c>
      <c r="B13" s="988" t="s">
        <v>460</v>
      </c>
      <c r="C13" s="1001">
        <v>1296</v>
      </c>
      <c r="D13" s="985">
        <v>12073</v>
      </c>
      <c r="E13" s="985">
        <v>13369</v>
      </c>
      <c r="F13" s="985">
        <v>1174</v>
      </c>
      <c r="G13" s="985">
        <v>8621</v>
      </c>
      <c r="H13" s="985">
        <v>9795</v>
      </c>
      <c r="I13" s="985">
        <v>1243</v>
      </c>
      <c r="J13" s="985">
        <v>7102</v>
      </c>
      <c r="K13" s="985">
        <v>8345</v>
      </c>
      <c r="L13" s="985">
        <v>3626</v>
      </c>
      <c r="M13" s="985">
        <v>15077</v>
      </c>
      <c r="N13" s="985">
        <v>18703</v>
      </c>
      <c r="O13" s="985">
        <v>3672</v>
      </c>
      <c r="P13" s="985">
        <v>51310</v>
      </c>
      <c r="Q13" s="985">
        <v>54982</v>
      </c>
      <c r="R13" s="985">
        <v>2092</v>
      </c>
      <c r="S13" s="985">
        <v>30150</v>
      </c>
      <c r="T13" s="985">
        <v>32242</v>
      </c>
      <c r="U13" s="985">
        <v>1453</v>
      </c>
      <c r="V13" s="985">
        <v>23764</v>
      </c>
      <c r="W13" s="985">
        <v>25217</v>
      </c>
      <c r="X13" s="985">
        <v>991</v>
      </c>
      <c r="Y13" s="985">
        <v>19273</v>
      </c>
      <c r="Z13" s="985">
        <v>20264</v>
      </c>
      <c r="AA13" s="985">
        <v>804</v>
      </c>
      <c r="AB13" s="985">
        <v>8813</v>
      </c>
      <c r="AC13" s="985">
        <v>9617</v>
      </c>
      <c r="AD13" s="985">
        <v>911</v>
      </c>
      <c r="AE13" s="985">
        <v>6659</v>
      </c>
      <c r="AF13" s="985">
        <v>7570</v>
      </c>
      <c r="AH13" s="985">
        <f t="shared" si="0"/>
        <v>3713</v>
      </c>
      <c r="AI13" s="985">
        <f t="shared" si="1"/>
        <v>27796</v>
      </c>
      <c r="AJ13" s="985">
        <f t="shared" si="2"/>
        <v>31509</v>
      </c>
      <c r="AK13" s="985">
        <f t="shared" si="3"/>
        <v>11834</v>
      </c>
      <c r="AL13" s="985">
        <f t="shared" si="4"/>
        <v>139574</v>
      </c>
      <c r="AM13" s="985">
        <f t="shared" si="5"/>
        <v>151408</v>
      </c>
      <c r="AN13" s="985">
        <f t="shared" si="6"/>
        <v>1715</v>
      </c>
      <c r="AO13" s="985">
        <f t="shared" si="7"/>
        <v>15472</v>
      </c>
      <c r="AP13" s="985">
        <f t="shared" si="8"/>
        <v>17187</v>
      </c>
      <c r="AR13" s="986">
        <f t="shared" si="9"/>
        <v>0.1178393474880193</v>
      </c>
      <c r="AS13" s="986">
        <f t="shared" si="10"/>
        <v>7.8159674521821834E-2</v>
      </c>
      <c r="AT13" s="986">
        <f t="shared" si="11"/>
        <v>9.9784721010065747E-2</v>
      </c>
      <c r="AV13" s="987">
        <v>34495</v>
      </c>
      <c r="AW13" s="987">
        <v>162774</v>
      </c>
      <c r="AX13" s="987">
        <v>18735</v>
      </c>
      <c r="AZ13" s="987">
        <f t="shared" si="12"/>
        <v>4064.8682915992258</v>
      </c>
      <c r="BA13" s="987">
        <f t="shared" si="13"/>
        <v>12722.362860615027</v>
      </c>
      <c r="BB13" s="987">
        <f t="shared" si="14"/>
        <v>1869.4667481235817</v>
      </c>
      <c r="BC13" s="1004">
        <f t="shared" si="15"/>
        <v>18656.697900337833</v>
      </c>
    </row>
    <row r="14" spans="1:55" s="984" customFormat="1" ht="12" customHeight="1">
      <c r="A14" s="984" t="s">
        <v>26</v>
      </c>
      <c r="B14" s="988" t="s">
        <v>770</v>
      </c>
      <c r="C14" s="1001">
        <v>2102</v>
      </c>
      <c r="D14" s="985">
        <v>5811</v>
      </c>
      <c r="E14" s="985">
        <v>7913</v>
      </c>
      <c r="F14" s="985">
        <v>1941</v>
      </c>
      <c r="G14" s="985">
        <v>5907</v>
      </c>
      <c r="H14" s="985">
        <v>7848</v>
      </c>
      <c r="I14" s="985">
        <v>1921</v>
      </c>
      <c r="J14" s="985">
        <v>7146</v>
      </c>
      <c r="K14" s="985">
        <v>9067</v>
      </c>
      <c r="L14" s="985">
        <v>1702</v>
      </c>
      <c r="M14" s="985">
        <v>6491</v>
      </c>
      <c r="N14" s="985">
        <v>8193</v>
      </c>
      <c r="O14" s="985">
        <v>2319</v>
      </c>
      <c r="P14" s="985">
        <v>10534</v>
      </c>
      <c r="Q14" s="985">
        <v>12853</v>
      </c>
      <c r="R14" s="985">
        <v>2370</v>
      </c>
      <c r="S14" s="985">
        <v>12470</v>
      </c>
      <c r="T14" s="985">
        <v>14840</v>
      </c>
      <c r="U14" s="985">
        <v>1982</v>
      </c>
      <c r="V14" s="985">
        <v>15305</v>
      </c>
      <c r="W14" s="985">
        <v>17287</v>
      </c>
      <c r="X14" s="985">
        <v>1556</v>
      </c>
      <c r="Y14" s="985">
        <v>14218</v>
      </c>
      <c r="Z14" s="985">
        <v>15774</v>
      </c>
      <c r="AA14" s="985">
        <v>1520</v>
      </c>
      <c r="AB14" s="985">
        <v>9036</v>
      </c>
      <c r="AC14" s="985">
        <v>10556</v>
      </c>
      <c r="AD14" s="985">
        <v>1352</v>
      </c>
      <c r="AE14" s="985">
        <v>6963</v>
      </c>
      <c r="AF14" s="985">
        <v>8315</v>
      </c>
      <c r="AH14" s="985">
        <f t="shared" si="0"/>
        <v>5964</v>
      </c>
      <c r="AI14" s="985">
        <f t="shared" si="1"/>
        <v>18864</v>
      </c>
      <c r="AJ14" s="985">
        <f t="shared" si="2"/>
        <v>24828</v>
      </c>
      <c r="AK14" s="985">
        <f t="shared" si="3"/>
        <v>9929</v>
      </c>
      <c r="AL14" s="985">
        <f t="shared" si="4"/>
        <v>59018</v>
      </c>
      <c r="AM14" s="985">
        <f t="shared" si="5"/>
        <v>68947</v>
      </c>
      <c r="AN14" s="985">
        <f t="shared" si="6"/>
        <v>2872</v>
      </c>
      <c r="AO14" s="985">
        <f t="shared" si="7"/>
        <v>15999</v>
      </c>
      <c r="AP14" s="985">
        <f t="shared" si="8"/>
        <v>18871</v>
      </c>
      <c r="AR14" s="986">
        <f t="shared" si="9"/>
        <v>0.24021266312228129</v>
      </c>
      <c r="AS14" s="986">
        <f t="shared" si="10"/>
        <v>0.14400916646119483</v>
      </c>
      <c r="AT14" s="986">
        <f t="shared" si="11"/>
        <v>0.15219119283556781</v>
      </c>
      <c r="AV14" s="987">
        <v>15352</v>
      </c>
      <c r="AW14" s="987">
        <v>46035</v>
      </c>
      <c r="AX14" s="987">
        <v>12162</v>
      </c>
      <c r="AZ14" s="987">
        <f t="shared" si="12"/>
        <v>3687.7448042532624</v>
      </c>
      <c r="BA14" s="987">
        <f t="shared" si="13"/>
        <v>6629.461978041104</v>
      </c>
      <c r="BB14" s="987">
        <f t="shared" si="14"/>
        <v>1850.9492872661758</v>
      </c>
      <c r="BC14" s="1004">
        <f t="shared" si="15"/>
        <v>12168.156069560542</v>
      </c>
    </row>
    <row r="15" spans="1:55" s="984" customFormat="1" ht="12" customHeight="1">
      <c r="A15" s="984" t="s">
        <v>27</v>
      </c>
      <c r="B15" s="988" t="s">
        <v>461</v>
      </c>
      <c r="C15" s="1001">
        <v>281</v>
      </c>
      <c r="D15" s="985">
        <v>81</v>
      </c>
      <c r="E15" s="985">
        <v>362</v>
      </c>
      <c r="F15" s="985">
        <v>65</v>
      </c>
      <c r="G15" s="985">
        <v>201</v>
      </c>
      <c r="H15" s="985">
        <v>266</v>
      </c>
      <c r="I15" s="985">
        <v>199</v>
      </c>
      <c r="J15" s="985">
        <v>89</v>
      </c>
      <c r="K15" s="985">
        <v>288</v>
      </c>
      <c r="L15" s="985">
        <v>87</v>
      </c>
      <c r="M15" s="985">
        <v>231</v>
      </c>
      <c r="N15" s="985">
        <v>318</v>
      </c>
      <c r="O15" s="985">
        <v>24</v>
      </c>
      <c r="P15" s="985">
        <v>331</v>
      </c>
      <c r="Q15" s="985">
        <v>355</v>
      </c>
      <c r="R15" s="985">
        <v>189</v>
      </c>
      <c r="S15" s="985">
        <v>423</v>
      </c>
      <c r="T15" s="985">
        <v>612</v>
      </c>
      <c r="U15" s="985">
        <v>103</v>
      </c>
      <c r="V15" s="985">
        <v>812</v>
      </c>
      <c r="W15" s="985">
        <v>915</v>
      </c>
      <c r="X15" s="985">
        <v>50</v>
      </c>
      <c r="Y15" s="985">
        <v>538</v>
      </c>
      <c r="Z15" s="985">
        <v>588</v>
      </c>
      <c r="AA15" s="985">
        <v>133</v>
      </c>
      <c r="AB15" s="985">
        <v>403</v>
      </c>
      <c r="AC15" s="985">
        <v>536</v>
      </c>
      <c r="AD15" s="985">
        <v>101</v>
      </c>
      <c r="AE15" s="985">
        <v>346</v>
      </c>
      <c r="AF15" s="985">
        <v>447</v>
      </c>
      <c r="AH15" s="985">
        <f t="shared" si="0"/>
        <v>545</v>
      </c>
      <c r="AI15" s="985">
        <f t="shared" si="1"/>
        <v>371</v>
      </c>
      <c r="AJ15" s="985">
        <f t="shared" si="2"/>
        <v>916</v>
      </c>
      <c r="AK15" s="985">
        <f t="shared" si="3"/>
        <v>453</v>
      </c>
      <c r="AL15" s="985">
        <f t="shared" si="4"/>
        <v>2335</v>
      </c>
      <c r="AM15" s="985">
        <f t="shared" si="5"/>
        <v>2788</v>
      </c>
      <c r="AN15" s="985">
        <f t="shared" si="6"/>
        <v>234</v>
      </c>
      <c r="AO15" s="985">
        <f t="shared" si="7"/>
        <v>749</v>
      </c>
      <c r="AP15" s="985">
        <f t="shared" si="8"/>
        <v>983</v>
      </c>
      <c r="AR15" s="986">
        <f t="shared" si="9"/>
        <v>0.59497816593886466</v>
      </c>
      <c r="AS15" s="986">
        <f t="shared" si="10"/>
        <v>0.16248206599713055</v>
      </c>
      <c r="AT15" s="986">
        <f t="shared" si="11"/>
        <v>0.2380467955239064</v>
      </c>
      <c r="AV15" s="987">
        <v>782</v>
      </c>
      <c r="AW15" s="987">
        <v>2804</v>
      </c>
      <c r="AX15" s="987">
        <v>1071</v>
      </c>
      <c r="AZ15" s="987">
        <f t="shared" si="12"/>
        <v>465.27292576419217</v>
      </c>
      <c r="BA15" s="987">
        <f t="shared" si="13"/>
        <v>455.59971305595406</v>
      </c>
      <c r="BB15" s="987">
        <f t="shared" si="14"/>
        <v>254.94811800610375</v>
      </c>
      <c r="BC15" s="1004">
        <f t="shared" si="15"/>
        <v>1175.8207568262501</v>
      </c>
    </row>
    <row r="16" spans="1:55" s="984" customFormat="1" ht="12" customHeight="1">
      <c r="A16" s="984" t="s">
        <v>29</v>
      </c>
      <c r="B16" s="988" t="s">
        <v>1013</v>
      </c>
      <c r="C16" s="1001">
        <v>1016</v>
      </c>
      <c r="D16" s="985">
        <v>3361</v>
      </c>
      <c r="E16" s="985">
        <v>4377</v>
      </c>
      <c r="F16" s="985">
        <v>1176</v>
      </c>
      <c r="G16" s="985">
        <v>4432</v>
      </c>
      <c r="H16" s="985">
        <v>5608</v>
      </c>
      <c r="I16" s="985">
        <v>756</v>
      </c>
      <c r="J16" s="985">
        <v>5825</v>
      </c>
      <c r="K16" s="985">
        <v>6581</v>
      </c>
      <c r="L16" s="985">
        <v>1109</v>
      </c>
      <c r="M16" s="985">
        <v>3839</v>
      </c>
      <c r="N16" s="985">
        <v>4948</v>
      </c>
      <c r="O16" s="985">
        <v>1117</v>
      </c>
      <c r="P16" s="985">
        <v>5591</v>
      </c>
      <c r="Q16" s="985">
        <v>6708</v>
      </c>
      <c r="R16" s="985">
        <v>1078</v>
      </c>
      <c r="S16" s="985">
        <v>9300</v>
      </c>
      <c r="T16" s="985">
        <v>10378</v>
      </c>
      <c r="U16" s="985">
        <v>1457</v>
      </c>
      <c r="V16" s="985">
        <v>11083</v>
      </c>
      <c r="W16" s="985">
        <v>12540</v>
      </c>
      <c r="X16" s="985">
        <v>1186</v>
      </c>
      <c r="Y16" s="985">
        <v>9867</v>
      </c>
      <c r="Z16" s="985">
        <v>11053</v>
      </c>
      <c r="AA16" s="985">
        <v>732</v>
      </c>
      <c r="AB16" s="985">
        <v>6331</v>
      </c>
      <c r="AC16" s="985">
        <v>7063</v>
      </c>
      <c r="AD16" s="985">
        <v>673</v>
      </c>
      <c r="AE16" s="985">
        <v>3961</v>
      </c>
      <c r="AF16" s="985">
        <v>4634</v>
      </c>
      <c r="AH16" s="985">
        <f t="shared" si="0"/>
        <v>2948</v>
      </c>
      <c r="AI16" s="985">
        <f t="shared" si="1"/>
        <v>13618</v>
      </c>
      <c r="AJ16" s="985">
        <f t="shared" si="2"/>
        <v>16566</v>
      </c>
      <c r="AK16" s="985">
        <f t="shared" si="3"/>
        <v>5947</v>
      </c>
      <c r="AL16" s="985">
        <f t="shared" si="4"/>
        <v>39680</v>
      </c>
      <c r="AM16" s="985">
        <f t="shared" si="5"/>
        <v>45627</v>
      </c>
      <c r="AN16" s="985">
        <f t="shared" si="6"/>
        <v>1405</v>
      </c>
      <c r="AO16" s="985">
        <f t="shared" si="7"/>
        <v>10292</v>
      </c>
      <c r="AP16" s="985">
        <f t="shared" si="8"/>
        <v>11697</v>
      </c>
      <c r="AR16" s="986">
        <f t="shared" si="9"/>
        <v>0.17795484727755645</v>
      </c>
      <c r="AS16" s="986">
        <f t="shared" si="10"/>
        <v>0.13033949196747541</v>
      </c>
      <c r="AT16" s="986">
        <f t="shared" si="11"/>
        <v>0.12011626912883645</v>
      </c>
      <c r="AV16" s="987">
        <v>15022</v>
      </c>
      <c r="AW16" s="987">
        <v>42606</v>
      </c>
      <c r="AX16" s="987">
        <v>11618</v>
      </c>
      <c r="AZ16" s="987">
        <f t="shared" si="12"/>
        <v>2673.2377158034528</v>
      </c>
      <c r="BA16" s="987">
        <f t="shared" si="13"/>
        <v>5553.2443947662568</v>
      </c>
      <c r="BB16" s="987">
        <f t="shared" si="14"/>
        <v>1395.5108147388219</v>
      </c>
      <c r="BC16" s="1004">
        <f t="shared" si="15"/>
        <v>9621.992925308532</v>
      </c>
    </row>
    <row r="17" spans="1:55" s="984" customFormat="1" ht="12" customHeight="1">
      <c r="A17" s="984" t="s">
        <v>30</v>
      </c>
      <c r="B17" s="988" t="s">
        <v>462</v>
      </c>
      <c r="C17" s="1001">
        <v>10</v>
      </c>
      <c r="D17" s="985">
        <v>297</v>
      </c>
      <c r="E17" s="985">
        <v>307</v>
      </c>
      <c r="F17" s="985">
        <v>50</v>
      </c>
      <c r="G17" s="985">
        <v>262</v>
      </c>
      <c r="H17" s="985">
        <v>312</v>
      </c>
      <c r="I17" s="985">
        <v>83</v>
      </c>
      <c r="J17" s="985">
        <v>502</v>
      </c>
      <c r="K17" s="985">
        <v>585</v>
      </c>
      <c r="L17" s="985">
        <v>120</v>
      </c>
      <c r="M17" s="985">
        <v>262</v>
      </c>
      <c r="N17" s="985">
        <v>382</v>
      </c>
      <c r="O17" s="985">
        <v>32</v>
      </c>
      <c r="P17" s="985">
        <v>690</v>
      </c>
      <c r="Q17" s="985">
        <v>722</v>
      </c>
      <c r="R17" s="985">
        <v>160</v>
      </c>
      <c r="S17" s="985">
        <v>578</v>
      </c>
      <c r="T17" s="985">
        <v>738</v>
      </c>
      <c r="U17" s="985">
        <v>60</v>
      </c>
      <c r="V17" s="985">
        <v>877</v>
      </c>
      <c r="W17" s="985">
        <v>937</v>
      </c>
      <c r="X17" s="985">
        <v>97</v>
      </c>
      <c r="Y17" s="985">
        <v>904</v>
      </c>
      <c r="Z17" s="985">
        <v>1001</v>
      </c>
      <c r="AA17" s="985">
        <v>158</v>
      </c>
      <c r="AB17" s="985">
        <v>597</v>
      </c>
      <c r="AC17" s="985">
        <v>755</v>
      </c>
      <c r="AD17" s="985">
        <v>132</v>
      </c>
      <c r="AE17" s="985">
        <v>312</v>
      </c>
      <c r="AF17" s="985">
        <v>444</v>
      </c>
      <c r="AH17" s="985">
        <f t="shared" si="0"/>
        <v>143</v>
      </c>
      <c r="AI17" s="985">
        <f t="shared" si="1"/>
        <v>1061</v>
      </c>
      <c r="AJ17" s="985">
        <f t="shared" si="2"/>
        <v>1204</v>
      </c>
      <c r="AK17" s="985">
        <f t="shared" si="3"/>
        <v>469</v>
      </c>
      <c r="AL17" s="985">
        <f t="shared" si="4"/>
        <v>3311</v>
      </c>
      <c r="AM17" s="985">
        <f t="shared" si="5"/>
        <v>3780</v>
      </c>
      <c r="AN17" s="985">
        <f t="shared" si="6"/>
        <v>290</v>
      </c>
      <c r="AO17" s="985">
        <f t="shared" si="7"/>
        <v>909</v>
      </c>
      <c r="AP17" s="985">
        <f t="shared" si="8"/>
        <v>1199</v>
      </c>
      <c r="AR17" s="986">
        <f t="shared" si="9"/>
        <v>0.11877076411960133</v>
      </c>
      <c r="AS17" s="986">
        <f t="shared" si="10"/>
        <v>0.12407407407407407</v>
      </c>
      <c r="AT17" s="986">
        <f t="shared" si="11"/>
        <v>0.24186822351959966</v>
      </c>
      <c r="AV17" s="987">
        <v>1204</v>
      </c>
      <c r="AW17" s="987">
        <v>4393</v>
      </c>
      <c r="AX17" s="987">
        <v>1221</v>
      </c>
      <c r="AZ17" s="987">
        <f t="shared" si="12"/>
        <v>143</v>
      </c>
      <c r="BA17" s="987">
        <f t="shared" si="13"/>
        <v>545.05740740740737</v>
      </c>
      <c r="BB17" s="987">
        <f t="shared" si="14"/>
        <v>295.32110091743118</v>
      </c>
      <c r="BC17" s="1004">
        <f t="shared" si="15"/>
        <v>983.37850832483855</v>
      </c>
    </row>
    <row r="18" spans="1:55" s="984" customFormat="1" ht="12" customHeight="1">
      <c r="A18" s="984" t="s">
        <v>32</v>
      </c>
      <c r="B18" s="988" t="s">
        <v>463</v>
      </c>
      <c r="C18" s="1001">
        <v>298</v>
      </c>
      <c r="D18" s="985">
        <v>1808</v>
      </c>
      <c r="E18" s="985">
        <v>2106</v>
      </c>
      <c r="F18" s="985">
        <v>152</v>
      </c>
      <c r="G18" s="985">
        <v>2119</v>
      </c>
      <c r="H18" s="985">
        <v>2271</v>
      </c>
      <c r="I18" s="985">
        <v>399</v>
      </c>
      <c r="J18" s="985">
        <v>2459</v>
      </c>
      <c r="K18" s="985">
        <v>2858</v>
      </c>
      <c r="L18" s="985">
        <v>297</v>
      </c>
      <c r="M18" s="985">
        <v>1736</v>
      </c>
      <c r="N18" s="985">
        <v>2033</v>
      </c>
      <c r="O18" s="985">
        <v>213</v>
      </c>
      <c r="P18" s="985">
        <v>2385</v>
      </c>
      <c r="Q18" s="985">
        <v>2598</v>
      </c>
      <c r="R18" s="985">
        <v>277</v>
      </c>
      <c r="S18" s="985">
        <v>4250</v>
      </c>
      <c r="T18" s="985">
        <v>4527</v>
      </c>
      <c r="U18" s="985">
        <v>431</v>
      </c>
      <c r="V18" s="985">
        <v>5217</v>
      </c>
      <c r="W18" s="985">
        <v>5648</v>
      </c>
      <c r="X18" s="985">
        <v>371</v>
      </c>
      <c r="Y18" s="985">
        <v>4779</v>
      </c>
      <c r="Z18" s="985">
        <v>5150</v>
      </c>
      <c r="AA18" s="985">
        <v>201</v>
      </c>
      <c r="AB18" s="985">
        <v>2921</v>
      </c>
      <c r="AC18" s="985">
        <v>3122</v>
      </c>
      <c r="AD18" s="985">
        <v>423</v>
      </c>
      <c r="AE18" s="985">
        <v>1760</v>
      </c>
      <c r="AF18" s="985">
        <v>2183</v>
      </c>
      <c r="AH18" s="985">
        <f t="shared" si="0"/>
        <v>849</v>
      </c>
      <c r="AI18" s="985">
        <f t="shared" si="1"/>
        <v>6386</v>
      </c>
      <c r="AJ18" s="985">
        <f t="shared" si="2"/>
        <v>7235</v>
      </c>
      <c r="AK18" s="985">
        <f t="shared" si="3"/>
        <v>1589</v>
      </c>
      <c r="AL18" s="985">
        <f t="shared" si="4"/>
        <v>18367</v>
      </c>
      <c r="AM18" s="985">
        <f t="shared" si="5"/>
        <v>19956</v>
      </c>
      <c r="AN18" s="985">
        <f t="shared" si="6"/>
        <v>624</v>
      </c>
      <c r="AO18" s="985">
        <f t="shared" si="7"/>
        <v>4681</v>
      </c>
      <c r="AP18" s="985">
        <f t="shared" si="8"/>
        <v>5305</v>
      </c>
      <c r="AR18" s="986">
        <f t="shared" si="9"/>
        <v>0.11734623358673117</v>
      </c>
      <c r="AS18" s="986">
        <f t="shared" si="10"/>
        <v>7.9625175385848873E-2</v>
      </c>
      <c r="AT18" s="986">
        <f t="shared" si="11"/>
        <v>0.1176248821866164</v>
      </c>
      <c r="AV18" s="987">
        <v>7171</v>
      </c>
      <c r="AW18" s="987">
        <v>20158</v>
      </c>
      <c r="AX18" s="987">
        <v>5599</v>
      </c>
      <c r="AZ18" s="987">
        <f t="shared" si="12"/>
        <v>841.48984105044929</v>
      </c>
      <c r="BA18" s="987">
        <f t="shared" si="13"/>
        <v>1605.0842854279415</v>
      </c>
      <c r="BB18" s="987">
        <f t="shared" si="14"/>
        <v>658.58171536286522</v>
      </c>
      <c r="BC18" s="1004">
        <f t="shared" si="15"/>
        <v>3105.155841841256</v>
      </c>
    </row>
    <row r="19" spans="1:55" s="984" customFormat="1" ht="12" customHeight="1">
      <c r="A19" s="984" t="s">
        <v>36</v>
      </c>
      <c r="B19" s="988" t="s">
        <v>464</v>
      </c>
      <c r="C19" s="1001">
        <v>698</v>
      </c>
      <c r="D19" s="985">
        <v>319</v>
      </c>
      <c r="E19" s="985">
        <v>1017</v>
      </c>
      <c r="F19" s="985">
        <v>304</v>
      </c>
      <c r="G19" s="985">
        <v>698</v>
      </c>
      <c r="H19" s="985">
        <v>1002</v>
      </c>
      <c r="I19" s="985">
        <v>521</v>
      </c>
      <c r="J19" s="985">
        <v>761</v>
      </c>
      <c r="K19" s="985">
        <v>1282</v>
      </c>
      <c r="L19" s="985">
        <v>551</v>
      </c>
      <c r="M19" s="985">
        <v>652</v>
      </c>
      <c r="N19" s="985">
        <v>1203</v>
      </c>
      <c r="O19" s="985">
        <v>439</v>
      </c>
      <c r="P19" s="985">
        <v>1113</v>
      </c>
      <c r="Q19" s="985">
        <v>1552</v>
      </c>
      <c r="R19" s="985">
        <v>292</v>
      </c>
      <c r="S19" s="985">
        <v>1302</v>
      </c>
      <c r="T19" s="985">
        <v>1594</v>
      </c>
      <c r="U19" s="985">
        <v>489</v>
      </c>
      <c r="V19" s="985">
        <v>1915</v>
      </c>
      <c r="W19" s="985">
        <v>2404</v>
      </c>
      <c r="X19" s="985">
        <v>456</v>
      </c>
      <c r="Y19" s="985">
        <v>1776</v>
      </c>
      <c r="Z19" s="985">
        <v>2232</v>
      </c>
      <c r="AA19" s="985">
        <v>430</v>
      </c>
      <c r="AB19" s="985">
        <v>1100</v>
      </c>
      <c r="AC19" s="985">
        <v>1530</v>
      </c>
      <c r="AD19" s="985">
        <v>427</v>
      </c>
      <c r="AE19" s="985">
        <v>773</v>
      </c>
      <c r="AF19" s="985">
        <v>1200</v>
      </c>
      <c r="AH19" s="985">
        <f t="shared" si="0"/>
        <v>1523</v>
      </c>
      <c r="AI19" s="985">
        <f t="shared" si="1"/>
        <v>1778</v>
      </c>
      <c r="AJ19" s="985">
        <f t="shared" si="2"/>
        <v>3301</v>
      </c>
      <c r="AK19" s="985">
        <f t="shared" si="3"/>
        <v>2227</v>
      </c>
      <c r="AL19" s="985">
        <f t="shared" si="4"/>
        <v>6758</v>
      </c>
      <c r="AM19" s="985">
        <f t="shared" si="5"/>
        <v>8985</v>
      </c>
      <c r="AN19" s="985">
        <f t="shared" si="6"/>
        <v>857</v>
      </c>
      <c r="AO19" s="985">
        <f t="shared" si="7"/>
        <v>1873</v>
      </c>
      <c r="AP19" s="985">
        <f t="shared" si="8"/>
        <v>2730</v>
      </c>
      <c r="AR19" s="986">
        <f t="shared" si="9"/>
        <v>0.46137534080581644</v>
      </c>
      <c r="AS19" s="986">
        <f t="shared" si="10"/>
        <v>0.24785754034501947</v>
      </c>
      <c r="AT19" s="986">
        <f t="shared" si="11"/>
        <v>0.31391941391941391</v>
      </c>
      <c r="AV19" s="987">
        <v>3196</v>
      </c>
      <c r="AW19" s="987">
        <v>11045</v>
      </c>
      <c r="AX19" s="987">
        <v>2963</v>
      </c>
      <c r="AZ19" s="987">
        <f t="shared" si="12"/>
        <v>1474.5555892153893</v>
      </c>
      <c r="BA19" s="987">
        <f t="shared" si="13"/>
        <v>2737.5865331107402</v>
      </c>
      <c r="BB19" s="987">
        <f t="shared" si="14"/>
        <v>930.14322344322341</v>
      </c>
      <c r="BC19" s="1004">
        <f t="shared" si="15"/>
        <v>5142.2853457693527</v>
      </c>
    </row>
    <row r="20" spans="1:55" s="984" customFormat="1" ht="12" customHeight="1">
      <c r="A20" s="984" t="s">
        <v>38</v>
      </c>
      <c r="B20" s="988" t="s">
        <v>465</v>
      </c>
      <c r="C20" s="1001">
        <v>716</v>
      </c>
      <c r="D20" s="985">
        <v>612</v>
      </c>
      <c r="E20" s="985">
        <v>1328</v>
      </c>
      <c r="F20" s="985">
        <v>558</v>
      </c>
      <c r="G20" s="985">
        <v>734</v>
      </c>
      <c r="H20" s="985">
        <v>1292</v>
      </c>
      <c r="I20" s="985">
        <v>743</v>
      </c>
      <c r="J20" s="985">
        <v>918</v>
      </c>
      <c r="K20" s="985">
        <v>1661</v>
      </c>
      <c r="L20" s="985">
        <v>507</v>
      </c>
      <c r="M20" s="985">
        <v>1177</v>
      </c>
      <c r="N20" s="985">
        <v>1684</v>
      </c>
      <c r="O20" s="985">
        <v>856</v>
      </c>
      <c r="P20" s="985">
        <v>1660</v>
      </c>
      <c r="Q20" s="985">
        <v>2516</v>
      </c>
      <c r="R20" s="985">
        <v>1095</v>
      </c>
      <c r="S20" s="985">
        <v>2151</v>
      </c>
      <c r="T20" s="985">
        <v>3246</v>
      </c>
      <c r="U20" s="985">
        <v>966</v>
      </c>
      <c r="V20" s="985">
        <v>3033</v>
      </c>
      <c r="W20" s="985">
        <v>3999</v>
      </c>
      <c r="X20" s="985">
        <v>755</v>
      </c>
      <c r="Y20" s="985">
        <v>2737</v>
      </c>
      <c r="Z20" s="985">
        <v>3492</v>
      </c>
      <c r="AA20" s="985">
        <v>508</v>
      </c>
      <c r="AB20" s="985">
        <v>1905</v>
      </c>
      <c r="AC20" s="985">
        <v>2413</v>
      </c>
      <c r="AD20" s="985">
        <v>373</v>
      </c>
      <c r="AE20" s="985">
        <v>1081</v>
      </c>
      <c r="AF20" s="985">
        <v>1454</v>
      </c>
      <c r="AH20" s="985">
        <f t="shared" si="0"/>
        <v>2017</v>
      </c>
      <c r="AI20" s="985">
        <f t="shared" si="1"/>
        <v>2264</v>
      </c>
      <c r="AJ20" s="985">
        <f t="shared" si="2"/>
        <v>4281</v>
      </c>
      <c r="AK20" s="985">
        <f t="shared" si="3"/>
        <v>4179</v>
      </c>
      <c r="AL20" s="985">
        <f t="shared" si="4"/>
        <v>10758</v>
      </c>
      <c r="AM20" s="985">
        <f t="shared" si="5"/>
        <v>14937</v>
      </c>
      <c r="AN20" s="985">
        <f t="shared" si="6"/>
        <v>881</v>
      </c>
      <c r="AO20" s="985">
        <f t="shared" si="7"/>
        <v>2986</v>
      </c>
      <c r="AP20" s="985">
        <f t="shared" si="8"/>
        <v>3867</v>
      </c>
      <c r="AR20" s="986">
        <f t="shared" si="9"/>
        <v>0.4711516000934361</v>
      </c>
      <c r="AS20" s="986">
        <f t="shared" si="10"/>
        <v>0.27977505523197427</v>
      </c>
      <c r="AT20" s="986">
        <f t="shared" si="11"/>
        <v>0.22782518748383759</v>
      </c>
      <c r="AV20" s="987">
        <v>4322</v>
      </c>
      <c r="AW20" s="987">
        <v>15371</v>
      </c>
      <c r="AX20" s="987">
        <v>3888</v>
      </c>
      <c r="AZ20" s="987">
        <f t="shared" si="12"/>
        <v>2036.3172156038308</v>
      </c>
      <c r="BA20" s="987">
        <f t="shared" si="13"/>
        <v>4300.4223739706767</v>
      </c>
      <c r="BB20" s="987">
        <f t="shared" si="14"/>
        <v>885.78432893716058</v>
      </c>
      <c r="BC20" s="1004">
        <f t="shared" si="15"/>
        <v>7222.5239185116679</v>
      </c>
    </row>
    <row r="21" spans="1:55" s="984" customFormat="1" ht="12" customHeight="1">
      <c r="A21" s="984" t="s">
        <v>40</v>
      </c>
      <c r="B21" s="988" t="s">
        <v>466</v>
      </c>
      <c r="C21" s="1001">
        <v>291</v>
      </c>
      <c r="D21" s="985">
        <v>764</v>
      </c>
      <c r="E21" s="985">
        <v>1055</v>
      </c>
      <c r="F21" s="985">
        <v>182</v>
      </c>
      <c r="G21" s="985">
        <v>348</v>
      </c>
      <c r="H21" s="985">
        <v>530</v>
      </c>
      <c r="I21" s="985">
        <v>369</v>
      </c>
      <c r="J21" s="985">
        <v>582</v>
      </c>
      <c r="K21" s="985">
        <v>951</v>
      </c>
      <c r="L21" s="985">
        <v>228</v>
      </c>
      <c r="M21" s="985">
        <v>627</v>
      </c>
      <c r="N21" s="985">
        <v>855</v>
      </c>
      <c r="O21" s="985">
        <v>231</v>
      </c>
      <c r="P21" s="985">
        <v>902</v>
      </c>
      <c r="Q21" s="985">
        <v>1133</v>
      </c>
      <c r="R21" s="985">
        <v>371</v>
      </c>
      <c r="S21" s="985">
        <v>1116</v>
      </c>
      <c r="T21" s="985">
        <v>1487</v>
      </c>
      <c r="U21" s="985">
        <v>478</v>
      </c>
      <c r="V21" s="985">
        <v>1161</v>
      </c>
      <c r="W21" s="985">
        <v>1639</v>
      </c>
      <c r="X21" s="985">
        <v>373</v>
      </c>
      <c r="Y21" s="985">
        <v>1723</v>
      </c>
      <c r="Z21" s="985">
        <v>2096</v>
      </c>
      <c r="AA21" s="985">
        <v>246</v>
      </c>
      <c r="AB21" s="985">
        <v>1139</v>
      </c>
      <c r="AC21" s="985">
        <v>1385</v>
      </c>
      <c r="AD21" s="985">
        <v>246</v>
      </c>
      <c r="AE21" s="985">
        <v>641</v>
      </c>
      <c r="AF21" s="985">
        <v>887</v>
      </c>
      <c r="AH21" s="985">
        <f t="shared" si="0"/>
        <v>842</v>
      </c>
      <c r="AI21" s="985">
        <f t="shared" si="1"/>
        <v>1694</v>
      </c>
      <c r="AJ21" s="985">
        <f t="shared" si="2"/>
        <v>2536</v>
      </c>
      <c r="AK21" s="985">
        <f t="shared" si="3"/>
        <v>1681</v>
      </c>
      <c r="AL21" s="985">
        <f t="shared" si="4"/>
        <v>5529</v>
      </c>
      <c r="AM21" s="985">
        <f t="shared" si="5"/>
        <v>7210</v>
      </c>
      <c r="AN21" s="985">
        <f t="shared" si="6"/>
        <v>492</v>
      </c>
      <c r="AO21" s="985">
        <f t="shared" si="7"/>
        <v>1780</v>
      </c>
      <c r="AP21" s="985">
        <f t="shared" si="8"/>
        <v>2272</v>
      </c>
      <c r="AR21" s="986">
        <f t="shared" si="9"/>
        <v>0.33201892744479494</v>
      </c>
      <c r="AS21" s="986">
        <f t="shared" si="10"/>
        <v>0.23314840499306519</v>
      </c>
      <c r="AT21" s="986">
        <f t="shared" si="11"/>
        <v>0.21654929577464788</v>
      </c>
      <c r="AV21" s="987">
        <v>3271</v>
      </c>
      <c r="AW21" s="987">
        <v>11461</v>
      </c>
      <c r="AX21" s="987">
        <v>2546</v>
      </c>
      <c r="AZ21" s="987">
        <f t="shared" si="12"/>
        <v>1086.0339116719242</v>
      </c>
      <c r="BA21" s="987">
        <f t="shared" si="13"/>
        <v>2672.1138696255202</v>
      </c>
      <c r="BB21" s="987">
        <f t="shared" si="14"/>
        <v>551.33450704225345</v>
      </c>
      <c r="BC21" s="1004">
        <f t="shared" si="15"/>
        <v>4309.4822883396982</v>
      </c>
    </row>
    <row r="22" spans="1:55" s="984" customFormat="1" ht="12" customHeight="1">
      <c r="A22" s="984" t="s">
        <v>42</v>
      </c>
      <c r="B22" s="988" t="s">
        <v>467</v>
      </c>
      <c r="C22" s="1001">
        <v>991</v>
      </c>
      <c r="D22" s="985">
        <v>2162</v>
      </c>
      <c r="E22" s="985">
        <v>3153</v>
      </c>
      <c r="F22" s="985">
        <v>919</v>
      </c>
      <c r="G22" s="985">
        <v>3023</v>
      </c>
      <c r="H22" s="985">
        <v>3942</v>
      </c>
      <c r="I22" s="985">
        <v>1389</v>
      </c>
      <c r="J22" s="985">
        <v>3197</v>
      </c>
      <c r="K22" s="985">
        <v>4586</v>
      </c>
      <c r="L22" s="985">
        <v>1443</v>
      </c>
      <c r="M22" s="985">
        <v>3736</v>
      </c>
      <c r="N22" s="985">
        <v>5179</v>
      </c>
      <c r="O22" s="985">
        <v>1150</v>
      </c>
      <c r="P22" s="985">
        <v>4520</v>
      </c>
      <c r="Q22" s="985">
        <v>5670</v>
      </c>
      <c r="R22" s="985">
        <v>1340</v>
      </c>
      <c r="S22" s="985">
        <v>6063</v>
      </c>
      <c r="T22" s="985">
        <v>7403</v>
      </c>
      <c r="U22" s="985">
        <v>1234</v>
      </c>
      <c r="V22" s="985">
        <v>7123</v>
      </c>
      <c r="W22" s="985">
        <v>8357</v>
      </c>
      <c r="X22" s="985">
        <v>798</v>
      </c>
      <c r="Y22" s="985">
        <v>6336</v>
      </c>
      <c r="Z22" s="985">
        <v>7134</v>
      </c>
      <c r="AA22" s="985">
        <v>564</v>
      </c>
      <c r="AB22" s="985">
        <v>4310</v>
      </c>
      <c r="AC22" s="985">
        <v>4874</v>
      </c>
      <c r="AD22" s="985">
        <v>391</v>
      </c>
      <c r="AE22" s="985">
        <v>3113</v>
      </c>
      <c r="AF22" s="985">
        <v>3504</v>
      </c>
      <c r="AH22" s="985">
        <f t="shared" si="0"/>
        <v>3299</v>
      </c>
      <c r="AI22" s="985">
        <f t="shared" si="1"/>
        <v>8382</v>
      </c>
      <c r="AJ22" s="985">
        <f t="shared" si="2"/>
        <v>11681</v>
      </c>
      <c r="AK22" s="985">
        <f t="shared" si="3"/>
        <v>5965</v>
      </c>
      <c r="AL22" s="985">
        <f t="shared" si="4"/>
        <v>27778</v>
      </c>
      <c r="AM22" s="985">
        <f t="shared" si="5"/>
        <v>33743</v>
      </c>
      <c r="AN22" s="985">
        <f t="shared" si="6"/>
        <v>955</v>
      </c>
      <c r="AO22" s="985">
        <f t="shared" si="7"/>
        <v>7423</v>
      </c>
      <c r="AP22" s="985">
        <f t="shared" si="8"/>
        <v>8378</v>
      </c>
      <c r="AR22" s="986">
        <f t="shared" si="9"/>
        <v>0.28242444996147592</v>
      </c>
      <c r="AS22" s="986">
        <f t="shared" si="10"/>
        <v>0.17677740568414191</v>
      </c>
      <c r="AT22" s="986">
        <f t="shared" si="11"/>
        <v>0.11398901885891621</v>
      </c>
      <c r="AV22" s="987">
        <v>11732</v>
      </c>
      <c r="AW22" s="987">
        <v>34424</v>
      </c>
      <c r="AX22" s="987">
        <v>8876</v>
      </c>
      <c r="AZ22" s="987">
        <f t="shared" si="12"/>
        <v>3313.4036469480357</v>
      </c>
      <c r="BA22" s="987">
        <f t="shared" si="13"/>
        <v>6085.3854132709012</v>
      </c>
      <c r="BB22" s="987">
        <f t="shared" si="14"/>
        <v>1011.7665313917403</v>
      </c>
      <c r="BC22" s="1004">
        <f t="shared" si="15"/>
        <v>10410.555591610677</v>
      </c>
    </row>
    <row r="23" spans="1:55" s="984" customFormat="1" ht="12" customHeight="1">
      <c r="A23" s="984" t="s">
        <v>44</v>
      </c>
      <c r="B23" s="988" t="s">
        <v>468</v>
      </c>
      <c r="C23" s="1001">
        <v>164</v>
      </c>
      <c r="D23" s="985">
        <v>2049</v>
      </c>
      <c r="E23" s="985">
        <v>2213</v>
      </c>
      <c r="F23" s="985">
        <v>485</v>
      </c>
      <c r="G23" s="985">
        <v>1889</v>
      </c>
      <c r="H23" s="985">
        <v>2374</v>
      </c>
      <c r="I23" s="985">
        <v>307</v>
      </c>
      <c r="J23" s="985">
        <v>1756</v>
      </c>
      <c r="K23" s="985">
        <v>2063</v>
      </c>
      <c r="L23" s="985">
        <v>397</v>
      </c>
      <c r="M23" s="985">
        <v>1395</v>
      </c>
      <c r="N23" s="985">
        <v>1792</v>
      </c>
      <c r="O23" s="985">
        <v>367</v>
      </c>
      <c r="P23" s="985">
        <v>3098</v>
      </c>
      <c r="Q23" s="985">
        <v>3465</v>
      </c>
      <c r="R23" s="985">
        <v>440</v>
      </c>
      <c r="S23" s="985">
        <v>3530</v>
      </c>
      <c r="T23" s="985">
        <v>3970</v>
      </c>
      <c r="U23" s="985">
        <v>479</v>
      </c>
      <c r="V23" s="985">
        <v>3781</v>
      </c>
      <c r="W23" s="985">
        <v>4260</v>
      </c>
      <c r="X23" s="985">
        <v>199</v>
      </c>
      <c r="Y23" s="985">
        <v>3356</v>
      </c>
      <c r="Z23" s="985">
        <v>3555</v>
      </c>
      <c r="AA23" s="985">
        <v>331</v>
      </c>
      <c r="AB23" s="985">
        <v>1710</v>
      </c>
      <c r="AC23" s="985">
        <v>2041</v>
      </c>
      <c r="AD23" s="985">
        <v>201</v>
      </c>
      <c r="AE23" s="985">
        <v>1258</v>
      </c>
      <c r="AF23" s="985">
        <v>1459</v>
      </c>
      <c r="AH23" s="985">
        <f t="shared" si="0"/>
        <v>956</v>
      </c>
      <c r="AI23" s="985">
        <f t="shared" si="1"/>
        <v>5694</v>
      </c>
      <c r="AJ23" s="985">
        <f t="shared" si="2"/>
        <v>6650</v>
      </c>
      <c r="AK23" s="985">
        <f t="shared" si="3"/>
        <v>1882</v>
      </c>
      <c r="AL23" s="985">
        <f t="shared" si="4"/>
        <v>15160</v>
      </c>
      <c r="AM23" s="985">
        <f t="shared" si="5"/>
        <v>17042</v>
      </c>
      <c r="AN23" s="985">
        <f t="shared" si="6"/>
        <v>532</v>
      </c>
      <c r="AO23" s="985">
        <f t="shared" si="7"/>
        <v>2968</v>
      </c>
      <c r="AP23" s="985">
        <f t="shared" si="8"/>
        <v>3500</v>
      </c>
      <c r="AR23" s="986">
        <f t="shared" si="9"/>
        <v>0.14375939849624061</v>
      </c>
      <c r="AS23" s="986">
        <f t="shared" si="10"/>
        <v>0.11043304776434691</v>
      </c>
      <c r="AT23" s="986">
        <f t="shared" si="11"/>
        <v>0.152</v>
      </c>
      <c r="AV23" s="987">
        <v>6749</v>
      </c>
      <c r="AW23" s="987">
        <v>17996</v>
      </c>
      <c r="AX23" s="987">
        <v>3929</v>
      </c>
      <c r="AZ23" s="987">
        <f t="shared" si="12"/>
        <v>970.23218045112787</v>
      </c>
      <c r="BA23" s="987">
        <f t="shared" si="13"/>
        <v>1987.3531275671871</v>
      </c>
      <c r="BB23" s="987">
        <f t="shared" si="14"/>
        <v>597.20799999999997</v>
      </c>
      <c r="BC23" s="1004">
        <f t="shared" si="15"/>
        <v>3554.7933080183152</v>
      </c>
    </row>
    <row r="24" spans="1:55" s="984" customFormat="1" ht="12" customHeight="1">
      <c r="A24" s="984" t="s">
        <v>46</v>
      </c>
      <c r="B24" s="988" t="s">
        <v>469</v>
      </c>
      <c r="C24" s="1001">
        <v>695</v>
      </c>
      <c r="D24" s="985">
        <v>886</v>
      </c>
      <c r="E24" s="985">
        <v>1581</v>
      </c>
      <c r="F24" s="985">
        <v>706</v>
      </c>
      <c r="G24" s="985">
        <v>1365</v>
      </c>
      <c r="H24" s="985">
        <v>2071</v>
      </c>
      <c r="I24" s="985">
        <v>508</v>
      </c>
      <c r="J24" s="985">
        <v>1698</v>
      </c>
      <c r="K24" s="985">
        <v>2206</v>
      </c>
      <c r="L24" s="985">
        <v>639</v>
      </c>
      <c r="M24" s="985">
        <v>1332</v>
      </c>
      <c r="N24" s="985">
        <v>1971</v>
      </c>
      <c r="O24" s="985">
        <v>715</v>
      </c>
      <c r="P24" s="985">
        <v>2365</v>
      </c>
      <c r="Q24" s="985">
        <v>3080</v>
      </c>
      <c r="R24" s="985">
        <v>978</v>
      </c>
      <c r="S24" s="985">
        <v>3094</v>
      </c>
      <c r="T24" s="985">
        <v>4072</v>
      </c>
      <c r="U24" s="985">
        <v>1046</v>
      </c>
      <c r="V24" s="985">
        <v>3504</v>
      </c>
      <c r="W24" s="985">
        <v>4550</v>
      </c>
      <c r="X24" s="985">
        <v>720</v>
      </c>
      <c r="Y24" s="985">
        <v>3814</v>
      </c>
      <c r="Z24" s="985">
        <v>4534</v>
      </c>
      <c r="AA24" s="985">
        <v>568</v>
      </c>
      <c r="AB24" s="985">
        <v>2726</v>
      </c>
      <c r="AC24" s="985">
        <v>3294</v>
      </c>
      <c r="AD24" s="985">
        <v>925</v>
      </c>
      <c r="AE24" s="985">
        <v>1548</v>
      </c>
      <c r="AF24" s="985">
        <v>2473</v>
      </c>
      <c r="AH24" s="985">
        <f t="shared" si="0"/>
        <v>1909</v>
      </c>
      <c r="AI24" s="985">
        <f t="shared" si="1"/>
        <v>3949</v>
      </c>
      <c r="AJ24" s="985">
        <f t="shared" si="2"/>
        <v>5858</v>
      </c>
      <c r="AK24" s="985">
        <f t="shared" si="3"/>
        <v>4098</v>
      </c>
      <c r="AL24" s="985">
        <f t="shared" si="4"/>
        <v>14109</v>
      </c>
      <c r="AM24" s="985">
        <f t="shared" si="5"/>
        <v>18207</v>
      </c>
      <c r="AN24" s="985">
        <f t="shared" si="6"/>
        <v>1493</v>
      </c>
      <c r="AO24" s="985">
        <f t="shared" si="7"/>
        <v>4274</v>
      </c>
      <c r="AP24" s="985">
        <f t="shared" si="8"/>
        <v>5767</v>
      </c>
      <c r="AR24" s="986">
        <f t="shared" si="9"/>
        <v>0.32587913963810172</v>
      </c>
      <c r="AS24" s="986">
        <f t="shared" si="10"/>
        <v>0.22507826660075794</v>
      </c>
      <c r="AT24" s="986">
        <f t="shared" si="11"/>
        <v>0.25888676955089301</v>
      </c>
      <c r="AV24" s="987">
        <v>6062</v>
      </c>
      <c r="AW24" s="987">
        <v>18006</v>
      </c>
      <c r="AX24" s="987">
        <v>5913</v>
      </c>
      <c r="AZ24" s="987">
        <f t="shared" si="12"/>
        <v>1975.4793444861727</v>
      </c>
      <c r="BA24" s="987">
        <f t="shared" si="13"/>
        <v>4052.7592684132474</v>
      </c>
      <c r="BB24" s="987">
        <f t="shared" si="14"/>
        <v>1530.7974683544303</v>
      </c>
      <c r="BC24" s="1004">
        <f t="shared" si="15"/>
        <v>7559.0360812538511</v>
      </c>
    </row>
    <row r="25" spans="1:55" s="984" customFormat="1" ht="12" customHeight="1">
      <c r="A25" s="984" t="s">
        <v>48</v>
      </c>
      <c r="B25" s="988" t="s">
        <v>470</v>
      </c>
      <c r="C25" s="1001">
        <v>26</v>
      </c>
      <c r="D25" s="985">
        <v>324</v>
      </c>
      <c r="E25" s="985">
        <v>350</v>
      </c>
      <c r="F25" s="985">
        <v>85</v>
      </c>
      <c r="G25" s="985">
        <v>332</v>
      </c>
      <c r="H25" s="985">
        <v>417</v>
      </c>
      <c r="I25" s="985">
        <v>83</v>
      </c>
      <c r="J25" s="985">
        <v>489</v>
      </c>
      <c r="K25" s="985">
        <v>572</v>
      </c>
      <c r="L25" s="985">
        <v>52</v>
      </c>
      <c r="M25" s="985">
        <v>484</v>
      </c>
      <c r="N25" s="985">
        <v>536</v>
      </c>
      <c r="O25" s="985">
        <v>95</v>
      </c>
      <c r="P25" s="985">
        <v>528</v>
      </c>
      <c r="Q25" s="985">
        <v>623</v>
      </c>
      <c r="R25" s="985">
        <v>96</v>
      </c>
      <c r="S25" s="985">
        <v>844</v>
      </c>
      <c r="T25" s="985">
        <v>940</v>
      </c>
      <c r="U25" s="985">
        <v>149</v>
      </c>
      <c r="V25" s="985">
        <v>1210</v>
      </c>
      <c r="W25" s="985">
        <v>1359</v>
      </c>
      <c r="X25" s="985">
        <v>89</v>
      </c>
      <c r="Y25" s="985">
        <v>1137</v>
      </c>
      <c r="Z25" s="985">
        <v>1226</v>
      </c>
      <c r="AA25" s="985">
        <v>121</v>
      </c>
      <c r="AB25" s="985">
        <v>583</v>
      </c>
      <c r="AC25" s="985">
        <v>704</v>
      </c>
      <c r="AD25" s="985">
        <v>82</v>
      </c>
      <c r="AE25" s="985">
        <v>389</v>
      </c>
      <c r="AF25" s="985">
        <v>471</v>
      </c>
      <c r="AH25" s="985">
        <f t="shared" si="0"/>
        <v>194</v>
      </c>
      <c r="AI25" s="985">
        <f t="shared" si="1"/>
        <v>1145</v>
      </c>
      <c r="AJ25" s="985">
        <f t="shared" si="2"/>
        <v>1339</v>
      </c>
      <c r="AK25" s="985">
        <f t="shared" si="3"/>
        <v>481</v>
      </c>
      <c r="AL25" s="985">
        <f t="shared" si="4"/>
        <v>4203</v>
      </c>
      <c r="AM25" s="985">
        <f t="shared" si="5"/>
        <v>4684</v>
      </c>
      <c r="AN25" s="985">
        <f t="shared" si="6"/>
        <v>203</v>
      </c>
      <c r="AO25" s="985">
        <f t="shared" si="7"/>
        <v>972</v>
      </c>
      <c r="AP25" s="985">
        <f t="shared" si="8"/>
        <v>1175</v>
      </c>
      <c r="AR25" s="986">
        <f t="shared" si="9"/>
        <v>0.14488424197162061</v>
      </c>
      <c r="AS25" s="986">
        <f t="shared" si="10"/>
        <v>0.10269000853970965</v>
      </c>
      <c r="AT25" s="986">
        <f t="shared" si="11"/>
        <v>0.1727659574468085</v>
      </c>
      <c r="AV25" s="987">
        <v>1248</v>
      </c>
      <c r="AW25" s="987">
        <v>4724</v>
      </c>
      <c r="AX25" s="987">
        <v>1269</v>
      </c>
      <c r="AZ25" s="987">
        <f t="shared" si="12"/>
        <v>180.81553398058253</v>
      </c>
      <c r="BA25" s="987">
        <f t="shared" si="13"/>
        <v>485.10760034158841</v>
      </c>
      <c r="BB25" s="987">
        <f t="shared" si="14"/>
        <v>219.23999999999998</v>
      </c>
      <c r="BC25" s="1004">
        <f t="shared" si="15"/>
        <v>885.16313432217089</v>
      </c>
    </row>
    <row r="26" spans="1:55" s="984" customFormat="1" ht="12" customHeight="1">
      <c r="A26" s="984" t="s">
        <v>50</v>
      </c>
      <c r="B26" s="988" t="s">
        <v>471</v>
      </c>
      <c r="C26" s="1001">
        <v>304</v>
      </c>
      <c r="D26" s="985">
        <v>571</v>
      </c>
      <c r="E26" s="985">
        <v>875</v>
      </c>
      <c r="F26" s="985">
        <v>337</v>
      </c>
      <c r="G26" s="985">
        <v>762</v>
      </c>
      <c r="H26" s="985">
        <v>1099</v>
      </c>
      <c r="I26" s="985">
        <v>241</v>
      </c>
      <c r="J26" s="985">
        <v>666</v>
      </c>
      <c r="K26" s="985">
        <v>907</v>
      </c>
      <c r="L26" s="985">
        <v>291</v>
      </c>
      <c r="M26" s="985">
        <v>670</v>
      </c>
      <c r="N26" s="985">
        <v>961</v>
      </c>
      <c r="O26" s="985">
        <v>256</v>
      </c>
      <c r="P26" s="985">
        <v>1029</v>
      </c>
      <c r="Q26" s="985">
        <v>1285</v>
      </c>
      <c r="R26" s="985">
        <v>252</v>
      </c>
      <c r="S26" s="985">
        <v>1127</v>
      </c>
      <c r="T26" s="985">
        <v>1379</v>
      </c>
      <c r="U26" s="985">
        <v>263</v>
      </c>
      <c r="V26" s="985">
        <v>1686</v>
      </c>
      <c r="W26" s="985">
        <v>1949</v>
      </c>
      <c r="X26" s="985">
        <v>317</v>
      </c>
      <c r="Y26" s="985">
        <v>1405</v>
      </c>
      <c r="Z26" s="985">
        <v>1722</v>
      </c>
      <c r="AA26" s="985">
        <v>301</v>
      </c>
      <c r="AB26" s="985">
        <v>987</v>
      </c>
      <c r="AC26" s="985">
        <v>1288</v>
      </c>
      <c r="AD26" s="985">
        <v>281</v>
      </c>
      <c r="AE26" s="985">
        <v>698</v>
      </c>
      <c r="AF26" s="985">
        <v>979</v>
      </c>
      <c r="AH26" s="985">
        <f t="shared" si="0"/>
        <v>882</v>
      </c>
      <c r="AI26" s="985">
        <f t="shared" si="1"/>
        <v>1999</v>
      </c>
      <c r="AJ26" s="985">
        <f t="shared" si="2"/>
        <v>2881</v>
      </c>
      <c r="AK26" s="985">
        <f t="shared" si="3"/>
        <v>1379</v>
      </c>
      <c r="AL26" s="985">
        <f t="shared" si="4"/>
        <v>5917</v>
      </c>
      <c r="AM26" s="985">
        <f t="shared" si="5"/>
        <v>7296</v>
      </c>
      <c r="AN26" s="985">
        <f t="shared" si="6"/>
        <v>582</v>
      </c>
      <c r="AO26" s="985">
        <f t="shared" si="7"/>
        <v>1685</v>
      </c>
      <c r="AP26" s="985">
        <f t="shared" si="8"/>
        <v>2267</v>
      </c>
      <c r="AR26" s="986">
        <f t="shared" si="9"/>
        <v>0.3061437001041305</v>
      </c>
      <c r="AS26" s="986">
        <f t="shared" si="10"/>
        <v>0.18900767543859648</v>
      </c>
      <c r="AT26" s="986">
        <f t="shared" si="11"/>
        <v>0.25672695191883549</v>
      </c>
      <c r="AV26" s="987">
        <v>2769</v>
      </c>
      <c r="AW26" s="987">
        <v>7373</v>
      </c>
      <c r="AX26" s="987">
        <v>2363</v>
      </c>
      <c r="AZ26" s="987">
        <f t="shared" si="12"/>
        <v>847.71190558833734</v>
      </c>
      <c r="BA26" s="987">
        <f t="shared" si="13"/>
        <v>1393.5535910087719</v>
      </c>
      <c r="BB26" s="987">
        <f t="shared" si="14"/>
        <v>606.64578738420823</v>
      </c>
      <c r="BC26" s="1004">
        <f t="shared" si="15"/>
        <v>2847.9112839813174</v>
      </c>
    </row>
    <row r="27" spans="1:55" s="984" customFormat="1" ht="12" customHeight="1">
      <c r="A27" s="984" t="s">
        <v>56</v>
      </c>
      <c r="B27" s="988" t="s">
        <v>771</v>
      </c>
      <c r="C27" s="1001">
        <v>3314</v>
      </c>
      <c r="D27" s="985">
        <v>21849</v>
      </c>
      <c r="E27" s="985">
        <v>25163</v>
      </c>
      <c r="F27" s="985">
        <v>3832</v>
      </c>
      <c r="G27" s="985">
        <v>24770</v>
      </c>
      <c r="H27" s="985">
        <v>28602</v>
      </c>
      <c r="I27" s="985">
        <v>2771</v>
      </c>
      <c r="J27" s="985">
        <v>28098</v>
      </c>
      <c r="K27" s="985">
        <v>30869</v>
      </c>
      <c r="L27" s="985">
        <v>3398</v>
      </c>
      <c r="M27" s="985">
        <v>22536</v>
      </c>
      <c r="N27" s="985">
        <v>25934</v>
      </c>
      <c r="O27" s="985">
        <v>3796</v>
      </c>
      <c r="P27" s="985">
        <v>35491</v>
      </c>
      <c r="Q27" s="985">
        <v>39287</v>
      </c>
      <c r="R27" s="985">
        <v>3149</v>
      </c>
      <c r="S27" s="985">
        <v>45364</v>
      </c>
      <c r="T27" s="985">
        <v>48513</v>
      </c>
      <c r="U27" s="985">
        <v>3108</v>
      </c>
      <c r="V27" s="985">
        <v>49023</v>
      </c>
      <c r="W27" s="985">
        <v>52131</v>
      </c>
      <c r="X27" s="985">
        <v>2298</v>
      </c>
      <c r="Y27" s="985">
        <v>38362</v>
      </c>
      <c r="Z27" s="985">
        <v>40660</v>
      </c>
      <c r="AA27" s="985">
        <v>1014</v>
      </c>
      <c r="AB27" s="985">
        <v>18964</v>
      </c>
      <c r="AC27" s="985">
        <v>19978</v>
      </c>
      <c r="AD27" s="985">
        <v>1579</v>
      </c>
      <c r="AE27" s="985">
        <v>12761</v>
      </c>
      <c r="AF27" s="985">
        <v>14340</v>
      </c>
      <c r="AH27" s="985">
        <f t="shared" si="0"/>
        <v>9917</v>
      </c>
      <c r="AI27" s="985">
        <f t="shared" si="1"/>
        <v>74717</v>
      </c>
      <c r="AJ27" s="985">
        <f t="shared" si="2"/>
        <v>84634</v>
      </c>
      <c r="AK27" s="985">
        <f t="shared" si="3"/>
        <v>15749</v>
      </c>
      <c r="AL27" s="985">
        <f t="shared" si="4"/>
        <v>190776</v>
      </c>
      <c r="AM27" s="985">
        <f t="shared" si="5"/>
        <v>206525</v>
      </c>
      <c r="AN27" s="985">
        <f t="shared" si="6"/>
        <v>2593</v>
      </c>
      <c r="AO27" s="985">
        <f t="shared" si="7"/>
        <v>31725</v>
      </c>
      <c r="AP27" s="985">
        <f t="shared" si="8"/>
        <v>34318</v>
      </c>
      <c r="AR27" s="986">
        <f t="shared" si="9"/>
        <v>0.11717513056218541</v>
      </c>
      <c r="AS27" s="986">
        <f t="shared" si="10"/>
        <v>7.6257111729814794E-2</v>
      </c>
      <c r="AT27" s="986">
        <f t="shared" si="11"/>
        <v>7.5558016201410338E-2</v>
      </c>
      <c r="AV27" s="987">
        <v>81628</v>
      </c>
      <c r="AW27" s="987">
        <v>203652</v>
      </c>
      <c r="AX27" s="987">
        <v>34997</v>
      </c>
      <c r="AZ27" s="987">
        <f t="shared" si="12"/>
        <v>9564.7715575300699</v>
      </c>
      <c r="BA27" s="987">
        <f t="shared" si="13"/>
        <v>15529.913318000243</v>
      </c>
      <c r="BB27" s="987">
        <f t="shared" si="14"/>
        <v>2644.3038930007574</v>
      </c>
      <c r="BC27" s="1004">
        <f t="shared" si="15"/>
        <v>27738.988768531071</v>
      </c>
    </row>
    <row r="28" spans="1:55" s="984" customFormat="1" ht="12" customHeight="1">
      <c r="A28" s="984" t="s">
        <v>58</v>
      </c>
      <c r="B28" s="988" t="s">
        <v>472</v>
      </c>
      <c r="C28" s="1001">
        <v>130</v>
      </c>
      <c r="D28" s="985">
        <v>683</v>
      </c>
      <c r="E28" s="985">
        <v>813</v>
      </c>
      <c r="F28" s="985">
        <v>70</v>
      </c>
      <c r="G28" s="985">
        <v>1072</v>
      </c>
      <c r="H28" s="985">
        <v>1142</v>
      </c>
      <c r="I28" s="985">
        <v>53</v>
      </c>
      <c r="J28" s="985">
        <v>1155</v>
      </c>
      <c r="K28" s="985">
        <v>1208</v>
      </c>
      <c r="L28" s="985">
        <v>143</v>
      </c>
      <c r="M28" s="985">
        <v>622</v>
      </c>
      <c r="N28" s="985">
        <v>765</v>
      </c>
      <c r="O28" s="985">
        <v>143</v>
      </c>
      <c r="P28" s="985">
        <v>1057</v>
      </c>
      <c r="Q28" s="985">
        <v>1200</v>
      </c>
      <c r="R28" s="985">
        <v>147</v>
      </c>
      <c r="S28" s="985">
        <v>1810</v>
      </c>
      <c r="T28" s="985">
        <v>1957</v>
      </c>
      <c r="U28" s="985">
        <v>167</v>
      </c>
      <c r="V28" s="985">
        <v>2288</v>
      </c>
      <c r="W28" s="985">
        <v>2455</v>
      </c>
      <c r="X28" s="985">
        <v>163</v>
      </c>
      <c r="Y28" s="985">
        <v>1919</v>
      </c>
      <c r="Z28" s="985">
        <v>2082</v>
      </c>
      <c r="AA28" s="985">
        <v>47</v>
      </c>
      <c r="AB28" s="985">
        <v>1109</v>
      </c>
      <c r="AC28" s="985">
        <v>1156</v>
      </c>
      <c r="AD28" s="985">
        <v>104</v>
      </c>
      <c r="AE28" s="985">
        <v>861</v>
      </c>
      <c r="AF28" s="985">
        <v>965</v>
      </c>
      <c r="AH28" s="985">
        <f t="shared" si="0"/>
        <v>253</v>
      </c>
      <c r="AI28" s="985">
        <f t="shared" si="1"/>
        <v>2910</v>
      </c>
      <c r="AJ28" s="985">
        <f t="shared" si="2"/>
        <v>3163</v>
      </c>
      <c r="AK28" s="985">
        <f t="shared" si="3"/>
        <v>763</v>
      </c>
      <c r="AL28" s="985">
        <f t="shared" si="4"/>
        <v>7696</v>
      </c>
      <c r="AM28" s="985">
        <f t="shared" si="5"/>
        <v>8459</v>
      </c>
      <c r="AN28" s="985">
        <f t="shared" si="6"/>
        <v>151</v>
      </c>
      <c r="AO28" s="985">
        <f t="shared" si="7"/>
        <v>1970</v>
      </c>
      <c r="AP28" s="985">
        <f t="shared" si="8"/>
        <v>2121</v>
      </c>
      <c r="AR28" s="986">
        <f t="shared" si="9"/>
        <v>7.9987353778058809E-2</v>
      </c>
      <c r="AS28" s="986">
        <f t="shared" si="10"/>
        <v>9.0199787208889937E-2</v>
      </c>
      <c r="AT28" s="986">
        <f t="shared" si="11"/>
        <v>7.119283356907119E-2</v>
      </c>
      <c r="AV28" s="987">
        <v>3169</v>
      </c>
      <c r="AW28" s="987">
        <v>8724</v>
      </c>
      <c r="AX28" s="987">
        <v>2365</v>
      </c>
      <c r="AZ28" s="987">
        <f t="shared" si="12"/>
        <v>253.47992412266836</v>
      </c>
      <c r="BA28" s="987">
        <f t="shared" si="13"/>
        <v>786.90294361035581</v>
      </c>
      <c r="BB28" s="987">
        <f t="shared" si="14"/>
        <v>168.37105139085335</v>
      </c>
      <c r="BC28" s="1004">
        <f t="shared" si="15"/>
        <v>1208.7539191238775</v>
      </c>
    </row>
    <row r="29" spans="1:55" s="984" customFormat="1" ht="12" customHeight="1">
      <c r="A29" s="984" t="s">
        <v>60</v>
      </c>
      <c r="B29" s="988" t="s">
        <v>473</v>
      </c>
      <c r="C29" s="1001">
        <v>67</v>
      </c>
      <c r="D29" s="985">
        <v>322</v>
      </c>
      <c r="E29" s="985">
        <v>389</v>
      </c>
      <c r="F29" s="985">
        <v>52</v>
      </c>
      <c r="G29" s="985">
        <v>370</v>
      </c>
      <c r="H29" s="985">
        <v>422</v>
      </c>
      <c r="I29" s="985">
        <v>17</v>
      </c>
      <c r="J29" s="985">
        <v>311</v>
      </c>
      <c r="K29" s="985">
        <v>328</v>
      </c>
      <c r="L29" s="985">
        <v>25</v>
      </c>
      <c r="M29" s="985">
        <v>302</v>
      </c>
      <c r="N29" s="985">
        <v>327</v>
      </c>
      <c r="O29" s="985">
        <v>50</v>
      </c>
      <c r="P29" s="985">
        <v>445</v>
      </c>
      <c r="Q29" s="985">
        <v>495</v>
      </c>
      <c r="R29" s="985">
        <v>20</v>
      </c>
      <c r="S29" s="985">
        <v>759</v>
      </c>
      <c r="T29" s="985">
        <v>779</v>
      </c>
      <c r="U29" s="985">
        <v>12</v>
      </c>
      <c r="V29" s="985">
        <v>837</v>
      </c>
      <c r="W29" s="985">
        <v>849</v>
      </c>
      <c r="X29" s="985">
        <v>16</v>
      </c>
      <c r="Y29" s="985">
        <v>771</v>
      </c>
      <c r="Z29" s="985">
        <v>787</v>
      </c>
      <c r="AA29" s="985">
        <v>54</v>
      </c>
      <c r="AB29" s="985">
        <v>373</v>
      </c>
      <c r="AC29" s="985">
        <v>427</v>
      </c>
      <c r="AD29" s="985">
        <v>60</v>
      </c>
      <c r="AE29" s="985">
        <v>257</v>
      </c>
      <c r="AF29" s="985">
        <v>317</v>
      </c>
      <c r="AH29" s="985">
        <f t="shared" si="0"/>
        <v>136</v>
      </c>
      <c r="AI29" s="985">
        <f t="shared" si="1"/>
        <v>1003</v>
      </c>
      <c r="AJ29" s="985">
        <f t="shared" si="2"/>
        <v>1139</v>
      </c>
      <c r="AK29" s="985">
        <f t="shared" si="3"/>
        <v>123</v>
      </c>
      <c r="AL29" s="985">
        <f t="shared" si="4"/>
        <v>3114</v>
      </c>
      <c r="AM29" s="985">
        <f t="shared" si="5"/>
        <v>3237</v>
      </c>
      <c r="AN29" s="985">
        <f t="shared" si="6"/>
        <v>114</v>
      </c>
      <c r="AO29" s="985">
        <f t="shared" si="7"/>
        <v>630</v>
      </c>
      <c r="AP29" s="985">
        <f t="shared" si="8"/>
        <v>744</v>
      </c>
      <c r="AR29" s="986">
        <f t="shared" si="9"/>
        <v>0.11940298507462686</v>
      </c>
      <c r="AS29" s="986">
        <f t="shared" si="10"/>
        <v>3.7998146431881374E-2</v>
      </c>
      <c r="AT29" s="986">
        <f t="shared" si="11"/>
        <v>0.15322580645161291</v>
      </c>
      <c r="AV29" s="987">
        <v>1096</v>
      </c>
      <c r="AW29" s="987">
        <v>3155</v>
      </c>
      <c r="AX29" s="987">
        <v>848</v>
      </c>
      <c r="AZ29" s="987">
        <f t="shared" si="12"/>
        <v>130.86567164179104</v>
      </c>
      <c r="BA29" s="987">
        <f t="shared" si="13"/>
        <v>119.88415199258574</v>
      </c>
      <c r="BB29" s="987">
        <f t="shared" si="14"/>
        <v>129.93548387096774</v>
      </c>
      <c r="BC29" s="1004">
        <f t="shared" si="15"/>
        <v>380.68530750534455</v>
      </c>
    </row>
    <row r="30" spans="1:55" s="984" customFormat="1" ht="12" customHeight="1">
      <c r="A30" s="984" t="s">
        <v>62</v>
      </c>
      <c r="B30" s="988" t="s">
        <v>474</v>
      </c>
      <c r="C30" s="1001">
        <v>613</v>
      </c>
      <c r="D30" s="985">
        <v>3390</v>
      </c>
      <c r="E30" s="985">
        <v>4003</v>
      </c>
      <c r="F30" s="985">
        <v>589</v>
      </c>
      <c r="G30" s="985">
        <v>3432</v>
      </c>
      <c r="H30" s="985">
        <v>4021</v>
      </c>
      <c r="I30" s="985">
        <v>353</v>
      </c>
      <c r="J30" s="985">
        <v>3181</v>
      </c>
      <c r="K30" s="985">
        <v>3534</v>
      </c>
      <c r="L30" s="985">
        <v>571</v>
      </c>
      <c r="M30" s="985">
        <v>2859</v>
      </c>
      <c r="N30" s="985">
        <v>3430</v>
      </c>
      <c r="O30" s="985">
        <v>746</v>
      </c>
      <c r="P30" s="985">
        <v>4944</v>
      </c>
      <c r="Q30" s="985">
        <v>5690</v>
      </c>
      <c r="R30" s="985">
        <v>551</v>
      </c>
      <c r="S30" s="985">
        <v>6251</v>
      </c>
      <c r="T30" s="985">
        <v>6802</v>
      </c>
      <c r="U30" s="985">
        <v>465</v>
      </c>
      <c r="V30" s="985">
        <v>6081</v>
      </c>
      <c r="W30" s="985">
        <v>6546</v>
      </c>
      <c r="X30" s="985">
        <v>436</v>
      </c>
      <c r="Y30" s="985">
        <v>4968</v>
      </c>
      <c r="Z30" s="985">
        <v>5404</v>
      </c>
      <c r="AA30" s="985">
        <v>243</v>
      </c>
      <c r="AB30" s="985">
        <v>2893</v>
      </c>
      <c r="AC30" s="985">
        <v>3136</v>
      </c>
      <c r="AD30" s="985">
        <v>294</v>
      </c>
      <c r="AE30" s="985">
        <v>1797</v>
      </c>
      <c r="AF30" s="985">
        <v>2091</v>
      </c>
      <c r="AH30" s="985">
        <f t="shared" si="0"/>
        <v>1555</v>
      </c>
      <c r="AI30" s="985">
        <f t="shared" si="1"/>
        <v>10003</v>
      </c>
      <c r="AJ30" s="985">
        <f t="shared" si="2"/>
        <v>11558</v>
      </c>
      <c r="AK30" s="985">
        <f t="shared" si="3"/>
        <v>2769</v>
      </c>
      <c r="AL30" s="985">
        <f t="shared" si="4"/>
        <v>25103</v>
      </c>
      <c r="AM30" s="985">
        <f t="shared" si="5"/>
        <v>27872</v>
      </c>
      <c r="AN30" s="985">
        <f t="shared" si="6"/>
        <v>537</v>
      </c>
      <c r="AO30" s="985">
        <f t="shared" si="7"/>
        <v>4690</v>
      </c>
      <c r="AP30" s="985">
        <f t="shared" si="8"/>
        <v>5227</v>
      </c>
      <c r="AR30" s="986">
        <f t="shared" si="9"/>
        <v>0.13453884755147949</v>
      </c>
      <c r="AS30" s="986">
        <f t="shared" si="10"/>
        <v>9.9347014925373137E-2</v>
      </c>
      <c r="AT30" s="986">
        <f t="shared" si="11"/>
        <v>0.10273579491103883</v>
      </c>
      <c r="AV30" s="987">
        <v>12053</v>
      </c>
      <c r="AW30" s="987">
        <v>29424</v>
      </c>
      <c r="AX30" s="987">
        <v>5999</v>
      </c>
      <c r="AZ30" s="987">
        <f t="shared" si="12"/>
        <v>1621.5967295379824</v>
      </c>
      <c r="BA30" s="987">
        <f t="shared" si="13"/>
        <v>2923.186567164179</v>
      </c>
      <c r="BB30" s="987">
        <f t="shared" si="14"/>
        <v>616.31203367132196</v>
      </c>
      <c r="BC30" s="1004">
        <f t="shared" si="15"/>
        <v>5161.0953303734832</v>
      </c>
    </row>
    <row r="31" spans="1:55" s="984" customFormat="1" ht="12" customHeight="1">
      <c r="A31" s="984" t="s">
        <v>64</v>
      </c>
      <c r="B31" s="988" t="s">
        <v>475</v>
      </c>
      <c r="C31" s="1001">
        <v>311</v>
      </c>
      <c r="D31" s="985">
        <v>413</v>
      </c>
      <c r="E31" s="985">
        <v>724</v>
      </c>
      <c r="F31" s="985">
        <v>110</v>
      </c>
      <c r="G31" s="985">
        <v>612</v>
      </c>
      <c r="H31" s="985">
        <v>722</v>
      </c>
      <c r="I31" s="985">
        <v>317</v>
      </c>
      <c r="J31" s="985">
        <v>517</v>
      </c>
      <c r="K31" s="985">
        <v>834</v>
      </c>
      <c r="L31" s="985">
        <v>320</v>
      </c>
      <c r="M31" s="985">
        <v>582</v>
      </c>
      <c r="N31" s="985">
        <v>902</v>
      </c>
      <c r="O31" s="985">
        <v>177</v>
      </c>
      <c r="P31" s="985">
        <v>839</v>
      </c>
      <c r="Q31" s="985">
        <v>1016</v>
      </c>
      <c r="R31" s="985">
        <v>280</v>
      </c>
      <c r="S31" s="985">
        <v>1101</v>
      </c>
      <c r="T31" s="985">
        <v>1381</v>
      </c>
      <c r="U31" s="985">
        <v>215</v>
      </c>
      <c r="V31" s="985">
        <v>1163</v>
      </c>
      <c r="W31" s="985">
        <v>1378</v>
      </c>
      <c r="X31" s="985">
        <v>209</v>
      </c>
      <c r="Y31" s="985">
        <v>1191</v>
      </c>
      <c r="Z31" s="985">
        <v>1400</v>
      </c>
      <c r="AA31" s="985">
        <v>168</v>
      </c>
      <c r="AB31" s="985">
        <v>737</v>
      </c>
      <c r="AC31" s="985">
        <v>905</v>
      </c>
      <c r="AD31" s="985">
        <v>177</v>
      </c>
      <c r="AE31" s="985">
        <v>458</v>
      </c>
      <c r="AF31" s="985">
        <v>635</v>
      </c>
      <c r="AH31" s="985">
        <f t="shared" si="0"/>
        <v>738</v>
      </c>
      <c r="AI31" s="985">
        <f t="shared" si="1"/>
        <v>1542</v>
      </c>
      <c r="AJ31" s="985">
        <f t="shared" si="2"/>
        <v>2280</v>
      </c>
      <c r="AK31" s="985">
        <f t="shared" si="3"/>
        <v>1201</v>
      </c>
      <c r="AL31" s="985">
        <f t="shared" si="4"/>
        <v>4876</v>
      </c>
      <c r="AM31" s="985">
        <f t="shared" si="5"/>
        <v>6077</v>
      </c>
      <c r="AN31" s="985">
        <f t="shared" si="6"/>
        <v>345</v>
      </c>
      <c r="AO31" s="985">
        <f t="shared" si="7"/>
        <v>1195</v>
      </c>
      <c r="AP31" s="985">
        <f t="shared" si="8"/>
        <v>1540</v>
      </c>
      <c r="AR31" s="986">
        <f t="shared" si="9"/>
        <v>0.3236842105263158</v>
      </c>
      <c r="AS31" s="986">
        <f t="shared" si="10"/>
        <v>0.19763040974164883</v>
      </c>
      <c r="AT31" s="986">
        <f t="shared" si="11"/>
        <v>0.22402597402597402</v>
      </c>
      <c r="AV31" s="987">
        <v>2228</v>
      </c>
      <c r="AW31" s="987">
        <v>6071</v>
      </c>
      <c r="AX31" s="987">
        <v>1670</v>
      </c>
      <c r="AZ31" s="987">
        <f t="shared" si="12"/>
        <v>721.16842105263163</v>
      </c>
      <c r="BA31" s="987">
        <f t="shared" si="13"/>
        <v>1199.8142175415501</v>
      </c>
      <c r="BB31" s="987">
        <f t="shared" si="14"/>
        <v>374.1233766233766</v>
      </c>
      <c r="BC31" s="1004">
        <f t="shared" si="15"/>
        <v>2295.1060152175583</v>
      </c>
    </row>
    <row r="32" spans="1:55" s="984" customFormat="1" ht="12" customHeight="1">
      <c r="A32" s="984" t="s">
        <v>68</v>
      </c>
      <c r="B32" s="988" t="s">
        <v>476</v>
      </c>
      <c r="C32" s="1001">
        <v>360</v>
      </c>
      <c r="D32" s="985">
        <v>693</v>
      </c>
      <c r="E32" s="985">
        <v>1053</v>
      </c>
      <c r="F32" s="985">
        <v>428</v>
      </c>
      <c r="G32" s="985">
        <v>554</v>
      </c>
      <c r="H32" s="985">
        <v>982</v>
      </c>
      <c r="I32" s="985">
        <v>514</v>
      </c>
      <c r="J32" s="985">
        <v>790</v>
      </c>
      <c r="K32" s="985">
        <v>1304</v>
      </c>
      <c r="L32" s="985">
        <v>431</v>
      </c>
      <c r="M32" s="985">
        <v>721</v>
      </c>
      <c r="N32" s="985">
        <v>1152</v>
      </c>
      <c r="O32" s="985">
        <v>408</v>
      </c>
      <c r="P32" s="985">
        <v>1440</v>
      </c>
      <c r="Q32" s="985">
        <v>1848</v>
      </c>
      <c r="R32" s="985">
        <v>809</v>
      </c>
      <c r="S32" s="985">
        <v>1222</v>
      </c>
      <c r="T32" s="985">
        <v>2031</v>
      </c>
      <c r="U32" s="985">
        <v>550</v>
      </c>
      <c r="V32" s="985">
        <v>1993</v>
      </c>
      <c r="W32" s="985">
        <v>2543</v>
      </c>
      <c r="X32" s="985">
        <v>443</v>
      </c>
      <c r="Y32" s="985">
        <v>1857</v>
      </c>
      <c r="Z32" s="985">
        <v>2300</v>
      </c>
      <c r="AA32" s="985">
        <v>379</v>
      </c>
      <c r="AB32" s="985">
        <v>1162</v>
      </c>
      <c r="AC32" s="985">
        <v>1541</v>
      </c>
      <c r="AD32" s="985">
        <v>236</v>
      </c>
      <c r="AE32" s="985">
        <v>822</v>
      </c>
      <c r="AF32" s="985">
        <v>1058</v>
      </c>
      <c r="AH32" s="985">
        <f t="shared" si="0"/>
        <v>1302</v>
      </c>
      <c r="AI32" s="985">
        <f t="shared" si="1"/>
        <v>2037</v>
      </c>
      <c r="AJ32" s="985">
        <f t="shared" si="2"/>
        <v>3339</v>
      </c>
      <c r="AK32" s="985">
        <f t="shared" si="3"/>
        <v>2641</v>
      </c>
      <c r="AL32" s="985">
        <f t="shared" si="4"/>
        <v>7233</v>
      </c>
      <c r="AM32" s="985">
        <f t="shared" si="5"/>
        <v>9874</v>
      </c>
      <c r="AN32" s="985">
        <f t="shared" si="6"/>
        <v>615</v>
      </c>
      <c r="AO32" s="985">
        <f t="shared" si="7"/>
        <v>1984</v>
      </c>
      <c r="AP32" s="985">
        <f t="shared" si="8"/>
        <v>2599</v>
      </c>
      <c r="AR32" s="986">
        <f t="shared" si="9"/>
        <v>0.38993710691823902</v>
      </c>
      <c r="AS32" s="986">
        <f t="shared" si="10"/>
        <v>0.26747012355681588</v>
      </c>
      <c r="AT32" s="986">
        <f t="shared" si="11"/>
        <v>0.23662947287418237</v>
      </c>
      <c r="AV32" s="987">
        <v>3221</v>
      </c>
      <c r="AW32" s="987">
        <v>9831</v>
      </c>
      <c r="AX32" s="987">
        <v>2689</v>
      </c>
      <c r="AZ32" s="987">
        <f t="shared" si="12"/>
        <v>1255.9874213836479</v>
      </c>
      <c r="BA32" s="987">
        <f t="shared" si="13"/>
        <v>2629.4987846870567</v>
      </c>
      <c r="BB32" s="987">
        <f t="shared" si="14"/>
        <v>636.29665255867644</v>
      </c>
      <c r="BC32" s="1004">
        <f t="shared" si="15"/>
        <v>4521.7828586293808</v>
      </c>
    </row>
    <row r="33" spans="1:55" s="984" customFormat="1" ht="12" customHeight="1">
      <c r="A33" s="984" t="s">
        <v>70</v>
      </c>
      <c r="B33" s="988" t="s">
        <v>477</v>
      </c>
      <c r="C33" s="1001">
        <v>416</v>
      </c>
      <c r="D33" s="985">
        <v>1502</v>
      </c>
      <c r="E33" s="985">
        <v>1918</v>
      </c>
      <c r="F33" s="985">
        <v>205</v>
      </c>
      <c r="G33" s="985">
        <v>1686</v>
      </c>
      <c r="H33" s="985">
        <v>1891</v>
      </c>
      <c r="I33" s="985">
        <v>464</v>
      </c>
      <c r="J33" s="985">
        <v>1947</v>
      </c>
      <c r="K33" s="985">
        <v>2411</v>
      </c>
      <c r="L33" s="985">
        <v>367</v>
      </c>
      <c r="M33" s="985">
        <v>2150</v>
      </c>
      <c r="N33" s="985">
        <v>2517</v>
      </c>
      <c r="O33" s="985">
        <v>300</v>
      </c>
      <c r="P33" s="985">
        <v>2386</v>
      </c>
      <c r="Q33" s="985">
        <v>2686</v>
      </c>
      <c r="R33" s="985">
        <v>489</v>
      </c>
      <c r="S33" s="985">
        <v>3512</v>
      </c>
      <c r="T33" s="985">
        <v>4001</v>
      </c>
      <c r="U33" s="985">
        <v>754</v>
      </c>
      <c r="V33" s="985">
        <v>3861</v>
      </c>
      <c r="W33" s="985">
        <v>4615</v>
      </c>
      <c r="X33" s="985">
        <v>650</v>
      </c>
      <c r="Y33" s="985">
        <v>2849</v>
      </c>
      <c r="Z33" s="985">
        <v>3499</v>
      </c>
      <c r="AA33" s="985">
        <v>358</v>
      </c>
      <c r="AB33" s="985">
        <v>1902</v>
      </c>
      <c r="AC33" s="985">
        <v>2260</v>
      </c>
      <c r="AD33" s="985">
        <v>298</v>
      </c>
      <c r="AE33" s="985">
        <v>1110</v>
      </c>
      <c r="AF33" s="985">
        <v>1408</v>
      </c>
      <c r="AH33" s="985">
        <f t="shared" si="0"/>
        <v>1085</v>
      </c>
      <c r="AI33" s="985">
        <f t="shared" si="1"/>
        <v>5135</v>
      </c>
      <c r="AJ33" s="985">
        <f t="shared" si="2"/>
        <v>6220</v>
      </c>
      <c r="AK33" s="985">
        <f t="shared" si="3"/>
        <v>2560</v>
      </c>
      <c r="AL33" s="985">
        <f t="shared" si="4"/>
        <v>14758</v>
      </c>
      <c r="AM33" s="985">
        <f t="shared" si="5"/>
        <v>17318</v>
      </c>
      <c r="AN33" s="985">
        <f t="shared" si="6"/>
        <v>656</v>
      </c>
      <c r="AO33" s="985">
        <f t="shared" si="7"/>
        <v>3012</v>
      </c>
      <c r="AP33" s="985">
        <f t="shared" si="8"/>
        <v>3668</v>
      </c>
      <c r="AR33" s="986">
        <f t="shared" si="9"/>
        <v>0.17443729903536978</v>
      </c>
      <c r="AS33" s="986">
        <f t="shared" si="10"/>
        <v>0.14782307425799746</v>
      </c>
      <c r="AT33" s="986">
        <f t="shared" si="11"/>
        <v>0.17884405670665213</v>
      </c>
      <c r="AV33" s="987">
        <v>6118</v>
      </c>
      <c r="AW33" s="987">
        <v>17870</v>
      </c>
      <c r="AX33" s="987">
        <v>3930</v>
      </c>
      <c r="AZ33" s="987">
        <f t="shared" si="12"/>
        <v>1067.2073954983923</v>
      </c>
      <c r="BA33" s="987">
        <f t="shared" si="13"/>
        <v>2641.5983369904147</v>
      </c>
      <c r="BB33" s="987">
        <f t="shared" si="14"/>
        <v>702.85714285714289</v>
      </c>
      <c r="BC33" s="1004">
        <f t="shared" si="15"/>
        <v>4411.6628753459499</v>
      </c>
    </row>
    <row r="34" spans="1:55" s="984" customFormat="1" ht="12" customHeight="1">
      <c r="A34" s="984" t="s">
        <v>72</v>
      </c>
      <c r="B34" s="988" t="s">
        <v>478</v>
      </c>
      <c r="C34" s="1001">
        <v>185</v>
      </c>
      <c r="D34" s="985">
        <v>490</v>
      </c>
      <c r="E34" s="985">
        <v>675</v>
      </c>
      <c r="F34" s="985">
        <v>203</v>
      </c>
      <c r="G34" s="985">
        <v>533</v>
      </c>
      <c r="H34" s="985">
        <v>736</v>
      </c>
      <c r="I34" s="985">
        <v>196</v>
      </c>
      <c r="J34" s="985">
        <v>710</v>
      </c>
      <c r="K34" s="985">
        <v>906</v>
      </c>
      <c r="L34" s="985">
        <v>170</v>
      </c>
      <c r="M34" s="985">
        <v>944</v>
      </c>
      <c r="N34" s="985">
        <v>1114</v>
      </c>
      <c r="O34" s="985">
        <v>92</v>
      </c>
      <c r="P34" s="985">
        <v>695</v>
      </c>
      <c r="Q34" s="985">
        <v>787</v>
      </c>
      <c r="R34" s="985">
        <v>188</v>
      </c>
      <c r="S34" s="985">
        <v>1346</v>
      </c>
      <c r="T34" s="985">
        <v>1534</v>
      </c>
      <c r="U34" s="985">
        <v>289</v>
      </c>
      <c r="V34" s="985">
        <v>1379</v>
      </c>
      <c r="W34" s="985">
        <v>1668</v>
      </c>
      <c r="X34" s="985">
        <v>138</v>
      </c>
      <c r="Y34" s="985">
        <v>1500</v>
      </c>
      <c r="Z34" s="985">
        <v>1638</v>
      </c>
      <c r="AA34" s="985">
        <v>113</v>
      </c>
      <c r="AB34" s="985">
        <v>856</v>
      </c>
      <c r="AC34" s="985">
        <v>969</v>
      </c>
      <c r="AD34" s="985">
        <v>209</v>
      </c>
      <c r="AE34" s="985">
        <v>630</v>
      </c>
      <c r="AF34" s="985">
        <v>839</v>
      </c>
      <c r="AH34" s="985">
        <f t="shared" si="0"/>
        <v>584</v>
      </c>
      <c r="AI34" s="985">
        <f t="shared" si="1"/>
        <v>1733</v>
      </c>
      <c r="AJ34" s="985">
        <f t="shared" si="2"/>
        <v>2317</v>
      </c>
      <c r="AK34" s="985">
        <f t="shared" si="3"/>
        <v>877</v>
      </c>
      <c r="AL34" s="985">
        <f t="shared" si="4"/>
        <v>5864</v>
      </c>
      <c r="AM34" s="985">
        <f t="shared" si="5"/>
        <v>6741</v>
      </c>
      <c r="AN34" s="985">
        <f t="shared" si="6"/>
        <v>322</v>
      </c>
      <c r="AO34" s="985">
        <f t="shared" si="7"/>
        <v>1486</v>
      </c>
      <c r="AP34" s="985">
        <f t="shared" si="8"/>
        <v>1808</v>
      </c>
      <c r="AR34" s="986">
        <f t="shared" si="9"/>
        <v>0.25205006473888647</v>
      </c>
      <c r="AS34" s="986">
        <f t="shared" si="10"/>
        <v>0.13009939178163477</v>
      </c>
      <c r="AT34" s="986">
        <f t="shared" si="11"/>
        <v>0.17809734513274336</v>
      </c>
      <c r="AV34" s="987">
        <v>2425</v>
      </c>
      <c r="AW34" s="987">
        <v>6788</v>
      </c>
      <c r="AX34" s="987">
        <v>1992</v>
      </c>
      <c r="AZ34" s="987">
        <f t="shared" si="12"/>
        <v>611.22140699179965</v>
      </c>
      <c r="BA34" s="987">
        <f t="shared" si="13"/>
        <v>883.1146714137368</v>
      </c>
      <c r="BB34" s="987">
        <f t="shared" si="14"/>
        <v>354.76991150442478</v>
      </c>
      <c r="BC34" s="1004">
        <f t="shared" si="15"/>
        <v>1849.1059899099612</v>
      </c>
    </row>
    <row r="35" spans="1:55" s="984" customFormat="1" ht="12" customHeight="1">
      <c r="A35" s="984" t="s">
        <v>74</v>
      </c>
      <c r="B35" s="988" t="s">
        <v>618</v>
      </c>
      <c r="C35" s="1001">
        <v>9986</v>
      </c>
      <c r="D35" s="985">
        <v>78477</v>
      </c>
      <c r="E35" s="985">
        <v>88463</v>
      </c>
      <c r="F35" s="985">
        <v>7915</v>
      </c>
      <c r="G35" s="985">
        <v>78060</v>
      </c>
      <c r="H35" s="985">
        <v>85975</v>
      </c>
      <c r="I35" s="985">
        <v>7605</v>
      </c>
      <c r="J35" s="985">
        <v>81545</v>
      </c>
      <c r="K35" s="985">
        <v>89150</v>
      </c>
      <c r="L35" s="985">
        <v>13327</v>
      </c>
      <c r="M35" s="985">
        <v>69350</v>
      </c>
      <c r="N35" s="985">
        <v>82677</v>
      </c>
      <c r="O35" s="985">
        <v>11917</v>
      </c>
      <c r="P35" s="985">
        <v>146593</v>
      </c>
      <c r="Q35" s="985">
        <v>158510</v>
      </c>
      <c r="R35" s="985">
        <v>10812</v>
      </c>
      <c r="S35" s="985">
        <v>158721</v>
      </c>
      <c r="T35" s="985">
        <v>169533</v>
      </c>
      <c r="U35" s="985">
        <v>9306</v>
      </c>
      <c r="V35" s="985">
        <v>168097</v>
      </c>
      <c r="W35" s="985">
        <v>177403</v>
      </c>
      <c r="X35" s="985">
        <v>4785</v>
      </c>
      <c r="Y35" s="985">
        <v>127613</v>
      </c>
      <c r="Z35" s="985">
        <v>132398</v>
      </c>
      <c r="AA35" s="985">
        <v>3003</v>
      </c>
      <c r="AB35" s="985">
        <v>59049</v>
      </c>
      <c r="AC35" s="985">
        <v>62052</v>
      </c>
      <c r="AD35" s="985">
        <v>3658</v>
      </c>
      <c r="AE35" s="985">
        <v>39690</v>
      </c>
      <c r="AF35" s="985">
        <v>43348</v>
      </c>
      <c r="AH35" s="985">
        <f t="shared" si="0"/>
        <v>25506</v>
      </c>
      <c r="AI35" s="985">
        <f t="shared" si="1"/>
        <v>238082</v>
      </c>
      <c r="AJ35" s="985">
        <f t="shared" si="2"/>
        <v>263588</v>
      </c>
      <c r="AK35" s="985">
        <f t="shared" si="3"/>
        <v>50147</v>
      </c>
      <c r="AL35" s="985">
        <f t="shared" si="4"/>
        <v>670374</v>
      </c>
      <c r="AM35" s="985">
        <f t="shared" si="5"/>
        <v>720521</v>
      </c>
      <c r="AN35" s="985">
        <f t="shared" si="6"/>
        <v>6661</v>
      </c>
      <c r="AO35" s="985">
        <f t="shared" si="7"/>
        <v>98739</v>
      </c>
      <c r="AP35" s="985">
        <f t="shared" si="8"/>
        <v>105400</v>
      </c>
      <c r="AR35" s="986">
        <f t="shared" si="9"/>
        <v>9.6764647859538366E-2</v>
      </c>
      <c r="AS35" s="986">
        <f t="shared" si="10"/>
        <v>6.9598249044788424E-2</v>
      </c>
      <c r="AT35" s="986">
        <f t="shared" si="11"/>
        <v>6.3197343453510441E-2</v>
      </c>
      <c r="AV35" s="987">
        <v>265215</v>
      </c>
      <c r="AW35" s="987">
        <v>723287</v>
      </c>
      <c r="AX35" s="987">
        <v>112190</v>
      </c>
      <c r="AZ35" s="987">
        <f t="shared" si="12"/>
        <v>25663.436082067466</v>
      </c>
      <c r="BA35" s="987">
        <f t="shared" si="13"/>
        <v>50339.508756857882</v>
      </c>
      <c r="BB35" s="987">
        <f t="shared" si="14"/>
        <v>7090.109962049336</v>
      </c>
      <c r="BC35" s="1004">
        <f t="shared" si="15"/>
        <v>83093.054800974685</v>
      </c>
    </row>
    <row r="36" spans="1:55" s="984" customFormat="1" ht="12" customHeight="1">
      <c r="A36" s="984" t="s">
        <v>76</v>
      </c>
      <c r="B36" s="988" t="s">
        <v>479</v>
      </c>
      <c r="C36" s="1001">
        <v>452</v>
      </c>
      <c r="D36" s="985">
        <v>4389</v>
      </c>
      <c r="E36" s="985">
        <v>4841</v>
      </c>
      <c r="F36" s="985">
        <v>757</v>
      </c>
      <c r="G36" s="985">
        <v>4893</v>
      </c>
      <c r="H36" s="985">
        <v>5650</v>
      </c>
      <c r="I36" s="985">
        <v>427</v>
      </c>
      <c r="J36" s="985">
        <v>5465</v>
      </c>
      <c r="K36" s="985">
        <v>5892</v>
      </c>
      <c r="L36" s="985">
        <v>468</v>
      </c>
      <c r="M36" s="985">
        <v>4163</v>
      </c>
      <c r="N36" s="985">
        <v>4631</v>
      </c>
      <c r="O36" s="985">
        <v>635</v>
      </c>
      <c r="P36" s="985">
        <v>5647</v>
      </c>
      <c r="Q36" s="985">
        <v>6282</v>
      </c>
      <c r="R36" s="985">
        <v>628</v>
      </c>
      <c r="S36" s="985">
        <v>8924</v>
      </c>
      <c r="T36" s="985">
        <v>9552</v>
      </c>
      <c r="U36" s="985">
        <v>689</v>
      </c>
      <c r="V36" s="985">
        <v>10652</v>
      </c>
      <c r="W36" s="985">
        <v>11341</v>
      </c>
      <c r="X36" s="985">
        <v>535</v>
      </c>
      <c r="Y36" s="985">
        <v>7930</v>
      </c>
      <c r="Z36" s="985">
        <v>8465</v>
      </c>
      <c r="AA36" s="985">
        <v>210</v>
      </c>
      <c r="AB36" s="985">
        <v>4539</v>
      </c>
      <c r="AC36" s="985">
        <v>4749</v>
      </c>
      <c r="AD36" s="985">
        <v>308</v>
      </c>
      <c r="AE36" s="985">
        <v>2761</v>
      </c>
      <c r="AF36" s="985">
        <v>3069</v>
      </c>
      <c r="AH36" s="985">
        <f t="shared" si="0"/>
        <v>1636</v>
      </c>
      <c r="AI36" s="985">
        <f t="shared" si="1"/>
        <v>14747</v>
      </c>
      <c r="AJ36" s="985">
        <f t="shared" si="2"/>
        <v>16383</v>
      </c>
      <c r="AK36" s="985">
        <f t="shared" si="3"/>
        <v>2955</v>
      </c>
      <c r="AL36" s="985">
        <f t="shared" si="4"/>
        <v>37316</v>
      </c>
      <c r="AM36" s="985">
        <f t="shared" si="5"/>
        <v>40271</v>
      </c>
      <c r="AN36" s="985">
        <f t="shared" si="6"/>
        <v>518</v>
      </c>
      <c r="AO36" s="985">
        <f t="shared" si="7"/>
        <v>7300</v>
      </c>
      <c r="AP36" s="985">
        <f t="shared" si="8"/>
        <v>7818</v>
      </c>
      <c r="AR36" s="986">
        <f t="shared" si="9"/>
        <v>9.9859610571934321E-2</v>
      </c>
      <c r="AS36" s="986">
        <f t="shared" si="10"/>
        <v>7.3377864964863052E-2</v>
      </c>
      <c r="AT36" s="986">
        <f t="shared" si="11"/>
        <v>6.6257354822205169E-2</v>
      </c>
      <c r="AV36" s="987">
        <v>16288</v>
      </c>
      <c r="AW36" s="987">
        <v>41075</v>
      </c>
      <c r="AX36" s="987">
        <v>8708</v>
      </c>
      <c r="AZ36" s="987">
        <f t="shared" si="12"/>
        <v>1626.5133369956661</v>
      </c>
      <c r="BA36" s="987">
        <f t="shared" si="13"/>
        <v>3013.9958034317497</v>
      </c>
      <c r="BB36" s="987">
        <f t="shared" si="14"/>
        <v>576.9690457917626</v>
      </c>
      <c r="BC36" s="1004">
        <f t="shared" si="15"/>
        <v>5217.4781862191776</v>
      </c>
    </row>
    <row r="37" spans="1:55" s="984" customFormat="1" ht="12" customHeight="1">
      <c r="A37" s="984" t="s">
        <v>78</v>
      </c>
      <c r="B37" s="988" t="s">
        <v>480</v>
      </c>
      <c r="C37" s="1001">
        <v>181</v>
      </c>
      <c r="D37" s="985">
        <v>900</v>
      </c>
      <c r="E37" s="985">
        <v>1081</v>
      </c>
      <c r="F37" s="985">
        <v>307</v>
      </c>
      <c r="G37" s="985">
        <v>888</v>
      </c>
      <c r="H37" s="985">
        <v>1195</v>
      </c>
      <c r="I37" s="985">
        <v>238</v>
      </c>
      <c r="J37" s="985">
        <v>847</v>
      </c>
      <c r="K37" s="985">
        <v>1085</v>
      </c>
      <c r="L37" s="985">
        <v>85</v>
      </c>
      <c r="M37" s="985">
        <v>842</v>
      </c>
      <c r="N37" s="985">
        <v>927</v>
      </c>
      <c r="O37" s="985">
        <v>317</v>
      </c>
      <c r="P37" s="985">
        <v>1367</v>
      </c>
      <c r="Q37" s="985">
        <v>1684</v>
      </c>
      <c r="R37" s="985">
        <v>423</v>
      </c>
      <c r="S37" s="985">
        <v>1621</v>
      </c>
      <c r="T37" s="985">
        <v>2044</v>
      </c>
      <c r="U37" s="985">
        <v>201</v>
      </c>
      <c r="V37" s="985">
        <v>2019</v>
      </c>
      <c r="W37" s="985">
        <v>2220</v>
      </c>
      <c r="X37" s="985">
        <v>376</v>
      </c>
      <c r="Y37" s="985">
        <v>1891</v>
      </c>
      <c r="Z37" s="985">
        <v>2267</v>
      </c>
      <c r="AA37" s="985">
        <v>297</v>
      </c>
      <c r="AB37" s="985">
        <v>1215</v>
      </c>
      <c r="AC37" s="985">
        <v>1512</v>
      </c>
      <c r="AD37" s="985">
        <v>307</v>
      </c>
      <c r="AE37" s="985">
        <v>773</v>
      </c>
      <c r="AF37" s="985">
        <v>1080</v>
      </c>
      <c r="AH37" s="985">
        <f t="shared" si="0"/>
        <v>726</v>
      </c>
      <c r="AI37" s="985">
        <f t="shared" si="1"/>
        <v>2635</v>
      </c>
      <c r="AJ37" s="985">
        <f t="shared" si="2"/>
        <v>3361</v>
      </c>
      <c r="AK37" s="985">
        <f t="shared" si="3"/>
        <v>1402</v>
      </c>
      <c r="AL37" s="985">
        <f t="shared" si="4"/>
        <v>7740</v>
      </c>
      <c r="AM37" s="985">
        <f t="shared" si="5"/>
        <v>9142</v>
      </c>
      <c r="AN37" s="985">
        <f t="shared" si="6"/>
        <v>604</v>
      </c>
      <c r="AO37" s="985">
        <f t="shared" si="7"/>
        <v>1988</v>
      </c>
      <c r="AP37" s="985">
        <f t="shared" si="8"/>
        <v>2592</v>
      </c>
      <c r="AR37" s="986">
        <f t="shared" si="9"/>
        <v>0.21600714073192503</v>
      </c>
      <c r="AS37" s="986">
        <f t="shared" si="10"/>
        <v>0.15335812732443665</v>
      </c>
      <c r="AT37" s="986">
        <f t="shared" si="11"/>
        <v>0.2330246913580247</v>
      </c>
      <c r="AV37" s="987">
        <v>3303</v>
      </c>
      <c r="AW37" s="987">
        <v>9279</v>
      </c>
      <c r="AX37" s="987">
        <v>2796</v>
      </c>
      <c r="AZ37" s="987">
        <f t="shared" si="12"/>
        <v>713.47158583754845</v>
      </c>
      <c r="BA37" s="987">
        <f t="shared" si="13"/>
        <v>1423.0100634434477</v>
      </c>
      <c r="BB37" s="987">
        <f t="shared" si="14"/>
        <v>651.53703703703707</v>
      </c>
      <c r="BC37" s="1004">
        <f t="shared" si="15"/>
        <v>2788.0186863180329</v>
      </c>
    </row>
    <row r="38" spans="1:55" s="984" customFormat="1" ht="12" customHeight="1">
      <c r="A38" s="984" t="s">
        <v>80</v>
      </c>
      <c r="B38" s="988" t="s">
        <v>481</v>
      </c>
      <c r="C38" s="1001">
        <v>150</v>
      </c>
      <c r="D38" s="985">
        <v>1821</v>
      </c>
      <c r="E38" s="985">
        <v>1971</v>
      </c>
      <c r="F38" s="985">
        <v>210</v>
      </c>
      <c r="G38" s="985">
        <v>1703</v>
      </c>
      <c r="H38" s="985">
        <v>1913</v>
      </c>
      <c r="I38" s="985">
        <v>263</v>
      </c>
      <c r="J38" s="985">
        <v>1676</v>
      </c>
      <c r="K38" s="985">
        <v>1939</v>
      </c>
      <c r="L38" s="985">
        <v>398</v>
      </c>
      <c r="M38" s="985">
        <v>1006</v>
      </c>
      <c r="N38" s="985">
        <v>1404</v>
      </c>
      <c r="O38" s="985">
        <v>113</v>
      </c>
      <c r="P38" s="985">
        <v>2720</v>
      </c>
      <c r="Q38" s="985">
        <v>2833</v>
      </c>
      <c r="R38" s="985">
        <v>208</v>
      </c>
      <c r="S38" s="985">
        <v>3202</v>
      </c>
      <c r="T38" s="985">
        <v>3410</v>
      </c>
      <c r="U38" s="985">
        <v>349</v>
      </c>
      <c r="V38" s="985">
        <v>3482</v>
      </c>
      <c r="W38" s="985">
        <v>3831</v>
      </c>
      <c r="X38" s="985">
        <v>315</v>
      </c>
      <c r="Y38" s="985">
        <v>2866</v>
      </c>
      <c r="Z38" s="985">
        <v>3181</v>
      </c>
      <c r="AA38" s="985">
        <v>232</v>
      </c>
      <c r="AB38" s="985">
        <v>2109</v>
      </c>
      <c r="AC38" s="985">
        <v>2341</v>
      </c>
      <c r="AD38" s="985">
        <v>168</v>
      </c>
      <c r="AE38" s="985">
        <v>1358</v>
      </c>
      <c r="AF38" s="985">
        <v>1526</v>
      </c>
      <c r="AH38" s="985">
        <f t="shared" ref="AH38:AH69" si="16">C38+F38+I38</f>
        <v>623</v>
      </c>
      <c r="AI38" s="985">
        <f t="shared" ref="AI38:AI69" si="17">D38+G38+J38</f>
        <v>5200</v>
      </c>
      <c r="AJ38" s="985">
        <f t="shared" ref="AJ38:AJ69" si="18">E38+H38+K38</f>
        <v>5823</v>
      </c>
      <c r="AK38" s="985">
        <f t="shared" ref="AK38:AK69" si="19">L38+O38+R38+U38+X38</f>
        <v>1383</v>
      </c>
      <c r="AL38" s="985">
        <f t="shared" ref="AL38:AL69" si="20">M38+P38+S38+V38+Y38</f>
        <v>13276</v>
      </c>
      <c r="AM38" s="985">
        <f t="shared" ref="AM38:AM69" si="21">N38+Q38+T38+W38+Z38</f>
        <v>14659</v>
      </c>
      <c r="AN38" s="985">
        <f t="shared" ref="AN38:AN69" si="22">AA38+AD38</f>
        <v>400</v>
      </c>
      <c r="AO38" s="985">
        <f t="shared" ref="AO38:AO69" si="23">AB38+AE38</f>
        <v>3467</v>
      </c>
      <c r="AP38" s="985">
        <f t="shared" ref="AP38:AP69" si="24">AC38+AF38</f>
        <v>3867</v>
      </c>
      <c r="AR38" s="986">
        <f t="shared" ref="AR38:AR69" si="25">AH38/AJ38</f>
        <v>0.1069895243001889</v>
      </c>
      <c r="AS38" s="986">
        <f t="shared" ref="AS38:AS69" si="26">AK38/AM38</f>
        <v>9.4344771130363603E-2</v>
      </c>
      <c r="AT38" s="986">
        <f t="shared" ref="AT38:AT69" si="27">AN38/AP38</f>
        <v>0.10343935867597621</v>
      </c>
      <c r="AV38" s="987">
        <v>5859</v>
      </c>
      <c r="AW38" s="987">
        <v>16009</v>
      </c>
      <c r="AX38" s="987">
        <v>4193</v>
      </c>
      <c r="AZ38" s="987">
        <f t="shared" ref="AZ38:AZ69" si="28">AR38*AV38</f>
        <v>626.85162287480682</v>
      </c>
      <c r="BA38" s="987">
        <f t="shared" ref="BA38:BA69" si="29">AS38*AW38</f>
        <v>1510.365441025991</v>
      </c>
      <c r="BB38" s="987">
        <f t="shared" ref="BB38:BB69" si="30">AT38*AX38</f>
        <v>433.72123092836824</v>
      </c>
      <c r="BC38" s="1004">
        <f t="shared" si="15"/>
        <v>2570.9382948291659</v>
      </c>
    </row>
    <row r="39" spans="1:55" s="984" customFormat="1" ht="12" customHeight="1">
      <c r="A39" s="984" t="s">
        <v>84</v>
      </c>
      <c r="B39" s="988" t="s">
        <v>85</v>
      </c>
      <c r="C39" s="1001">
        <v>1058</v>
      </c>
      <c r="D39" s="985">
        <v>2491</v>
      </c>
      <c r="E39" s="985">
        <v>3549</v>
      </c>
      <c r="F39" s="985">
        <v>1125</v>
      </c>
      <c r="G39" s="985">
        <v>2453</v>
      </c>
      <c r="H39" s="985">
        <v>3578</v>
      </c>
      <c r="I39" s="985">
        <v>1281</v>
      </c>
      <c r="J39" s="985">
        <v>3013</v>
      </c>
      <c r="K39" s="985">
        <v>4294</v>
      </c>
      <c r="L39" s="985">
        <v>930</v>
      </c>
      <c r="M39" s="985">
        <v>2744</v>
      </c>
      <c r="N39" s="985">
        <v>3674</v>
      </c>
      <c r="O39" s="985">
        <v>1352</v>
      </c>
      <c r="P39" s="985">
        <v>4214</v>
      </c>
      <c r="Q39" s="985">
        <v>5566</v>
      </c>
      <c r="R39" s="985">
        <v>1231</v>
      </c>
      <c r="S39" s="985">
        <v>5799</v>
      </c>
      <c r="T39" s="985">
        <v>7030</v>
      </c>
      <c r="U39" s="985">
        <v>1168</v>
      </c>
      <c r="V39" s="985">
        <v>7611</v>
      </c>
      <c r="W39" s="985">
        <v>8779</v>
      </c>
      <c r="X39" s="985">
        <v>865</v>
      </c>
      <c r="Y39" s="985">
        <v>7564</v>
      </c>
      <c r="Z39" s="985">
        <v>8429</v>
      </c>
      <c r="AA39" s="985">
        <v>535</v>
      </c>
      <c r="AB39" s="985">
        <v>5220</v>
      </c>
      <c r="AC39" s="985">
        <v>5755</v>
      </c>
      <c r="AD39" s="985">
        <v>797</v>
      </c>
      <c r="AE39" s="985">
        <v>2824</v>
      </c>
      <c r="AF39" s="985">
        <v>3621</v>
      </c>
      <c r="AH39" s="985">
        <f t="shared" si="16"/>
        <v>3464</v>
      </c>
      <c r="AI39" s="985">
        <f t="shared" si="17"/>
        <v>7957</v>
      </c>
      <c r="AJ39" s="985">
        <f t="shared" si="18"/>
        <v>11421</v>
      </c>
      <c r="AK39" s="985">
        <f t="shared" si="19"/>
        <v>5546</v>
      </c>
      <c r="AL39" s="985">
        <f t="shared" si="20"/>
        <v>27932</v>
      </c>
      <c r="AM39" s="985">
        <f t="shared" si="21"/>
        <v>33478</v>
      </c>
      <c r="AN39" s="985">
        <f t="shared" si="22"/>
        <v>1332</v>
      </c>
      <c r="AO39" s="985">
        <f t="shared" si="23"/>
        <v>8044</v>
      </c>
      <c r="AP39" s="985">
        <f t="shared" si="24"/>
        <v>9376</v>
      </c>
      <c r="AR39" s="986">
        <f t="shared" si="25"/>
        <v>0.30330093687067683</v>
      </c>
      <c r="AS39" s="986">
        <f t="shared" si="26"/>
        <v>0.16566103112491787</v>
      </c>
      <c r="AT39" s="986">
        <f t="shared" si="27"/>
        <v>0.14206484641638226</v>
      </c>
      <c r="AV39" s="987">
        <v>11523</v>
      </c>
      <c r="AW39" s="987">
        <v>34581</v>
      </c>
      <c r="AX39" s="987">
        <v>10315</v>
      </c>
      <c r="AZ39" s="987">
        <f t="shared" si="28"/>
        <v>3494.9366955608093</v>
      </c>
      <c r="BA39" s="987">
        <f t="shared" si="29"/>
        <v>5728.7241173307848</v>
      </c>
      <c r="BB39" s="987">
        <f t="shared" si="30"/>
        <v>1465.398890784983</v>
      </c>
      <c r="BC39" s="1004">
        <f t="shared" si="15"/>
        <v>10689.059703676578</v>
      </c>
    </row>
    <row r="40" spans="1:55" s="984" customFormat="1" ht="12" customHeight="1">
      <c r="A40" s="984" t="s">
        <v>86</v>
      </c>
      <c r="B40" s="988" t="s">
        <v>482</v>
      </c>
      <c r="C40" s="1001">
        <v>1067</v>
      </c>
      <c r="D40" s="985">
        <v>4824</v>
      </c>
      <c r="E40" s="985">
        <v>5891</v>
      </c>
      <c r="F40" s="985">
        <v>964</v>
      </c>
      <c r="G40" s="985">
        <v>5903</v>
      </c>
      <c r="H40" s="985">
        <v>6867</v>
      </c>
      <c r="I40" s="985">
        <v>749</v>
      </c>
      <c r="J40" s="985">
        <v>5739</v>
      </c>
      <c r="K40" s="985">
        <v>6488</v>
      </c>
      <c r="L40" s="985">
        <v>1021</v>
      </c>
      <c r="M40" s="985">
        <v>4789</v>
      </c>
      <c r="N40" s="985">
        <v>5810</v>
      </c>
      <c r="O40" s="985">
        <v>1206</v>
      </c>
      <c r="P40" s="985">
        <v>7636</v>
      </c>
      <c r="Q40" s="985">
        <v>8842</v>
      </c>
      <c r="R40" s="985">
        <v>1090</v>
      </c>
      <c r="S40" s="985">
        <v>10599</v>
      </c>
      <c r="T40" s="985">
        <v>11689</v>
      </c>
      <c r="U40" s="985">
        <v>728</v>
      </c>
      <c r="V40" s="985">
        <v>11330</v>
      </c>
      <c r="W40" s="985">
        <v>12058</v>
      </c>
      <c r="X40" s="985">
        <v>678</v>
      </c>
      <c r="Y40" s="985">
        <v>8242</v>
      </c>
      <c r="Z40" s="985">
        <v>8920</v>
      </c>
      <c r="AA40" s="985">
        <v>508</v>
      </c>
      <c r="AB40" s="985">
        <v>5148</v>
      </c>
      <c r="AC40" s="985">
        <v>5656</v>
      </c>
      <c r="AD40" s="985">
        <v>413</v>
      </c>
      <c r="AE40" s="985">
        <v>3374</v>
      </c>
      <c r="AF40" s="985">
        <v>3787</v>
      </c>
      <c r="AH40" s="985">
        <f t="shared" si="16"/>
        <v>2780</v>
      </c>
      <c r="AI40" s="985">
        <f t="shared" si="17"/>
        <v>16466</v>
      </c>
      <c r="AJ40" s="985">
        <f t="shared" si="18"/>
        <v>19246</v>
      </c>
      <c r="AK40" s="985">
        <f t="shared" si="19"/>
        <v>4723</v>
      </c>
      <c r="AL40" s="985">
        <f t="shared" si="20"/>
        <v>42596</v>
      </c>
      <c r="AM40" s="985">
        <f t="shared" si="21"/>
        <v>47319</v>
      </c>
      <c r="AN40" s="985">
        <f t="shared" si="22"/>
        <v>921</v>
      </c>
      <c r="AO40" s="985">
        <f t="shared" si="23"/>
        <v>8522</v>
      </c>
      <c r="AP40" s="985">
        <f t="shared" si="24"/>
        <v>9443</v>
      </c>
      <c r="AR40" s="986">
        <f t="shared" si="25"/>
        <v>0.14444559908552426</v>
      </c>
      <c r="AS40" s="986">
        <f t="shared" si="26"/>
        <v>9.9811914875631347E-2</v>
      </c>
      <c r="AT40" s="986">
        <f t="shared" si="27"/>
        <v>9.7532563803875885E-2</v>
      </c>
      <c r="AV40" s="987">
        <v>19667</v>
      </c>
      <c r="AW40" s="987">
        <v>49564</v>
      </c>
      <c r="AX40" s="987">
        <v>10435</v>
      </c>
      <c r="AZ40" s="987">
        <f t="shared" si="28"/>
        <v>2840.8115972150058</v>
      </c>
      <c r="BA40" s="987">
        <f t="shared" si="29"/>
        <v>4947.077748895792</v>
      </c>
      <c r="BB40" s="987">
        <f t="shared" si="30"/>
        <v>1017.7523032934448</v>
      </c>
      <c r="BC40" s="1004">
        <f t="shared" si="15"/>
        <v>8805.6416494042423</v>
      </c>
    </row>
    <row r="41" spans="1:55" s="984" customFormat="1" ht="12" customHeight="1">
      <c r="A41" s="984" t="s">
        <v>92</v>
      </c>
      <c r="B41" s="988" t="s">
        <v>483</v>
      </c>
      <c r="C41" s="1001">
        <v>251</v>
      </c>
      <c r="D41" s="985">
        <v>743</v>
      </c>
      <c r="E41" s="985">
        <v>994</v>
      </c>
      <c r="F41" s="985">
        <v>356</v>
      </c>
      <c r="G41" s="985">
        <v>1006</v>
      </c>
      <c r="H41" s="985">
        <v>1362</v>
      </c>
      <c r="I41" s="985">
        <v>232</v>
      </c>
      <c r="J41" s="985">
        <v>1082</v>
      </c>
      <c r="K41" s="985">
        <v>1314</v>
      </c>
      <c r="L41" s="985">
        <v>269</v>
      </c>
      <c r="M41" s="985">
        <v>963</v>
      </c>
      <c r="N41" s="985">
        <v>1232</v>
      </c>
      <c r="O41" s="985">
        <v>461</v>
      </c>
      <c r="P41" s="985">
        <v>1286</v>
      </c>
      <c r="Q41" s="985">
        <v>1747</v>
      </c>
      <c r="R41" s="985">
        <v>386</v>
      </c>
      <c r="S41" s="985">
        <v>2036</v>
      </c>
      <c r="T41" s="985">
        <v>2422</v>
      </c>
      <c r="U41" s="985">
        <v>455</v>
      </c>
      <c r="V41" s="985">
        <v>2044</v>
      </c>
      <c r="W41" s="985">
        <v>2499</v>
      </c>
      <c r="X41" s="985">
        <v>468</v>
      </c>
      <c r="Y41" s="985">
        <v>2032</v>
      </c>
      <c r="Z41" s="985">
        <v>2500</v>
      </c>
      <c r="AA41" s="985">
        <v>283</v>
      </c>
      <c r="AB41" s="985">
        <v>1374</v>
      </c>
      <c r="AC41" s="985">
        <v>1657</v>
      </c>
      <c r="AD41" s="985">
        <v>294</v>
      </c>
      <c r="AE41" s="985">
        <v>984</v>
      </c>
      <c r="AF41" s="985">
        <v>1278</v>
      </c>
      <c r="AH41" s="985">
        <f t="shared" si="16"/>
        <v>839</v>
      </c>
      <c r="AI41" s="985">
        <f t="shared" si="17"/>
        <v>2831</v>
      </c>
      <c r="AJ41" s="985">
        <f t="shared" si="18"/>
        <v>3670</v>
      </c>
      <c r="AK41" s="985">
        <f t="shared" si="19"/>
        <v>2039</v>
      </c>
      <c r="AL41" s="985">
        <f t="shared" si="20"/>
        <v>8361</v>
      </c>
      <c r="AM41" s="985">
        <f t="shared" si="21"/>
        <v>10400</v>
      </c>
      <c r="AN41" s="985">
        <f t="shared" si="22"/>
        <v>577</v>
      </c>
      <c r="AO41" s="985">
        <f t="shared" si="23"/>
        <v>2358</v>
      </c>
      <c r="AP41" s="985">
        <f t="shared" si="24"/>
        <v>2935</v>
      </c>
      <c r="AR41" s="986">
        <f t="shared" si="25"/>
        <v>0.22861035422343323</v>
      </c>
      <c r="AS41" s="986">
        <f t="shared" si="26"/>
        <v>0.19605769230769229</v>
      </c>
      <c r="AT41" s="986">
        <f t="shared" si="27"/>
        <v>0.19659284497444635</v>
      </c>
      <c r="AV41" s="987">
        <v>3600</v>
      </c>
      <c r="AW41" s="987">
        <v>10356</v>
      </c>
      <c r="AX41" s="987">
        <v>3168</v>
      </c>
      <c r="AZ41" s="987">
        <f t="shared" si="28"/>
        <v>822.99727520435965</v>
      </c>
      <c r="BA41" s="987">
        <f t="shared" si="29"/>
        <v>2030.3734615384615</v>
      </c>
      <c r="BB41" s="987">
        <f t="shared" si="30"/>
        <v>622.806132879046</v>
      </c>
      <c r="BC41" s="1004">
        <f t="shared" si="15"/>
        <v>3476.1768696218669</v>
      </c>
    </row>
    <row r="42" spans="1:55" s="984" customFormat="1" ht="12" customHeight="1">
      <c r="A42" s="984" t="s">
        <v>94</v>
      </c>
      <c r="B42" s="988" t="s">
        <v>484</v>
      </c>
      <c r="C42" s="1001">
        <v>248</v>
      </c>
      <c r="D42" s="985">
        <v>2072</v>
      </c>
      <c r="E42" s="985">
        <v>2320</v>
      </c>
      <c r="F42" s="985">
        <v>247</v>
      </c>
      <c r="G42" s="985">
        <v>2212</v>
      </c>
      <c r="H42" s="985">
        <v>2459</v>
      </c>
      <c r="I42" s="985">
        <v>466</v>
      </c>
      <c r="J42" s="985">
        <v>2931</v>
      </c>
      <c r="K42" s="985">
        <v>3397</v>
      </c>
      <c r="L42" s="985">
        <v>422</v>
      </c>
      <c r="M42" s="985">
        <v>2385</v>
      </c>
      <c r="N42" s="985">
        <v>2807</v>
      </c>
      <c r="O42" s="985">
        <v>400</v>
      </c>
      <c r="P42" s="985">
        <v>3471</v>
      </c>
      <c r="Q42" s="985">
        <v>3871</v>
      </c>
      <c r="R42" s="985">
        <v>440</v>
      </c>
      <c r="S42" s="985">
        <v>4655</v>
      </c>
      <c r="T42" s="985">
        <v>5095</v>
      </c>
      <c r="U42" s="985">
        <v>572</v>
      </c>
      <c r="V42" s="985">
        <v>5857</v>
      </c>
      <c r="W42" s="985">
        <v>6429</v>
      </c>
      <c r="X42" s="985">
        <v>238</v>
      </c>
      <c r="Y42" s="985">
        <v>4666</v>
      </c>
      <c r="Z42" s="985">
        <v>4904</v>
      </c>
      <c r="AA42" s="985">
        <v>303</v>
      </c>
      <c r="AB42" s="985">
        <v>2870</v>
      </c>
      <c r="AC42" s="985">
        <v>3173</v>
      </c>
      <c r="AD42" s="985">
        <v>264</v>
      </c>
      <c r="AE42" s="985">
        <v>1736</v>
      </c>
      <c r="AF42" s="985">
        <v>2000</v>
      </c>
      <c r="AH42" s="985">
        <f t="shared" si="16"/>
        <v>961</v>
      </c>
      <c r="AI42" s="985">
        <f t="shared" si="17"/>
        <v>7215</v>
      </c>
      <c r="AJ42" s="985">
        <f t="shared" si="18"/>
        <v>8176</v>
      </c>
      <c r="AK42" s="985">
        <f t="shared" si="19"/>
        <v>2072</v>
      </c>
      <c r="AL42" s="985">
        <f t="shared" si="20"/>
        <v>21034</v>
      </c>
      <c r="AM42" s="985">
        <f t="shared" si="21"/>
        <v>23106</v>
      </c>
      <c r="AN42" s="985">
        <f t="shared" si="22"/>
        <v>567</v>
      </c>
      <c r="AO42" s="985">
        <f t="shared" si="23"/>
        <v>4606</v>
      </c>
      <c r="AP42" s="985">
        <f t="shared" si="24"/>
        <v>5173</v>
      </c>
      <c r="AR42" s="986">
        <f t="shared" si="25"/>
        <v>0.11753913894324854</v>
      </c>
      <c r="AS42" s="986">
        <f t="shared" si="26"/>
        <v>8.9673677832597595E-2</v>
      </c>
      <c r="AT42" s="986">
        <f t="shared" si="27"/>
        <v>0.10960757780784844</v>
      </c>
      <c r="AV42" s="987">
        <v>7889</v>
      </c>
      <c r="AW42" s="987">
        <v>23382</v>
      </c>
      <c r="AX42" s="987">
        <v>5630</v>
      </c>
      <c r="AZ42" s="987">
        <f t="shared" si="28"/>
        <v>927.26626712328766</v>
      </c>
      <c r="BA42" s="987">
        <f t="shared" si="29"/>
        <v>2096.749935081797</v>
      </c>
      <c r="BB42" s="987">
        <f t="shared" si="30"/>
        <v>617.09066305818669</v>
      </c>
      <c r="BC42" s="1004">
        <f t="shared" si="15"/>
        <v>3641.1068652632712</v>
      </c>
    </row>
    <row r="43" spans="1:55" s="984" customFormat="1" ht="12" customHeight="1">
      <c r="A43" s="984" t="s">
        <v>96</v>
      </c>
      <c r="B43" s="988" t="s">
        <v>485</v>
      </c>
      <c r="C43" s="1001">
        <v>138</v>
      </c>
      <c r="D43" s="985">
        <v>1055</v>
      </c>
      <c r="E43" s="985">
        <v>1193</v>
      </c>
      <c r="F43" s="985">
        <v>79</v>
      </c>
      <c r="G43" s="985">
        <v>1359</v>
      </c>
      <c r="H43" s="985">
        <v>1438</v>
      </c>
      <c r="I43" s="985">
        <v>165</v>
      </c>
      <c r="J43" s="985">
        <v>1327</v>
      </c>
      <c r="K43" s="985">
        <v>1492</v>
      </c>
      <c r="L43" s="985">
        <v>110</v>
      </c>
      <c r="M43" s="985">
        <v>678</v>
      </c>
      <c r="N43" s="985">
        <v>788</v>
      </c>
      <c r="O43" s="985">
        <v>75</v>
      </c>
      <c r="P43" s="985">
        <v>1140</v>
      </c>
      <c r="Q43" s="985">
        <v>1215</v>
      </c>
      <c r="R43" s="985">
        <v>182</v>
      </c>
      <c r="S43" s="985">
        <v>2240</v>
      </c>
      <c r="T43" s="985">
        <v>2422</v>
      </c>
      <c r="U43" s="985">
        <v>183</v>
      </c>
      <c r="V43" s="985">
        <v>3291</v>
      </c>
      <c r="W43" s="985">
        <v>3474</v>
      </c>
      <c r="X43" s="985">
        <v>85</v>
      </c>
      <c r="Y43" s="985">
        <v>3360</v>
      </c>
      <c r="Z43" s="985">
        <v>3445</v>
      </c>
      <c r="AA43" s="985">
        <v>84</v>
      </c>
      <c r="AB43" s="985">
        <v>1831</v>
      </c>
      <c r="AC43" s="985">
        <v>1915</v>
      </c>
      <c r="AD43" s="985">
        <v>221</v>
      </c>
      <c r="AE43" s="985">
        <v>945</v>
      </c>
      <c r="AF43" s="985">
        <v>1166</v>
      </c>
      <c r="AH43" s="985">
        <f t="shared" si="16"/>
        <v>382</v>
      </c>
      <c r="AI43" s="985">
        <f t="shared" si="17"/>
        <v>3741</v>
      </c>
      <c r="AJ43" s="985">
        <f t="shared" si="18"/>
        <v>4123</v>
      </c>
      <c r="AK43" s="985">
        <f t="shared" si="19"/>
        <v>635</v>
      </c>
      <c r="AL43" s="985">
        <f t="shared" si="20"/>
        <v>10709</v>
      </c>
      <c r="AM43" s="985">
        <f t="shared" si="21"/>
        <v>11344</v>
      </c>
      <c r="AN43" s="985">
        <f t="shared" si="22"/>
        <v>305</v>
      </c>
      <c r="AO43" s="985">
        <f t="shared" si="23"/>
        <v>2776</v>
      </c>
      <c r="AP43" s="985">
        <f t="shared" si="24"/>
        <v>3081</v>
      </c>
      <c r="AR43" s="986">
        <f t="shared" si="25"/>
        <v>9.2650982294445794E-2</v>
      </c>
      <c r="AS43" s="986">
        <f t="shared" si="26"/>
        <v>5.5976727785613543E-2</v>
      </c>
      <c r="AT43" s="986">
        <f t="shared" si="27"/>
        <v>9.8993833171048359E-2</v>
      </c>
      <c r="AV43" s="987">
        <v>4256</v>
      </c>
      <c r="AW43" s="987">
        <v>14156</v>
      </c>
      <c r="AX43" s="987">
        <v>3471</v>
      </c>
      <c r="AZ43" s="987">
        <f t="shared" si="28"/>
        <v>394.32258064516128</v>
      </c>
      <c r="BA43" s="987">
        <f t="shared" si="29"/>
        <v>792.40655853314536</v>
      </c>
      <c r="BB43" s="987">
        <f t="shared" si="30"/>
        <v>343.60759493670884</v>
      </c>
      <c r="BC43" s="1004">
        <f t="shared" si="15"/>
        <v>1530.3367341150156</v>
      </c>
    </row>
    <row r="44" spans="1:55" s="984" customFormat="1" ht="12" customHeight="1">
      <c r="A44" s="984" t="s">
        <v>98</v>
      </c>
      <c r="B44" s="988" t="s">
        <v>486</v>
      </c>
      <c r="C44" s="1001">
        <v>360</v>
      </c>
      <c r="D44" s="985">
        <v>670</v>
      </c>
      <c r="E44" s="985">
        <v>1030</v>
      </c>
      <c r="F44" s="985">
        <v>314</v>
      </c>
      <c r="G44" s="985">
        <v>475</v>
      </c>
      <c r="H44" s="985">
        <v>789</v>
      </c>
      <c r="I44" s="985">
        <v>465</v>
      </c>
      <c r="J44" s="985">
        <v>713</v>
      </c>
      <c r="K44" s="985">
        <v>1178</v>
      </c>
      <c r="L44" s="985">
        <v>236</v>
      </c>
      <c r="M44" s="985">
        <v>766</v>
      </c>
      <c r="N44" s="985">
        <v>1002</v>
      </c>
      <c r="O44" s="985">
        <v>436</v>
      </c>
      <c r="P44" s="985">
        <v>1078</v>
      </c>
      <c r="Q44" s="985">
        <v>1514</v>
      </c>
      <c r="R44" s="985">
        <v>586</v>
      </c>
      <c r="S44" s="985">
        <v>1386</v>
      </c>
      <c r="T44" s="985">
        <v>1972</v>
      </c>
      <c r="U44" s="985">
        <v>522</v>
      </c>
      <c r="V44" s="985">
        <v>1930</v>
      </c>
      <c r="W44" s="985">
        <v>2452</v>
      </c>
      <c r="X44" s="985">
        <v>482</v>
      </c>
      <c r="Y44" s="985">
        <v>1998</v>
      </c>
      <c r="Z44" s="985">
        <v>2480</v>
      </c>
      <c r="AA44" s="985">
        <v>443</v>
      </c>
      <c r="AB44" s="985">
        <v>1303</v>
      </c>
      <c r="AC44" s="985">
        <v>1746</v>
      </c>
      <c r="AD44" s="985">
        <v>420</v>
      </c>
      <c r="AE44" s="985">
        <v>980</v>
      </c>
      <c r="AF44" s="985">
        <v>1400</v>
      </c>
      <c r="AH44" s="985">
        <f t="shared" si="16"/>
        <v>1139</v>
      </c>
      <c r="AI44" s="985">
        <f t="shared" si="17"/>
        <v>1858</v>
      </c>
      <c r="AJ44" s="985">
        <f t="shared" si="18"/>
        <v>2997</v>
      </c>
      <c r="AK44" s="985">
        <f t="shared" si="19"/>
        <v>2262</v>
      </c>
      <c r="AL44" s="985">
        <f t="shared" si="20"/>
        <v>7158</v>
      </c>
      <c r="AM44" s="985">
        <f t="shared" si="21"/>
        <v>9420</v>
      </c>
      <c r="AN44" s="985">
        <f t="shared" si="22"/>
        <v>863</v>
      </c>
      <c r="AO44" s="985">
        <f t="shared" si="23"/>
        <v>2283</v>
      </c>
      <c r="AP44" s="985">
        <f t="shared" si="24"/>
        <v>3146</v>
      </c>
      <c r="AR44" s="986">
        <f t="shared" si="25"/>
        <v>0.3800467133800467</v>
      </c>
      <c r="AS44" s="986">
        <f t="shared" si="26"/>
        <v>0.24012738853503185</v>
      </c>
      <c r="AT44" s="986">
        <f t="shared" si="27"/>
        <v>0.27431659249841067</v>
      </c>
      <c r="AV44" s="987">
        <v>2849</v>
      </c>
      <c r="AW44" s="987">
        <v>9209</v>
      </c>
      <c r="AX44" s="987">
        <v>3270</v>
      </c>
      <c r="AZ44" s="987">
        <f t="shared" si="28"/>
        <v>1082.7530864197531</v>
      </c>
      <c r="BA44" s="987">
        <f t="shared" si="29"/>
        <v>2211.3331210191081</v>
      </c>
      <c r="BB44" s="987">
        <f t="shared" si="30"/>
        <v>897.01525746980292</v>
      </c>
      <c r="BC44" s="1004">
        <f t="shared" si="15"/>
        <v>4191.1014649086646</v>
      </c>
    </row>
    <row r="45" spans="1:55" s="984" customFormat="1" ht="12" customHeight="1">
      <c r="A45" s="984" t="s">
        <v>100</v>
      </c>
      <c r="B45" s="988" t="s">
        <v>487</v>
      </c>
      <c r="C45" s="1001">
        <v>324</v>
      </c>
      <c r="D45" s="985">
        <v>1214</v>
      </c>
      <c r="E45" s="985">
        <v>1538</v>
      </c>
      <c r="F45" s="985">
        <v>265</v>
      </c>
      <c r="G45" s="985">
        <v>1428</v>
      </c>
      <c r="H45" s="985">
        <v>1693</v>
      </c>
      <c r="I45" s="985">
        <v>301</v>
      </c>
      <c r="J45" s="985">
        <v>1018</v>
      </c>
      <c r="K45" s="985">
        <v>1319</v>
      </c>
      <c r="L45" s="985">
        <v>262</v>
      </c>
      <c r="M45" s="985">
        <v>1099</v>
      </c>
      <c r="N45" s="985">
        <v>1361</v>
      </c>
      <c r="O45" s="985">
        <v>268</v>
      </c>
      <c r="P45" s="985">
        <v>2115</v>
      </c>
      <c r="Q45" s="985">
        <v>2383</v>
      </c>
      <c r="R45" s="985">
        <v>250</v>
      </c>
      <c r="S45" s="985">
        <v>2384</v>
      </c>
      <c r="T45" s="985">
        <v>2634</v>
      </c>
      <c r="U45" s="985">
        <v>138</v>
      </c>
      <c r="V45" s="985">
        <v>2600</v>
      </c>
      <c r="W45" s="985">
        <v>2738</v>
      </c>
      <c r="X45" s="985">
        <v>166</v>
      </c>
      <c r="Y45" s="985">
        <v>2036</v>
      </c>
      <c r="Z45" s="985">
        <v>2202</v>
      </c>
      <c r="AA45" s="985">
        <v>185</v>
      </c>
      <c r="AB45" s="985">
        <v>1229</v>
      </c>
      <c r="AC45" s="985">
        <v>1414</v>
      </c>
      <c r="AD45" s="985">
        <v>167</v>
      </c>
      <c r="AE45" s="985">
        <v>702</v>
      </c>
      <c r="AF45" s="985">
        <v>869</v>
      </c>
      <c r="AH45" s="985">
        <f t="shared" si="16"/>
        <v>890</v>
      </c>
      <c r="AI45" s="985">
        <f t="shared" si="17"/>
        <v>3660</v>
      </c>
      <c r="AJ45" s="985">
        <f t="shared" si="18"/>
        <v>4550</v>
      </c>
      <c r="AK45" s="985">
        <f t="shared" si="19"/>
        <v>1084</v>
      </c>
      <c r="AL45" s="985">
        <f t="shared" si="20"/>
        <v>10234</v>
      </c>
      <c r="AM45" s="985">
        <f t="shared" si="21"/>
        <v>11318</v>
      </c>
      <c r="AN45" s="985">
        <f t="shared" si="22"/>
        <v>352</v>
      </c>
      <c r="AO45" s="985">
        <f t="shared" si="23"/>
        <v>1931</v>
      </c>
      <c r="AP45" s="985">
        <f t="shared" si="24"/>
        <v>2283</v>
      </c>
      <c r="AR45" s="986">
        <f t="shared" si="25"/>
        <v>0.1956043956043956</v>
      </c>
      <c r="AS45" s="986">
        <f t="shared" si="26"/>
        <v>9.5776638982152329E-2</v>
      </c>
      <c r="AT45" s="986">
        <f t="shared" si="27"/>
        <v>0.15418309242225142</v>
      </c>
      <c r="AV45" s="987">
        <v>4630</v>
      </c>
      <c r="AW45" s="987">
        <v>11549</v>
      </c>
      <c r="AX45" s="987">
        <v>2481</v>
      </c>
      <c r="AZ45" s="987">
        <f t="shared" si="28"/>
        <v>905.64835164835165</v>
      </c>
      <c r="BA45" s="987">
        <f t="shared" si="29"/>
        <v>1106.1244036048772</v>
      </c>
      <c r="BB45" s="987">
        <f t="shared" si="30"/>
        <v>382.52825229960575</v>
      </c>
      <c r="BC45" s="1004">
        <f t="shared" si="15"/>
        <v>2394.3010075528346</v>
      </c>
    </row>
    <row r="46" spans="1:55" s="984" customFormat="1" ht="12" customHeight="1">
      <c r="A46" s="984" t="s">
        <v>102</v>
      </c>
      <c r="B46" s="988" t="s">
        <v>772</v>
      </c>
      <c r="C46" s="1001">
        <v>752</v>
      </c>
      <c r="D46" s="985">
        <v>439</v>
      </c>
      <c r="E46" s="985">
        <v>1191</v>
      </c>
      <c r="F46" s="985">
        <v>372</v>
      </c>
      <c r="G46" s="985">
        <v>586</v>
      </c>
      <c r="H46" s="985">
        <v>958</v>
      </c>
      <c r="I46" s="985">
        <v>380</v>
      </c>
      <c r="J46" s="985">
        <v>774</v>
      </c>
      <c r="K46" s="985">
        <v>1154</v>
      </c>
      <c r="L46" s="985">
        <v>459</v>
      </c>
      <c r="M46" s="985">
        <v>726</v>
      </c>
      <c r="N46" s="985">
        <v>1185</v>
      </c>
      <c r="O46" s="985">
        <v>714</v>
      </c>
      <c r="P46" s="985">
        <v>1004</v>
      </c>
      <c r="Q46" s="985">
        <v>1718</v>
      </c>
      <c r="R46" s="985">
        <v>320</v>
      </c>
      <c r="S46" s="985">
        <v>1498</v>
      </c>
      <c r="T46" s="985">
        <v>1818</v>
      </c>
      <c r="U46" s="985">
        <v>314</v>
      </c>
      <c r="V46" s="985">
        <v>1610</v>
      </c>
      <c r="W46" s="985">
        <v>1924</v>
      </c>
      <c r="X46" s="985">
        <v>534</v>
      </c>
      <c r="Y46" s="985">
        <v>1576</v>
      </c>
      <c r="Z46" s="985">
        <v>2110</v>
      </c>
      <c r="AA46" s="985">
        <v>234</v>
      </c>
      <c r="AB46" s="985">
        <v>1028</v>
      </c>
      <c r="AC46" s="985">
        <v>1262</v>
      </c>
      <c r="AD46" s="985">
        <v>283</v>
      </c>
      <c r="AE46" s="985">
        <v>723</v>
      </c>
      <c r="AF46" s="985">
        <v>1006</v>
      </c>
      <c r="AH46" s="985">
        <f t="shared" si="16"/>
        <v>1504</v>
      </c>
      <c r="AI46" s="985">
        <f t="shared" si="17"/>
        <v>1799</v>
      </c>
      <c r="AJ46" s="985">
        <f t="shared" si="18"/>
        <v>3303</v>
      </c>
      <c r="AK46" s="985">
        <f t="shared" si="19"/>
        <v>2341</v>
      </c>
      <c r="AL46" s="985">
        <f t="shared" si="20"/>
        <v>6414</v>
      </c>
      <c r="AM46" s="985">
        <f t="shared" si="21"/>
        <v>8755</v>
      </c>
      <c r="AN46" s="985">
        <f t="shared" si="22"/>
        <v>517</v>
      </c>
      <c r="AO46" s="985">
        <f t="shared" si="23"/>
        <v>1751</v>
      </c>
      <c r="AP46" s="985">
        <f t="shared" si="24"/>
        <v>2268</v>
      </c>
      <c r="AR46" s="986">
        <f t="shared" si="25"/>
        <v>0.45534362700575237</v>
      </c>
      <c r="AS46" s="986">
        <f t="shared" si="26"/>
        <v>0.267390062821245</v>
      </c>
      <c r="AT46" s="986">
        <f t="shared" si="27"/>
        <v>0.22795414462081129</v>
      </c>
      <c r="AV46" s="987">
        <v>1979</v>
      </c>
      <c r="AW46" s="987">
        <v>8577</v>
      </c>
      <c r="AX46" s="987">
        <v>1556</v>
      </c>
      <c r="AZ46" s="987">
        <f t="shared" si="28"/>
        <v>901.125037844384</v>
      </c>
      <c r="BA46" s="987">
        <f t="shared" si="29"/>
        <v>2293.4045688178185</v>
      </c>
      <c r="BB46" s="987">
        <f t="shared" si="30"/>
        <v>354.69664902998238</v>
      </c>
      <c r="BC46" s="1004">
        <f t="shared" si="15"/>
        <v>3549.2262556921846</v>
      </c>
    </row>
    <row r="47" spans="1:55" s="984" customFormat="1" ht="12" customHeight="1">
      <c r="A47" s="984" t="s">
        <v>104</v>
      </c>
      <c r="B47" s="988" t="s">
        <v>773</v>
      </c>
      <c r="C47" s="1001">
        <v>667</v>
      </c>
      <c r="D47" s="985">
        <v>1700</v>
      </c>
      <c r="E47" s="985">
        <v>2367</v>
      </c>
      <c r="F47" s="985">
        <v>894</v>
      </c>
      <c r="G47" s="985">
        <v>1482</v>
      </c>
      <c r="H47" s="985">
        <v>2376</v>
      </c>
      <c r="I47" s="985">
        <v>980</v>
      </c>
      <c r="J47" s="985">
        <v>2181</v>
      </c>
      <c r="K47" s="985">
        <v>3161</v>
      </c>
      <c r="L47" s="985">
        <v>801</v>
      </c>
      <c r="M47" s="985">
        <v>1895</v>
      </c>
      <c r="N47" s="985">
        <v>2696</v>
      </c>
      <c r="O47" s="985">
        <v>820</v>
      </c>
      <c r="P47" s="985">
        <v>2326</v>
      </c>
      <c r="Q47" s="985">
        <v>3146</v>
      </c>
      <c r="R47" s="985">
        <v>1009</v>
      </c>
      <c r="S47" s="985">
        <v>3255</v>
      </c>
      <c r="T47" s="985">
        <v>4264</v>
      </c>
      <c r="U47" s="985">
        <v>1030</v>
      </c>
      <c r="V47" s="985">
        <v>4316</v>
      </c>
      <c r="W47" s="985">
        <v>5346</v>
      </c>
      <c r="X47" s="985">
        <v>1162</v>
      </c>
      <c r="Y47" s="985">
        <v>4229</v>
      </c>
      <c r="Z47" s="985">
        <v>5391</v>
      </c>
      <c r="AA47" s="985">
        <v>953</v>
      </c>
      <c r="AB47" s="985">
        <v>2746</v>
      </c>
      <c r="AC47" s="985">
        <v>3699</v>
      </c>
      <c r="AD47" s="985">
        <v>981</v>
      </c>
      <c r="AE47" s="985">
        <v>1889</v>
      </c>
      <c r="AF47" s="985">
        <v>2870</v>
      </c>
      <c r="AH47" s="985">
        <f t="shared" si="16"/>
        <v>2541</v>
      </c>
      <c r="AI47" s="985">
        <f t="shared" si="17"/>
        <v>5363</v>
      </c>
      <c r="AJ47" s="985">
        <f t="shared" si="18"/>
        <v>7904</v>
      </c>
      <c r="AK47" s="985">
        <f t="shared" si="19"/>
        <v>4822</v>
      </c>
      <c r="AL47" s="985">
        <f t="shared" si="20"/>
        <v>16021</v>
      </c>
      <c r="AM47" s="985">
        <f t="shared" si="21"/>
        <v>20843</v>
      </c>
      <c r="AN47" s="985">
        <f t="shared" si="22"/>
        <v>1934</v>
      </c>
      <c r="AO47" s="985">
        <f t="shared" si="23"/>
        <v>4635</v>
      </c>
      <c r="AP47" s="985">
        <f t="shared" si="24"/>
        <v>6569</v>
      </c>
      <c r="AR47" s="986">
        <f t="shared" si="25"/>
        <v>0.32148279352226722</v>
      </c>
      <c r="AS47" s="986">
        <f t="shared" si="26"/>
        <v>0.23134865422443987</v>
      </c>
      <c r="AT47" s="986">
        <f t="shared" si="27"/>
        <v>0.29441315268686252</v>
      </c>
      <c r="AV47" s="987">
        <v>7828</v>
      </c>
      <c r="AW47" s="987">
        <v>21081</v>
      </c>
      <c r="AX47" s="987">
        <v>7147</v>
      </c>
      <c r="AZ47" s="987">
        <f t="shared" si="28"/>
        <v>2516.5673076923076</v>
      </c>
      <c r="BA47" s="987">
        <f t="shared" si="29"/>
        <v>4877.0609797054167</v>
      </c>
      <c r="BB47" s="987">
        <f t="shared" si="30"/>
        <v>2104.1708022530065</v>
      </c>
      <c r="BC47" s="1004">
        <f t="shared" si="15"/>
        <v>9497.7990896507308</v>
      </c>
    </row>
    <row r="48" spans="1:55" s="984" customFormat="1" ht="12" customHeight="1">
      <c r="A48" s="984" t="s">
        <v>108</v>
      </c>
      <c r="B48" s="988" t="s">
        <v>488</v>
      </c>
      <c r="C48" s="1001">
        <v>595</v>
      </c>
      <c r="D48" s="985">
        <v>6044</v>
      </c>
      <c r="E48" s="985">
        <v>6639</v>
      </c>
      <c r="F48" s="985">
        <v>537</v>
      </c>
      <c r="G48" s="985">
        <v>7977</v>
      </c>
      <c r="H48" s="985">
        <v>8514</v>
      </c>
      <c r="I48" s="985">
        <v>576</v>
      </c>
      <c r="J48" s="985">
        <v>9188</v>
      </c>
      <c r="K48" s="985">
        <v>9764</v>
      </c>
      <c r="L48" s="985">
        <v>700</v>
      </c>
      <c r="M48" s="985">
        <v>5668</v>
      </c>
      <c r="N48" s="985">
        <v>6368</v>
      </c>
      <c r="O48" s="985">
        <v>634</v>
      </c>
      <c r="P48" s="985">
        <v>8031</v>
      </c>
      <c r="Q48" s="985">
        <v>8665</v>
      </c>
      <c r="R48" s="985">
        <v>685</v>
      </c>
      <c r="S48" s="985">
        <v>13996</v>
      </c>
      <c r="T48" s="985">
        <v>14681</v>
      </c>
      <c r="U48" s="985">
        <v>827</v>
      </c>
      <c r="V48" s="985">
        <v>16536</v>
      </c>
      <c r="W48" s="985">
        <v>17363</v>
      </c>
      <c r="X48" s="985">
        <v>626</v>
      </c>
      <c r="Y48" s="985">
        <v>12050</v>
      </c>
      <c r="Z48" s="985">
        <v>12676</v>
      </c>
      <c r="AA48" s="985">
        <v>552</v>
      </c>
      <c r="AB48" s="985">
        <v>6436</v>
      </c>
      <c r="AC48" s="985">
        <v>6988</v>
      </c>
      <c r="AD48" s="985">
        <v>615</v>
      </c>
      <c r="AE48" s="985">
        <v>4804</v>
      </c>
      <c r="AF48" s="985">
        <v>5419</v>
      </c>
      <c r="AH48" s="985">
        <f t="shared" si="16"/>
        <v>1708</v>
      </c>
      <c r="AI48" s="985">
        <f t="shared" si="17"/>
        <v>23209</v>
      </c>
      <c r="AJ48" s="985">
        <f t="shared" si="18"/>
        <v>24917</v>
      </c>
      <c r="AK48" s="985">
        <f t="shared" si="19"/>
        <v>3472</v>
      </c>
      <c r="AL48" s="985">
        <f t="shared" si="20"/>
        <v>56281</v>
      </c>
      <c r="AM48" s="985">
        <f t="shared" si="21"/>
        <v>59753</v>
      </c>
      <c r="AN48" s="985">
        <f t="shared" si="22"/>
        <v>1167</v>
      </c>
      <c r="AO48" s="985">
        <f t="shared" si="23"/>
        <v>11240</v>
      </c>
      <c r="AP48" s="985">
        <f t="shared" si="24"/>
        <v>12407</v>
      </c>
      <c r="AR48" s="986">
        <f t="shared" si="25"/>
        <v>6.8547577958823297E-2</v>
      </c>
      <c r="AS48" s="986">
        <f t="shared" si="26"/>
        <v>5.8105869161381017E-2</v>
      </c>
      <c r="AT48" s="986">
        <f t="shared" si="27"/>
        <v>9.4059804948819214E-2</v>
      </c>
      <c r="AV48" s="987">
        <v>24344</v>
      </c>
      <c r="AW48" s="987">
        <v>62242</v>
      </c>
      <c r="AX48" s="987">
        <v>13756</v>
      </c>
      <c r="AZ48" s="987">
        <f t="shared" si="28"/>
        <v>1668.7222378295944</v>
      </c>
      <c r="BA48" s="987">
        <f t="shared" si="29"/>
        <v>3616.6255083426772</v>
      </c>
      <c r="BB48" s="987">
        <f t="shared" si="30"/>
        <v>1293.8866768759572</v>
      </c>
      <c r="BC48" s="1004">
        <f t="shared" si="15"/>
        <v>6579.2344230482286</v>
      </c>
    </row>
    <row r="49" spans="1:55" s="984" customFormat="1" ht="12" customHeight="1">
      <c r="A49" s="984" t="s">
        <v>110</v>
      </c>
      <c r="B49" s="988" t="s">
        <v>489</v>
      </c>
      <c r="C49" s="1001">
        <v>5472</v>
      </c>
      <c r="D49" s="985">
        <v>19017</v>
      </c>
      <c r="E49" s="985">
        <v>24489</v>
      </c>
      <c r="F49" s="985">
        <v>4855</v>
      </c>
      <c r="G49" s="985">
        <v>18484</v>
      </c>
      <c r="H49" s="985">
        <v>23339</v>
      </c>
      <c r="I49" s="985">
        <v>4382</v>
      </c>
      <c r="J49" s="985">
        <v>20800</v>
      </c>
      <c r="K49" s="985">
        <v>25182</v>
      </c>
      <c r="L49" s="985">
        <v>5775</v>
      </c>
      <c r="M49" s="985">
        <v>18601</v>
      </c>
      <c r="N49" s="985">
        <v>24376</v>
      </c>
      <c r="O49" s="985">
        <v>5962</v>
      </c>
      <c r="P49" s="985">
        <v>37317</v>
      </c>
      <c r="Q49" s="985">
        <v>43279</v>
      </c>
      <c r="R49" s="985">
        <v>4215</v>
      </c>
      <c r="S49" s="985">
        <v>40052</v>
      </c>
      <c r="T49" s="985">
        <v>44267</v>
      </c>
      <c r="U49" s="985">
        <v>3973</v>
      </c>
      <c r="V49" s="985">
        <v>41508</v>
      </c>
      <c r="W49" s="985">
        <v>45481</v>
      </c>
      <c r="X49" s="985">
        <v>2618</v>
      </c>
      <c r="Y49" s="985">
        <v>31667</v>
      </c>
      <c r="Z49" s="985">
        <v>34285</v>
      </c>
      <c r="AA49" s="985">
        <v>1812</v>
      </c>
      <c r="AB49" s="985">
        <v>16352</v>
      </c>
      <c r="AC49" s="985">
        <v>18164</v>
      </c>
      <c r="AD49" s="985">
        <v>1583</v>
      </c>
      <c r="AE49" s="985">
        <v>15236</v>
      </c>
      <c r="AF49" s="985">
        <v>16819</v>
      </c>
      <c r="AH49" s="985">
        <f t="shared" si="16"/>
        <v>14709</v>
      </c>
      <c r="AI49" s="985">
        <f t="shared" si="17"/>
        <v>58301</v>
      </c>
      <c r="AJ49" s="985">
        <f t="shared" si="18"/>
        <v>73010</v>
      </c>
      <c r="AK49" s="985">
        <f t="shared" si="19"/>
        <v>22543</v>
      </c>
      <c r="AL49" s="985">
        <f t="shared" si="20"/>
        <v>169145</v>
      </c>
      <c r="AM49" s="985">
        <f t="shared" si="21"/>
        <v>191688</v>
      </c>
      <c r="AN49" s="985">
        <f t="shared" si="22"/>
        <v>3395</v>
      </c>
      <c r="AO49" s="985">
        <f t="shared" si="23"/>
        <v>31588</v>
      </c>
      <c r="AP49" s="985">
        <f t="shared" si="24"/>
        <v>34983</v>
      </c>
      <c r="AR49" s="986">
        <f t="shared" si="25"/>
        <v>0.20146555266401864</v>
      </c>
      <c r="AS49" s="986">
        <f t="shared" si="26"/>
        <v>0.11760256249739159</v>
      </c>
      <c r="AT49" s="986">
        <f t="shared" si="27"/>
        <v>9.704713718091644E-2</v>
      </c>
      <c r="AV49" s="987">
        <v>74013</v>
      </c>
      <c r="AW49" s="987">
        <v>197231</v>
      </c>
      <c r="AX49" s="987">
        <v>39201</v>
      </c>
      <c r="AZ49" s="987">
        <f t="shared" si="28"/>
        <v>14911.069949322011</v>
      </c>
      <c r="BA49" s="987">
        <f t="shared" si="29"/>
        <v>23194.871003923043</v>
      </c>
      <c r="BB49" s="987">
        <f t="shared" si="30"/>
        <v>3804.3448246291055</v>
      </c>
      <c r="BC49" s="1004">
        <f t="shared" si="15"/>
        <v>41910.28577787416</v>
      </c>
    </row>
    <row r="50" spans="1:55" s="984" customFormat="1" ht="12" customHeight="1">
      <c r="A50" s="984" t="s">
        <v>112</v>
      </c>
      <c r="B50" s="988" t="s">
        <v>774</v>
      </c>
      <c r="C50" s="1001">
        <v>2351</v>
      </c>
      <c r="D50" s="985">
        <v>2243</v>
      </c>
      <c r="E50" s="985">
        <v>4594</v>
      </c>
      <c r="F50" s="985">
        <v>1817</v>
      </c>
      <c r="G50" s="985">
        <v>2683</v>
      </c>
      <c r="H50" s="985">
        <v>4500</v>
      </c>
      <c r="I50" s="985">
        <v>1966</v>
      </c>
      <c r="J50" s="985">
        <v>3054</v>
      </c>
      <c r="K50" s="985">
        <v>5020</v>
      </c>
      <c r="L50" s="985">
        <v>1596</v>
      </c>
      <c r="M50" s="985">
        <v>3319</v>
      </c>
      <c r="N50" s="985">
        <v>4915</v>
      </c>
      <c r="O50" s="985">
        <v>2083</v>
      </c>
      <c r="P50" s="985">
        <v>4680</v>
      </c>
      <c r="Q50" s="985">
        <v>6763</v>
      </c>
      <c r="R50" s="985">
        <v>2350</v>
      </c>
      <c r="S50" s="985">
        <v>6545</v>
      </c>
      <c r="T50" s="985">
        <v>8895</v>
      </c>
      <c r="U50" s="985">
        <v>2188</v>
      </c>
      <c r="V50" s="985">
        <v>8425</v>
      </c>
      <c r="W50" s="985">
        <v>10613</v>
      </c>
      <c r="X50" s="985">
        <v>1648</v>
      </c>
      <c r="Y50" s="985">
        <v>7626</v>
      </c>
      <c r="Z50" s="985">
        <v>9274</v>
      </c>
      <c r="AA50" s="985">
        <v>1059</v>
      </c>
      <c r="AB50" s="985">
        <v>6049</v>
      </c>
      <c r="AC50" s="985">
        <v>7108</v>
      </c>
      <c r="AD50" s="985">
        <v>1443</v>
      </c>
      <c r="AE50" s="985">
        <v>4187</v>
      </c>
      <c r="AF50" s="985">
        <v>5630</v>
      </c>
      <c r="AH50" s="985">
        <f t="shared" si="16"/>
        <v>6134</v>
      </c>
      <c r="AI50" s="985">
        <f t="shared" si="17"/>
        <v>7980</v>
      </c>
      <c r="AJ50" s="985">
        <f t="shared" si="18"/>
        <v>14114</v>
      </c>
      <c r="AK50" s="985">
        <f t="shared" si="19"/>
        <v>9865</v>
      </c>
      <c r="AL50" s="985">
        <f t="shared" si="20"/>
        <v>30595</v>
      </c>
      <c r="AM50" s="985">
        <f t="shared" si="21"/>
        <v>40460</v>
      </c>
      <c r="AN50" s="985">
        <f t="shared" si="22"/>
        <v>2502</v>
      </c>
      <c r="AO50" s="985">
        <f t="shared" si="23"/>
        <v>10236</v>
      </c>
      <c r="AP50" s="985">
        <f t="shared" si="24"/>
        <v>12738</v>
      </c>
      <c r="AR50" s="986">
        <f t="shared" si="25"/>
        <v>0.434603939350999</v>
      </c>
      <c r="AS50" s="986">
        <f t="shared" si="26"/>
        <v>0.24382105783489866</v>
      </c>
      <c r="AT50" s="986">
        <f t="shared" si="27"/>
        <v>0.19642016015073011</v>
      </c>
      <c r="AV50" s="987">
        <v>10889</v>
      </c>
      <c r="AW50" s="987">
        <v>31886</v>
      </c>
      <c r="AX50" s="987">
        <v>10966</v>
      </c>
      <c r="AZ50" s="987">
        <f t="shared" si="28"/>
        <v>4732.4022955930277</v>
      </c>
      <c r="BA50" s="987">
        <f t="shared" si="29"/>
        <v>7774.4782501235786</v>
      </c>
      <c r="BB50" s="987">
        <f t="shared" si="30"/>
        <v>2153.9434762129063</v>
      </c>
      <c r="BC50" s="1004">
        <f t="shared" si="15"/>
        <v>14660.824021929511</v>
      </c>
    </row>
    <row r="51" spans="1:55" s="984" customFormat="1" ht="12" customHeight="1">
      <c r="A51" s="984" t="s">
        <v>114</v>
      </c>
      <c r="B51" s="988" t="s">
        <v>490</v>
      </c>
      <c r="C51" s="1001">
        <v>6</v>
      </c>
      <c r="D51" s="985">
        <v>70</v>
      </c>
      <c r="E51" s="985">
        <v>76</v>
      </c>
      <c r="F51" s="985">
        <v>10</v>
      </c>
      <c r="G51" s="985">
        <v>90</v>
      </c>
      <c r="H51" s="985">
        <v>100</v>
      </c>
      <c r="I51" s="985">
        <v>15</v>
      </c>
      <c r="J51" s="985">
        <v>130</v>
      </c>
      <c r="K51" s="985">
        <v>145</v>
      </c>
      <c r="L51" s="985">
        <v>9</v>
      </c>
      <c r="M51" s="985">
        <v>50</v>
      </c>
      <c r="N51" s="985">
        <v>59</v>
      </c>
      <c r="O51" s="985">
        <v>10</v>
      </c>
      <c r="P51" s="985">
        <v>84</v>
      </c>
      <c r="Q51" s="985">
        <v>94</v>
      </c>
      <c r="R51" s="985">
        <v>32</v>
      </c>
      <c r="S51" s="985">
        <v>291</v>
      </c>
      <c r="T51" s="985">
        <v>323</v>
      </c>
      <c r="U51" s="985">
        <v>86</v>
      </c>
      <c r="V51" s="985">
        <v>292</v>
      </c>
      <c r="W51" s="985">
        <v>378</v>
      </c>
      <c r="X51" s="985">
        <v>26</v>
      </c>
      <c r="Y51" s="985">
        <v>504</v>
      </c>
      <c r="Z51" s="985">
        <v>530</v>
      </c>
      <c r="AA51" s="985">
        <v>45</v>
      </c>
      <c r="AB51" s="985">
        <v>387</v>
      </c>
      <c r="AC51" s="985">
        <v>432</v>
      </c>
      <c r="AD51" s="985">
        <v>45</v>
      </c>
      <c r="AE51" s="985">
        <v>168</v>
      </c>
      <c r="AF51" s="985">
        <v>213</v>
      </c>
      <c r="AH51" s="985">
        <f t="shared" si="16"/>
        <v>31</v>
      </c>
      <c r="AI51" s="985">
        <f t="shared" si="17"/>
        <v>290</v>
      </c>
      <c r="AJ51" s="985">
        <f t="shared" si="18"/>
        <v>321</v>
      </c>
      <c r="AK51" s="985">
        <f t="shared" si="19"/>
        <v>163</v>
      </c>
      <c r="AL51" s="985">
        <f t="shared" si="20"/>
        <v>1221</v>
      </c>
      <c r="AM51" s="985">
        <f t="shared" si="21"/>
        <v>1384</v>
      </c>
      <c r="AN51" s="985">
        <f t="shared" si="22"/>
        <v>90</v>
      </c>
      <c r="AO51" s="985">
        <f t="shared" si="23"/>
        <v>555</v>
      </c>
      <c r="AP51" s="985">
        <f t="shared" si="24"/>
        <v>645</v>
      </c>
      <c r="AR51" s="986">
        <f t="shared" si="25"/>
        <v>9.657320872274143E-2</v>
      </c>
      <c r="AS51" s="986">
        <f t="shared" si="26"/>
        <v>0.11777456647398844</v>
      </c>
      <c r="AT51" s="986">
        <f t="shared" si="27"/>
        <v>0.13953488372093023</v>
      </c>
      <c r="AV51" s="987">
        <v>321</v>
      </c>
      <c r="AW51" s="987">
        <v>1344</v>
      </c>
      <c r="AX51" s="987">
        <v>602</v>
      </c>
      <c r="AZ51" s="987">
        <f t="shared" si="28"/>
        <v>31</v>
      </c>
      <c r="BA51" s="987">
        <f t="shared" si="29"/>
        <v>158.28901734104048</v>
      </c>
      <c r="BB51" s="987">
        <f t="shared" si="30"/>
        <v>84</v>
      </c>
      <c r="BC51" s="1004">
        <f t="shared" si="15"/>
        <v>273.28901734104045</v>
      </c>
    </row>
    <row r="52" spans="1:55" s="984" customFormat="1" ht="12" customHeight="1">
      <c r="A52" s="984" t="s">
        <v>118</v>
      </c>
      <c r="B52" s="988" t="s">
        <v>775</v>
      </c>
      <c r="C52" s="1001">
        <v>593</v>
      </c>
      <c r="D52" s="985">
        <v>1768</v>
      </c>
      <c r="E52" s="985">
        <v>2361</v>
      </c>
      <c r="F52" s="985">
        <v>341</v>
      </c>
      <c r="G52" s="985">
        <v>2572</v>
      </c>
      <c r="H52" s="985">
        <v>2913</v>
      </c>
      <c r="I52" s="985">
        <v>354</v>
      </c>
      <c r="J52" s="985">
        <v>2329</v>
      </c>
      <c r="K52" s="985">
        <v>2683</v>
      </c>
      <c r="L52" s="985">
        <v>336</v>
      </c>
      <c r="M52" s="985">
        <v>2115</v>
      </c>
      <c r="N52" s="985">
        <v>2451</v>
      </c>
      <c r="O52" s="985">
        <v>322</v>
      </c>
      <c r="P52" s="985">
        <v>2856</v>
      </c>
      <c r="Q52" s="985">
        <v>3178</v>
      </c>
      <c r="R52" s="985">
        <v>508</v>
      </c>
      <c r="S52" s="985">
        <v>4327</v>
      </c>
      <c r="T52" s="985">
        <v>4835</v>
      </c>
      <c r="U52" s="985">
        <v>511</v>
      </c>
      <c r="V52" s="985">
        <v>6018</v>
      </c>
      <c r="W52" s="985">
        <v>6529</v>
      </c>
      <c r="X52" s="985">
        <v>630</v>
      </c>
      <c r="Y52" s="985">
        <v>4453</v>
      </c>
      <c r="Z52" s="985">
        <v>5083</v>
      </c>
      <c r="AA52" s="985">
        <v>208</v>
      </c>
      <c r="AB52" s="985">
        <v>2740</v>
      </c>
      <c r="AC52" s="985">
        <v>2948</v>
      </c>
      <c r="AD52" s="985">
        <v>342</v>
      </c>
      <c r="AE52" s="985">
        <v>1616</v>
      </c>
      <c r="AF52" s="985">
        <v>1958</v>
      </c>
      <c r="AH52" s="985">
        <f t="shared" si="16"/>
        <v>1288</v>
      </c>
      <c r="AI52" s="985">
        <f t="shared" si="17"/>
        <v>6669</v>
      </c>
      <c r="AJ52" s="985">
        <f t="shared" si="18"/>
        <v>7957</v>
      </c>
      <c r="AK52" s="985">
        <f t="shared" si="19"/>
        <v>2307</v>
      </c>
      <c r="AL52" s="985">
        <f t="shared" si="20"/>
        <v>19769</v>
      </c>
      <c r="AM52" s="985">
        <f t="shared" si="21"/>
        <v>22076</v>
      </c>
      <c r="AN52" s="985">
        <f t="shared" si="22"/>
        <v>550</v>
      </c>
      <c r="AO52" s="985">
        <f t="shared" si="23"/>
        <v>4356</v>
      </c>
      <c r="AP52" s="985">
        <f t="shared" si="24"/>
        <v>4906</v>
      </c>
      <c r="AR52" s="986">
        <f t="shared" si="25"/>
        <v>0.16187005152695741</v>
      </c>
      <c r="AS52" s="986">
        <f t="shared" si="26"/>
        <v>0.10450262728755209</v>
      </c>
      <c r="AT52" s="986">
        <f t="shared" si="27"/>
        <v>0.11210762331838565</v>
      </c>
      <c r="AV52" s="987">
        <v>7808</v>
      </c>
      <c r="AW52" s="987">
        <v>22111</v>
      </c>
      <c r="AX52" s="987">
        <v>5437</v>
      </c>
      <c r="AZ52" s="987">
        <f t="shared" si="28"/>
        <v>1263.8813623224835</v>
      </c>
      <c r="BA52" s="987">
        <f t="shared" si="29"/>
        <v>2310.6575919550642</v>
      </c>
      <c r="BB52" s="987">
        <f t="shared" si="30"/>
        <v>609.5291479820628</v>
      </c>
      <c r="BC52" s="1004">
        <f t="shared" si="15"/>
        <v>4184.06810225961</v>
      </c>
    </row>
    <row r="53" spans="1:55" s="984" customFormat="1" ht="12" customHeight="1">
      <c r="A53" s="984" t="s">
        <v>120</v>
      </c>
      <c r="B53" s="988" t="s">
        <v>285</v>
      </c>
      <c r="C53" s="1001">
        <v>802</v>
      </c>
      <c r="D53" s="985">
        <v>3257</v>
      </c>
      <c r="E53" s="985">
        <v>4059</v>
      </c>
      <c r="F53" s="985">
        <v>707</v>
      </c>
      <c r="G53" s="985">
        <v>4065</v>
      </c>
      <c r="H53" s="985">
        <v>4772</v>
      </c>
      <c r="I53" s="985">
        <v>525</v>
      </c>
      <c r="J53" s="985">
        <v>4851</v>
      </c>
      <c r="K53" s="985">
        <v>5376</v>
      </c>
      <c r="L53" s="985">
        <v>843</v>
      </c>
      <c r="M53" s="985">
        <v>3679</v>
      </c>
      <c r="N53" s="985">
        <v>4522</v>
      </c>
      <c r="O53" s="985">
        <v>636</v>
      </c>
      <c r="P53" s="985">
        <v>5556</v>
      </c>
      <c r="Q53" s="985">
        <v>6192</v>
      </c>
      <c r="R53" s="985">
        <v>611</v>
      </c>
      <c r="S53" s="985">
        <v>7290</v>
      </c>
      <c r="T53" s="985">
        <v>7901</v>
      </c>
      <c r="U53" s="985">
        <v>459</v>
      </c>
      <c r="V53" s="985">
        <v>9228</v>
      </c>
      <c r="W53" s="985">
        <v>9687</v>
      </c>
      <c r="X53" s="985">
        <v>435</v>
      </c>
      <c r="Y53" s="985">
        <v>9043</v>
      </c>
      <c r="Z53" s="985">
        <v>9478</v>
      </c>
      <c r="AA53" s="985">
        <v>157</v>
      </c>
      <c r="AB53" s="985">
        <v>7084</v>
      </c>
      <c r="AC53" s="985">
        <v>7241</v>
      </c>
      <c r="AD53" s="985">
        <v>241</v>
      </c>
      <c r="AE53" s="985">
        <v>5543</v>
      </c>
      <c r="AF53" s="985">
        <v>5784</v>
      </c>
      <c r="AH53" s="985">
        <f t="shared" si="16"/>
        <v>2034</v>
      </c>
      <c r="AI53" s="985">
        <f t="shared" si="17"/>
        <v>12173</v>
      </c>
      <c r="AJ53" s="985">
        <f t="shared" si="18"/>
        <v>14207</v>
      </c>
      <c r="AK53" s="985">
        <f t="shared" si="19"/>
        <v>2984</v>
      </c>
      <c r="AL53" s="985">
        <f t="shared" si="20"/>
        <v>34796</v>
      </c>
      <c r="AM53" s="985">
        <f t="shared" si="21"/>
        <v>37780</v>
      </c>
      <c r="AN53" s="985">
        <f t="shared" si="22"/>
        <v>398</v>
      </c>
      <c r="AO53" s="985">
        <f t="shared" si="23"/>
        <v>12627</v>
      </c>
      <c r="AP53" s="985">
        <f t="shared" si="24"/>
        <v>13025</v>
      </c>
      <c r="AR53" s="986">
        <f t="shared" si="25"/>
        <v>0.14316886042091925</v>
      </c>
      <c r="AS53" s="986">
        <f t="shared" si="26"/>
        <v>7.8983589200635251E-2</v>
      </c>
      <c r="AT53" s="986">
        <f t="shared" si="27"/>
        <v>3.0556621880998079E-2</v>
      </c>
      <c r="AV53" s="987">
        <v>14335</v>
      </c>
      <c r="AW53" s="987">
        <v>39213</v>
      </c>
      <c r="AX53" s="987">
        <v>14652</v>
      </c>
      <c r="AZ53" s="987">
        <f t="shared" si="28"/>
        <v>2052.3256141338775</v>
      </c>
      <c r="BA53" s="987">
        <f t="shared" si="29"/>
        <v>3097.1834833245102</v>
      </c>
      <c r="BB53" s="987">
        <f t="shared" si="30"/>
        <v>447.71562380038387</v>
      </c>
      <c r="BC53" s="1004">
        <f t="shared" si="15"/>
        <v>5597.2247212587708</v>
      </c>
    </row>
    <row r="54" spans="1:55" s="984" customFormat="1" ht="12" customHeight="1">
      <c r="A54" s="984" t="s">
        <v>122</v>
      </c>
      <c r="B54" s="988" t="s">
        <v>776</v>
      </c>
      <c r="C54" s="1001">
        <v>184</v>
      </c>
      <c r="D54" s="985">
        <v>280</v>
      </c>
      <c r="E54" s="985">
        <v>464</v>
      </c>
      <c r="F54" s="985">
        <v>121</v>
      </c>
      <c r="G54" s="985">
        <v>263</v>
      </c>
      <c r="H54" s="985">
        <v>384</v>
      </c>
      <c r="I54" s="985">
        <v>50</v>
      </c>
      <c r="J54" s="985">
        <v>537</v>
      </c>
      <c r="K54" s="985">
        <v>587</v>
      </c>
      <c r="L54" s="985">
        <v>73</v>
      </c>
      <c r="M54" s="985">
        <v>491</v>
      </c>
      <c r="N54" s="985">
        <v>564</v>
      </c>
      <c r="O54" s="985">
        <v>57</v>
      </c>
      <c r="P54" s="985">
        <v>434</v>
      </c>
      <c r="Q54" s="985">
        <v>491</v>
      </c>
      <c r="R54" s="985">
        <v>96</v>
      </c>
      <c r="S54" s="985">
        <v>864</v>
      </c>
      <c r="T54" s="985">
        <v>960</v>
      </c>
      <c r="U54" s="985">
        <v>106</v>
      </c>
      <c r="V54" s="985">
        <v>1136</v>
      </c>
      <c r="W54" s="985">
        <v>1242</v>
      </c>
      <c r="X54" s="985">
        <v>138</v>
      </c>
      <c r="Y54" s="985">
        <v>929</v>
      </c>
      <c r="Z54" s="985">
        <v>1067</v>
      </c>
      <c r="AA54" s="985">
        <v>67</v>
      </c>
      <c r="AB54" s="985">
        <v>598</v>
      </c>
      <c r="AC54" s="985">
        <v>665</v>
      </c>
      <c r="AD54" s="985">
        <v>125</v>
      </c>
      <c r="AE54" s="985">
        <v>397</v>
      </c>
      <c r="AF54" s="985">
        <v>522</v>
      </c>
      <c r="AH54" s="985">
        <f t="shared" si="16"/>
        <v>355</v>
      </c>
      <c r="AI54" s="985">
        <f t="shared" si="17"/>
        <v>1080</v>
      </c>
      <c r="AJ54" s="985">
        <f t="shared" si="18"/>
        <v>1435</v>
      </c>
      <c r="AK54" s="985">
        <f t="shared" si="19"/>
        <v>470</v>
      </c>
      <c r="AL54" s="985">
        <f t="shared" si="20"/>
        <v>3854</v>
      </c>
      <c r="AM54" s="985">
        <f t="shared" si="21"/>
        <v>4324</v>
      </c>
      <c r="AN54" s="985">
        <f t="shared" si="22"/>
        <v>192</v>
      </c>
      <c r="AO54" s="985">
        <f t="shared" si="23"/>
        <v>995</v>
      </c>
      <c r="AP54" s="985">
        <f t="shared" si="24"/>
        <v>1187</v>
      </c>
      <c r="AR54" s="986">
        <f t="shared" si="25"/>
        <v>0.24738675958188153</v>
      </c>
      <c r="AS54" s="986">
        <f t="shared" si="26"/>
        <v>0.10869565217391304</v>
      </c>
      <c r="AT54" s="986">
        <f t="shared" si="27"/>
        <v>0.16175231676495366</v>
      </c>
      <c r="AV54" s="987">
        <v>1382</v>
      </c>
      <c r="AW54" s="987">
        <v>4333</v>
      </c>
      <c r="AX54" s="987">
        <v>1282</v>
      </c>
      <c r="AZ54" s="987">
        <f t="shared" si="28"/>
        <v>341.88850174216026</v>
      </c>
      <c r="BA54" s="987">
        <f t="shared" si="29"/>
        <v>470.97826086956519</v>
      </c>
      <c r="BB54" s="987">
        <f t="shared" si="30"/>
        <v>207.3664700926706</v>
      </c>
      <c r="BC54" s="1004">
        <f t="shared" si="15"/>
        <v>1020.2332327043961</v>
      </c>
    </row>
    <row r="55" spans="1:55" s="984" customFormat="1" ht="12" customHeight="1">
      <c r="A55" s="984" t="s">
        <v>124</v>
      </c>
      <c r="B55" s="988" t="s">
        <v>493</v>
      </c>
      <c r="C55" s="1001">
        <v>418</v>
      </c>
      <c r="D55" s="985">
        <v>1623</v>
      </c>
      <c r="E55" s="985">
        <v>2041</v>
      </c>
      <c r="F55" s="985">
        <v>266</v>
      </c>
      <c r="G55" s="985">
        <v>1933</v>
      </c>
      <c r="H55" s="985">
        <v>2199</v>
      </c>
      <c r="I55" s="985">
        <v>204</v>
      </c>
      <c r="J55" s="985">
        <v>2018</v>
      </c>
      <c r="K55" s="985">
        <v>2222</v>
      </c>
      <c r="L55" s="985">
        <v>332</v>
      </c>
      <c r="M55" s="985">
        <v>1271</v>
      </c>
      <c r="N55" s="985">
        <v>1603</v>
      </c>
      <c r="O55" s="985">
        <v>241</v>
      </c>
      <c r="P55" s="985">
        <v>2558</v>
      </c>
      <c r="Q55" s="985">
        <v>2799</v>
      </c>
      <c r="R55" s="985">
        <v>210</v>
      </c>
      <c r="S55" s="985">
        <v>3370</v>
      </c>
      <c r="T55" s="985">
        <v>3580</v>
      </c>
      <c r="U55" s="985">
        <v>127</v>
      </c>
      <c r="V55" s="985">
        <v>3653</v>
      </c>
      <c r="W55" s="985">
        <v>3780</v>
      </c>
      <c r="X55" s="985">
        <v>151</v>
      </c>
      <c r="Y55" s="985">
        <v>2288</v>
      </c>
      <c r="Z55" s="985">
        <v>2439</v>
      </c>
      <c r="AA55" s="985">
        <v>100</v>
      </c>
      <c r="AB55" s="985">
        <v>1369</v>
      </c>
      <c r="AC55" s="985">
        <v>1469</v>
      </c>
      <c r="AD55" s="985">
        <v>61</v>
      </c>
      <c r="AE55" s="985">
        <v>668</v>
      </c>
      <c r="AF55" s="985">
        <v>729</v>
      </c>
      <c r="AH55" s="985">
        <f t="shared" si="16"/>
        <v>888</v>
      </c>
      <c r="AI55" s="985">
        <f t="shared" si="17"/>
        <v>5574</v>
      </c>
      <c r="AJ55" s="985">
        <f t="shared" si="18"/>
        <v>6462</v>
      </c>
      <c r="AK55" s="985">
        <f t="shared" si="19"/>
        <v>1061</v>
      </c>
      <c r="AL55" s="985">
        <f t="shared" si="20"/>
        <v>13140</v>
      </c>
      <c r="AM55" s="985">
        <f t="shared" si="21"/>
        <v>14201</v>
      </c>
      <c r="AN55" s="985">
        <f t="shared" si="22"/>
        <v>161</v>
      </c>
      <c r="AO55" s="985">
        <f t="shared" si="23"/>
        <v>2037</v>
      </c>
      <c r="AP55" s="985">
        <f t="shared" si="24"/>
        <v>2198</v>
      </c>
      <c r="AR55" s="986">
        <f t="shared" si="25"/>
        <v>0.13741875580315691</v>
      </c>
      <c r="AS55" s="986">
        <f t="shared" si="26"/>
        <v>7.4713048376874869E-2</v>
      </c>
      <c r="AT55" s="986">
        <f t="shared" si="27"/>
        <v>7.32484076433121E-2</v>
      </c>
      <c r="AV55" s="987">
        <v>6530</v>
      </c>
      <c r="AW55" s="987">
        <v>15111</v>
      </c>
      <c r="AX55" s="987">
        <v>2520</v>
      </c>
      <c r="AZ55" s="987">
        <f t="shared" si="28"/>
        <v>897.34447539461462</v>
      </c>
      <c r="BA55" s="987">
        <f t="shared" si="29"/>
        <v>1128.9888740229562</v>
      </c>
      <c r="BB55" s="987">
        <f t="shared" si="30"/>
        <v>184.5859872611465</v>
      </c>
      <c r="BC55" s="1004">
        <f t="shared" si="15"/>
        <v>2210.9193366787172</v>
      </c>
    </row>
    <row r="56" spans="1:55" s="984" customFormat="1" ht="12" customHeight="1">
      <c r="A56" s="984" t="s">
        <v>126</v>
      </c>
      <c r="B56" s="988" t="s">
        <v>494</v>
      </c>
      <c r="C56" s="1001">
        <v>24</v>
      </c>
      <c r="D56" s="985">
        <v>1107</v>
      </c>
      <c r="E56" s="985">
        <v>1131</v>
      </c>
      <c r="F56" s="985">
        <v>227</v>
      </c>
      <c r="G56" s="985">
        <v>1333</v>
      </c>
      <c r="H56" s="985">
        <v>1560</v>
      </c>
      <c r="I56" s="985">
        <v>192</v>
      </c>
      <c r="J56" s="985">
        <v>972</v>
      </c>
      <c r="K56" s="985">
        <v>1164</v>
      </c>
      <c r="L56" s="985">
        <v>183</v>
      </c>
      <c r="M56" s="985">
        <v>1053</v>
      </c>
      <c r="N56" s="985">
        <v>1236</v>
      </c>
      <c r="O56" s="985">
        <v>70</v>
      </c>
      <c r="P56" s="985">
        <v>1790</v>
      </c>
      <c r="Q56" s="985">
        <v>1860</v>
      </c>
      <c r="R56" s="985">
        <v>211</v>
      </c>
      <c r="S56" s="985">
        <v>2126</v>
      </c>
      <c r="T56" s="985">
        <v>2337</v>
      </c>
      <c r="U56" s="985">
        <v>175</v>
      </c>
      <c r="V56" s="985">
        <v>2319</v>
      </c>
      <c r="W56" s="985">
        <v>2494</v>
      </c>
      <c r="X56" s="985">
        <v>93</v>
      </c>
      <c r="Y56" s="985">
        <v>1921</v>
      </c>
      <c r="Z56" s="985">
        <v>2014</v>
      </c>
      <c r="AA56" s="985">
        <v>99</v>
      </c>
      <c r="AB56" s="985">
        <v>1002</v>
      </c>
      <c r="AC56" s="985">
        <v>1101</v>
      </c>
      <c r="AD56" s="985">
        <v>149</v>
      </c>
      <c r="AE56" s="985">
        <v>591</v>
      </c>
      <c r="AF56" s="985">
        <v>740</v>
      </c>
      <c r="AH56" s="985">
        <f t="shared" si="16"/>
        <v>443</v>
      </c>
      <c r="AI56" s="985">
        <f t="shared" si="17"/>
        <v>3412</v>
      </c>
      <c r="AJ56" s="985">
        <f t="shared" si="18"/>
        <v>3855</v>
      </c>
      <c r="AK56" s="985">
        <f t="shared" si="19"/>
        <v>732</v>
      </c>
      <c r="AL56" s="985">
        <f t="shared" si="20"/>
        <v>9209</v>
      </c>
      <c r="AM56" s="985">
        <f t="shared" si="21"/>
        <v>9941</v>
      </c>
      <c r="AN56" s="985">
        <f t="shared" si="22"/>
        <v>248</v>
      </c>
      <c r="AO56" s="985">
        <f t="shared" si="23"/>
        <v>1593</v>
      </c>
      <c r="AP56" s="985">
        <f t="shared" si="24"/>
        <v>1841</v>
      </c>
      <c r="AR56" s="986">
        <f t="shared" si="25"/>
        <v>0.11491569390402075</v>
      </c>
      <c r="AS56" s="986">
        <f t="shared" si="26"/>
        <v>7.3634443214968315E-2</v>
      </c>
      <c r="AT56" s="986">
        <f t="shared" si="27"/>
        <v>0.13470939706681151</v>
      </c>
      <c r="AV56" s="987">
        <v>3887</v>
      </c>
      <c r="AW56" s="987">
        <v>10093</v>
      </c>
      <c r="AX56" s="987">
        <v>2001</v>
      </c>
      <c r="AZ56" s="987">
        <f t="shared" si="28"/>
        <v>446.67730220492865</v>
      </c>
      <c r="BA56" s="987">
        <f t="shared" si="29"/>
        <v>743.19243536867521</v>
      </c>
      <c r="BB56" s="987">
        <f t="shared" si="30"/>
        <v>269.55350353068985</v>
      </c>
      <c r="BC56" s="1004">
        <f t="shared" si="15"/>
        <v>1459.4232411042935</v>
      </c>
    </row>
    <row r="57" spans="1:55" s="984" customFormat="1" ht="12" customHeight="1">
      <c r="A57" s="984" t="s">
        <v>128</v>
      </c>
      <c r="B57" s="988" t="s">
        <v>495</v>
      </c>
      <c r="C57" s="1001">
        <v>174</v>
      </c>
      <c r="D57" s="985">
        <v>340</v>
      </c>
      <c r="E57" s="985">
        <v>514</v>
      </c>
      <c r="F57" s="985">
        <v>103</v>
      </c>
      <c r="G57" s="985">
        <v>366</v>
      </c>
      <c r="H57" s="985">
        <v>469</v>
      </c>
      <c r="I57" s="985">
        <v>189</v>
      </c>
      <c r="J57" s="985">
        <v>520</v>
      </c>
      <c r="K57" s="985">
        <v>709</v>
      </c>
      <c r="L57" s="985">
        <v>98</v>
      </c>
      <c r="M57" s="985">
        <v>447</v>
      </c>
      <c r="N57" s="985">
        <v>545</v>
      </c>
      <c r="O57" s="985">
        <v>145</v>
      </c>
      <c r="P57" s="985">
        <v>632</v>
      </c>
      <c r="Q57" s="985">
        <v>777</v>
      </c>
      <c r="R57" s="985">
        <v>197</v>
      </c>
      <c r="S57" s="985">
        <v>787</v>
      </c>
      <c r="T57" s="985">
        <v>984</v>
      </c>
      <c r="U57" s="985">
        <v>127</v>
      </c>
      <c r="V57" s="985">
        <v>1617</v>
      </c>
      <c r="W57" s="985">
        <v>1744</v>
      </c>
      <c r="X57" s="985">
        <v>73</v>
      </c>
      <c r="Y57" s="985">
        <v>1891</v>
      </c>
      <c r="Z57" s="985">
        <v>1964</v>
      </c>
      <c r="AA57" s="985">
        <v>251</v>
      </c>
      <c r="AB57" s="985">
        <v>1517</v>
      </c>
      <c r="AC57" s="985">
        <v>1768</v>
      </c>
      <c r="AD57" s="985">
        <v>232</v>
      </c>
      <c r="AE57" s="985">
        <v>1278</v>
      </c>
      <c r="AF57" s="985">
        <v>1510</v>
      </c>
      <c r="AH57" s="985">
        <f t="shared" si="16"/>
        <v>466</v>
      </c>
      <c r="AI57" s="985">
        <f t="shared" si="17"/>
        <v>1226</v>
      </c>
      <c r="AJ57" s="985">
        <f t="shared" si="18"/>
        <v>1692</v>
      </c>
      <c r="AK57" s="985">
        <f t="shared" si="19"/>
        <v>640</v>
      </c>
      <c r="AL57" s="985">
        <f t="shared" si="20"/>
        <v>5374</v>
      </c>
      <c r="AM57" s="985">
        <f t="shared" si="21"/>
        <v>6014</v>
      </c>
      <c r="AN57" s="985">
        <f t="shared" si="22"/>
        <v>483</v>
      </c>
      <c r="AO57" s="985">
        <f t="shared" si="23"/>
        <v>2795</v>
      </c>
      <c r="AP57" s="985">
        <f t="shared" si="24"/>
        <v>3278</v>
      </c>
      <c r="AR57" s="986">
        <f t="shared" si="25"/>
        <v>0.27541371158392436</v>
      </c>
      <c r="AS57" s="986">
        <f t="shared" si="26"/>
        <v>0.10641835716661124</v>
      </c>
      <c r="AT57" s="986">
        <f t="shared" si="27"/>
        <v>0.14734594264795606</v>
      </c>
      <c r="AV57" s="987">
        <v>1781</v>
      </c>
      <c r="AW57" s="987">
        <v>5954</v>
      </c>
      <c r="AX57" s="987">
        <v>3547</v>
      </c>
      <c r="AZ57" s="987">
        <f t="shared" si="28"/>
        <v>490.51182033096927</v>
      </c>
      <c r="BA57" s="987">
        <f t="shared" si="29"/>
        <v>633.61489857000333</v>
      </c>
      <c r="BB57" s="987">
        <f t="shared" si="30"/>
        <v>522.63605857230016</v>
      </c>
      <c r="BC57" s="1004">
        <f t="shared" si="15"/>
        <v>1646.7627774732728</v>
      </c>
    </row>
    <row r="58" spans="1:55" s="984" customFormat="1" ht="12" customHeight="1">
      <c r="A58" s="984" t="s">
        <v>130</v>
      </c>
      <c r="B58" s="988" t="s">
        <v>496</v>
      </c>
      <c r="C58" s="1001">
        <v>682</v>
      </c>
      <c r="D58" s="985">
        <v>820</v>
      </c>
      <c r="E58" s="985">
        <v>1502</v>
      </c>
      <c r="F58" s="985">
        <v>552</v>
      </c>
      <c r="G58" s="985">
        <v>1148</v>
      </c>
      <c r="H58" s="985">
        <v>1700</v>
      </c>
      <c r="I58" s="985">
        <v>627</v>
      </c>
      <c r="J58" s="985">
        <v>1182</v>
      </c>
      <c r="K58" s="985">
        <v>1809</v>
      </c>
      <c r="L58" s="985">
        <v>608</v>
      </c>
      <c r="M58" s="985">
        <v>1244</v>
      </c>
      <c r="N58" s="985">
        <v>1852</v>
      </c>
      <c r="O58" s="985">
        <v>839</v>
      </c>
      <c r="P58" s="985">
        <v>1813</v>
      </c>
      <c r="Q58" s="985">
        <v>2652</v>
      </c>
      <c r="R58" s="985">
        <v>717</v>
      </c>
      <c r="S58" s="985">
        <v>2454</v>
      </c>
      <c r="T58" s="985">
        <v>3171</v>
      </c>
      <c r="U58" s="985">
        <v>965</v>
      </c>
      <c r="V58" s="985">
        <v>2844</v>
      </c>
      <c r="W58" s="985">
        <v>3809</v>
      </c>
      <c r="X58" s="985">
        <v>574</v>
      </c>
      <c r="Y58" s="985">
        <v>2831</v>
      </c>
      <c r="Z58" s="985">
        <v>3405</v>
      </c>
      <c r="AA58" s="985">
        <v>497</v>
      </c>
      <c r="AB58" s="985">
        <v>1821</v>
      </c>
      <c r="AC58" s="985">
        <v>2318</v>
      </c>
      <c r="AD58" s="985">
        <v>516</v>
      </c>
      <c r="AE58" s="985">
        <v>1084</v>
      </c>
      <c r="AF58" s="985">
        <v>1600</v>
      </c>
      <c r="AH58" s="985">
        <f t="shared" si="16"/>
        <v>1861</v>
      </c>
      <c r="AI58" s="985">
        <f t="shared" si="17"/>
        <v>3150</v>
      </c>
      <c r="AJ58" s="985">
        <f t="shared" si="18"/>
        <v>5011</v>
      </c>
      <c r="AK58" s="985">
        <f t="shared" si="19"/>
        <v>3703</v>
      </c>
      <c r="AL58" s="985">
        <f t="shared" si="20"/>
        <v>11186</v>
      </c>
      <c r="AM58" s="985">
        <f t="shared" si="21"/>
        <v>14889</v>
      </c>
      <c r="AN58" s="985">
        <f t="shared" si="22"/>
        <v>1013</v>
      </c>
      <c r="AO58" s="985">
        <f t="shared" si="23"/>
        <v>2905</v>
      </c>
      <c r="AP58" s="985">
        <f t="shared" si="24"/>
        <v>3918</v>
      </c>
      <c r="AR58" s="986">
        <f t="shared" si="25"/>
        <v>0.37138295749351424</v>
      </c>
      <c r="AS58" s="986">
        <f t="shared" si="26"/>
        <v>0.24870709920075224</v>
      </c>
      <c r="AT58" s="986">
        <f t="shared" si="27"/>
        <v>0.25855028075548747</v>
      </c>
      <c r="AV58" s="987">
        <v>5089</v>
      </c>
      <c r="AW58" s="987">
        <v>16175</v>
      </c>
      <c r="AX58" s="987">
        <v>3882</v>
      </c>
      <c r="AZ58" s="987">
        <f t="shared" si="28"/>
        <v>1889.9678706844941</v>
      </c>
      <c r="BA58" s="987">
        <f t="shared" si="29"/>
        <v>4022.8373295721676</v>
      </c>
      <c r="BB58" s="987">
        <f t="shared" si="30"/>
        <v>1003.6921898928024</v>
      </c>
      <c r="BC58" s="1004">
        <f t="shared" si="15"/>
        <v>6916.4973901494641</v>
      </c>
    </row>
    <row r="59" spans="1:55" s="984" customFormat="1" ht="12" customHeight="1">
      <c r="A59" s="984" t="s">
        <v>132</v>
      </c>
      <c r="B59" s="988" t="s">
        <v>497</v>
      </c>
      <c r="C59" s="1001">
        <v>1493</v>
      </c>
      <c r="D59" s="985">
        <v>30744</v>
      </c>
      <c r="E59" s="985">
        <v>32237</v>
      </c>
      <c r="F59" s="985">
        <v>1381</v>
      </c>
      <c r="G59" s="985">
        <v>30755</v>
      </c>
      <c r="H59" s="985">
        <v>32136</v>
      </c>
      <c r="I59" s="985">
        <v>1358</v>
      </c>
      <c r="J59" s="985">
        <v>25571</v>
      </c>
      <c r="K59" s="985">
        <v>26929</v>
      </c>
      <c r="L59" s="985">
        <v>1355</v>
      </c>
      <c r="M59" s="985">
        <v>16631</v>
      </c>
      <c r="N59" s="985">
        <v>17986</v>
      </c>
      <c r="O59" s="985">
        <v>2541</v>
      </c>
      <c r="P59" s="985">
        <v>40781</v>
      </c>
      <c r="Q59" s="985">
        <v>43322</v>
      </c>
      <c r="R59" s="985">
        <v>1860</v>
      </c>
      <c r="S59" s="985">
        <v>56506</v>
      </c>
      <c r="T59" s="985">
        <v>58366</v>
      </c>
      <c r="U59" s="985">
        <v>1517</v>
      </c>
      <c r="V59" s="985">
        <v>44657</v>
      </c>
      <c r="W59" s="985">
        <v>46174</v>
      </c>
      <c r="X59" s="985">
        <v>824</v>
      </c>
      <c r="Y59" s="985">
        <v>24653</v>
      </c>
      <c r="Z59" s="985">
        <v>25477</v>
      </c>
      <c r="AA59" s="985">
        <v>331</v>
      </c>
      <c r="AB59" s="985">
        <v>11188</v>
      </c>
      <c r="AC59" s="985">
        <v>11519</v>
      </c>
      <c r="AD59" s="985">
        <v>651</v>
      </c>
      <c r="AE59" s="985">
        <v>6910</v>
      </c>
      <c r="AF59" s="985">
        <v>7561</v>
      </c>
      <c r="AH59" s="985">
        <f t="shared" si="16"/>
        <v>4232</v>
      </c>
      <c r="AI59" s="985">
        <f t="shared" si="17"/>
        <v>87070</v>
      </c>
      <c r="AJ59" s="985">
        <f t="shared" si="18"/>
        <v>91302</v>
      </c>
      <c r="AK59" s="985">
        <f t="shared" si="19"/>
        <v>8097</v>
      </c>
      <c r="AL59" s="985">
        <f t="shared" si="20"/>
        <v>183228</v>
      </c>
      <c r="AM59" s="985">
        <f t="shared" si="21"/>
        <v>191325</v>
      </c>
      <c r="AN59" s="985">
        <f t="shared" si="22"/>
        <v>982</v>
      </c>
      <c r="AO59" s="985">
        <f t="shared" si="23"/>
        <v>18098</v>
      </c>
      <c r="AP59" s="985">
        <f t="shared" si="24"/>
        <v>19080</v>
      </c>
      <c r="AR59" s="986">
        <f t="shared" si="25"/>
        <v>4.6351668090512804E-2</v>
      </c>
      <c r="AS59" s="986">
        <f t="shared" si="26"/>
        <v>4.2320658565268524E-2</v>
      </c>
      <c r="AT59" s="986">
        <f t="shared" si="27"/>
        <v>5.1467505241090145E-2</v>
      </c>
      <c r="AV59" s="987">
        <v>98249</v>
      </c>
      <c r="AW59" s="987">
        <v>204736</v>
      </c>
      <c r="AX59" s="987">
        <v>22420</v>
      </c>
      <c r="AZ59" s="987">
        <f t="shared" si="28"/>
        <v>4554.0050382247928</v>
      </c>
      <c r="BA59" s="987">
        <f t="shared" si="29"/>
        <v>8664.5623520188165</v>
      </c>
      <c r="BB59" s="987">
        <f t="shared" si="30"/>
        <v>1153.901467505241</v>
      </c>
      <c r="BC59" s="1004">
        <f t="shared" si="15"/>
        <v>14372.46885774885</v>
      </c>
    </row>
    <row r="60" spans="1:55" s="984" customFormat="1" ht="12" customHeight="1">
      <c r="A60" s="984" t="s">
        <v>134</v>
      </c>
      <c r="B60" s="988" t="s">
        <v>498</v>
      </c>
      <c r="C60" s="1001">
        <v>317</v>
      </c>
      <c r="D60" s="985">
        <v>1976</v>
      </c>
      <c r="E60" s="985">
        <v>2293</v>
      </c>
      <c r="F60" s="985">
        <v>496</v>
      </c>
      <c r="G60" s="985">
        <v>2063</v>
      </c>
      <c r="H60" s="985">
        <v>2559</v>
      </c>
      <c r="I60" s="985">
        <v>348</v>
      </c>
      <c r="J60" s="985">
        <v>1980</v>
      </c>
      <c r="K60" s="985">
        <v>2328</v>
      </c>
      <c r="L60" s="985">
        <v>471</v>
      </c>
      <c r="M60" s="985">
        <v>1746</v>
      </c>
      <c r="N60" s="985">
        <v>2217</v>
      </c>
      <c r="O60" s="985">
        <v>386</v>
      </c>
      <c r="P60" s="985">
        <v>3340</v>
      </c>
      <c r="Q60" s="985">
        <v>3726</v>
      </c>
      <c r="R60" s="985">
        <v>696</v>
      </c>
      <c r="S60" s="985">
        <v>3746</v>
      </c>
      <c r="T60" s="985">
        <v>4442</v>
      </c>
      <c r="U60" s="985">
        <v>763</v>
      </c>
      <c r="V60" s="985">
        <v>4710</v>
      </c>
      <c r="W60" s="985">
        <v>5473</v>
      </c>
      <c r="X60" s="985">
        <v>620</v>
      </c>
      <c r="Y60" s="985">
        <v>4244</v>
      </c>
      <c r="Z60" s="985">
        <v>4864</v>
      </c>
      <c r="AA60" s="985">
        <v>264</v>
      </c>
      <c r="AB60" s="985">
        <v>2699</v>
      </c>
      <c r="AC60" s="985">
        <v>2963</v>
      </c>
      <c r="AD60" s="985">
        <v>427</v>
      </c>
      <c r="AE60" s="985">
        <v>1243</v>
      </c>
      <c r="AF60" s="985">
        <v>1670</v>
      </c>
      <c r="AH60" s="985">
        <f t="shared" si="16"/>
        <v>1161</v>
      </c>
      <c r="AI60" s="985">
        <f t="shared" si="17"/>
        <v>6019</v>
      </c>
      <c r="AJ60" s="985">
        <f t="shared" si="18"/>
        <v>7180</v>
      </c>
      <c r="AK60" s="985">
        <f t="shared" si="19"/>
        <v>2936</v>
      </c>
      <c r="AL60" s="985">
        <f t="shared" si="20"/>
        <v>17786</v>
      </c>
      <c r="AM60" s="985">
        <f t="shared" si="21"/>
        <v>20722</v>
      </c>
      <c r="AN60" s="985">
        <f t="shared" si="22"/>
        <v>691</v>
      </c>
      <c r="AO60" s="985">
        <f t="shared" si="23"/>
        <v>3942</v>
      </c>
      <c r="AP60" s="985">
        <f t="shared" si="24"/>
        <v>4633</v>
      </c>
      <c r="AR60" s="986">
        <f t="shared" si="25"/>
        <v>0.16169916434540391</v>
      </c>
      <c r="AS60" s="986">
        <f t="shared" si="26"/>
        <v>0.14168516552456326</v>
      </c>
      <c r="AT60" s="986">
        <f t="shared" si="27"/>
        <v>0.14914742067774661</v>
      </c>
      <c r="AV60" s="987">
        <v>7237</v>
      </c>
      <c r="AW60" s="987">
        <v>21128</v>
      </c>
      <c r="AX60" s="987">
        <v>5030</v>
      </c>
      <c r="AZ60" s="987">
        <f t="shared" si="28"/>
        <v>1170.216852367688</v>
      </c>
      <c r="BA60" s="987">
        <f t="shared" si="29"/>
        <v>2993.5241772029726</v>
      </c>
      <c r="BB60" s="987">
        <f t="shared" si="30"/>
        <v>750.21152600906544</v>
      </c>
      <c r="BC60" s="1004">
        <f t="shared" si="15"/>
        <v>4913.9525555797263</v>
      </c>
    </row>
    <row r="61" spans="1:55" s="984" customFormat="1" ht="12" customHeight="1">
      <c r="A61" s="984" t="s">
        <v>136</v>
      </c>
      <c r="B61" s="988" t="s">
        <v>499</v>
      </c>
      <c r="C61" s="1001">
        <v>326</v>
      </c>
      <c r="D61" s="985">
        <v>388</v>
      </c>
      <c r="E61" s="985">
        <v>714</v>
      </c>
      <c r="F61" s="985">
        <v>213</v>
      </c>
      <c r="G61" s="985">
        <v>647</v>
      </c>
      <c r="H61" s="985">
        <v>860</v>
      </c>
      <c r="I61" s="985">
        <v>206</v>
      </c>
      <c r="J61" s="985">
        <v>643</v>
      </c>
      <c r="K61" s="985">
        <v>849</v>
      </c>
      <c r="L61" s="985">
        <v>306</v>
      </c>
      <c r="M61" s="985">
        <v>722</v>
      </c>
      <c r="N61" s="985">
        <v>1028</v>
      </c>
      <c r="O61" s="985">
        <v>352</v>
      </c>
      <c r="P61" s="985">
        <v>718</v>
      </c>
      <c r="Q61" s="985">
        <v>1070</v>
      </c>
      <c r="R61" s="985">
        <v>199</v>
      </c>
      <c r="S61" s="985">
        <v>845</v>
      </c>
      <c r="T61" s="985">
        <v>1044</v>
      </c>
      <c r="U61" s="985">
        <v>168</v>
      </c>
      <c r="V61" s="985">
        <v>1671</v>
      </c>
      <c r="W61" s="985">
        <v>1839</v>
      </c>
      <c r="X61" s="985">
        <v>581</v>
      </c>
      <c r="Y61" s="985">
        <v>1289</v>
      </c>
      <c r="Z61" s="985">
        <v>1870</v>
      </c>
      <c r="AA61" s="985">
        <v>233</v>
      </c>
      <c r="AB61" s="985">
        <v>929</v>
      </c>
      <c r="AC61" s="985">
        <v>1162</v>
      </c>
      <c r="AD61" s="985">
        <v>295</v>
      </c>
      <c r="AE61" s="985">
        <v>687</v>
      </c>
      <c r="AF61" s="985">
        <v>982</v>
      </c>
      <c r="AH61" s="985">
        <f t="shared" si="16"/>
        <v>745</v>
      </c>
      <c r="AI61" s="985">
        <f t="shared" si="17"/>
        <v>1678</v>
      </c>
      <c r="AJ61" s="985">
        <f t="shared" si="18"/>
        <v>2423</v>
      </c>
      <c r="AK61" s="985">
        <f t="shared" si="19"/>
        <v>1606</v>
      </c>
      <c r="AL61" s="985">
        <f t="shared" si="20"/>
        <v>5245</v>
      </c>
      <c r="AM61" s="985">
        <f t="shared" si="21"/>
        <v>6851</v>
      </c>
      <c r="AN61" s="985">
        <f t="shared" si="22"/>
        <v>528</v>
      </c>
      <c r="AO61" s="985">
        <f t="shared" si="23"/>
        <v>1616</v>
      </c>
      <c r="AP61" s="985">
        <f t="shared" si="24"/>
        <v>2144</v>
      </c>
      <c r="AR61" s="986">
        <f t="shared" si="25"/>
        <v>0.30747007841518781</v>
      </c>
      <c r="AS61" s="986">
        <f t="shared" si="26"/>
        <v>0.23441833309005985</v>
      </c>
      <c r="AT61" s="986">
        <f t="shared" si="27"/>
        <v>0.2462686567164179</v>
      </c>
      <c r="AV61" s="987">
        <v>2471</v>
      </c>
      <c r="AW61" s="987">
        <v>8158</v>
      </c>
      <c r="AX61" s="987">
        <v>2245</v>
      </c>
      <c r="AZ61" s="987">
        <f t="shared" si="28"/>
        <v>759.75856376392903</v>
      </c>
      <c r="BA61" s="987">
        <f t="shared" si="29"/>
        <v>1912.3847613487083</v>
      </c>
      <c r="BB61" s="987">
        <f t="shared" si="30"/>
        <v>552.87313432835822</v>
      </c>
      <c r="BC61" s="1004">
        <f t="shared" si="15"/>
        <v>3225.0164594409953</v>
      </c>
    </row>
    <row r="62" spans="1:55" s="984" customFormat="1" ht="12" customHeight="1">
      <c r="A62" s="984" t="s">
        <v>140</v>
      </c>
      <c r="B62" s="988" t="s">
        <v>500</v>
      </c>
      <c r="C62" s="1001">
        <v>297</v>
      </c>
      <c r="D62" s="985">
        <v>645</v>
      </c>
      <c r="E62" s="985">
        <v>942</v>
      </c>
      <c r="F62" s="985">
        <v>186</v>
      </c>
      <c r="G62" s="985">
        <v>800</v>
      </c>
      <c r="H62" s="985">
        <v>986</v>
      </c>
      <c r="I62" s="985">
        <v>92</v>
      </c>
      <c r="J62" s="985">
        <v>919</v>
      </c>
      <c r="K62" s="985">
        <v>1011</v>
      </c>
      <c r="L62" s="985">
        <v>119</v>
      </c>
      <c r="M62" s="985">
        <v>708</v>
      </c>
      <c r="N62" s="985">
        <v>827</v>
      </c>
      <c r="O62" s="985">
        <v>325</v>
      </c>
      <c r="P62" s="985">
        <v>973</v>
      </c>
      <c r="Q62" s="985">
        <v>1298</v>
      </c>
      <c r="R62" s="985">
        <v>147</v>
      </c>
      <c r="S62" s="985">
        <v>1473</v>
      </c>
      <c r="T62" s="985">
        <v>1620</v>
      </c>
      <c r="U62" s="985">
        <v>129</v>
      </c>
      <c r="V62" s="985">
        <v>2158</v>
      </c>
      <c r="W62" s="985">
        <v>2287</v>
      </c>
      <c r="X62" s="985">
        <v>256</v>
      </c>
      <c r="Y62" s="985">
        <v>1658</v>
      </c>
      <c r="Z62" s="985">
        <v>1914</v>
      </c>
      <c r="AA62" s="985">
        <v>128</v>
      </c>
      <c r="AB62" s="985">
        <v>1175</v>
      </c>
      <c r="AC62" s="985">
        <v>1303</v>
      </c>
      <c r="AD62" s="985">
        <v>144</v>
      </c>
      <c r="AE62" s="985">
        <v>760</v>
      </c>
      <c r="AF62" s="985">
        <v>904</v>
      </c>
      <c r="AH62" s="985">
        <f t="shared" si="16"/>
        <v>575</v>
      </c>
      <c r="AI62" s="985">
        <f t="shared" si="17"/>
        <v>2364</v>
      </c>
      <c r="AJ62" s="985">
        <f t="shared" si="18"/>
        <v>2939</v>
      </c>
      <c r="AK62" s="985">
        <f t="shared" si="19"/>
        <v>976</v>
      </c>
      <c r="AL62" s="985">
        <f t="shared" si="20"/>
        <v>6970</v>
      </c>
      <c r="AM62" s="985">
        <f t="shared" si="21"/>
        <v>7946</v>
      </c>
      <c r="AN62" s="985">
        <f t="shared" si="22"/>
        <v>272</v>
      </c>
      <c r="AO62" s="985">
        <f t="shared" si="23"/>
        <v>1935</v>
      </c>
      <c r="AP62" s="985">
        <f t="shared" si="24"/>
        <v>2207</v>
      </c>
      <c r="AR62" s="986">
        <f t="shared" si="25"/>
        <v>0.19564477713507997</v>
      </c>
      <c r="AS62" s="986">
        <f t="shared" si="26"/>
        <v>0.12282909640070476</v>
      </c>
      <c r="AT62" s="986">
        <f t="shared" si="27"/>
        <v>0.1232442229270503</v>
      </c>
      <c r="AV62" s="987">
        <v>2839</v>
      </c>
      <c r="AW62" s="987">
        <v>7909</v>
      </c>
      <c r="AX62" s="987">
        <v>2421</v>
      </c>
      <c r="AZ62" s="987">
        <f t="shared" si="28"/>
        <v>555.43552228649207</v>
      </c>
      <c r="BA62" s="987">
        <f t="shared" si="29"/>
        <v>971.45532343317393</v>
      </c>
      <c r="BB62" s="987">
        <f t="shared" si="30"/>
        <v>298.37426370638877</v>
      </c>
      <c r="BC62" s="1004">
        <f t="shared" si="15"/>
        <v>1825.2651094260548</v>
      </c>
    </row>
    <row r="63" spans="1:55" s="984" customFormat="1" ht="12" customHeight="1">
      <c r="A63" s="984" t="s">
        <v>146</v>
      </c>
      <c r="B63" s="988" t="s">
        <v>501</v>
      </c>
      <c r="C63" s="1001">
        <v>207</v>
      </c>
      <c r="D63" s="985">
        <v>306</v>
      </c>
      <c r="E63" s="985">
        <v>513</v>
      </c>
      <c r="F63" s="985">
        <v>58</v>
      </c>
      <c r="G63" s="985">
        <v>315</v>
      </c>
      <c r="H63" s="985">
        <v>373</v>
      </c>
      <c r="I63" s="985">
        <v>38</v>
      </c>
      <c r="J63" s="985">
        <v>752</v>
      </c>
      <c r="K63" s="985">
        <v>790</v>
      </c>
      <c r="L63" s="985">
        <v>90</v>
      </c>
      <c r="M63" s="985">
        <v>434</v>
      </c>
      <c r="N63" s="985">
        <v>524</v>
      </c>
      <c r="O63" s="985">
        <v>94</v>
      </c>
      <c r="P63" s="985">
        <v>418</v>
      </c>
      <c r="Q63" s="985">
        <v>512</v>
      </c>
      <c r="R63" s="985">
        <v>78</v>
      </c>
      <c r="S63" s="985">
        <v>928</v>
      </c>
      <c r="T63" s="985">
        <v>1006</v>
      </c>
      <c r="U63" s="985">
        <v>217</v>
      </c>
      <c r="V63" s="985">
        <v>1227</v>
      </c>
      <c r="W63" s="985">
        <v>1444</v>
      </c>
      <c r="X63" s="985">
        <v>137</v>
      </c>
      <c r="Y63" s="985">
        <v>1393</v>
      </c>
      <c r="Z63" s="985">
        <v>1530</v>
      </c>
      <c r="AA63" s="985">
        <v>50</v>
      </c>
      <c r="AB63" s="985">
        <v>1213</v>
      </c>
      <c r="AC63" s="985">
        <v>1263</v>
      </c>
      <c r="AD63" s="985">
        <v>178</v>
      </c>
      <c r="AE63" s="985">
        <v>753</v>
      </c>
      <c r="AF63" s="985">
        <v>931</v>
      </c>
      <c r="AH63" s="985">
        <f t="shared" si="16"/>
        <v>303</v>
      </c>
      <c r="AI63" s="985">
        <f t="shared" si="17"/>
        <v>1373</v>
      </c>
      <c r="AJ63" s="985">
        <f t="shared" si="18"/>
        <v>1676</v>
      </c>
      <c r="AK63" s="985">
        <f t="shared" si="19"/>
        <v>616</v>
      </c>
      <c r="AL63" s="985">
        <f t="shared" si="20"/>
        <v>4400</v>
      </c>
      <c r="AM63" s="985">
        <f t="shared" si="21"/>
        <v>5016</v>
      </c>
      <c r="AN63" s="985">
        <f t="shared" si="22"/>
        <v>228</v>
      </c>
      <c r="AO63" s="985">
        <f t="shared" si="23"/>
        <v>1966</v>
      </c>
      <c r="AP63" s="985">
        <f t="shared" si="24"/>
        <v>2194</v>
      </c>
      <c r="AR63" s="986">
        <f t="shared" si="25"/>
        <v>0.18078758949880669</v>
      </c>
      <c r="AS63" s="986">
        <f t="shared" si="26"/>
        <v>0.12280701754385964</v>
      </c>
      <c r="AT63" s="986">
        <f t="shared" si="27"/>
        <v>0.10391978122151321</v>
      </c>
      <c r="AV63" s="987">
        <v>1608</v>
      </c>
      <c r="AW63" s="987">
        <v>5014</v>
      </c>
      <c r="AX63" s="987">
        <v>2340</v>
      </c>
      <c r="AZ63" s="987">
        <f t="shared" si="28"/>
        <v>290.70644391408115</v>
      </c>
      <c r="BA63" s="987">
        <f t="shared" si="29"/>
        <v>615.75438596491222</v>
      </c>
      <c r="BB63" s="987">
        <f t="shared" si="30"/>
        <v>243.17228805834091</v>
      </c>
      <c r="BC63" s="1004">
        <f t="shared" si="15"/>
        <v>1149.6331179373342</v>
      </c>
    </row>
    <row r="64" spans="1:55" s="984" customFormat="1" ht="12" customHeight="1">
      <c r="A64" s="984" t="s">
        <v>148</v>
      </c>
      <c r="B64" s="988" t="s">
        <v>502</v>
      </c>
      <c r="C64" s="1001">
        <v>711</v>
      </c>
      <c r="D64" s="985">
        <v>1203</v>
      </c>
      <c r="E64" s="985">
        <v>1914</v>
      </c>
      <c r="F64" s="985">
        <v>771</v>
      </c>
      <c r="G64" s="985">
        <v>1414</v>
      </c>
      <c r="H64" s="985">
        <v>2185</v>
      </c>
      <c r="I64" s="985">
        <v>537</v>
      </c>
      <c r="J64" s="985">
        <v>1665</v>
      </c>
      <c r="K64" s="985">
        <v>2202</v>
      </c>
      <c r="L64" s="985">
        <v>591</v>
      </c>
      <c r="M64" s="985">
        <v>1363</v>
      </c>
      <c r="N64" s="985">
        <v>1954</v>
      </c>
      <c r="O64" s="985">
        <v>1090</v>
      </c>
      <c r="P64" s="985">
        <v>2016</v>
      </c>
      <c r="Q64" s="985">
        <v>3106</v>
      </c>
      <c r="R64" s="985">
        <v>636</v>
      </c>
      <c r="S64" s="985">
        <v>2996</v>
      </c>
      <c r="T64" s="985">
        <v>3632</v>
      </c>
      <c r="U64" s="985">
        <v>1324</v>
      </c>
      <c r="V64" s="985">
        <v>3699</v>
      </c>
      <c r="W64" s="985">
        <v>5023</v>
      </c>
      <c r="X64" s="985">
        <v>774</v>
      </c>
      <c r="Y64" s="985">
        <v>3997</v>
      </c>
      <c r="Z64" s="985">
        <v>4771</v>
      </c>
      <c r="AA64" s="985">
        <v>578</v>
      </c>
      <c r="AB64" s="985">
        <v>3052</v>
      </c>
      <c r="AC64" s="985">
        <v>3630</v>
      </c>
      <c r="AD64" s="985">
        <v>1020</v>
      </c>
      <c r="AE64" s="985">
        <v>1826</v>
      </c>
      <c r="AF64" s="985">
        <v>2846</v>
      </c>
      <c r="AH64" s="985">
        <f t="shared" si="16"/>
        <v>2019</v>
      </c>
      <c r="AI64" s="985">
        <f t="shared" si="17"/>
        <v>4282</v>
      </c>
      <c r="AJ64" s="985">
        <f t="shared" si="18"/>
        <v>6301</v>
      </c>
      <c r="AK64" s="985">
        <f t="shared" si="19"/>
        <v>4415</v>
      </c>
      <c r="AL64" s="985">
        <f t="shared" si="20"/>
        <v>14071</v>
      </c>
      <c r="AM64" s="985">
        <f t="shared" si="21"/>
        <v>18486</v>
      </c>
      <c r="AN64" s="985">
        <f t="shared" si="22"/>
        <v>1598</v>
      </c>
      <c r="AO64" s="985">
        <f t="shared" si="23"/>
        <v>4878</v>
      </c>
      <c r="AP64" s="985">
        <f t="shared" si="24"/>
        <v>6476</v>
      </c>
      <c r="AR64" s="986">
        <f t="shared" si="25"/>
        <v>0.32042532931280748</v>
      </c>
      <c r="AS64" s="986">
        <f t="shared" si="26"/>
        <v>0.23882938439900464</v>
      </c>
      <c r="AT64" s="986">
        <f t="shared" si="27"/>
        <v>0.24675725756639902</v>
      </c>
      <c r="AV64" s="987">
        <v>6263</v>
      </c>
      <c r="AW64" s="987">
        <v>19437</v>
      </c>
      <c r="AX64" s="987">
        <v>6922</v>
      </c>
      <c r="AZ64" s="987">
        <f t="shared" si="28"/>
        <v>2006.8238374861132</v>
      </c>
      <c r="BA64" s="987">
        <f t="shared" si="29"/>
        <v>4642.126744563453</v>
      </c>
      <c r="BB64" s="987">
        <f t="shared" si="30"/>
        <v>1708.0537368746141</v>
      </c>
      <c r="BC64" s="1004">
        <f t="shared" si="15"/>
        <v>8357.0043189241806</v>
      </c>
    </row>
    <row r="65" spans="1:55" s="984" customFormat="1" ht="12" customHeight="1">
      <c r="A65" s="984" t="s">
        <v>150</v>
      </c>
      <c r="B65" s="988" t="s">
        <v>503</v>
      </c>
      <c r="C65" s="1001">
        <v>38</v>
      </c>
      <c r="D65" s="985">
        <v>415</v>
      </c>
      <c r="E65" s="985">
        <v>453</v>
      </c>
      <c r="F65" s="985">
        <v>155</v>
      </c>
      <c r="G65" s="985">
        <v>511</v>
      </c>
      <c r="H65" s="985">
        <v>666</v>
      </c>
      <c r="I65" s="985">
        <v>83</v>
      </c>
      <c r="J65" s="985">
        <v>558</v>
      </c>
      <c r="K65" s="985">
        <v>641</v>
      </c>
      <c r="L65" s="985">
        <v>124</v>
      </c>
      <c r="M65" s="985">
        <v>500</v>
      </c>
      <c r="N65" s="985">
        <v>624</v>
      </c>
      <c r="O65" s="985">
        <v>107</v>
      </c>
      <c r="P65" s="985">
        <v>561</v>
      </c>
      <c r="Q65" s="985">
        <v>668</v>
      </c>
      <c r="R65" s="985">
        <v>154</v>
      </c>
      <c r="S65" s="985">
        <v>1057</v>
      </c>
      <c r="T65" s="985">
        <v>1211</v>
      </c>
      <c r="U65" s="985">
        <v>231</v>
      </c>
      <c r="V65" s="985">
        <v>1512</v>
      </c>
      <c r="W65" s="985">
        <v>1743</v>
      </c>
      <c r="X65" s="985">
        <v>134</v>
      </c>
      <c r="Y65" s="985">
        <v>1666</v>
      </c>
      <c r="Z65" s="985">
        <v>1800</v>
      </c>
      <c r="AA65" s="985">
        <v>105</v>
      </c>
      <c r="AB65" s="985">
        <v>1583</v>
      </c>
      <c r="AC65" s="985">
        <v>1688</v>
      </c>
      <c r="AD65" s="985">
        <v>173</v>
      </c>
      <c r="AE65" s="985">
        <v>867</v>
      </c>
      <c r="AF65" s="985">
        <v>1040</v>
      </c>
      <c r="AH65" s="985">
        <f t="shared" si="16"/>
        <v>276</v>
      </c>
      <c r="AI65" s="985">
        <f t="shared" si="17"/>
        <v>1484</v>
      </c>
      <c r="AJ65" s="985">
        <f t="shared" si="18"/>
        <v>1760</v>
      </c>
      <c r="AK65" s="985">
        <f t="shared" si="19"/>
        <v>750</v>
      </c>
      <c r="AL65" s="985">
        <f t="shared" si="20"/>
        <v>5296</v>
      </c>
      <c r="AM65" s="985">
        <f t="shared" si="21"/>
        <v>6046</v>
      </c>
      <c r="AN65" s="985">
        <f t="shared" si="22"/>
        <v>278</v>
      </c>
      <c r="AO65" s="985">
        <f t="shared" si="23"/>
        <v>2450</v>
      </c>
      <c r="AP65" s="985">
        <f t="shared" si="24"/>
        <v>2728</v>
      </c>
      <c r="AR65" s="986">
        <f t="shared" si="25"/>
        <v>0.15681818181818183</v>
      </c>
      <c r="AS65" s="986">
        <f t="shared" si="26"/>
        <v>0.1240489579887529</v>
      </c>
      <c r="AT65" s="986">
        <f t="shared" si="27"/>
        <v>0.10190615835777127</v>
      </c>
      <c r="AV65" s="987">
        <v>1689</v>
      </c>
      <c r="AW65" s="987">
        <v>6302</v>
      </c>
      <c r="AX65" s="987">
        <v>2863</v>
      </c>
      <c r="AZ65" s="987">
        <f t="shared" si="28"/>
        <v>264.8659090909091</v>
      </c>
      <c r="BA65" s="987">
        <f t="shared" si="29"/>
        <v>781.75653324512075</v>
      </c>
      <c r="BB65" s="987">
        <f t="shared" si="30"/>
        <v>291.75733137829911</v>
      </c>
      <c r="BC65" s="1004">
        <f t="shared" si="15"/>
        <v>1338.3797737143291</v>
      </c>
    </row>
    <row r="66" spans="1:55" s="984" customFormat="1" ht="12" customHeight="1">
      <c r="A66" s="984" t="s">
        <v>152</v>
      </c>
      <c r="B66" s="988" t="s">
        <v>504</v>
      </c>
      <c r="C66" s="1001">
        <v>966</v>
      </c>
      <c r="D66" s="985">
        <v>3873</v>
      </c>
      <c r="E66" s="985">
        <v>4839</v>
      </c>
      <c r="F66" s="985">
        <v>893</v>
      </c>
      <c r="G66" s="985">
        <v>4056</v>
      </c>
      <c r="H66" s="985">
        <v>4949</v>
      </c>
      <c r="I66" s="985">
        <v>868</v>
      </c>
      <c r="J66" s="985">
        <v>3785</v>
      </c>
      <c r="K66" s="985">
        <v>4653</v>
      </c>
      <c r="L66" s="985">
        <v>13977</v>
      </c>
      <c r="M66" s="985">
        <v>5818</v>
      </c>
      <c r="N66" s="985">
        <v>19795</v>
      </c>
      <c r="O66" s="985">
        <v>2206</v>
      </c>
      <c r="P66" s="985">
        <v>9546</v>
      </c>
      <c r="Q66" s="985">
        <v>11752</v>
      </c>
      <c r="R66" s="985">
        <v>1301</v>
      </c>
      <c r="S66" s="985">
        <v>8347</v>
      </c>
      <c r="T66" s="985">
        <v>9648</v>
      </c>
      <c r="U66" s="985">
        <v>778</v>
      </c>
      <c r="V66" s="985">
        <v>8821</v>
      </c>
      <c r="W66" s="985">
        <v>9599</v>
      </c>
      <c r="X66" s="985">
        <v>703</v>
      </c>
      <c r="Y66" s="985">
        <v>7625</v>
      </c>
      <c r="Z66" s="985">
        <v>8328</v>
      </c>
      <c r="AA66" s="985">
        <v>398</v>
      </c>
      <c r="AB66" s="985">
        <v>4439</v>
      </c>
      <c r="AC66" s="985">
        <v>4837</v>
      </c>
      <c r="AD66" s="985">
        <v>550</v>
      </c>
      <c r="AE66" s="985">
        <v>3357</v>
      </c>
      <c r="AF66" s="985">
        <v>3907</v>
      </c>
      <c r="AH66" s="985">
        <f t="shared" si="16"/>
        <v>2727</v>
      </c>
      <c r="AI66" s="985">
        <f t="shared" si="17"/>
        <v>11714</v>
      </c>
      <c r="AJ66" s="985">
        <f t="shared" si="18"/>
        <v>14441</v>
      </c>
      <c r="AK66" s="985">
        <f t="shared" si="19"/>
        <v>18965</v>
      </c>
      <c r="AL66" s="985">
        <f t="shared" si="20"/>
        <v>40157</v>
      </c>
      <c r="AM66" s="985">
        <f t="shared" si="21"/>
        <v>59122</v>
      </c>
      <c r="AN66" s="985">
        <f t="shared" si="22"/>
        <v>948</v>
      </c>
      <c r="AO66" s="985">
        <f t="shared" si="23"/>
        <v>7796</v>
      </c>
      <c r="AP66" s="985">
        <f t="shared" si="24"/>
        <v>8744</v>
      </c>
      <c r="AR66" s="986">
        <f t="shared" si="25"/>
        <v>0.18883733813447823</v>
      </c>
      <c r="AS66" s="986">
        <f t="shared" si="26"/>
        <v>0.32077737559622477</v>
      </c>
      <c r="AT66" s="986">
        <f t="shared" si="27"/>
        <v>0.10841720036596524</v>
      </c>
      <c r="AV66" s="987">
        <v>14420</v>
      </c>
      <c r="AW66" s="987">
        <v>70390</v>
      </c>
      <c r="AX66" s="987">
        <v>9532</v>
      </c>
      <c r="AZ66" s="987">
        <f t="shared" si="28"/>
        <v>2723.0344158991761</v>
      </c>
      <c r="BA66" s="987">
        <f t="shared" si="29"/>
        <v>22579.519468218263</v>
      </c>
      <c r="BB66" s="987">
        <f t="shared" si="30"/>
        <v>1033.4327538883806</v>
      </c>
      <c r="BC66" s="1004">
        <f t="shared" si="15"/>
        <v>26335.986638005819</v>
      </c>
    </row>
    <row r="67" spans="1:55" s="984" customFormat="1" ht="12" customHeight="1">
      <c r="A67" s="984" t="s">
        <v>154</v>
      </c>
      <c r="B67" s="988" t="s">
        <v>505</v>
      </c>
      <c r="C67" s="1001">
        <v>112</v>
      </c>
      <c r="D67" s="985">
        <v>655</v>
      </c>
      <c r="E67" s="985">
        <v>767</v>
      </c>
      <c r="F67" s="985">
        <v>96</v>
      </c>
      <c r="G67" s="985">
        <v>749</v>
      </c>
      <c r="H67" s="985">
        <v>845</v>
      </c>
      <c r="I67" s="985">
        <v>214</v>
      </c>
      <c r="J67" s="985">
        <v>1069</v>
      </c>
      <c r="K67" s="985">
        <v>1283</v>
      </c>
      <c r="L67" s="985">
        <v>333</v>
      </c>
      <c r="M67" s="985">
        <v>601</v>
      </c>
      <c r="N67" s="985">
        <v>934</v>
      </c>
      <c r="O67" s="985">
        <v>308</v>
      </c>
      <c r="P67" s="985">
        <v>1170</v>
      </c>
      <c r="Q67" s="985">
        <v>1478</v>
      </c>
      <c r="R67" s="985">
        <v>324</v>
      </c>
      <c r="S67" s="985">
        <v>1494</v>
      </c>
      <c r="T67" s="985">
        <v>1818</v>
      </c>
      <c r="U67" s="985">
        <v>325</v>
      </c>
      <c r="V67" s="985">
        <v>1917</v>
      </c>
      <c r="W67" s="985">
        <v>2242</v>
      </c>
      <c r="X67" s="985">
        <v>331</v>
      </c>
      <c r="Y67" s="985">
        <v>2456</v>
      </c>
      <c r="Z67" s="985">
        <v>2787</v>
      </c>
      <c r="AA67" s="985">
        <v>265</v>
      </c>
      <c r="AB67" s="985">
        <v>1420</v>
      </c>
      <c r="AC67" s="985">
        <v>1685</v>
      </c>
      <c r="AD67" s="985">
        <v>189</v>
      </c>
      <c r="AE67" s="985">
        <v>917</v>
      </c>
      <c r="AF67" s="985">
        <v>1106</v>
      </c>
      <c r="AH67" s="985">
        <f t="shared" si="16"/>
        <v>422</v>
      </c>
      <c r="AI67" s="985">
        <f t="shared" si="17"/>
        <v>2473</v>
      </c>
      <c r="AJ67" s="985">
        <f t="shared" si="18"/>
        <v>2895</v>
      </c>
      <c r="AK67" s="985">
        <f t="shared" si="19"/>
        <v>1621</v>
      </c>
      <c r="AL67" s="985">
        <f t="shared" si="20"/>
        <v>7638</v>
      </c>
      <c r="AM67" s="985">
        <f t="shared" si="21"/>
        <v>9259</v>
      </c>
      <c r="AN67" s="985">
        <f t="shared" si="22"/>
        <v>454</v>
      </c>
      <c r="AO67" s="985">
        <f t="shared" si="23"/>
        <v>2337</v>
      </c>
      <c r="AP67" s="985">
        <f t="shared" si="24"/>
        <v>2791</v>
      </c>
      <c r="AR67" s="986">
        <f t="shared" si="25"/>
        <v>0.14576856649395509</v>
      </c>
      <c r="AS67" s="986">
        <f t="shared" si="26"/>
        <v>0.17507290204125717</v>
      </c>
      <c r="AT67" s="986">
        <f t="shared" si="27"/>
        <v>0.16266571121461842</v>
      </c>
      <c r="AV67" s="987">
        <v>2882</v>
      </c>
      <c r="AW67" s="987">
        <v>9126</v>
      </c>
      <c r="AX67" s="987">
        <v>3089</v>
      </c>
      <c r="AZ67" s="987">
        <f t="shared" si="28"/>
        <v>420.10500863557854</v>
      </c>
      <c r="BA67" s="987">
        <f t="shared" si="29"/>
        <v>1597.7153040285129</v>
      </c>
      <c r="BB67" s="987">
        <f t="shared" si="30"/>
        <v>502.47438194195632</v>
      </c>
      <c r="BC67" s="1004">
        <f t="shared" si="15"/>
        <v>2520.2946946060479</v>
      </c>
    </row>
    <row r="68" spans="1:55" s="984" customFormat="1" ht="12" customHeight="1">
      <c r="A68" s="984" t="s">
        <v>156</v>
      </c>
      <c r="B68" s="988" t="s">
        <v>506</v>
      </c>
      <c r="C68" s="1001">
        <v>131</v>
      </c>
      <c r="D68" s="985">
        <v>1067</v>
      </c>
      <c r="E68" s="985">
        <v>1198</v>
      </c>
      <c r="F68" s="985">
        <v>183</v>
      </c>
      <c r="G68" s="985">
        <v>1112</v>
      </c>
      <c r="H68" s="985">
        <v>1295</v>
      </c>
      <c r="I68" s="985">
        <v>227</v>
      </c>
      <c r="J68" s="985">
        <v>1328</v>
      </c>
      <c r="K68" s="985">
        <v>1555</v>
      </c>
      <c r="L68" s="985">
        <v>165</v>
      </c>
      <c r="M68" s="985">
        <v>899</v>
      </c>
      <c r="N68" s="985">
        <v>1064</v>
      </c>
      <c r="O68" s="985">
        <v>148</v>
      </c>
      <c r="P68" s="985">
        <v>1571</v>
      </c>
      <c r="Q68" s="985">
        <v>1719</v>
      </c>
      <c r="R68" s="985">
        <v>134</v>
      </c>
      <c r="S68" s="985">
        <v>2425</v>
      </c>
      <c r="T68" s="985">
        <v>2559</v>
      </c>
      <c r="U68" s="985">
        <v>252</v>
      </c>
      <c r="V68" s="985">
        <v>3009</v>
      </c>
      <c r="W68" s="985">
        <v>3261</v>
      </c>
      <c r="X68" s="985">
        <v>112</v>
      </c>
      <c r="Y68" s="985">
        <v>2766</v>
      </c>
      <c r="Z68" s="985">
        <v>2878</v>
      </c>
      <c r="AA68" s="985">
        <v>60</v>
      </c>
      <c r="AB68" s="985">
        <v>1252</v>
      </c>
      <c r="AC68" s="985">
        <v>1312</v>
      </c>
      <c r="AD68" s="985">
        <v>101</v>
      </c>
      <c r="AE68" s="985">
        <v>609</v>
      </c>
      <c r="AF68" s="985">
        <v>710</v>
      </c>
      <c r="AH68" s="985">
        <f t="shared" si="16"/>
        <v>541</v>
      </c>
      <c r="AI68" s="985">
        <f t="shared" si="17"/>
        <v>3507</v>
      </c>
      <c r="AJ68" s="985">
        <f t="shared" si="18"/>
        <v>4048</v>
      </c>
      <c r="AK68" s="985">
        <f t="shared" si="19"/>
        <v>811</v>
      </c>
      <c r="AL68" s="985">
        <f t="shared" si="20"/>
        <v>10670</v>
      </c>
      <c r="AM68" s="985">
        <f t="shared" si="21"/>
        <v>11481</v>
      </c>
      <c r="AN68" s="985">
        <f t="shared" si="22"/>
        <v>161</v>
      </c>
      <c r="AO68" s="985">
        <f t="shared" si="23"/>
        <v>1861</v>
      </c>
      <c r="AP68" s="985">
        <f t="shared" si="24"/>
        <v>2022</v>
      </c>
      <c r="AR68" s="986">
        <f t="shared" si="25"/>
        <v>0.13364624505928854</v>
      </c>
      <c r="AS68" s="986">
        <f t="shared" si="26"/>
        <v>7.0638446128386032E-2</v>
      </c>
      <c r="AT68" s="986">
        <f t="shared" si="27"/>
        <v>7.962413452027696E-2</v>
      </c>
      <c r="AV68" s="987">
        <v>4096</v>
      </c>
      <c r="AW68" s="987">
        <v>12302</v>
      </c>
      <c r="AX68" s="987">
        <v>2424</v>
      </c>
      <c r="AZ68" s="987">
        <f t="shared" si="28"/>
        <v>547.41501976284587</v>
      </c>
      <c r="BA68" s="987">
        <f t="shared" si="29"/>
        <v>868.994164271405</v>
      </c>
      <c r="BB68" s="987">
        <f t="shared" si="30"/>
        <v>193.00890207715136</v>
      </c>
      <c r="BC68" s="1004">
        <f t="shared" si="15"/>
        <v>1609.4180861114021</v>
      </c>
    </row>
    <row r="69" spans="1:55" s="984" customFormat="1" ht="12" customHeight="1">
      <c r="A69" s="984" t="s">
        <v>162</v>
      </c>
      <c r="B69" s="988" t="s">
        <v>507</v>
      </c>
      <c r="C69" s="1001">
        <v>434</v>
      </c>
      <c r="D69" s="985">
        <v>491</v>
      </c>
      <c r="E69" s="985">
        <v>925</v>
      </c>
      <c r="F69" s="985">
        <v>398</v>
      </c>
      <c r="G69" s="985">
        <v>532</v>
      </c>
      <c r="H69" s="985">
        <v>930</v>
      </c>
      <c r="I69" s="985">
        <v>136</v>
      </c>
      <c r="J69" s="985">
        <v>529</v>
      </c>
      <c r="K69" s="985">
        <v>665</v>
      </c>
      <c r="L69" s="985">
        <v>299</v>
      </c>
      <c r="M69" s="985">
        <v>512</v>
      </c>
      <c r="N69" s="985">
        <v>811</v>
      </c>
      <c r="O69" s="985">
        <v>323</v>
      </c>
      <c r="P69" s="985">
        <v>902</v>
      </c>
      <c r="Q69" s="985">
        <v>1225</v>
      </c>
      <c r="R69" s="985">
        <v>246</v>
      </c>
      <c r="S69" s="985">
        <v>1033</v>
      </c>
      <c r="T69" s="985">
        <v>1279</v>
      </c>
      <c r="U69" s="985">
        <v>344</v>
      </c>
      <c r="V69" s="985">
        <v>1501</v>
      </c>
      <c r="W69" s="985">
        <v>1845</v>
      </c>
      <c r="X69" s="985">
        <v>449</v>
      </c>
      <c r="Y69" s="985">
        <v>1458</v>
      </c>
      <c r="Z69" s="985">
        <v>1907</v>
      </c>
      <c r="AA69" s="985">
        <v>231</v>
      </c>
      <c r="AB69" s="985">
        <v>1182</v>
      </c>
      <c r="AC69" s="985">
        <v>1413</v>
      </c>
      <c r="AD69" s="985">
        <v>503</v>
      </c>
      <c r="AE69" s="985">
        <v>722</v>
      </c>
      <c r="AF69" s="985">
        <v>1225</v>
      </c>
      <c r="AH69" s="985">
        <f t="shared" si="16"/>
        <v>968</v>
      </c>
      <c r="AI69" s="985">
        <f t="shared" si="17"/>
        <v>1552</v>
      </c>
      <c r="AJ69" s="985">
        <f t="shared" si="18"/>
        <v>2520</v>
      </c>
      <c r="AK69" s="985">
        <f t="shared" si="19"/>
        <v>1661</v>
      </c>
      <c r="AL69" s="985">
        <f t="shared" si="20"/>
        <v>5406</v>
      </c>
      <c r="AM69" s="985">
        <f t="shared" si="21"/>
        <v>7067</v>
      </c>
      <c r="AN69" s="985">
        <f t="shared" si="22"/>
        <v>734</v>
      </c>
      <c r="AO69" s="985">
        <f t="shared" si="23"/>
        <v>1904</v>
      </c>
      <c r="AP69" s="985">
        <f t="shared" si="24"/>
        <v>2638</v>
      </c>
      <c r="AR69" s="986">
        <f t="shared" si="25"/>
        <v>0.38412698412698415</v>
      </c>
      <c r="AS69" s="986">
        <f t="shared" si="26"/>
        <v>0.23503608320362246</v>
      </c>
      <c r="AT69" s="986">
        <f t="shared" si="27"/>
        <v>0.27824109173616374</v>
      </c>
      <c r="AV69" s="987">
        <v>2421</v>
      </c>
      <c r="AW69" s="987">
        <v>7204</v>
      </c>
      <c r="AX69" s="987">
        <v>2752</v>
      </c>
      <c r="AZ69" s="987">
        <f t="shared" si="28"/>
        <v>929.97142857142865</v>
      </c>
      <c r="BA69" s="987">
        <f t="shared" si="29"/>
        <v>1693.1999433988963</v>
      </c>
      <c r="BB69" s="987">
        <f t="shared" si="30"/>
        <v>765.71948445792259</v>
      </c>
      <c r="BC69" s="1004">
        <f t="shared" si="15"/>
        <v>3388.8908564282474</v>
      </c>
    </row>
    <row r="70" spans="1:55" s="984" customFormat="1" ht="12" customHeight="1">
      <c r="A70" s="984" t="s">
        <v>164</v>
      </c>
      <c r="B70" s="988" t="s">
        <v>508</v>
      </c>
      <c r="C70" s="1001">
        <v>138</v>
      </c>
      <c r="D70" s="985">
        <v>531</v>
      </c>
      <c r="E70" s="985">
        <v>669</v>
      </c>
      <c r="F70" s="985">
        <v>97</v>
      </c>
      <c r="G70" s="985">
        <v>692</v>
      </c>
      <c r="H70" s="985">
        <v>789</v>
      </c>
      <c r="I70" s="985">
        <v>151</v>
      </c>
      <c r="J70" s="985">
        <v>461</v>
      </c>
      <c r="K70" s="985">
        <v>612</v>
      </c>
      <c r="L70" s="985">
        <v>127</v>
      </c>
      <c r="M70" s="985">
        <v>530</v>
      </c>
      <c r="N70" s="985">
        <v>657</v>
      </c>
      <c r="O70" s="985">
        <v>62</v>
      </c>
      <c r="P70" s="985">
        <v>840</v>
      </c>
      <c r="Q70" s="985">
        <v>902</v>
      </c>
      <c r="R70" s="985">
        <v>168</v>
      </c>
      <c r="S70" s="985">
        <v>989</v>
      </c>
      <c r="T70" s="985">
        <v>1157</v>
      </c>
      <c r="U70" s="985">
        <v>247</v>
      </c>
      <c r="V70" s="985">
        <v>1498</v>
      </c>
      <c r="W70" s="985">
        <v>1745</v>
      </c>
      <c r="X70" s="985">
        <v>286</v>
      </c>
      <c r="Y70" s="985">
        <v>1927</v>
      </c>
      <c r="Z70" s="985">
        <v>2213</v>
      </c>
      <c r="AA70" s="985">
        <v>188</v>
      </c>
      <c r="AB70" s="985">
        <v>1913</v>
      </c>
      <c r="AC70" s="985">
        <v>2101</v>
      </c>
      <c r="AD70" s="985">
        <v>207</v>
      </c>
      <c r="AE70" s="985">
        <v>1343</v>
      </c>
      <c r="AF70" s="985">
        <v>1550</v>
      </c>
      <c r="AH70" s="985">
        <f t="shared" ref="AH70:AH101" si="31">C70+F70+I70</f>
        <v>386</v>
      </c>
      <c r="AI70" s="985">
        <f t="shared" ref="AI70:AI101" si="32">D70+G70+J70</f>
        <v>1684</v>
      </c>
      <c r="AJ70" s="985">
        <f t="shared" ref="AJ70:AJ101" si="33">E70+H70+K70</f>
        <v>2070</v>
      </c>
      <c r="AK70" s="985">
        <f t="shared" ref="AK70:AK101" si="34">L70+O70+R70+U70+X70</f>
        <v>890</v>
      </c>
      <c r="AL70" s="985">
        <f t="shared" ref="AL70:AL101" si="35">M70+P70+S70+V70+Y70</f>
        <v>5784</v>
      </c>
      <c r="AM70" s="985">
        <f t="shared" ref="AM70:AM101" si="36">N70+Q70+T70+W70+Z70</f>
        <v>6674</v>
      </c>
      <c r="AN70" s="985">
        <f t="shared" ref="AN70:AN101" si="37">AA70+AD70</f>
        <v>395</v>
      </c>
      <c r="AO70" s="985">
        <f t="shared" ref="AO70:AO101" si="38">AB70+AE70</f>
        <v>3256</v>
      </c>
      <c r="AP70" s="985">
        <f t="shared" ref="AP70:AP101" si="39">AC70+AF70</f>
        <v>3651</v>
      </c>
      <c r="AR70" s="986">
        <f t="shared" ref="AR70:AR101" si="40">AH70/AJ70</f>
        <v>0.18647342995169083</v>
      </c>
      <c r="AS70" s="986">
        <f t="shared" ref="AS70:AS101" si="41">AK70/AM70</f>
        <v>0.13335331135750675</v>
      </c>
      <c r="AT70" s="986">
        <f t="shared" ref="AT70:AT101" si="42">AN70/AP70</f>
        <v>0.1081895371131197</v>
      </c>
      <c r="AV70" s="987">
        <v>2007</v>
      </c>
      <c r="AW70" s="987">
        <v>6588</v>
      </c>
      <c r="AX70" s="987">
        <v>3866</v>
      </c>
      <c r="AZ70" s="987">
        <f t="shared" ref="AZ70:AZ101" si="43">AR70*AV70</f>
        <v>374.25217391304352</v>
      </c>
      <c r="BA70" s="987">
        <f t="shared" ref="BA70:BA101" si="44">AS70*AW70</f>
        <v>878.53161522325445</v>
      </c>
      <c r="BB70" s="987">
        <f t="shared" ref="BB70:BB101" si="45">AT70*AX70</f>
        <v>418.26075047932073</v>
      </c>
      <c r="BC70" s="1004">
        <f t="shared" si="15"/>
        <v>1671.0445396156185</v>
      </c>
    </row>
    <row r="71" spans="1:55" s="984" customFormat="1" ht="12" customHeight="1">
      <c r="A71" s="984" t="s">
        <v>168</v>
      </c>
      <c r="B71" s="988" t="s">
        <v>509</v>
      </c>
      <c r="C71" s="1001">
        <v>315</v>
      </c>
      <c r="D71" s="985">
        <v>522</v>
      </c>
      <c r="E71" s="985">
        <v>837</v>
      </c>
      <c r="F71" s="985">
        <v>228</v>
      </c>
      <c r="G71" s="985">
        <v>732</v>
      </c>
      <c r="H71" s="985">
        <v>960</v>
      </c>
      <c r="I71" s="985">
        <v>342</v>
      </c>
      <c r="J71" s="985">
        <v>871</v>
      </c>
      <c r="K71" s="985">
        <v>1213</v>
      </c>
      <c r="L71" s="985">
        <v>439</v>
      </c>
      <c r="M71" s="985">
        <v>964</v>
      </c>
      <c r="N71" s="985">
        <v>1403</v>
      </c>
      <c r="O71" s="985">
        <v>437</v>
      </c>
      <c r="P71" s="985">
        <v>1325</v>
      </c>
      <c r="Q71" s="985">
        <v>1762</v>
      </c>
      <c r="R71" s="985">
        <v>364</v>
      </c>
      <c r="S71" s="985">
        <v>1628</v>
      </c>
      <c r="T71" s="985">
        <v>1992</v>
      </c>
      <c r="U71" s="985">
        <v>336</v>
      </c>
      <c r="V71" s="985">
        <v>2000</v>
      </c>
      <c r="W71" s="985">
        <v>2336</v>
      </c>
      <c r="X71" s="985">
        <v>284</v>
      </c>
      <c r="Y71" s="985">
        <v>1574</v>
      </c>
      <c r="Z71" s="985">
        <v>1858</v>
      </c>
      <c r="AA71" s="985">
        <v>378</v>
      </c>
      <c r="AB71" s="985">
        <v>993</v>
      </c>
      <c r="AC71" s="985">
        <v>1371</v>
      </c>
      <c r="AD71" s="985">
        <v>228</v>
      </c>
      <c r="AE71" s="985">
        <v>919</v>
      </c>
      <c r="AF71" s="985">
        <v>1147</v>
      </c>
      <c r="AH71" s="985">
        <f t="shared" si="31"/>
        <v>885</v>
      </c>
      <c r="AI71" s="985">
        <f t="shared" si="32"/>
        <v>2125</v>
      </c>
      <c r="AJ71" s="985">
        <f t="shared" si="33"/>
        <v>3010</v>
      </c>
      <c r="AK71" s="985">
        <f t="shared" si="34"/>
        <v>1860</v>
      </c>
      <c r="AL71" s="985">
        <f t="shared" si="35"/>
        <v>7491</v>
      </c>
      <c r="AM71" s="985">
        <f t="shared" si="36"/>
        <v>9351</v>
      </c>
      <c r="AN71" s="985">
        <f t="shared" si="37"/>
        <v>606</v>
      </c>
      <c r="AO71" s="985">
        <f t="shared" si="38"/>
        <v>1912</v>
      </c>
      <c r="AP71" s="985">
        <f t="shared" si="39"/>
        <v>2518</v>
      </c>
      <c r="AR71" s="986">
        <f t="shared" si="40"/>
        <v>0.29401993355481726</v>
      </c>
      <c r="AS71" s="986">
        <f t="shared" si="41"/>
        <v>0.19890920757138275</v>
      </c>
      <c r="AT71" s="986">
        <f t="shared" si="42"/>
        <v>0.24066719618745036</v>
      </c>
      <c r="AV71" s="987">
        <v>3265</v>
      </c>
      <c r="AW71" s="987">
        <v>9884</v>
      </c>
      <c r="AX71" s="987">
        <v>2691</v>
      </c>
      <c r="AZ71" s="987">
        <f t="shared" si="43"/>
        <v>959.9750830564783</v>
      </c>
      <c r="BA71" s="987">
        <f t="shared" si="44"/>
        <v>1966.0186076355471</v>
      </c>
      <c r="BB71" s="987">
        <f t="shared" si="45"/>
        <v>647.63542494042895</v>
      </c>
      <c r="BC71" s="1004">
        <f t="shared" ref="BC71:BC126" si="46">SUM(AZ71:BB71)</f>
        <v>3573.6291156324546</v>
      </c>
    </row>
    <row r="72" spans="1:55" s="984" customFormat="1" ht="12" customHeight="1">
      <c r="A72" s="984" t="s">
        <v>170</v>
      </c>
      <c r="B72" s="988" t="s">
        <v>510</v>
      </c>
      <c r="C72" s="1001">
        <v>501</v>
      </c>
      <c r="D72" s="985">
        <v>1748</v>
      </c>
      <c r="E72" s="985">
        <v>2249</v>
      </c>
      <c r="F72" s="985">
        <v>511</v>
      </c>
      <c r="G72" s="985">
        <v>2165</v>
      </c>
      <c r="H72" s="985">
        <v>2676</v>
      </c>
      <c r="I72" s="985">
        <v>691</v>
      </c>
      <c r="J72" s="985">
        <v>1911</v>
      </c>
      <c r="K72" s="985">
        <v>2602</v>
      </c>
      <c r="L72" s="985">
        <v>476</v>
      </c>
      <c r="M72" s="985">
        <v>1661</v>
      </c>
      <c r="N72" s="985">
        <v>2137</v>
      </c>
      <c r="O72" s="985">
        <v>426</v>
      </c>
      <c r="P72" s="985">
        <v>3181</v>
      </c>
      <c r="Q72" s="985">
        <v>3607</v>
      </c>
      <c r="R72" s="985">
        <v>662</v>
      </c>
      <c r="S72" s="985">
        <v>3579</v>
      </c>
      <c r="T72" s="985">
        <v>4241</v>
      </c>
      <c r="U72" s="985">
        <v>699</v>
      </c>
      <c r="V72" s="985">
        <v>4437</v>
      </c>
      <c r="W72" s="985">
        <v>5136</v>
      </c>
      <c r="X72" s="985">
        <v>568</v>
      </c>
      <c r="Y72" s="985">
        <v>3703</v>
      </c>
      <c r="Z72" s="985">
        <v>4271</v>
      </c>
      <c r="AA72" s="985">
        <v>343</v>
      </c>
      <c r="AB72" s="985">
        <v>3053</v>
      </c>
      <c r="AC72" s="985">
        <v>3396</v>
      </c>
      <c r="AD72" s="985">
        <v>316</v>
      </c>
      <c r="AE72" s="985">
        <v>1983</v>
      </c>
      <c r="AF72" s="985">
        <v>2299</v>
      </c>
      <c r="AH72" s="985">
        <f t="shared" si="31"/>
        <v>1703</v>
      </c>
      <c r="AI72" s="985">
        <f t="shared" si="32"/>
        <v>5824</v>
      </c>
      <c r="AJ72" s="985">
        <f t="shared" si="33"/>
        <v>7527</v>
      </c>
      <c r="AK72" s="985">
        <f t="shared" si="34"/>
        <v>2831</v>
      </c>
      <c r="AL72" s="985">
        <f t="shared" si="35"/>
        <v>16561</v>
      </c>
      <c r="AM72" s="985">
        <f t="shared" si="36"/>
        <v>19392</v>
      </c>
      <c r="AN72" s="985">
        <f t="shared" si="37"/>
        <v>659</v>
      </c>
      <c r="AO72" s="985">
        <f t="shared" si="38"/>
        <v>5036</v>
      </c>
      <c r="AP72" s="985">
        <f t="shared" si="39"/>
        <v>5695</v>
      </c>
      <c r="AR72" s="986">
        <f t="shared" si="40"/>
        <v>0.22625215889464595</v>
      </c>
      <c r="AS72" s="986">
        <f t="shared" si="41"/>
        <v>0.14598803630363036</v>
      </c>
      <c r="AT72" s="986">
        <f t="shared" si="42"/>
        <v>0.11571553994732221</v>
      </c>
      <c r="AV72" s="987">
        <v>7620</v>
      </c>
      <c r="AW72" s="987">
        <v>20089</v>
      </c>
      <c r="AX72" s="987">
        <v>6229</v>
      </c>
      <c r="AZ72" s="987">
        <f t="shared" si="43"/>
        <v>1724.041450777202</v>
      </c>
      <c r="BA72" s="987">
        <f t="shared" si="44"/>
        <v>2932.7536613036305</v>
      </c>
      <c r="BB72" s="987">
        <f t="shared" si="45"/>
        <v>720.79209833187008</v>
      </c>
      <c r="BC72" s="1004">
        <f t="shared" si="46"/>
        <v>5377.587210412702</v>
      </c>
    </row>
    <row r="73" spans="1:55" s="984" customFormat="1" ht="12" customHeight="1">
      <c r="A73" s="984" t="s">
        <v>172</v>
      </c>
      <c r="B73" s="988" t="s">
        <v>511</v>
      </c>
      <c r="C73" s="1001">
        <v>775</v>
      </c>
      <c r="D73" s="985">
        <v>901</v>
      </c>
      <c r="E73" s="985">
        <v>1676</v>
      </c>
      <c r="F73" s="985">
        <v>432</v>
      </c>
      <c r="G73" s="985">
        <v>1029</v>
      </c>
      <c r="H73" s="985">
        <v>1461</v>
      </c>
      <c r="I73" s="985">
        <v>418</v>
      </c>
      <c r="J73" s="985">
        <v>1565</v>
      </c>
      <c r="K73" s="985">
        <v>1983</v>
      </c>
      <c r="L73" s="985">
        <v>323</v>
      </c>
      <c r="M73" s="985">
        <v>1466</v>
      </c>
      <c r="N73" s="985">
        <v>1789</v>
      </c>
      <c r="O73" s="985">
        <v>723</v>
      </c>
      <c r="P73" s="985">
        <v>1909</v>
      </c>
      <c r="Q73" s="985">
        <v>2632</v>
      </c>
      <c r="R73" s="985">
        <v>616</v>
      </c>
      <c r="S73" s="985">
        <v>2640</v>
      </c>
      <c r="T73" s="985">
        <v>3256</v>
      </c>
      <c r="U73" s="985">
        <v>419</v>
      </c>
      <c r="V73" s="985">
        <v>3194</v>
      </c>
      <c r="W73" s="985">
        <v>3613</v>
      </c>
      <c r="X73" s="985">
        <v>392</v>
      </c>
      <c r="Y73" s="985">
        <v>2877</v>
      </c>
      <c r="Z73" s="985">
        <v>3269</v>
      </c>
      <c r="AA73" s="985">
        <v>339</v>
      </c>
      <c r="AB73" s="985">
        <v>2115</v>
      </c>
      <c r="AC73" s="985">
        <v>2454</v>
      </c>
      <c r="AD73" s="985">
        <v>401</v>
      </c>
      <c r="AE73" s="985">
        <v>1263</v>
      </c>
      <c r="AF73" s="985">
        <v>1664</v>
      </c>
      <c r="AH73" s="985">
        <f t="shared" si="31"/>
        <v>1625</v>
      </c>
      <c r="AI73" s="985">
        <f t="shared" si="32"/>
        <v>3495</v>
      </c>
      <c r="AJ73" s="985">
        <f t="shared" si="33"/>
        <v>5120</v>
      </c>
      <c r="AK73" s="985">
        <f t="shared" si="34"/>
        <v>2473</v>
      </c>
      <c r="AL73" s="985">
        <f t="shared" si="35"/>
        <v>12086</v>
      </c>
      <c r="AM73" s="985">
        <f t="shared" si="36"/>
        <v>14559</v>
      </c>
      <c r="AN73" s="985">
        <f t="shared" si="37"/>
        <v>740</v>
      </c>
      <c r="AO73" s="985">
        <f t="shared" si="38"/>
        <v>3378</v>
      </c>
      <c r="AP73" s="985">
        <f t="shared" si="39"/>
        <v>4118</v>
      </c>
      <c r="AR73" s="986">
        <f t="shared" si="40"/>
        <v>0.3173828125</v>
      </c>
      <c r="AS73" s="986">
        <f t="shared" si="41"/>
        <v>0.16986056734665841</v>
      </c>
      <c r="AT73" s="986">
        <f t="shared" si="42"/>
        <v>0.17969888295288974</v>
      </c>
      <c r="AV73" s="987">
        <v>5045</v>
      </c>
      <c r="AW73" s="987">
        <v>14610</v>
      </c>
      <c r="AX73" s="987">
        <v>4303</v>
      </c>
      <c r="AZ73" s="987">
        <f t="shared" si="43"/>
        <v>1601.1962890625</v>
      </c>
      <c r="BA73" s="987">
        <f t="shared" si="44"/>
        <v>2481.6628889346794</v>
      </c>
      <c r="BB73" s="987">
        <f t="shared" si="45"/>
        <v>773.24429334628462</v>
      </c>
      <c r="BC73" s="1004">
        <f t="shared" si="46"/>
        <v>4856.1034713434638</v>
      </c>
    </row>
    <row r="74" spans="1:55" s="984" customFormat="1" ht="12" customHeight="1">
      <c r="A74" s="984" t="s">
        <v>174</v>
      </c>
      <c r="B74" s="988" t="s">
        <v>512</v>
      </c>
      <c r="C74" s="1001">
        <v>229</v>
      </c>
      <c r="D74" s="985">
        <v>714</v>
      </c>
      <c r="E74" s="985">
        <v>943</v>
      </c>
      <c r="F74" s="985">
        <v>471</v>
      </c>
      <c r="G74" s="985">
        <v>634</v>
      </c>
      <c r="H74" s="985">
        <v>1105</v>
      </c>
      <c r="I74" s="985">
        <v>242</v>
      </c>
      <c r="J74" s="985">
        <v>1264</v>
      </c>
      <c r="K74" s="985">
        <v>1506</v>
      </c>
      <c r="L74" s="985">
        <v>136</v>
      </c>
      <c r="M74" s="985">
        <v>1097</v>
      </c>
      <c r="N74" s="985">
        <v>1233</v>
      </c>
      <c r="O74" s="985">
        <v>412</v>
      </c>
      <c r="P74" s="985">
        <v>1241</v>
      </c>
      <c r="Q74" s="985">
        <v>1653</v>
      </c>
      <c r="R74" s="985">
        <v>640</v>
      </c>
      <c r="S74" s="985">
        <v>1884</v>
      </c>
      <c r="T74" s="985">
        <v>2524</v>
      </c>
      <c r="U74" s="985">
        <v>523</v>
      </c>
      <c r="V74" s="985">
        <v>2324</v>
      </c>
      <c r="W74" s="985">
        <v>2847</v>
      </c>
      <c r="X74" s="985">
        <v>422</v>
      </c>
      <c r="Y74" s="985">
        <v>2348</v>
      </c>
      <c r="Z74" s="985">
        <v>2770</v>
      </c>
      <c r="AA74" s="985">
        <v>329</v>
      </c>
      <c r="AB74" s="985">
        <v>1918</v>
      </c>
      <c r="AC74" s="985">
        <v>2247</v>
      </c>
      <c r="AD74" s="985">
        <v>337</v>
      </c>
      <c r="AE74" s="985">
        <v>1199</v>
      </c>
      <c r="AF74" s="985">
        <v>1536</v>
      </c>
      <c r="AH74" s="985">
        <f t="shared" si="31"/>
        <v>942</v>
      </c>
      <c r="AI74" s="985">
        <f t="shared" si="32"/>
        <v>2612</v>
      </c>
      <c r="AJ74" s="985">
        <f t="shared" si="33"/>
        <v>3554</v>
      </c>
      <c r="AK74" s="985">
        <f t="shared" si="34"/>
        <v>2133</v>
      </c>
      <c r="AL74" s="985">
        <f t="shared" si="35"/>
        <v>8894</v>
      </c>
      <c r="AM74" s="985">
        <f t="shared" si="36"/>
        <v>11027</v>
      </c>
      <c r="AN74" s="985">
        <f t="shared" si="37"/>
        <v>666</v>
      </c>
      <c r="AO74" s="985">
        <f t="shared" si="38"/>
        <v>3117</v>
      </c>
      <c r="AP74" s="985">
        <f t="shared" si="39"/>
        <v>3783</v>
      </c>
      <c r="AR74" s="986">
        <f t="shared" si="40"/>
        <v>0.265053460889139</v>
      </c>
      <c r="AS74" s="986">
        <f t="shared" si="41"/>
        <v>0.19343429763308242</v>
      </c>
      <c r="AT74" s="986">
        <f t="shared" si="42"/>
        <v>0.17605075337034101</v>
      </c>
      <c r="AV74" s="987">
        <v>3460</v>
      </c>
      <c r="AW74" s="987">
        <v>10852</v>
      </c>
      <c r="AX74" s="987">
        <v>4078</v>
      </c>
      <c r="AZ74" s="987">
        <f t="shared" si="43"/>
        <v>917.08497467642098</v>
      </c>
      <c r="BA74" s="987">
        <f t="shared" si="44"/>
        <v>2099.1489979142107</v>
      </c>
      <c r="BB74" s="987">
        <f t="shared" si="45"/>
        <v>717.93497224425062</v>
      </c>
      <c r="BC74" s="1004">
        <f t="shared" si="46"/>
        <v>3734.1689448348825</v>
      </c>
    </row>
    <row r="75" spans="1:55" s="984" customFormat="1" ht="12" customHeight="1">
      <c r="A75" s="984" t="s">
        <v>178</v>
      </c>
      <c r="B75" s="988" t="s">
        <v>179</v>
      </c>
      <c r="C75" s="1001">
        <v>1130</v>
      </c>
      <c r="D75" s="985">
        <v>2580</v>
      </c>
      <c r="E75" s="985">
        <v>3710</v>
      </c>
      <c r="F75" s="985">
        <v>1125</v>
      </c>
      <c r="G75" s="985">
        <v>3520</v>
      </c>
      <c r="H75" s="985">
        <v>4645</v>
      </c>
      <c r="I75" s="985">
        <v>1269</v>
      </c>
      <c r="J75" s="985">
        <v>3665</v>
      </c>
      <c r="K75" s="985">
        <v>4934</v>
      </c>
      <c r="L75" s="985">
        <v>1053</v>
      </c>
      <c r="M75" s="985">
        <v>3316</v>
      </c>
      <c r="N75" s="985">
        <v>4369</v>
      </c>
      <c r="O75" s="985">
        <v>1200</v>
      </c>
      <c r="P75" s="985">
        <v>4766</v>
      </c>
      <c r="Q75" s="985">
        <v>5966</v>
      </c>
      <c r="R75" s="985">
        <v>1363</v>
      </c>
      <c r="S75" s="985">
        <v>6905</v>
      </c>
      <c r="T75" s="985">
        <v>8268</v>
      </c>
      <c r="U75" s="985">
        <v>1692</v>
      </c>
      <c r="V75" s="985">
        <v>8657</v>
      </c>
      <c r="W75" s="985">
        <v>10349</v>
      </c>
      <c r="X75" s="985">
        <v>1173</v>
      </c>
      <c r="Y75" s="985">
        <v>8086</v>
      </c>
      <c r="Z75" s="985">
        <v>9259</v>
      </c>
      <c r="AA75" s="985">
        <v>872</v>
      </c>
      <c r="AB75" s="985">
        <v>5309</v>
      </c>
      <c r="AC75" s="985">
        <v>6181</v>
      </c>
      <c r="AD75" s="985">
        <v>1413</v>
      </c>
      <c r="AE75" s="985">
        <v>2995</v>
      </c>
      <c r="AF75" s="985">
        <v>4408</v>
      </c>
      <c r="AH75" s="985">
        <f t="shared" si="31"/>
        <v>3524</v>
      </c>
      <c r="AI75" s="985">
        <f t="shared" si="32"/>
        <v>9765</v>
      </c>
      <c r="AJ75" s="985">
        <f t="shared" si="33"/>
        <v>13289</v>
      </c>
      <c r="AK75" s="985">
        <f t="shared" si="34"/>
        <v>6481</v>
      </c>
      <c r="AL75" s="985">
        <f t="shared" si="35"/>
        <v>31730</v>
      </c>
      <c r="AM75" s="985">
        <f t="shared" si="36"/>
        <v>38211</v>
      </c>
      <c r="AN75" s="985">
        <f t="shared" si="37"/>
        <v>2285</v>
      </c>
      <c r="AO75" s="985">
        <f t="shared" si="38"/>
        <v>8304</v>
      </c>
      <c r="AP75" s="985">
        <f t="shared" si="39"/>
        <v>10589</v>
      </c>
      <c r="AR75" s="986">
        <f t="shared" si="40"/>
        <v>0.26518172924975542</v>
      </c>
      <c r="AS75" s="986">
        <f t="shared" si="41"/>
        <v>0.16961084504462065</v>
      </c>
      <c r="AT75" s="986">
        <f t="shared" si="42"/>
        <v>0.21578997072433659</v>
      </c>
      <c r="AV75" s="987">
        <v>13078</v>
      </c>
      <c r="AW75" s="987">
        <v>38645</v>
      </c>
      <c r="AX75" s="987">
        <v>11121</v>
      </c>
      <c r="AZ75" s="987">
        <f t="shared" si="43"/>
        <v>3468.0466551283012</v>
      </c>
      <c r="BA75" s="987">
        <f t="shared" si="44"/>
        <v>6554.6111067493648</v>
      </c>
      <c r="BB75" s="987">
        <f t="shared" si="45"/>
        <v>2399.800264425347</v>
      </c>
      <c r="BC75" s="1004">
        <f t="shared" si="46"/>
        <v>12422.458026303013</v>
      </c>
    </row>
    <row r="76" spans="1:55" s="984" customFormat="1" ht="12" customHeight="1">
      <c r="A76" s="984" t="s">
        <v>182</v>
      </c>
      <c r="B76" s="988" t="s">
        <v>514</v>
      </c>
      <c r="C76" s="1001">
        <v>116</v>
      </c>
      <c r="D76" s="985">
        <v>1720</v>
      </c>
      <c r="E76" s="985">
        <v>1836</v>
      </c>
      <c r="F76" s="985">
        <v>99</v>
      </c>
      <c r="G76" s="985">
        <v>1781</v>
      </c>
      <c r="H76" s="985">
        <v>1880</v>
      </c>
      <c r="I76" s="985">
        <v>85</v>
      </c>
      <c r="J76" s="985">
        <v>1899</v>
      </c>
      <c r="K76" s="985">
        <v>1984</v>
      </c>
      <c r="L76" s="985">
        <v>71</v>
      </c>
      <c r="M76" s="985">
        <v>1268</v>
      </c>
      <c r="N76" s="985">
        <v>1339</v>
      </c>
      <c r="O76" s="985">
        <v>256</v>
      </c>
      <c r="P76" s="985">
        <v>1787</v>
      </c>
      <c r="Q76" s="985">
        <v>2043</v>
      </c>
      <c r="R76" s="985">
        <v>106</v>
      </c>
      <c r="S76" s="985">
        <v>3616</v>
      </c>
      <c r="T76" s="985">
        <v>3722</v>
      </c>
      <c r="U76" s="985">
        <v>244</v>
      </c>
      <c r="V76" s="985">
        <v>3896</v>
      </c>
      <c r="W76" s="985">
        <v>4140</v>
      </c>
      <c r="X76" s="985">
        <v>311</v>
      </c>
      <c r="Y76" s="985">
        <v>3353</v>
      </c>
      <c r="Z76" s="985">
        <v>3664</v>
      </c>
      <c r="AA76" s="985">
        <v>119</v>
      </c>
      <c r="AB76" s="985">
        <v>1966</v>
      </c>
      <c r="AC76" s="985">
        <v>2085</v>
      </c>
      <c r="AD76" s="985">
        <v>119</v>
      </c>
      <c r="AE76" s="985">
        <v>949</v>
      </c>
      <c r="AF76" s="985">
        <v>1068</v>
      </c>
      <c r="AH76" s="985">
        <f t="shared" si="31"/>
        <v>300</v>
      </c>
      <c r="AI76" s="985">
        <f t="shared" si="32"/>
        <v>5400</v>
      </c>
      <c r="AJ76" s="985">
        <f t="shared" si="33"/>
        <v>5700</v>
      </c>
      <c r="AK76" s="985">
        <f t="shared" si="34"/>
        <v>988</v>
      </c>
      <c r="AL76" s="985">
        <f t="shared" si="35"/>
        <v>13920</v>
      </c>
      <c r="AM76" s="985">
        <f t="shared" si="36"/>
        <v>14908</v>
      </c>
      <c r="AN76" s="985">
        <f t="shared" si="37"/>
        <v>238</v>
      </c>
      <c r="AO76" s="985">
        <f t="shared" si="38"/>
        <v>2915</v>
      </c>
      <c r="AP76" s="985">
        <f t="shared" si="39"/>
        <v>3153</v>
      </c>
      <c r="AR76" s="986">
        <f t="shared" si="40"/>
        <v>5.2631578947368418E-2</v>
      </c>
      <c r="AS76" s="986">
        <f t="shared" si="41"/>
        <v>6.6273141937214924E-2</v>
      </c>
      <c r="AT76" s="986">
        <f t="shared" si="42"/>
        <v>7.5483666349508399E-2</v>
      </c>
      <c r="AV76" s="987">
        <v>6162</v>
      </c>
      <c r="AW76" s="987">
        <v>18285</v>
      </c>
      <c r="AX76" s="987">
        <v>3663</v>
      </c>
      <c r="AZ76" s="987">
        <f t="shared" si="43"/>
        <v>324.31578947368422</v>
      </c>
      <c r="BA76" s="987">
        <f t="shared" si="44"/>
        <v>1211.804400321975</v>
      </c>
      <c r="BB76" s="987">
        <f t="shared" si="45"/>
        <v>276.49666983824926</v>
      </c>
      <c r="BC76" s="1004">
        <f t="shared" si="46"/>
        <v>1812.6168596339085</v>
      </c>
    </row>
    <row r="77" spans="1:55" s="984" customFormat="1" ht="12" customHeight="1">
      <c r="A77" s="984" t="s">
        <v>184</v>
      </c>
      <c r="B77" s="988" t="s">
        <v>515</v>
      </c>
      <c r="C77" s="1001">
        <v>398</v>
      </c>
      <c r="D77" s="985">
        <v>825</v>
      </c>
      <c r="E77" s="985">
        <v>1223</v>
      </c>
      <c r="F77" s="985">
        <v>365</v>
      </c>
      <c r="G77" s="985">
        <v>1027</v>
      </c>
      <c r="H77" s="985">
        <v>1392</v>
      </c>
      <c r="I77" s="985">
        <v>393</v>
      </c>
      <c r="J77" s="985">
        <v>914</v>
      </c>
      <c r="K77" s="985">
        <v>1307</v>
      </c>
      <c r="L77" s="985">
        <v>1021</v>
      </c>
      <c r="M77" s="985">
        <v>1066</v>
      </c>
      <c r="N77" s="985">
        <v>2087</v>
      </c>
      <c r="O77" s="985">
        <v>317</v>
      </c>
      <c r="P77" s="985">
        <v>1303</v>
      </c>
      <c r="Q77" s="985">
        <v>1620</v>
      </c>
      <c r="R77" s="985">
        <v>505</v>
      </c>
      <c r="S77" s="985">
        <v>2007</v>
      </c>
      <c r="T77" s="985">
        <v>2512</v>
      </c>
      <c r="U77" s="985">
        <v>425</v>
      </c>
      <c r="V77" s="985">
        <v>2272</v>
      </c>
      <c r="W77" s="985">
        <v>2697</v>
      </c>
      <c r="X77" s="985">
        <v>322</v>
      </c>
      <c r="Y77" s="985">
        <v>2083</v>
      </c>
      <c r="Z77" s="985">
        <v>2405</v>
      </c>
      <c r="AA77" s="985">
        <v>176</v>
      </c>
      <c r="AB77" s="985">
        <v>1430</v>
      </c>
      <c r="AC77" s="985">
        <v>1606</v>
      </c>
      <c r="AD77" s="985">
        <v>272</v>
      </c>
      <c r="AE77" s="985">
        <v>1167</v>
      </c>
      <c r="AF77" s="985">
        <v>1439</v>
      </c>
      <c r="AH77" s="985">
        <f t="shared" si="31"/>
        <v>1156</v>
      </c>
      <c r="AI77" s="985">
        <f t="shared" si="32"/>
        <v>2766</v>
      </c>
      <c r="AJ77" s="985">
        <f t="shared" si="33"/>
        <v>3922</v>
      </c>
      <c r="AK77" s="985">
        <f t="shared" si="34"/>
        <v>2590</v>
      </c>
      <c r="AL77" s="985">
        <f t="shared" si="35"/>
        <v>8731</v>
      </c>
      <c r="AM77" s="985">
        <f t="shared" si="36"/>
        <v>11321</v>
      </c>
      <c r="AN77" s="985">
        <f t="shared" si="37"/>
        <v>448</v>
      </c>
      <c r="AO77" s="985">
        <f t="shared" si="38"/>
        <v>2597</v>
      </c>
      <c r="AP77" s="985">
        <f t="shared" si="39"/>
        <v>3045</v>
      </c>
      <c r="AR77" s="986">
        <f t="shared" si="40"/>
        <v>0.29474757776644567</v>
      </c>
      <c r="AS77" s="986">
        <f t="shared" si="41"/>
        <v>0.22877837646850985</v>
      </c>
      <c r="AT77" s="986">
        <f t="shared" si="42"/>
        <v>0.14712643678160919</v>
      </c>
      <c r="AV77" s="987">
        <v>3992</v>
      </c>
      <c r="AW77" s="987">
        <v>16036</v>
      </c>
      <c r="AX77" s="987">
        <v>3315</v>
      </c>
      <c r="AZ77" s="987">
        <f t="shared" si="43"/>
        <v>1176.6323304436512</v>
      </c>
      <c r="BA77" s="987">
        <f t="shared" si="44"/>
        <v>3668.6900450490239</v>
      </c>
      <c r="BB77" s="987">
        <f t="shared" si="45"/>
        <v>487.72413793103448</v>
      </c>
      <c r="BC77" s="1004">
        <f t="shared" si="46"/>
        <v>5333.0465134237093</v>
      </c>
    </row>
    <row r="78" spans="1:55" s="984" customFormat="1" ht="12" customHeight="1">
      <c r="A78" s="984" t="s">
        <v>186</v>
      </c>
      <c r="B78" s="988" t="s">
        <v>516</v>
      </c>
      <c r="C78" s="1001">
        <v>355</v>
      </c>
      <c r="D78" s="985">
        <v>2036</v>
      </c>
      <c r="E78" s="985">
        <v>2391</v>
      </c>
      <c r="F78" s="985">
        <v>307</v>
      </c>
      <c r="G78" s="985">
        <v>2366</v>
      </c>
      <c r="H78" s="985">
        <v>2673</v>
      </c>
      <c r="I78" s="985">
        <v>391</v>
      </c>
      <c r="J78" s="985">
        <v>2543</v>
      </c>
      <c r="K78" s="985">
        <v>2934</v>
      </c>
      <c r="L78" s="985">
        <v>246</v>
      </c>
      <c r="M78" s="985">
        <v>1687</v>
      </c>
      <c r="N78" s="985">
        <v>1933</v>
      </c>
      <c r="O78" s="985">
        <v>345</v>
      </c>
      <c r="P78" s="985">
        <v>2990</v>
      </c>
      <c r="Q78" s="985">
        <v>3335</v>
      </c>
      <c r="R78" s="985">
        <v>310</v>
      </c>
      <c r="S78" s="985">
        <v>4073</v>
      </c>
      <c r="T78" s="985">
        <v>4383</v>
      </c>
      <c r="U78" s="985">
        <v>296</v>
      </c>
      <c r="V78" s="985">
        <v>4718</v>
      </c>
      <c r="W78" s="985">
        <v>5014</v>
      </c>
      <c r="X78" s="985">
        <v>228</v>
      </c>
      <c r="Y78" s="985">
        <v>3673</v>
      </c>
      <c r="Z78" s="985">
        <v>3901</v>
      </c>
      <c r="AA78" s="985">
        <v>65</v>
      </c>
      <c r="AB78" s="985">
        <v>2222</v>
      </c>
      <c r="AC78" s="985">
        <v>2287</v>
      </c>
      <c r="AD78" s="985">
        <v>195</v>
      </c>
      <c r="AE78" s="985">
        <v>1059</v>
      </c>
      <c r="AF78" s="985">
        <v>1254</v>
      </c>
      <c r="AH78" s="985">
        <f t="shared" si="31"/>
        <v>1053</v>
      </c>
      <c r="AI78" s="985">
        <f t="shared" si="32"/>
        <v>6945</v>
      </c>
      <c r="AJ78" s="985">
        <f t="shared" si="33"/>
        <v>7998</v>
      </c>
      <c r="AK78" s="985">
        <f t="shared" si="34"/>
        <v>1425</v>
      </c>
      <c r="AL78" s="985">
        <f t="shared" si="35"/>
        <v>17141</v>
      </c>
      <c r="AM78" s="985">
        <f t="shared" si="36"/>
        <v>18566</v>
      </c>
      <c r="AN78" s="985">
        <f t="shared" si="37"/>
        <v>260</v>
      </c>
      <c r="AO78" s="985">
        <f t="shared" si="38"/>
        <v>3281</v>
      </c>
      <c r="AP78" s="985">
        <f t="shared" si="39"/>
        <v>3541</v>
      </c>
      <c r="AR78" s="986">
        <f t="shared" si="40"/>
        <v>0.13165791447861966</v>
      </c>
      <c r="AS78" s="986">
        <f t="shared" si="41"/>
        <v>7.6753204782936554E-2</v>
      </c>
      <c r="AT78" s="986">
        <f t="shared" si="42"/>
        <v>7.3425585992657444E-2</v>
      </c>
      <c r="AV78" s="987">
        <v>8221</v>
      </c>
      <c r="AW78" s="987">
        <v>24450</v>
      </c>
      <c r="AX78" s="987">
        <v>3884</v>
      </c>
      <c r="AZ78" s="987">
        <f t="shared" si="43"/>
        <v>1082.3597149287323</v>
      </c>
      <c r="BA78" s="987">
        <f t="shared" si="44"/>
        <v>1876.6158569427987</v>
      </c>
      <c r="BB78" s="987">
        <f t="shared" si="45"/>
        <v>285.18497599548152</v>
      </c>
      <c r="BC78" s="1004">
        <f t="shared" si="46"/>
        <v>3244.1605478670126</v>
      </c>
    </row>
    <row r="79" spans="1:55" s="984" customFormat="1" ht="12" customHeight="1">
      <c r="A79" s="984" t="s">
        <v>188</v>
      </c>
      <c r="B79" s="988" t="s">
        <v>517</v>
      </c>
      <c r="C79" s="1001">
        <v>4288</v>
      </c>
      <c r="D79" s="985">
        <v>34816</v>
      </c>
      <c r="E79" s="985">
        <v>39104</v>
      </c>
      <c r="F79" s="985">
        <v>4217</v>
      </c>
      <c r="G79" s="985">
        <v>33737</v>
      </c>
      <c r="H79" s="985">
        <v>37954</v>
      </c>
      <c r="I79" s="985">
        <v>3542</v>
      </c>
      <c r="J79" s="985">
        <v>31336</v>
      </c>
      <c r="K79" s="985">
        <v>34878</v>
      </c>
      <c r="L79" s="985">
        <v>3608</v>
      </c>
      <c r="M79" s="985">
        <v>28048</v>
      </c>
      <c r="N79" s="985">
        <v>31656</v>
      </c>
      <c r="O79" s="985">
        <v>4539</v>
      </c>
      <c r="P79" s="985">
        <v>52536</v>
      </c>
      <c r="Q79" s="985">
        <v>57075</v>
      </c>
      <c r="R79" s="985">
        <v>4562</v>
      </c>
      <c r="S79" s="985">
        <v>59713</v>
      </c>
      <c r="T79" s="985">
        <v>64275</v>
      </c>
      <c r="U79" s="985">
        <v>2812</v>
      </c>
      <c r="V79" s="985">
        <v>55760</v>
      </c>
      <c r="W79" s="985">
        <v>58572</v>
      </c>
      <c r="X79" s="985">
        <v>1527</v>
      </c>
      <c r="Y79" s="985">
        <v>35219</v>
      </c>
      <c r="Z79" s="985">
        <v>36746</v>
      </c>
      <c r="AA79" s="985">
        <v>758</v>
      </c>
      <c r="AB79" s="985">
        <v>16123</v>
      </c>
      <c r="AC79" s="985">
        <v>16881</v>
      </c>
      <c r="AD79" s="985">
        <v>794</v>
      </c>
      <c r="AE79" s="985">
        <v>7985</v>
      </c>
      <c r="AF79" s="985">
        <v>8779</v>
      </c>
      <c r="AH79" s="985">
        <f t="shared" si="31"/>
        <v>12047</v>
      </c>
      <c r="AI79" s="985">
        <f t="shared" si="32"/>
        <v>99889</v>
      </c>
      <c r="AJ79" s="985">
        <f t="shared" si="33"/>
        <v>111936</v>
      </c>
      <c r="AK79" s="985">
        <f t="shared" si="34"/>
        <v>17048</v>
      </c>
      <c r="AL79" s="985">
        <f t="shared" si="35"/>
        <v>231276</v>
      </c>
      <c r="AM79" s="985">
        <f t="shared" si="36"/>
        <v>248324</v>
      </c>
      <c r="AN79" s="985">
        <f t="shared" si="37"/>
        <v>1552</v>
      </c>
      <c r="AO79" s="985">
        <f t="shared" si="38"/>
        <v>24108</v>
      </c>
      <c r="AP79" s="985">
        <f t="shared" si="39"/>
        <v>25660</v>
      </c>
      <c r="AR79" s="986">
        <f t="shared" si="40"/>
        <v>0.10762399942824472</v>
      </c>
      <c r="AS79" s="986">
        <f t="shared" si="41"/>
        <v>6.8652244648121002E-2</v>
      </c>
      <c r="AT79" s="986">
        <f t="shared" si="42"/>
        <v>6.0483242400623541E-2</v>
      </c>
      <c r="AV79" s="987">
        <v>119405</v>
      </c>
      <c r="AW79" s="987">
        <v>269765</v>
      </c>
      <c r="AX79" s="987">
        <v>29836</v>
      </c>
      <c r="AZ79" s="987">
        <f t="shared" si="43"/>
        <v>12850.843651729559</v>
      </c>
      <c r="BA79" s="987">
        <f t="shared" si="44"/>
        <v>18519.972777500363</v>
      </c>
      <c r="BB79" s="987">
        <f t="shared" si="45"/>
        <v>1804.5780202650039</v>
      </c>
      <c r="BC79" s="1004">
        <f t="shared" si="46"/>
        <v>33175.394449494925</v>
      </c>
    </row>
    <row r="80" spans="1:55" s="984" customFormat="1" ht="12" customHeight="1">
      <c r="A80" s="984" t="s">
        <v>190</v>
      </c>
      <c r="B80" s="988" t="s">
        <v>518</v>
      </c>
      <c r="C80" s="1001">
        <v>699</v>
      </c>
      <c r="D80" s="985">
        <v>1352</v>
      </c>
      <c r="E80" s="985">
        <v>2051</v>
      </c>
      <c r="F80" s="985">
        <v>710</v>
      </c>
      <c r="G80" s="985">
        <v>1520</v>
      </c>
      <c r="H80" s="985">
        <v>2230</v>
      </c>
      <c r="I80" s="985">
        <v>573</v>
      </c>
      <c r="J80" s="985">
        <v>1860</v>
      </c>
      <c r="K80" s="985">
        <v>2433</v>
      </c>
      <c r="L80" s="985">
        <v>637</v>
      </c>
      <c r="M80" s="985">
        <v>1775</v>
      </c>
      <c r="N80" s="985">
        <v>2412</v>
      </c>
      <c r="O80" s="985">
        <v>905</v>
      </c>
      <c r="P80" s="985">
        <v>2595</v>
      </c>
      <c r="Q80" s="985">
        <v>3500</v>
      </c>
      <c r="R80" s="985">
        <v>991</v>
      </c>
      <c r="S80" s="985">
        <v>3860</v>
      </c>
      <c r="T80" s="985">
        <v>4851</v>
      </c>
      <c r="U80" s="985">
        <v>723</v>
      </c>
      <c r="V80" s="985">
        <v>4460</v>
      </c>
      <c r="W80" s="985">
        <v>5183</v>
      </c>
      <c r="X80" s="985">
        <v>845</v>
      </c>
      <c r="Y80" s="985">
        <v>4439</v>
      </c>
      <c r="Z80" s="985">
        <v>5284</v>
      </c>
      <c r="AA80" s="985">
        <v>542</v>
      </c>
      <c r="AB80" s="985">
        <v>3030</v>
      </c>
      <c r="AC80" s="985">
        <v>3572</v>
      </c>
      <c r="AD80" s="985">
        <v>577</v>
      </c>
      <c r="AE80" s="985">
        <v>1746</v>
      </c>
      <c r="AF80" s="985">
        <v>2323</v>
      </c>
      <c r="AH80" s="985">
        <f t="shared" si="31"/>
        <v>1982</v>
      </c>
      <c r="AI80" s="985">
        <f t="shared" si="32"/>
        <v>4732</v>
      </c>
      <c r="AJ80" s="985">
        <f t="shared" si="33"/>
        <v>6714</v>
      </c>
      <c r="AK80" s="985">
        <f t="shared" si="34"/>
        <v>4101</v>
      </c>
      <c r="AL80" s="985">
        <f t="shared" si="35"/>
        <v>17129</v>
      </c>
      <c r="AM80" s="985">
        <f t="shared" si="36"/>
        <v>21230</v>
      </c>
      <c r="AN80" s="985">
        <f t="shared" si="37"/>
        <v>1119</v>
      </c>
      <c r="AO80" s="985">
        <f t="shared" si="38"/>
        <v>4776</v>
      </c>
      <c r="AP80" s="985">
        <f t="shared" si="39"/>
        <v>5895</v>
      </c>
      <c r="AR80" s="986">
        <f t="shared" si="40"/>
        <v>0.29520405123622284</v>
      </c>
      <c r="AS80" s="986">
        <f t="shared" si="41"/>
        <v>0.19317004239284033</v>
      </c>
      <c r="AT80" s="986">
        <f t="shared" si="42"/>
        <v>0.18982188295165395</v>
      </c>
      <c r="AV80" s="987">
        <v>6655</v>
      </c>
      <c r="AW80" s="987">
        <v>21596</v>
      </c>
      <c r="AX80" s="987">
        <v>6356</v>
      </c>
      <c r="AZ80" s="987">
        <f t="shared" si="43"/>
        <v>1964.5829609770631</v>
      </c>
      <c r="BA80" s="987">
        <f t="shared" si="44"/>
        <v>4171.7002355157802</v>
      </c>
      <c r="BB80" s="987">
        <f t="shared" si="45"/>
        <v>1206.5078880407125</v>
      </c>
      <c r="BC80" s="1004">
        <f t="shared" si="46"/>
        <v>7342.7910845335555</v>
      </c>
    </row>
    <row r="81" spans="1:55" s="984" customFormat="1" ht="12" customHeight="1">
      <c r="A81" s="984" t="s">
        <v>194</v>
      </c>
      <c r="B81" s="988" t="s">
        <v>195</v>
      </c>
      <c r="C81" s="1001">
        <v>102</v>
      </c>
      <c r="D81" s="985">
        <v>335</v>
      </c>
      <c r="E81" s="985">
        <v>437</v>
      </c>
      <c r="F81" s="985">
        <v>64</v>
      </c>
      <c r="G81" s="985">
        <v>391</v>
      </c>
      <c r="H81" s="985">
        <v>455</v>
      </c>
      <c r="I81" s="985">
        <v>117</v>
      </c>
      <c r="J81" s="985">
        <v>447</v>
      </c>
      <c r="K81" s="985">
        <v>564</v>
      </c>
      <c r="L81" s="985">
        <v>53</v>
      </c>
      <c r="M81" s="985">
        <v>412</v>
      </c>
      <c r="N81" s="985">
        <v>465</v>
      </c>
      <c r="O81" s="985">
        <v>114</v>
      </c>
      <c r="P81" s="985">
        <v>466</v>
      </c>
      <c r="Q81" s="985">
        <v>580</v>
      </c>
      <c r="R81" s="985">
        <v>123</v>
      </c>
      <c r="S81" s="985">
        <v>749</v>
      </c>
      <c r="T81" s="985">
        <v>872</v>
      </c>
      <c r="U81" s="985">
        <v>95</v>
      </c>
      <c r="V81" s="985">
        <v>1198</v>
      </c>
      <c r="W81" s="985">
        <v>1293</v>
      </c>
      <c r="X81" s="985">
        <v>111</v>
      </c>
      <c r="Y81" s="985">
        <v>1160</v>
      </c>
      <c r="Z81" s="985">
        <v>1271</v>
      </c>
      <c r="AA81" s="985">
        <v>46</v>
      </c>
      <c r="AB81" s="985">
        <v>822</v>
      </c>
      <c r="AC81" s="985">
        <v>868</v>
      </c>
      <c r="AD81" s="985">
        <v>111</v>
      </c>
      <c r="AE81" s="985">
        <v>424</v>
      </c>
      <c r="AF81" s="985">
        <v>535</v>
      </c>
      <c r="AH81" s="985">
        <f t="shared" si="31"/>
        <v>283</v>
      </c>
      <c r="AI81" s="985">
        <f t="shared" si="32"/>
        <v>1173</v>
      </c>
      <c r="AJ81" s="985">
        <f t="shared" si="33"/>
        <v>1456</v>
      </c>
      <c r="AK81" s="985">
        <f t="shared" si="34"/>
        <v>496</v>
      </c>
      <c r="AL81" s="985">
        <f t="shared" si="35"/>
        <v>3985</v>
      </c>
      <c r="AM81" s="985">
        <f t="shared" si="36"/>
        <v>4481</v>
      </c>
      <c r="AN81" s="985">
        <f t="shared" si="37"/>
        <v>157</v>
      </c>
      <c r="AO81" s="985">
        <f t="shared" si="38"/>
        <v>1246</v>
      </c>
      <c r="AP81" s="985">
        <f t="shared" si="39"/>
        <v>1403</v>
      </c>
      <c r="AR81" s="986">
        <f t="shared" si="40"/>
        <v>0.19436813186813187</v>
      </c>
      <c r="AS81" s="986">
        <f t="shared" si="41"/>
        <v>0.11068957821914752</v>
      </c>
      <c r="AT81" s="986">
        <f t="shared" si="42"/>
        <v>0.11190306486101212</v>
      </c>
      <c r="AV81" s="987">
        <v>1444</v>
      </c>
      <c r="AW81" s="987">
        <v>4547</v>
      </c>
      <c r="AX81" s="987">
        <v>1453</v>
      </c>
      <c r="AZ81" s="987">
        <f t="shared" si="43"/>
        <v>280.66758241758242</v>
      </c>
      <c r="BA81" s="987">
        <f t="shared" si="44"/>
        <v>503.30551216246374</v>
      </c>
      <c r="BB81" s="987">
        <f t="shared" si="45"/>
        <v>162.59515324305062</v>
      </c>
      <c r="BC81" s="1004">
        <f t="shared" si="46"/>
        <v>946.56824782309673</v>
      </c>
    </row>
    <row r="82" spans="1:55" s="984" customFormat="1" ht="12" customHeight="1">
      <c r="A82" s="984" t="s">
        <v>198</v>
      </c>
      <c r="B82" s="988" t="s">
        <v>272</v>
      </c>
      <c r="C82" s="1001">
        <v>53</v>
      </c>
      <c r="D82" s="985">
        <v>427</v>
      </c>
      <c r="E82" s="985">
        <v>480</v>
      </c>
      <c r="F82" s="985">
        <v>75</v>
      </c>
      <c r="G82" s="985">
        <v>418</v>
      </c>
      <c r="H82" s="985">
        <v>493</v>
      </c>
      <c r="I82" s="985">
        <v>105</v>
      </c>
      <c r="J82" s="985">
        <v>533</v>
      </c>
      <c r="K82" s="985">
        <v>638</v>
      </c>
      <c r="L82" s="985">
        <v>35</v>
      </c>
      <c r="M82" s="985">
        <v>665</v>
      </c>
      <c r="N82" s="985">
        <v>700</v>
      </c>
      <c r="O82" s="985">
        <v>85</v>
      </c>
      <c r="P82" s="985">
        <v>408</v>
      </c>
      <c r="Q82" s="985">
        <v>493</v>
      </c>
      <c r="R82" s="985">
        <v>142</v>
      </c>
      <c r="S82" s="985">
        <v>1050</v>
      </c>
      <c r="T82" s="985">
        <v>1192</v>
      </c>
      <c r="U82" s="985">
        <v>57</v>
      </c>
      <c r="V82" s="985">
        <v>1217</v>
      </c>
      <c r="W82" s="985">
        <v>1274</v>
      </c>
      <c r="X82" s="985">
        <v>130</v>
      </c>
      <c r="Y82" s="985">
        <v>765</v>
      </c>
      <c r="Z82" s="985">
        <v>895</v>
      </c>
      <c r="AA82" s="985">
        <v>160</v>
      </c>
      <c r="AB82" s="985">
        <v>650</v>
      </c>
      <c r="AC82" s="985">
        <v>810</v>
      </c>
      <c r="AD82" s="985">
        <v>258</v>
      </c>
      <c r="AE82" s="985">
        <v>472</v>
      </c>
      <c r="AF82" s="985">
        <v>730</v>
      </c>
      <c r="AH82" s="985">
        <f t="shared" si="31"/>
        <v>233</v>
      </c>
      <c r="AI82" s="985">
        <f t="shared" si="32"/>
        <v>1378</v>
      </c>
      <c r="AJ82" s="985">
        <f t="shared" si="33"/>
        <v>1611</v>
      </c>
      <c r="AK82" s="985">
        <f t="shared" si="34"/>
        <v>449</v>
      </c>
      <c r="AL82" s="985">
        <f t="shared" si="35"/>
        <v>4105</v>
      </c>
      <c r="AM82" s="985">
        <f t="shared" si="36"/>
        <v>4554</v>
      </c>
      <c r="AN82" s="985">
        <f t="shared" si="37"/>
        <v>418</v>
      </c>
      <c r="AO82" s="985">
        <f t="shared" si="38"/>
        <v>1122</v>
      </c>
      <c r="AP82" s="985">
        <f t="shared" si="39"/>
        <v>1540</v>
      </c>
      <c r="AR82" s="986">
        <f t="shared" si="40"/>
        <v>0.1446306641837368</v>
      </c>
      <c r="AS82" s="986">
        <f t="shared" si="41"/>
        <v>9.8594642072902944E-2</v>
      </c>
      <c r="AT82" s="986">
        <f t="shared" si="42"/>
        <v>0.27142857142857141</v>
      </c>
      <c r="AV82" s="987">
        <v>1554</v>
      </c>
      <c r="AW82" s="987">
        <v>5954</v>
      </c>
      <c r="AX82" s="987">
        <v>1712</v>
      </c>
      <c r="AZ82" s="987">
        <f t="shared" si="43"/>
        <v>224.75605214152699</v>
      </c>
      <c r="BA82" s="987">
        <f t="shared" si="44"/>
        <v>587.03249890206416</v>
      </c>
      <c r="BB82" s="987">
        <f t="shared" si="45"/>
        <v>464.68571428571425</v>
      </c>
      <c r="BC82" s="1004">
        <f t="shared" si="46"/>
        <v>1276.4742653293054</v>
      </c>
    </row>
    <row r="83" spans="1:55" s="984" customFormat="1" ht="12" customHeight="1">
      <c r="A83" s="984" t="s">
        <v>202</v>
      </c>
      <c r="B83" s="988" t="s">
        <v>620</v>
      </c>
      <c r="C83" s="1001">
        <v>1240</v>
      </c>
      <c r="D83" s="985">
        <v>5996</v>
      </c>
      <c r="E83" s="985">
        <v>7236</v>
      </c>
      <c r="F83" s="985">
        <v>943</v>
      </c>
      <c r="G83" s="985">
        <v>6908</v>
      </c>
      <c r="H83" s="985">
        <v>7851</v>
      </c>
      <c r="I83" s="985">
        <v>889</v>
      </c>
      <c r="J83" s="985">
        <v>8841</v>
      </c>
      <c r="K83" s="985">
        <v>9730</v>
      </c>
      <c r="L83" s="985">
        <v>1557</v>
      </c>
      <c r="M83" s="985">
        <v>6696</v>
      </c>
      <c r="N83" s="985">
        <v>8253</v>
      </c>
      <c r="O83" s="985">
        <v>1238</v>
      </c>
      <c r="P83" s="985">
        <v>10373</v>
      </c>
      <c r="Q83" s="985">
        <v>11611</v>
      </c>
      <c r="R83" s="985">
        <v>982</v>
      </c>
      <c r="S83" s="985">
        <v>14774</v>
      </c>
      <c r="T83" s="985">
        <v>15756</v>
      </c>
      <c r="U83" s="985">
        <v>1219</v>
      </c>
      <c r="V83" s="985">
        <v>16718</v>
      </c>
      <c r="W83" s="985">
        <v>17937</v>
      </c>
      <c r="X83" s="985">
        <v>1140</v>
      </c>
      <c r="Y83" s="985">
        <v>14977</v>
      </c>
      <c r="Z83" s="985">
        <v>16117</v>
      </c>
      <c r="AA83" s="985">
        <v>646</v>
      </c>
      <c r="AB83" s="985">
        <v>9280</v>
      </c>
      <c r="AC83" s="985">
        <v>9926</v>
      </c>
      <c r="AD83" s="985">
        <v>1360</v>
      </c>
      <c r="AE83" s="985">
        <v>7223</v>
      </c>
      <c r="AF83" s="985">
        <v>8583</v>
      </c>
      <c r="AH83" s="985">
        <f t="shared" si="31"/>
        <v>3072</v>
      </c>
      <c r="AI83" s="985">
        <f t="shared" si="32"/>
        <v>21745</v>
      </c>
      <c r="AJ83" s="985">
        <f t="shared" si="33"/>
        <v>24817</v>
      </c>
      <c r="AK83" s="985">
        <f t="shared" si="34"/>
        <v>6136</v>
      </c>
      <c r="AL83" s="985">
        <f t="shared" si="35"/>
        <v>63538</v>
      </c>
      <c r="AM83" s="985">
        <f t="shared" si="36"/>
        <v>69674</v>
      </c>
      <c r="AN83" s="985">
        <f t="shared" si="37"/>
        <v>2006</v>
      </c>
      <c r="AO83" s="985">
        <f t="shared" si="38"/>
        <v>16503</v>
      </c>
      <c r="AP83" s="985">
        <f t="shared" si="39"/>
        <v>18509</v>
      </c>
      <c r="AR83" s="986">
        <f t="shared" si="40"/>
        <v>0.12378611435709393</v>
      </c>
      <c r="AS83" s="986">
        <f t="shared" si="41"/>
        <v>8.8067284783419922E-2</v>
      </c>
      <c r="AT83" s="986">
        <f t="shared" si="42"/>
        <v>0.10837970716948511</v>
      </c>
      <c r="AV83" s="987">
        <v>19743</v>
      </c>
      <c r="AW83" s="987">
        <v>56675</v>
      </c>
      <c r="AX83" s="987">
        <v>16322</v>
      </c>
      <c r="AZ83" s="987">
        <f t="shared" si="43"/>
        <v>2443.9092557521053</v>
      </c>
      <c r="BA83" s="987">
        <f t="shared" si="44"/>
        <v>4991.2133651003242</v>
      </c>
      <c r="BB83" s="987">
        <f t="shared" si="45"/>
        <v>1768.973580420336</v>
      </c>
      <c r="BC83" s="1004">
        <f t="shared" si="46"/>
        <v>9204.096201272765</v>
      </c>
    </row>
    <row r="84" spans="1:55" s="984" customFormat="1" ht="12" customHeight="1">
      <c r="A84" s="984" t="s">
        <v>204</v>
      </c>
      <c r="B84" s="988" t="s">
        <v>777</v>
      </c>
      <c r="C84" s="1001">
        <v>723</v>
      </c>
      <c r="D84" s="985">
        <v>1551</v>
      </c>
      <c r="E84" s="985">
        <v>2274</v>
      </c>
      <c r="F84" s="985">
        <v>676</v>
      </c>
      <c r="G84" s="985">
        <v>1659</v>
      </c>
      <c r="H84" s="985">
        <v>2335</v>
      </c>
      <c r="I84" s="985">
        <v>414</v>
      </c>
      <c r="J84" s="985">
        <v>1470</v>
      </c>
      <c r="K84" s="985">
        <v>1884</v>
      </c>
      <c r="L84" s="985">
        <v>1105</v>
      </c>
      <c r="M84" s="985">
        <v>1673</v>
      </c>
      <c r="N84" s="985">
        <v>2778</v>
      </c>
      <c r="O84" s="985">
        <v>639</v>
      </c>
      <c r="P84" s="985">
        <v>2323</v>
      </c>
      <c r="Q84" s="985">
        <v>2962</v>
      </c>
      <c r="R84" s="985">
        <v>754</v>
      </c>
      <c r="S84" s="985">
        <v>3288</v>
      </c>
      <c r="T84" s="985">
        <v>4042</v>
      </c>
      <c r="U84" s="985">
        <v>685</v>
      </c>
      <c r="V84" s="985">
        <v>3909</v>
      </c>
      <c r="W84" s="985">
        <v>4594</v>
      </c>
      <c r="X84" s="985">
        <v>540</v>
      </c>
      <c r="Y84" s="985">
        <v>4148</v>
      </c>
      <c r="Z84" s="985">
        <v>4688</v>
      </c>
      <c r="AA84" s="985">
        <v>601</v>
      </c>
      <c r="AB84" s="985">
        <v>3012</v>
      </c>
      <c r="AC84" s="985">
        <v>3613</v>
      </c>
      <c r="AD84" s="985">
        <v>687</v>
      </c>
      <c r="AE84" s="985">
        <v>2024</v>
      </c>
      <c r="AF84" s="985">
        <v>2711</v>
      </c>
      <c r="AH84" s="985">
        <f t="shared" si="31"/>
        <v>1813</v>
      </c>
      <c r="AI84" s="985">
        <f t="shared" si="32"/>
        <v>4680</v>
      </c>
      <c r="AJ84" s="985">
        <f t="shared" si="33"/>
        <v>6493</v>
      </c>
      <c r="AK84" s="985">
        <f t="shared" si="34"/>
        <v>3723</v>
      </c>
      <c r="AL84" s="985">
        <f t="shared" si="35"/>
        <v>15341</v>
      </c>
      <c r="AM84" s="985">
        <f t="shared" si="36"/>
        <v>19064</v>
      </c>
      <c r="AN84" s="985">
        <f t="shared" si="37"/>
        <v>1288</v>
      </c>
      <c r="AO84" s="985">
        <f t="shared" si="38"/>
        <v>5036</v>
      </c>
      <c r="AP84" s="985">
        <f t="shared" si="39"/>
        <v>6324</v>
      </c>
      <c r="AR84" s="986">
        <f t="shared" si="40"/>
        <v>0.27922377945479748</v>
      </c>
      <c r="AS84" s="986">
        <f t="shared" si="41"/>
        <v>0.19528955098615192</v>
      </c>
      <c r="AT84" s="986">
        <f t="shared" si="42"/>
        <v>0.2036685641998735</v>
      </c>
      <c r="AV84" s="987">
        <v>4201</v>
      </c>
      <c r="AW84" s="987">
        <v>13443</v>
      </c>
      <c r="AX84" s="987">
        <v>4731</v>
      </c>
      <c r="AZ84" s="987">
        <f t="shared" si="43"/>
        <v>1173.0190974896043</v>
      </c>
      <c r="BA84" s="987">
        <f t="shared" si="44"/>
        <v>2625.2774339068401</v>
      </c>
      <c r="BB84" s="987">
        <f t="shared" si="45"/>
        <v>963.55597722960158</v>
      </c>
      <c r="BC84" s="1004">
        <f t="shared" si="46"/>
        <v>4761.8525086260461</v>
      </c>
    </row>
    <row r="85" spans="1:55" s="984" customFormat="1" ht="12" customHeight="1">
      <c r="A85" s="984" t="s">
        <v>206</v>
      </c>
      <c r="B85" s="988" t="s">
        <v>778</v>
      </c>
      <c r="C85" s="1001">
        <v>2191</v>
      </c>
      <c r="D85" s="985">
        <v>6084</v>
      </c>
      <c r="E85" s="985">
        <v>8275</v>
      </c>
      <c r="F85" s="985">
        <v>1432</v>
      </c>
      <c r="G85" s="985">
        <v>6692</v>
      </c>
      <c r="H85" s="985">
        <v>8124</v>
      </c>
      <c r="I85" s="985">
        <v>1700</v>
      </c>
      <c r="J85" s="985">
        <v>6706</v>
      </c>
      <c r="K85" s="985">
        <v>8406</v>
      </c>
      <c r="L85" s="985">
        <v>10196</v>
      </c>
      <c r="M85" s="985">
        <v>8392</v>
      </c>
      <c r="N85" s="985">
        <v>18588</v>
      </c>
      <c r="O85" s="985">
        <v>2537</v>
      </c>
      <c r="P85" s="985">
        <v>11602</v>
      </c>
      <c r="Q85" s="985">
        <v>14139</v>
      </c>
      <c r="R85" s="985">
        <v>1881</v>
      </c>
      <c r="S85" s="985">
        <v>11766</v>
      </c>
      <c r="T85" s="985">
        <v>13647</v>
      </c>
      <c r="U85" s="985">
        <v>1509</v>
      </c>
      <c r="V85" s="985">
        <v>14016</v>
      </c>
      <c r="W85" s="985">
        <v>15525</v>
      </c>
      <c r="X85" s="985">
        <v>1219</v>
      </c>
      <c r="Y85" s="985">
        <v>11219</v>
      </c>
      <c r="Z85" s="985">
        <v>12438</v>
      </c>
      <c r="AA85" s="985">
        <v>811</v>
      </c>
      <c r="AB85" s="985">
        <v>7069</v>
      </c>
      <c r="AC85" s="985">
        <v>7880</v>
      </c>
      <c r="AD85" s="985">
        <v>1508</v>
      </c>
      <c r="AE85" s="985">
        <v>5632</v>
      </c>
      <c r="AF85" s="985">
        <v>7140</v>
      </c>
      <c r="AH85" s="985">
        <f t="shared" si="31"/>
        <v>5323</v>
      </c>
      <c r="AI85" s="985">
        <f t="shared" si="32"/>
        <v>19482</v>
      </c>
      <c r="AJ85" s="985">
        <f t="shared" si="33"/>
        <v>24805</v>
      </c>
      <c r="AK85" s="985">
        <f t="shared" si="34"/>
        <v>17342</v>
      </c>
      <c r="AL85" s="985">
        <f t="shared" si="35"/>
        <v>56995</v>
      </c>
      <c r="AM85" s="985">
        <f t="shared" si="36"/>
        <v>74337</v>
      </c>
      <c r="AN85" s="985">
        <f t="shared" si="37"/>
        <v>2319</v>
      </c>
      <c r="AO85" s="985">
        <f t="shared" si="38"/>
        <v>12701</v>
      </c>
      <c r="AP85" s="985">
        <f t="shared" si="39"/>
        <v>15020</v>
      </c>
      <c r="AR85" s="986">
        <f t="shared" si="40"/>
        <v>0.2145938318887321</v>
      </c>
      <c r="AS85" s="986">
        <f t="shared" si="41"/>
        <v>0.23328894090426033</v>
      </c>
      <c r="AT85" s="986">
        <f t="shared" si="42"/>
        <v>0.1543941411451398</v>
      </c>
      <c r="AV85" s="987">
        <v>17860</v>
      </c>
      <c r="AW85" s="987">
        <v>46626</v>
      </c>
      <c r="AX85" s="987">
        <v>12103</v>
      </c>
      <c r="AZ85" s="987">
        <f t="shared" si="43"/>
        <v>3832.6458375327552</v>
      </c>
      <c r="BA85" s="987">
        <f t="shared" si="44"/>
        <v>10877.330158602043</v>
      </c>
      <c r="BB85" s="987">
        <f t="shared" si="45"/>
        <v>1868.6322902796271</v>
      </c>
      <c r="BC85" s="1004">
        <f t="shared" si="46"/>
        <v>16578.608286414423</v>
      </c>
    </row>
    <row r="86" spans="1:55" s="984" customFormat="1" ht="12" customHeight="1">
      <c r="A86" s="984" t="s">
        <v>208</v>
      </c>
      <c r="B86" s="988" t="s">
        <v>520</v>
      </c>
      <c r="C86" s="1001">
        <v>613</v>
      </c>
      <c r="D86" s="985">
        <v>1232</v>
      </c>
      <c r="E86" s="985">
        <v>1845</v>
      </c>
      <c r="F86" s="985">
        <v>644</v>
      </c>
      <c r="G86" s="985">
        <v>1403</v>
      </c>
      <c r="H86" s="985">
        <v>2047</v>
      </c>
      <c r="I86" s="985">
        <v>557</v>
      </c>
      <c r="J86" s="985">
        <v>1357</v>
      </c>
      <c r="K86" s="985">
        <v>1914</v>
      </c>
      <c r="L86" s="985">
        <v>722</v>
      </c>
      <c r="M86" s="985">
        <v>1437</v>
      </c>
      <c r="N86" s="985">
        <v>2159</v>
      </c>
      <c r="O86" s="985">
        <v>698</v>
      </c>
      <c r="P86" s="985">
        <v>2611</v>
      </c>
      <c r="Q86" s="985">
        <v>3309</v>
      </c>
      <c r="R86" s="985">
        <v>1019</v>
      </c>
      <c r="S86" s="985">
        <v>2806</v>
      </c>
      <c r="T86" s="985">
        <v>3825</v>
      </c>
      <c r="U86" s="985">
        <v>1186</v>
      </c>
      <c r="V86" s="985">
        <v>3528</v>
      </c>
      <c r="W86" s="985">
        <v>4714</v>
      </c>
      <c r="X86" s="985">
        <v>937</v>
      </c>
      <c r="Y86" s="985">
        <v>3200</v>
      </c>
      <c r="Z86" s="985">
        <v>4137</v>
      </c>
      <c r="AA86" s="985">
        <v>674</v>
      </c>
      <c r="AB86" s="985">
        <v>2029</v>
      </c>
      <c r="AC86" s="985">
        <v>2703</v>
      </c>
      <c r="AD86" s="985">
        <v>542</v>
      </c>
      <c r="AE86" s="985">
        <v>1357</v>
      </c>
      <c r="AF86" s="985">
        <v>1899</v>
      </c>
      <c r="AH86" s="985">
        <f t="shared" si="31"/>
        <v>1814</v>
      </c>
      <c r="AI86" s="985">
        <f t="shared" si="32"/>
        <v>3992</v>
      </c>
      <c r="AJ86" s="985">
        <f t="shared" si="33"/>
        <v>5806</v>
      </c>
      <c r="AK86" s="985">
        <f t="shared" si="34"/>
        <v>4562</v>
      </c>
      <c r="AL86" s="985">
        <f t="shared" si="35"/>
        <v>13582</v>
      </c>
      <c r="AM86" s="985">
        <f t="shared" si="36"/>
        <v>18144</v>
      </c>
      <c r="AN86" s="985">
        <f t="shared" si="37"/>
        <v>1216</v>
      </c>
      <c r="AO86" s="985">
        <f t="shared" si="38"/>
        <v>3386</v>
      </c>
      <c r="AP86" s="985">
        <f t="shared" si="39"/>
        <v>4602</v>
      </c>
      <c r="AR86" s="986">
        <f t="shared" si="40"/>
        <v>0.31243541164312782</v>
      </c>
      <c r="AS86" s="986">
        <f t="shared" si="41"/>
        <v>0.25143298059964725</v>
      </c>
      <c r="AT86" s="986">
        <f t="shared" si="42"/>
        <v>0.26423294219904392</v>
      </c>
      <c r="AV86" s="987">
        <v>5752</v>
      </c>
      <c r="AW86" s="987">
        <v>18169</v>
      </c>
      <c r="AX86" s="987">
        <v>4828</v>
      </c>
      <c r="AZ86" s="987">
        <f t="shared" si="43"/>
        <v>1797.1284877712712</v>
      </c>
      <c r="BA86" s="987">
        <f t="shared" si="44"/>
        <v>4568.285824514991</v>
      </c>
      <c r="BB86" s="987">
        <f t="shared" si="45"/>
        <v>1275.716644936984</v>
      </c>
      <c r="BC86" s="1004">
        <f t="shared" si="46"/>
        <v>7641.1309572232467</v>
      </c>
    </row>
    <row r="87" spans="1:55" s="984" customFormat="1" ht="12" customHeight="1">
      <c r="A87" s="984" t="s">
        <v>210</v>
      </c>
      <c r="B87" s="988" t="s">
        <v>521</v>
      </c>
      <c r="C87" s="1001">
        <v>347</v>
      </c>
      <c r="D87" s="985">
        <v>1008</v>
      </c>
      <c r="E87" s="985">
        <v>1355</v>
      </c>
      <c r="F87" s="985">
        <v>328</v>
      </c>
      <c r="G87" s="985">
        <v>1108</v>
      </c>
      <c r="H87" s="985">
        <v>1436</v>
      </c>
      <c r="I87" s="985">
        <v>343</v>
      </c>
      <c r="J87" s="985">
        <v>1284</v>
      </c>
      <c r="K87" s="985">
        <v>1627</v>
      </c>
      <c r="L87" s="985">
        <v>458</v>
      </c>
      <c r="M87" s="985">
        <v>1160</v>
      </c>
      <c r="N87" s="985">
        <v>1618</v>
      </c>
      <c r="O87" s="985">
        <v>605</v>
      </c>
      <c r="P87" s="985">
        <v>1841</v>
      </c>
      <c r="Q87" s="985">
        <v>2446</v>
      </c>
      <c r="R87" s="985">
        <v>612</v>
      </c>
      <c r="S87" s="985">
        <v>2486</v>
      </c>
      <c r="T87" s="985">
        <v>3098</v>
      </c>
      <c r="U87" s="985">
        <v>604</v>
      </c>
      <c r="V87" s="985">
        <v>2869</v>
      </c>
      <c r="W87" s="985">
        <v>3473</v>
      </c>
      <c r="X87" s="985">
        <v>746</v>
      </c>
      <c r="Y87" s="985">
        <v>2601</v>
      </c>
      <c r="Z87" s="985">
        <v>3347</v>
      </c>
      <c r="AA87" s="985">
        <v>596</v>
      </c>
      <c r="AB87" s="985">
        <v>1913</v>
      </c>
      <c r="AC87" s="985">
        <v>2509</v>
      </c>
      <c r="AD87" s="985">
        <v>662</v>
      </c>
      <c r="AE87" s="985">
        <v>1247</v>
      </c>
      <c r="AF87" s="985">
        <v>1909</v>
      </c>
      <c r="AH87" s="985">
        <f t="shared" si="31"/>
        <v>1018</v>
      </c>
      <c r="AI87" s="985">
        <f t="shared" si="32"/>
        <v>3400</v>
      </c>
      <c r="AJ87" s="985">
        <f t="shared" si="33"/>
        <v>4418</v>
      </c>
      <c r="AK87" s="985">
        <f t="shared" si="34"/>
        <v>3025</v>
      </c>
      <c r="AL87" s="985">
        <f t="shared" si="35"/>
        <v>10957</v>
      </c>
      <c r="AM87" s="985">
        <f t="shared" si="36"/>
        <v>13982</v>
      </c>
      <c r="AN87" s="985">
        <f t="shared" si="37"/>
        <v>1258</v>
      </c>
      <c r="AO87" s="985">
        <f t="shared" si="38"/>
        <v>3160</v>
      </c>
      <c r="AP87" s="985">
        <f t="shared" si="39"/>
        <v>4418</v>
      </c>
      <c r="AR87" s="986">
        <f t="shared" si="40"/>
        <v>0.23042100497962878</v>
      </c>
      <c r="AS87" s="986">
        <f t="shared" si="41"/>
        <v>0.21634959233299958</v>
      </c>
      <c r="AT87" s="986">
        <f t="shared" si="42"/>
        <v>0.28474422815753736</v>
      </c>
      <c r="AV87" s="987">
        <v>4391</v>
      </c>
      <c r="AW87" s="987">
        <v>13918</v>
      </c>
      <c r="AX87" s="987">
        <v>4817</v>
      </c>
      <c r="AZ87" s="987">
        <f t="shared" si="43"/>
        <v>1011.77863286555</v>
      </c>
      <c r="BA87" s="987">
        <f t="shared" si="44"/>
        <v>3011.1536260906882</v>
      </c>
      <c r="BB87" s="987">
        <f t="shared" si="45"/>
        <v>1371.6129470348574</v>
      </c>
      <c r="BC87" s="1004">
        <f t="shared" si="46"/>
        <v>5394.5452059910949</v>
      </c>
    </row>
    <row r="88" spans="1:55" s="984" customFormat="1" ht="12" customHeight="1">
      <c r="A88" s="984" t="s">
        <v>212</v>
      </c>
      <c r="B88" s="988" t="s">
        <v>522</v>
      </c>
      <c r="C88" s="1001">
        <v>587</v>
      </c>
      <c r="D88" s="985">
        <v>2303</v>
      </c>
      <c r="E88" s="985">
        <v>2890</v>
      </c>
      <c r="F88" s="985">
        <v>602</v>
      </c>
      <c r="G88" s="985">
        <v>2346</v>
      </c>
      <c r="H88" s="985">
        <v>2948</v>
      </c>
      <c r="I88" s="985">
        <v>913</v>
      </c>
      <c r="J88" s="985">
        <v>2337</v>
      </c>
      <c r="K88" s="985">
        <v>3250</v>
      </c>
      <c r="L88" s="985">
        <v>616</v>
      </c>
      <c r="M88" s="985">
        <v>2407</v>
      </c>
      <c r="N88" s="985">
        <v>3023</v>
      </c>
      <c r="O88" s="985">
        <v>682</v>
      </c>
      <c r="P88" s="985">
        <v>3755</v>
      </c>
      <c r="Q88" s="985">
        <v>4437</v>
      </c>
      <c r="R88" s="985">
        <v>762</v>
      </c>
      <c r="S88" s="985">
        <v>4732</v>
      </c>
      <c r="T88" s="985">
        <v>5494</v>
      </c>
      <c r="U88" s="985">
        <v>853</v>
      </c>
      <c r="V88" s="985">
        <v>5309</v>
      </c>
      <c r="W88" s="985">
        <v>6162</v>
      </c>
      <c r="X88" s="985">
        <v>672</v>
      </c>
      <c r="Y88" s="985">
        <v>4995</v>
      </c>
      <c r="Z88" s="985">
        <v>5667</v>
      </c>
      <c r="AA88" s="985">
        <v>454</v>
      </c>
      <c r="AB88" s="985">
        <v>3704</v>
      </c>
      <c r="AC88" s="985">
        <v>4158</v>
      </c>
      <c r="AD88" s="985">
        <v>610</v>
      </c>
      <c r="AE88" s="985">
        <v>2687</v>
      </c>
      <c r="AF88" s="985">
        <v>3297</v>
      </c>
      <c r="AH88" s="985">
        <f t="shared" si="31"/>
        <v>2102</v>
      </c>
      <c r="AI88" s="985">
        <f t="shared" si="32"/>
        <v>6986</v>
      </c>
      <c r="AJ88" s="985">
        <f t="shared" si="33"/>
        <v>9088</v>
      </c>
      <c r="AK88" s="985">
        <f t="shared" si="34"/>
        <v>3585</v>
      </c>
      <c r="AL88" s="985">
        <f t="shared" si="35"/>
        <v>21198</v>
      </c>
      <c r="AM88" s="985">
        <f t="shared" si="36"/>
        <v>24783</v>
      </c>
      <c r="AN88" s="985">
        <f t="shared" si="37"/>
        <v>1064</v>
      </c>
      <c r="AO88" s="985">
        <f t="shared" si="38"/>
        <v>6391</v>
      </c>
      <c r="AP88" s="985">
        <f t="shared" si="39"/>
        <v>7455</v>
      </c>
      <c r="AR88" s="986">
        <f t="shared" si="40"/>
        <v>0.23129401408450703</v>
      </c>
      <c r="AS88" s="986">
        <f t="shared" si="41"/>
        <v>0.14465561070088367</v>
      </c>
      <c r="AT88" s="986">
        <f t="shared" si="42"/>
        <v>0.14272300469483568</v>
      </c>
      <c r="AV88" s="987">
        <v>9208</v>
      </c>
      <c r="AW88" s="987">
        <v>25035</v>
      </c>
      <c r="AX88" s="987">
        <v>8046</v>
      </c>
      <c r="AZ88" s="987">
        <f t="shared" si="43"/>
        <v>2129.7552816901407</v>
      </c>
      <c r="BA88" s="987">
        <f t="shared" si="44"/>
        <v>3621.4532138966229</v>
      </c>
      <c r="BB88" s="987">
        <f t="shared" si="45"/>
        <v>1148.3492957746478</v>
      </c>
      <c r="BC88" s="1004">
        <f t="shared" si="46"/>
        <v>6899.5577913614106</v>
      </c>
    </row>
    <row r="89" spans="1:55" s="984" customFormat="1" ht="12" customHeight="1">
      <c r="A89" s="984" t="s">
        <v>214</v>
      </c>
      <c r="B89" s="988" t="s">
        <v>523</v>
      </c>
      <c r="C89" s="1001">
        <v>1131</v>
      </c>
      <c r="D89" s="985">
        <v>993</v>
      </c>
      <c r="E89" s="985">
        <v>2124</v>
      </c>
      <c r="F89" s="985">
        <v>773</v>
      </c>
      <c r="G89" s="985">
        <v>1458</v>
      </c>
      <c r="H89" s="985">
        <v>2231</v>
      </c>
      <c r="I89" s="985">
        <v>610</v>
      </c>
      <c r="J89" s="985">
        <v>1678</v>
      </c>
      <c r="K89" s="985">
        <v>2288</v>
      </c>
      <c r="L89" s="985">
        <v>680</v>
      </c>
      <c r="M89" s="985">
        <v>1793</v>
      </c>
      <c r="N89" s="985">
        <v>2473</v>
      </c>
      <c r="O89" s="985">
        <v>1005</v>
      </c>
      <c r="P89" s="985">
        <v>2390</v>
      </c>
      <c r="Q89" s="985">
        <v>3395</v>
      </c>
      <c r="R89" s="985">
        <v>1083</v>
      </c>
      <c r="S89" s="985">
        <v>3213</v>
      </c>
      <c r="T89" s="985">
        <v>4296</v>
      </c>
      <c r="U89" s="985">
        <v>813</v>
      </c>
      <c r="V89" s="985">
        <v>3880</v>
      </c>
      <c r="W89" s="985">
        <v>4693</v>
      </c>
      <c r="X89" s="985">
        <v>709</v>
      </c>
      <c r="Y89" s="985">
        <v>3775</v>
      </c>
      <c r="Z89" s="985">
        <v>4484</v>
      </c>
      <c r="AA89" s="985">
        <v>480</v>
      </c>
      <c r="AB89" s="985">
        <v>2660</v>
      </c>
      <c r="AC89" s="985">
        <v>3140</v>
      </c>
      <c r="AD89" s="985">
        <v>655</v>
      </c>
      <c r="AE89" s="985">
        <v>1789</v>
      </c>
      <c r="AF89" s="985">
        <v>2444</v>
      </c>
      <c r="AH89" s="985">
        <f t="shared" si="31"/>
        <v>2514</v>
      </c>
      <c r="AI89" s="985">
        <f t="shared" si="32"/>
        <v>4129</v>
      </c>
      <c r="AJ89" s="985">
        <f t="shared" si="33"/>
        <v>6643</v>
      </c>
      <c r="AK89" s="985">
        <f t="shared" si="34"/>
        <v>4290</v>
      </c>
      <c r="AL89" s="985">
        <f t="shared" si="35"/>
        <v>15051</v>
      </c>
      <c r="AM89" s="985">
        <f t="shared" si="36"/>
        <v>19341</v>
      </c>
      <c r="AN89" s="985">
        <f t="shared" si="37"/>
        <v>1135</v>
      </c>
      <c r="AO89" s="985">
        <f t="shared" si="38"/>
        <v>4449</v>
      </c>
      <c r="AP89" s="985">
        <f t="shared" si="39"/>
        <v>5584</v>
      </c>
      <c r="AR89" s="986">
        <f t="shared" si="40"/>
        <v>0.37844347433388531</v>
      </c>
      <c r="AS89" s="986">
        <f t="shared" si="41"/>
        <v>0.22180859314409804</v>
      </c>
      <c r="AT89" s="986">
        <f t="shared" si="42"/>
        <v>0.2032593123209169</v>
      </c>
      <c r="AV89" s="987">
        <v>6500</v>
      </c>
      <c r="AW89" s="987">
        <v>19584</v>
      </c>
      <c r="AX89" s="987">
        <v>5945</v>
      </c>
      <c r="AZ89" s="987">
        <f t="shared" si="43"/>
        <v>2459.8825831702543</v>
      </c>
      <c r="BA89" s="987">
        <f t="shared" si="44"/>
        <v>4343.8994881340159</v>
      </c>
      <c r="BB89" s="987">
        <f t="shared" si="45"/>
        <v>1208.376611747851</v>
      </c>
      <c r="BC89" s="1004">
        <f t="shared" si="46"/>
        <v>8012.158683052121</v>
      </c>
    </row>
    <row r="90" spans="1:55" s="984" customFormat="1" ht="12" customHeight="1">
      <c r="A90" s="984" t="s">
        <v>216</v>
      </c>
      <c r="B90" s="988" t="s">
        <v>524</v>
      </c>
      <c r="C90" s="1001">
        <v>338</v>
      </c>
      <c r="D90" s="985">
        <v>807</v>
      </c>
      <c r="E90" s="985">
        <v>1145</v>
      </c>
      <c r="F90" s="985">
        <v>349</v>
      </c>
      <c r="G90" s="985">
        <v>901</v>
      </c>
      <c r="H90" s="985">
        <v>1250</v>
      </c>
      <c r="I90" s="985">
        <v>318</v>
      </c>
      <c r="J90" s="985">
        <v>1150</v>
      </c>
      <c r="K90" s="985">
        <v>1468</v>
      </c>
      <c r="L90" s="985">
        <v>377</v>
      </c>
      <c r="M90" s="985">
        <v>1008</v>
      </c>
      <c r="N90" s="985">
        <v>1385</v>
      </c>
      <c r="O90" s="985">
        <v>325</v>
      </c>
      <c r="P90" s="985">
        <v>1367</v>
      </c>
      <c r="Q90" s="985">
        <v>1692</v>
      </c>
      <c r="R90" s="985">
        <v>279</v>
      </c>
      <c r="S90" s="985">
        <v>1964</v>
      </c>
      <c r="T90" s="985">
        <v>2243</v>
      </c>
      <c r="U90" s="985">
        <v>511</v>
      </c>
      <c r="V90" s="985">
        <v>2503</v>
      </c>
      <c r="W90" s="985">
        <v>3014</v>
      </c>
      <c r="X90" s="985">
        <v>445</v>
      </c>
      <c r="Y90" s="985">
        <v>1950</v>
      </c>
      <c r="Z90" s="985">
        <v>2395</v>
      </c>
      <c r="AA90" s="985">
        <v>264</v>
      </c>
      <c r="AB90" s="985">
        <v>1204</v>
      </c>
      <c r="AC90" s="985">
        <v>1468</v>
      </c>
      <c r="AD90" s="985">
        <v>241</v>
      </c>
      <c r="AE90" s="985">
        <v>817</v>
      </c>
      <c r="AF90" s="985">
        <v>1058</v>
      </c>
      <c r="AH90" s="985">
        <f t="shared" si="31"/>
        <v>1005</v>
      </c>
      <c r="AI90" s="985">
        <f t="shared" si="32"/>
        <v>2858</v>
      </c>
      <c r="AJ90" s="985">
        <f t="shared" si="33"/>
        <v>3863</v>
      </c>
      <c r="AK90" s="985">
        <f t="shared" si="34"/>
        <v>1937</v>
      </c>
      <c r="AL90" s="985">
        <f t="shared" si="35"/>
        <v>8792</v>
      </c>
      <c r="AM90" s="985">
        <f t="shared" si="36"/>
        <v>10729</v>
      </c>
      <c r="AN90" s="985">
        <f t="shared" si="37"/>
        <v>505</v>
      </c>
      <c r="AO90" s="985">
        <f t="shared" si="38"/>
        <v>2021</v>
      </c>
      <c r="AP90" s="985">
        <f t="shared" si="39"/>
        <v>2526</v>
      </c>
      <c r="AR90" s="986">
        <f t="shared" si="40"/>
        <v>0.26016049702303906</v>
      </c>
      <c r="AS90" s="986">
        <f t="shared" si="41"/>
        <v>0.18053872681517383</v>
      </c>
      <c r="AT90" s="986">
        <f t="shared" si="42"/>
        <v>0.19992082343626286</v>
      </c>
      <c r="AV90" s="987">
        <v>3801</v>
      </c>
      <c r="AW90" s="987">
        <v>11695</v>
      </c>
      <c r="AX90" s="987">
        <v>2912</v>
      </c>
      <c r="AZ90" s="987">
        <f t="shared" si="43"/>
        <v>988.87004918457149</v>
      </c>
      <c r="BA90" s="987">
        <f t="shared" si="44"/>
        <v>2111.4004101034579</v>
      </c>
      <c r="BB90" s="987">
        <f t="shared" si="45"/>
        <v>582.16943784639739</v>
      </c>
      <c r="BC90" s="1004">
        <f t="shared" si="46"/>
        <v>3682.4398971344272</v>
      </c>
    </row>
    <row r="91" spans="1:55" s="984" customFormat="1" ht="12" customHeight="1">
      <c r="A91" s="984" t="s">
        <v>218</v>
      </c>
      <c r="B91" s="988" t="s">
        <v>525</v>
      </c>
      <c r="C91" s="1001">
        <v>1668</v>
      </c>
      <c r="D91" s="985">
        <v>8338</v>
      </c>
      <c r="E91" s="985">
        <v>10006</v>
      </c>
      <c r="F91" s="985">
        <v>1762</v>
      </c>
      <c r="G91" s="985">
        <v>10110</v>
      </c>
      <c r="H91" s="985">
        <v>11872</v>
      </c>
      <c r="I91" s="985">
        <v>1161</v>
      </c>
      <c r="J91" s="985">
        <v>10827</v>
      </c>
      <c r="K91" s="985">
        <v>11988</v>
      </c>
      <c r="L91" s="985">
        <v>1369</v>
      </c>
      <c r="M91" s="985">
        <v>8638</v>
      </c>
      <c r="N91" s="985">
        <v>10007</v>
      </c>
      <c r="O91" s="985">
        <v>1558</v>
      </c>
      <c r="P91" s="985">
        <v>13330</v>
      </c>
      <c r="Q91" s="985">
        <v>14888</v>
      </c>
      <c r="R91" s="985">
        <v>1836</v>
      </c>
      <c r="S91" s="985">
        <v>16893</v>
      </c>
      <c r="T91" s="985">
        <v>18729</v>
      </c>
      <c r="U91" s="985">
        <v>1024</v>
      </c>
      <c r="V91" s="985">
        <v>17992</v>
      </c>
      <c r="W91" s="985">
        <v>19016</v>
      </c>
      <c r="X91" s="985">
        <v>673</v>
      </c>
      <c r="Y91" s="985">
        <v>12419</v>
      </c>
      <c r="Z91" s="985">
        <v>13092</v>
      </c>
      <c r="AA91" s="985">
        <v>651</v>
      </c>
      <c r="AB91" s="985">
        <v>6102</v>
      </c>
      <c r="AC91" s="985">
        <v>6753</v>
      </c>
      <c r="AD91" s="985">
        <v>626</v>
      </c>
      <c r="AE91" s="985">
        <v>3906</v>
      </c>
      <c r="AF91" s="985">
        <v>4532</v>
      </c>
      <c r="AH91" s="985">
        <f t="shared" si="31"/>
        <v>4591</v>
      </c>
      <c r="AI91" s="985">
        <f t="shared" si="32"/>
        <v>29275</v>
      </c>
      <c r="AJ91" s="985">
        <f t="shared" si="33"/>
        <v>33866</v>
      </c>
      <c r="AK91" s="985">
        <f t="shared" si="34"/>
        <v>6460</v>
      </c>
      <c r="AL91" s="985">
        <f t="shared" si="35"/>
        <v>69272</v>
      </c>
      <c r="AM91" s="985">
        <f t="shared" si="36"/>
        <v>75732</v>
      </c>
      <c r="AN91" s="985">
        <f t="shared" si="37"/>
        <v>1277</v>
      </c>
      <c r="AO91" s="985">
        <f t="shared" si="38"/>
        <v>10008</v>
      </c>
      <c r="AP91" s="985">
        <f t="shared" si="39"/>
        <v>11285</v>
      </c>
      <c r="AR91" s="986">
        <f t="shared" si="40"/>
        <v>0.13556369219866532</v>
      </c>
      <c r="AS91" s="986">
        <f t="shared" si="41"/>
        <v>8.5300797549252627E-2</v>
      </c>
      <c r="AT91" s="986">
        <f t="shared" si="42"/>
        <v>0.11315906070004431</v>
      </c>
      <c r="AV91" s="987">
        <v>33455</v>
      </c>
      <c r="AW91" s="987">
        <v>78126</v>
      </c>
      <c r="AX91" s="987">
        <v>12746</v>
      </c>
      <c r="AZ91" s="987">
        <f t="shared" si="43"/>
        <v>4535.2833225063487</v>
      </c>
      <c r="BA91" s="987">
        <f t="shared" si="44"/>
        <v>6664.2101093329111</v>
      </c>
      <c r="BB91" s="987">
        <f t="shared" si="45"/>
        <v>1442.3253876827648</v>
      </c>
      <c r="BC91" s="1004">
        <f t="shared" si="46"/>
        <v>12641.818819522025</v>
      </c>
    </row>
    <row r="92" spans="1:55" s="984" customFormat="1" ht="12" customHeight="1">
      <c r="A92" s="984" t="s">
        <v>220</v>
      </c>
      <c r="B92" s="988" t="s">
        <v>526</v>
      </c>
      <c r="C92" s="1001">
        <v>907</v>
      </c>
      <c r="D92" s="985">
        <v>9626</v>
      </c>
      <c r="E92" s="985">
        <v>10533</v>
      </c>
      <c r="F92" s="985">
        <v>894</v>
      </c>
      <c r="G92" s="985">
        <v>10972</v>
      </c>
      <c r="H92" s="985">
        <v>11866</v>
      </c>
      <c r="I92" s="985">
        <v>870</v>
      </c>
      <c r="J92" s="985">
        <v>13416</v>
      </c>
      <c r="K92" s="985">
        <v>14286</v>
      </c>
      <c r="L92" s="985">
        <v>970</v>
      </c>
      <c r="M92" s="985">
        <v>9634</v>
      </c>
      <c r="N92" s="985">
        <v>10604</v>
      </c>
      <c r="O92" s="985">
        <v>781</v>
      </c>
      <c r="P92" s="985">
        <v>13828</v>
      </c>
      <c r="Q92" s="985">
        <v>14609</v>
      </c>
      <c r="R92" s="985">
        <v>888</v>
      </c>
      <c r="S92" s="985">
        <v>19251</v>
      </c>
      <c r="T92" s="985">
        <v>20139</v>
      </c>
      <c r="U92" s="985">
        <v>662</v>
      </c>
      <c r="V92" s="985">
        <v>20157</v>
      </c>
      <c r="W92" s="985">
        <v>20819</v>
      </c>
      <c r="X92" s="985">
        <v>491</v>
      </c>
      <c r="Y92" s="985">
        <v>11560</v>
      </c>
      <c r="Z92" s="985">
        <v>12051</v>
      </c>
      <c r="AA92" s="985">
        <v>312</v>
      </c>
      <c r="AB92" s="985">
        <v>5380</v>
      </c>
      <c r="AC92" s="985">
        <v>5692</v>
      </c>
      <c r="AD92" s="985">
        <v>326</v>
      </c>
      <c r="AE92" s="985">
        <v>2891</v>
      </c>
      <c r="AF92" s="985">
        <v>3217</v>
      </c>
      <c r="AH92" s="985">
        <f t="shared" si="31"/>
        <v>2671</v>
      </c>
      <c r="AI92" s="985">
        <f t="shared" si="32"/>
        <v>34014</v>
      </c>
      <c r="AJ92" s="985">
        <f t="shared" si="33"/>
        <v>36685</v>
      </c>
      <c r="AK92" s="985">
        <f t="shared" si="34"/>
        <v>3792</v>
      </c>
      <c r="AL92" s="985">
        <f t="shared" si="35"/>
        <v>74430</v>
      </c>
      <c r="AM92" s="985">
        <f t="shared" si="36"/>
        <v>78222</v>
      </c>
      <c r="AN92" s="985">
        <f t="shared" si="37"/>
        <v>638</v>
      </c>
      <c r="AO92" s="985">
        <f t="shared" si="38"/>
        <v>8271</v>
      </c>
      <c r="AP92" s="985">
        <f t="shared" si="39"/>
        <v>8909</v>
      </c>
      <c r="AR92" s="986">
        <f t="shared" si="40"/>
        <v>7.2809050020444327E-2</v>
      </c>
      <c r="AS92" s="986">
        <f t="shared" si="41"/>
        <v>4.8477410447188771E-2</v>
      </c>
      <c r="AT92" s="986">
        <f t="shared" si="42"/>
        <v>7.1612975642608601E-2</v>
      </c>
      <c r="AV92" s="987">
        <v>37214</v>
      </c>
      <c r="AW92" s="987">
        <v>84846</v>
      </c>
      <c r="AX92" s="987">
        <v>10073</v>
      </c>
      <c r="AZ92" s="987">
        <f t="shared" si="43"/>
        <v>2709.5159874608153</v>
      </c>
      <c r="BA92" s="987">
        <f t="shared" si="44"/>
        <v>4113.1143668021787</v>
      </c>
      <c r="BB92" s="987">
        <f t="shared" si="45"/>
        <v>721.3575036479964</v>
      </c>
      <c r="BC92" s="1004">
        <f t="shared" si="46"/>
        <v>7543.98785791099</v>
      </c>
    </row>
    <row r="93" spans="1:55" s="984" customFormat="1" ht="12" customHeight="1">
      <c r="A93" s="984" t="s">
        <v>224</v>
      </c>
      <c r="B93" s="988" t="s">
        <v>527</v>
      </c>
      <c r="C93" s="1001">
        <v>174</v>
      </c>
      <c r="D93" s="985">
        <v>277</v>
      </c>
      <c r="E93" s="985">
        <v>451</v>
      </c>
      <c r="F93" s="985">
        <v>166</v>
      </c>
      <c r="G93" s="985">
        <v>316</v>
      </c>
      <c r="H93" s="985">
        <v>482</v>
      </c>
      <c r="I93" s="985">
        <v>118</v>
      </c>
      <c r="J93" s="985">
        <v>483</v>
      </c>
      <c r="K93" s="985">
        <v>601</v>
      </c>
      <c r="L93" s="985">
        <v>208</v>
      </c>
      <c r="M93" s="985">
        <v>437</v>
      </c>
      <c r="N93" s="985">
        <v>645</v>
      </c>
      <c r="O93" s="985">
        <v>59</v>
      </c>
      <c r="P93" s="985">
        <v>492</v>
      </c>
      <c r="Q93" s="985">
        <v>551</v>
      </c>
      <c r="R93" s="985">
        <v>106</v>
      </c>
      <c r="S93" s="985">
        <v>714</v>
      </c>
      <c r="T93" s="985">
        <v>820</v>
      </c>
      <c r="U93" s="985">
        <v>124</v>
      </c>
      <c r="V93" s="985">
        <v>1241</v>
      </c>
      <c r="W93" s="985">
        <v>1365</v>
      </c>
      <c r="X93" s="985">
        <v>83</v>
      </c>
      <c r="Y93" s="985">
        <v>924</v>
      </c>
      <c r="Z93" s="985">
        <v>1007</v>
      </c>
      <c r="AA93" s="985">
        <v>95</v>
      </c>
      <c r="AB93" s="985">
        <v>542</v>
      </c>
      <c r="AC93" s="985">
        <v>637</v>
      </c>
      <c r="AD93" s="985">
        <v>72</v>
      </c>
      <c r="AE93" s="985">
        <v>395</v>
      </c>
      <c r="AF93" s="985">
        <v>467</v>
      </c>
      <c r="AH93" s="985">
        <f t="shared" si="31"/>
        <v>458</v>
      </c>
      <c r="AI93" s="985">
        <f t="shared" si="32"/>
        <v>1076</v>
      </c>
      <c r="AJ93" s="985">
        <f t="shared" si="33"/>
        <v>1534</v>
      </c>
      <c r="AK93" s="985">
        <f t="shared" si="34"/>
        <v>580</v>
      </c>
      <c r="AL93" s="985">
        <f t="shared" si="35"/>
        <v>3808</v>
      </c>
      <c r="AM93" s="985">
        <f t="shared" si="36"/>
        <v>4388</v>
      </c>
      <c r="AN93" s="985">
        <f t="shared" si="37"/>
        <v>167</v>
      </c>
      <c r="AO93" s="985">
        <f t="shared" si="38"/>
        <v>937</v>
      </c>
      <c r="AP93" s="985">
        <f t="shared" si="39"/>
        <v>1104</v>
      </c>
      <c r="AR93" s="986">
        <f t="shared" si="40"/>
        <v>0.29856584093872229</v>
      </c>
      <c r="AS93" s="986">
        <f t="shared" si="41"/>
        <v>0.13217866909753875</v>
      </c>
      <c r="AT93" s="986">
        <f t="shared" si="42"/>
        <v>0.15126811594202899</v>
      </c>
      <c r="AV93" s="987">
        <v>1394</v>
      </c>
      <c r="AW93" s="987">
        <v>4416</v>
      </c>
      <c r="AX93" s="987">
        <v>1121</v>
      </c>
      <c r="AZ93" s="987">
        <f t="shared" si="43"/>
        <v>416.20078226857891</v>
      </c>
      <c r="BA93" s="987">
        <f t="shared" si="44"/>
        <v>583.70100273473111</v>
      </c>
      <c r="BB93" s="987">
        <f t="shared" si="45"/>
        <v>169.5715579710145</v>
      </c>
      <c r="BC93" s="1004">
        <f t="shared" si="46"/>
        <v>1169.4733429743246</v>
      </c>
    </row>
    <row r="94" spans="1:55" s="984" customFormat="1" ht="12" customHeight="1">
      <c r="A94" s="984" t="s">
        <v>226</v>
      </c>
      <c r="B94" s="988" t="s">
        <v>528</v>
      </c>
      <c r="C94" s="1001">
        <v>77</v>
      </c>
      <c r="D94" s="985">
        <v>577</v>
      </c>
      <c r="E94" s="985">
        <v>654</v>
      </c>
      <c r="F94" s="985">
        <v>194</v>
      </c>
      <c r="G94" s="985">
        <v>518</v>
      </c>
      <c r="H94" s="985">
        <v>712</v>
      </c>
      <c r="I94" s="985">
        <v>160</v>
      </c>
      <c r="J94" s="985">
        <v>545</v>
      </c>
      <c r="K94" s="985">
        <v>705</v>
      </c>
      <c r="L94" s="985">
        <v>174</v>
      </c>
      <c r="M94" s="985">
        <v>884</v>
      </c>
      <c r="N94" s="985">
        <v>1058</v>
      </c>
      <c r="O94" s="985">
        <v>315</v>
      </c>
      <c r="P94" s="985">
        <v>709</v>
      </c>
      <c r="Q94" s="985">
        <v>1024</v>
      </c>
      <c r="R94" s="985">
        <v>323</v>
      </c>
      <c r="S94" s="985">
        <v>1193</v>
      </c>
      <c r="T94" s="985">
        <v>1516</v>
      </c>
      <c r="U94" s="985">
        <v>405</v>
      </c>
      <c r="V94" s="985">
        <v>1167</v>
      </c>
      <c r="W94" s="985">
        <v>1572</v>
      </c>
      <c r="X94" s="985">
        <v>294</v>
      </c>
      <c r="Y94" s="985">
        <v>1186</v>
      </c>
      <c r="Z94" s="985">
        <v>1480</v>
      </c>
      <c r="AA94" s="985">
        <v>108</v>
      </c>
      <c r="AB94" s="985">
        <v>799</v>
      </c>
      <c r="AC94" s="985">
        <v>907</v>
      </c>
      <c r="AD94" s="985">
        <v>223</v>
      </c>
      <c r="AE94" s="985">
        <v>510</v>
      </c>
      <c r="AF94" s="985">
        <v>733</v>
      </c>
      <c r="AH94" s="985">
        <f t="shared" si="31"/>
        <v>431</v>
      </c>
      <c r="AI94" s="985">
        <f t="shared" si="32"/>
        <v>1640</v>
      </c>
      <c r="AJ94" s="985">
        <f t="shared" si="33"/>
        <v>2071</v>
      </c>
      <c r="AK94" s="985">
        <f t="shared" si="34"/>
        <v>1511</v>
      </c>
      <c r="AL94" s="985">
        <f t="shared" si="35"/>
        <v>5139</v>
      </c>
      <c r="AM94" s="985">
        <f t="shared" si="36"/>
        <v>6650</v>
      </c>
      <c r="AN94" s="985">
        <f t="shared" si="37"/>
        <v>331</v>
      </c>
      <c r="AO94" s="985">
        <f t="shared" si="38"/>
        <v>1309</v>
      </c>
      <c r="AP94" s="985">
        <f t="shared" si="39"/>
        <v>1640</v>
      </c>
      <c r="AR94" s="986">
        <f t="shared" si="40"/>
        <v>0.20811202317720909</v>
      </c>
      <c r="AS94" s="986">
        <f t="shared" si="41"/>
        <v>0.22721804511278196</v>
      </c>
      <c r="AT94" s="986">
        <f t="shared" si="42"/>
        <v>0.20182926829268294</v>
      </c>
      <c r="AV94" s="987">
        <v>2027</v>
      </c>
      <c r="AW94" s="987">
        <v>8301</v>
      </c>
      <c r="AX94" s="987">
        <v>1759</v>
      </c>
      <c r="AZ94" s="987">
        <f t="shared" si="43"/>
        <v>421.84307098020281</v>
      </c>
      <c r="BA94" s="987">
        <f t="shared" si="44"/>
        <v>1886.1369924812029</v>
      </c>
      <c r="BB94" s="987">
        <f t="shared" si="45"/>
        <v>355.01768292682931</v>
      </c>
      <c r="BC94" s="1004">
        <f t="shared" si="46"/>
        <v>2662.9977463882351</v>
      </c>
    </row>
    <row r="95" spans="1:55" s="984" customFormat="1" ht="12" customHeight="1">
      <c r="A95" s="984" t="s">
        <v>228</v>
      </c>
      <c r="B95" s="988" t="s">
        <v>529</v>
      </c>
      <c r="C95" s="1001">
        <v>935</v>
      </c>
      <c r="D95" s="985">
        <v>1952</v>
      </c>
      <c r="E95" s="985">
        <v>2887</v>
      </c>
      <c r="F95" s="985">
        <v>1015</v>
      </c>
      <c r="G95" s="985">
        <v>1885</v>
      </c>
      <c r="H95" s="985">
        <v>2900</v>
      </c>
      <c r="I95" s="985">
        <v>862</v>
      </c>
      <c r="J95" s="985">
        <v>2308</v>
      </c>
      <c r="K95" s="985">
        <v>3170</v>
      </c>
      <c r="L95" s="985">
        <v>841</v>
      </c>
      <c r="M95" s="985">
        <v>2236</v>
      </c>
      <c r="N95" s="985">
        <v>3077</v>
      </c>
      <c r="O95" s="985">
        <v>1300</v>
      </c>
      <c r="P95" s="985">
        <v>3659</v>
      </c>
      <c r="Q95" s="985">
        <v>4959</v>
      </c>
      <c r="R95" s="985">
        <v>1457</v>
      </c>
      <c r="S95" s="985">
        <v>4224</v>
      </c>
      <c r="T95" s="985">
        <v>5681</v>
      </c>
      <c r="U95" s="985">
        <v>1373</v>
      </c>
      <c r="V95" s="985">
        <v>5486</v>
      </c>
      <c r="W95" s="985">
        <v>6859</v>
      </c>
      <c r="X95" s="985">
        <v>1163</v>
      </c>
      <c r="Y95" s="985">
        <v>5601</v>
      </c>
      <c r="Z95" s="985">
        <v>6764</v>
      </c>
      <c r="AA95" s="985">
        <v>702</v>
      </c>
      <c r="AB95" s="985">
        <v>3512</v>
      </c>
      <c r="AC95" s="985">
        <v>4214</v>
      </c>
      <c r="AD95" s="985">
        <v>636</v>
      </c>
      <c r="AE95" s="985">
        <v>2647</v>
      </c>
      <c r="AF95" s="985">
        <v>3283</v>
      </c>
      <c r="AH95" s="985">
        <f t="shared" si="31"/>
        <v>2812</v>
      </c>
      <c r="AI95" s="985">
        <f t="shared" si="32"/>
        <v>6145</v>
      </c>
      <c r="AJ95" s="985">
        <f t="shared" si="33"/>
        <v>8957</v>
      </c>
      <c r="AK95" s="985">
        <f t="shared" si="34"/>
        <v>6134</v>
      </c>
      <c r="AL95" s="985">
        <f t="shared" si="35"/>
        <v>21206</v>
      </c>
      <c r="AM95" s="985">
        <f t="shared" si="36"/>
        <v>27340</v>
      </c>
      <c r="AN95" s="985">
        <f t="shared" si="37"/>
        <v>1338</v>
      </c>
      <c r="AO95" s="985">
        <f t="shared" si="38"/>
        <v>6159</v>
      </c>
      <c r="AP95" s="985">
        <f t="shared" si="39"/>
        <v>7497</v>
      </c>
      <c r="AR95" s="986">
        <f t="shared" si="40"/>
        <v>0.31394440102712962</v>
      </c>
      <c r="AS95" s="986">
        <f t="shared" si="41"/>
        <v>0.22435991221653256</v>
      </c>
      <c r="AT95" s="986">
        <f t="shared" si="42"/>
        <v>0.17847138855542216</v>
      </c>
      <c r="AV95" s="987">
        <v>8909</v>
      </c>
      <c r="AW95" s="987">
        <v>27903</v>
      </c>
      <c r="AX95" s="987">
        <v>7903</v>
      </c>
      <c r="AZ95" s="987">
        <f t="shared" si="43"/>
        <v>2796.9306687506978</v>
      </c>
      <c r="BA95" s="987">
        <f t="shared" si="44"/>
        <v>6260.3146305779082</v>
      </c>
      <c r="BB95" s="987">
        <f t="shared" si="45"/>
        <v>1410.4593837535012</v>
      </c>
      <c r="BC95" s="1004">
        <f t="shared" si="46"/>
        <v>10467.704683082107</v>
      </c>
    </row>
    <row r="96" spans="1:55" s="984" customFormat="1" ht="12" customHeight="1">
      <c r="A96" s="984" t="s">
        <v>232</v>
      </c>
      <c r="B96" s="988" t="s">
        <v>530</v>
      </c>
      <c r="C96" s="1001">
        <v>503</v>
      </c>
      <c r="D96" s="985">
        <v>2470</v>
      </c>
      <c r="E96" s="985">
        <v>2973</v>
      </c>
      <c r="F96" s="985">
        <v>257</v>
      </c>
      <c r="G96" s="985">
        <v>2525</v>
      </c>
      <c r="H96" s="985">
        <v>2782</v>
      </c>
      <c r="I96" s="985">
        <v>275</v>
      </c>
      <c r="J96" s="985">
        <v>2912</v>
      </c>
      <c r="K96" s="985">
        <v>3187</v>
      </c>
      <c r="L96" s="985">
        <v>490</v>
      </c>
      <c r="M96" s="985">
        <v>2241</v>
      </c>
      <c r="N96" s="985">
        <v>2731</v>
      </c>
      <c r="O96" s="985">
        <v>512</v>
      </c>
      <c r="P96" s="985">
        <v>3703</v>
      </c>
      <c r="Q96" s="985">
        <v>4215</v>
      </c>
      <c r="R96" s="985">
        <v>548</v>
      </c>
      <c r="S96" s="985">
        <v>4942</v>
      </c>
      <c r="T96" s="985">
        <v>5490</v>
      </c>
      <c r="U96" s="985">
        <v>566</v>
      </c>
      <c r="V96" s="985">
        <v>5568</v>
      </c>
      <c r="W96" s="985">
        <v>6134</v>
      </c>
      <c r="X96" s="985">
        <v>426</v>
      </c>
      <c r="Y96" s="985">
        <v>4093</v>
      </c>
      <c r="Z96" s="985">
        <v>4519</v>
      </c>
      <c r="AA96" s="985">
        <v>282</v>
      </c>
      <c r="AB96" s="985">
        <v>2467</v>
      </c>
      <c r="AC96" s="985">
        <v>2749</v>
      </c>
      <c r="AD96" s="985">
        <v>310</v>
      </c>
      <c r="AE96" s="985">
        <v>1514</v>
      </c>
      <c r="AF96" s="985">
        <v>1824</v>
      </c>
      <c r="AH96" s="985">
        <f t="shared" si="31"/>
        <v>1035</v>
      </c>
      <c r="AI96" s="985">
        <f t="shared" si="32"/>
        <v>7907</v>
      </c>
      <c r="AJ96" s="985">
        <f t="shared" si="33"/>
        <v>8942</v>
      </c>
      <c r="AK96" s="985">
        <f t="shared" si="34"/>
        <v>2542</v>
      </c>
      <c r="AL96" s="985">
        <f t="shared" si="35"/>
        <v>20547</v>
      </c>
      <c r="AM96" s="985">
        <f t="shared" si="36"/>
        <v>23089</v>
      </c>
      <c r="AN96" s="985">
        <f t="shared" si="37"/>
        <v>592</v>
      </c>
      <c r="AO96" s="985">
        <f t="shared" si="38"/>
        <v>3981</v>
      </c>
      <c r="AP96" s="985">
        <f t="shared" si="39"/>
        <v>4573</v>
      </c>
      <c r="AR96" s="986">
        <f t="shared" si="40"/>
        <v>0.11574591813911876</v>
      </c>
      <c r="AS96" s="986">
        <f t="shared" si="41"/>
        <v>0.11009571657499242</v>
      </c>
      <c r="AT96" s="986">
        <f t="shared" si="42"/>
        <v>0.12945549967198774</v>
      </c>
      <c r="AV96" s="987">
        <v>8908</v>
      </c>
      <c r="AW96" s="987">
        <v>23871</v>
      </c>
      <c r="AX96" s="987">
        <v>4970</v>
      </c>
      <c r="AZ96" s="987">
        <f t="shared" si="43"/>
        <v>1031.0646387832699</v>
      </c>
      <c r="BA96" s="987">
        <f t="shared" si="44"/>
        <v>2628.0948503616441</v>
      </c>
      <c r="BB96" s="987">
        <f t="shared" si="45"/>
        <v>643.39383336977914</v>
      </c>
      <c r="BC96" s="1004">
        <f t="shared" si="46"/>
        <v>4302.5533225146928</v>
      </c>
    </row>
    <row r="97" spans="1:55" s="984" customFormat="1" ht="12" customHeight="1">
      <c r="A97" s="984" t="s">
        <v>234</v>
      </c>
      <c r="B97" s="988" t="s">
        <v>531</v>
      </c>
      <c r="C97" s="1001">
        <v>993</v>
      </c>
      <c r="D97" s="985">
        <v>2391</v>
      </c>
      <c r="E97" s="985">
        <v>3384</v>
      </c>
      <c r="F97" s="985">
        <v>871</v>
      </c>
      <c r="G97" s="985">
        <v>2498</v>
      </c>
      <c r="H97" s="985">
        <v>3369</v>
      </c>
      <c r="I97" s="985">
        <v>891</v>
      </c>
      <c r="J97" s="985">
        <v>2816</v>
      </c>
      <c r="K97" s="985">
        <v>3707</v>
      </c>
      <c r="L97" s="985">
        <v>1119</v>
      </c>
      <c r="M97" s="985">
        <v>2473</v>
      </c>
      <c r="N97" s="985">
        <v>3592</v>
      </c>
      <c r="O97" s="985">
        <v>1299</v>
      </c>
      <c r="P97" s="985">
        <v>4668</v>
      </c>
      <c r="Q97" s="985">
        <v>5967</v>
      </c>
      <c r="R97" s="985">
        <v>1347</v>
      </c>
      <c r="S97" s="985">
        <v>5955</v>
      </c>
      <c r="T97" s="985">
        <v>7302</v>
      </c>
      <c r="U97" s="985">
        <v>1452</v>
      </c>
      <c r="V97" s="985">
        <v>7040</v>
      </c>
      <c r="W97" s="985">
        <v>8492</v>
      </c>
      <c r="X97" s="985">
        <v>1238</v>
      </c>
      <c r="Y97" s="985">
        <v>6651</v>
      </c>
      <c r="Z97" s="985">
        <v>7889</v>
      </c>
      <c r="AA97" s="985">
        <v>829</v>
      </c>
      <c r="AB97" s="985">
        <v>4702</v>
      </c>
      <c r="AC97" s="985">
        <v>5531</v>
      </c>
      <c r="AD97" s="985">
        <v>781</v>
      </c>
      <c r="AE97" s="985">
        <v>3206</v>
      </c>
      <c r="AF97" s="985">
        <v>3987</v>
      </c>
      <c r="AH97" s="985">
        <f t="shared" si="31"/>
        <v>2755</v>
      </c>
      <c r="AI97" s="985">
        <f t="shared" si="32"/>
        <v>7705</v>
      </c>
      <c r="AJ97" s="985">
        <f t="shared" si="33"/>
        <v>10460</v>
      </c>
      <c r="AK97" s="985">
        <f t="shared" si="34"/>
        <v>6455</v>
      </c>
      <c r="AL97" s="985">
        <f t="shared" si="35"/>
        <v>26787</v>
      </c>
      <c r="AM97" s="985">
        <f t="shared" si="36"/>
        <v>33242</v>
      </c>
      <c r="AN97" s="985">
        <f t="shared" si="37"/>
        <v>1610</v>
      </c>
      <c r="AO97" s="985">
        <f t="shared" si="38"/>
        <v>7908</v>
      </c>
      <c r="AP97" s="985">
        <f t="shared" si="39"/>
        <v>9518</v>
      </c>
      <c r="AR97" s="986">
        <f t="shared" si="40"/>
        <v>0.26338432122370936</v>
      </c>
      <c r="AS97" s="986">
        <f t="shared" si="41"/>
        <v>0.19418205884122497</v>
      </c>
      <c r="AT97" s="986">
        <f t="shared" si="42"/>
        <v>0.16915318344189956</v>
      </c>
      <c r="AV97" s="987">
        <v>10580</v>
      </c>
      <c r="AW97" s="987">
        <v>34303</v>
      </c>
      <c r="AX97" s="987">
        <v>9944</v>
      </c>
      <c r="AZ97" s="987">
        <f t="shared" si="43"/>
        <v>2786.6061185468452</v>
      </c>
      <c r="BA97" s="987">
        <f t="shared" si="44"/>
        <v>6661.0271644305403</v>
      </c>
      <c r="BB97" s="987">
        <f t="shared" si="45"/>
        <v>1682.0592561462493</v>
      </c>
      <c r="BC97" s="1004">
        <f t="shared" si="46"/>
        <v>11129.692539123635</v>
      </c>
    </row>
    <row r="98" spans="1:55" s="984" customFormat="1" ht="12" customHeight="1">
      <c r="A98" s="984" t="s">
        <v>236</v>
      </c>
      <c r="B98" s="988" t="s">
        <v>532</v>
      </c>
      <c r="C98" s="1001">
        <v>294</v>
      </c>
      <c r="D98" s="985">
        <v>680</v>
      </c>
      <c r="E98" s="985">
        <v>974</v>
      </c>
      <c r="F98" s="985">
        <v>157</v>
      </c>
      <c r="G98" s="985">
        <v>928</v>
      </c>
      <c r="H98" s="985">
        <v>1085</v>
      </c>
      <c r="I98" s="985">
        <v>213</v>
      </c>
      <c r="J98" s="985">
        <v>1149</v>
      </c>
      <c r="K98" s="985">
        <v>1362</v>
      </c>
      <c r="L98" s="985">
        <v>186</v>
      </c>
      <c r="M98" s="985">
        <v>1086</v>
      </c>
      <c r="N98" s="985">
        <v>1272</v>
      </c>
      <c r="O98" s="985">
        <v>335</v>
      </c>
      <c r="P98" s="985">
        <v>1459</v>
      </c>
      <c r="Q98" s="985">
        <v>1794</v>
      </c>
      <c r="R98" s="985">
        <v>218</v>
      </c>
      <c r="S98" s="985">
        <v>1649</v>
      </c>
      <c r="T98" s="985">
        <v>1867</v>
      </c>
      <c r="U98" s="985">
        <v>427</v>
      </c>
      <c r="V98" s="985">
        <v>2198</v>
      </c>
      <c r="W98" s="985">
        <v>2625</v>
      </c>
      <c r="X98" s="985">
        <v>382</v>
      </c>
      <c r="Y98" s="985">
        <v>2345</v>
      </c>
      <c r="Z98" s="985">
        <v>2727</v>
      </c>
      <c r="AA98" s="985">
        <v>259</v>
      </c>
      <c r="AB98" s="985">
        <v>1851</v>
      </c>
      <c r="AC98" s="985">
        <v>2110</v>
      </c>
      <c r="AD98" s="985">
        <v>357</v>
      </c>
      <c r="AE98" s="985">
        <v>1089</v>
      </c>
      <c r="AF98" s="985">
        <v>1446</v>
      </c>
      <c r="AH98" s="985">
        <f t="shared" si="31"/>
        <v>664</v>
      </c>
      <c r="AI98" s="985">
        <f t="shared" si="32"/>
        <v>2757</v>
      </c>
      <c r="AJ98" s="985">
        <f t="shared" si="33"/>
        <v>3421</v>
      </c>
      <c r="AK98" s="985">
        <f t="shared" si="34"/>
        <v>1548</v>
      </c>
      <c r="AL98" s="985">
        <f t="shared" si="35"/>
        <v>8737</v>
      </c>
      <c r="AM98" s="985">
        <f t="shared" si="36"/>
        <v>10285</v>
      </c>
      <c r="AN98" s="985">
        <f t="shared" si="37"/>
        <v>616</v>
      </c>
      <c r="AO98" s="985">
        <f t="shared" si="38"/>
        <v>2940</v>
      </c>
      <c r="AP98" s="985">
        <f t="shared" si="39"/>
        <v>3556</v>
      </c>
      <c r="AR98" s="986">
        <f t="shared" si="40"/>
        <v>0.19409529377375037</v>
      </c>
      <c r="AS98" s="986">
        <f t="shared" si="41"/>
        <v>0.15051045211473019</v>
      </c>
      <c r="AT98" s="986">
        <f t="shared" si="42"/>
        <v>0.17322834645669291</v>
      </c>
      <c r="AV98" s="987">
        <v>3481</v>
      </c>
      <c r="AW98" s="987">
        <v>10403</v>
      </c>
      <c r="AX98" s="987">
        <v>3711</v>
      </c>
      <c r="AZ98" s="987">
        <f t="shared" si="43"/>
        <v>675.64571762642504</v>
      </c>
      <c r="BA98" s="987">
        <f t="shared" si="44"/>
        <v>1565.7602333495381</v>
      </c>
      <c r="BB98" s="987">
        <f t="shared" si="45"/>
        <v>642.85039370078744</v>
      </c>
      <c r="BC98" s="1004">
        <f t="shared" si="46"/>
        <v>2884.2563446767508</v>
      </c>
    </row>
    <row r="99" spans="1:55" s="984" customFormat="1" ht="12" customHeight="1">
      <c r="A99" s="984" t="s">
        <v>242</v>
      </c>
      <c r="B99" s="988" t="s">
        <v>533</v>
      </c>
      <c r="C99" s="1001">
        <v>1156</v>
      </c>
      <c r="D99" s="985">
        <v>1403</v>
      </c>
      <c r="E99" s="985">
        <v>2559</v>
      </c>
      <c r="F99" s="985">
        <v>1100</v>
      </c>
      <c r="G99" s="985">
        <v>1603</v>
      </c>
      <c r="H99" s="985">
        <v>2703</v>
      </c>
      <c r="I99" s="985">
        <v>1050</v>
      </c>
      <c r="J99" s="985">
        <v>2031</v>
      </c>
      <c r="K99" s="985">
        <v>3081</v>
      </c>
      <c r="L99" s="985">
        <v>1307</v>
      </c>
      <c r="M99" s="985">
        <v>2125</v>
      </c>
      <c r="N99" s="985">
        <v>3432</v>
      </c>
      <c r="O99" s="985">
        <v>1438</v>
      </c>
      <c r="P99" s="985">
        <v>3317</v>
      </c>
      <c r="Q99" s="985">
        <v>4755</v>
      </c>
      <c r="R99" s="985">
        <v>1663</v>
      </c>
      <c r="S99" s="985">
        <v>3561</v>
      </c>
      <c r="T99" s="985">
        <v>5224</v>
      </c>
      <c r="U99" s="985">
        <v>1368</v>
      </c>
      <c r="V99" s="985">
        <v>4546</v>
      </c>
      <c r="W99" s="985">
        <v>5914</v>
      </c>
      <c r="X99" s="985">
        <v>995</v>
      </c>
      <c r="Y99" s="985">
        <v>4291</v>
      </c>
      <c r="Z99" s="985">
        <v>5286</v>
      </c>
      <c r="AA99" s="985">
        <v>603</v>
      </c>
      <c r="AB99" s="985">
        <v>2650</v>
      </c>
      <c r="AC99" s="985">
        <v>3253</v>
      </c>
      <c r="AD99" s="985">
        <v>530</v>
      </c>
      <c r="AE99" s="985">
        <v>1917</v>
      </c>
      <c r="AF99" s="985">
        <v>2447</v>
      </c>
      <c r="AH99" s="985">
        <f t="shared" si="31"/>
        <v>3306</v>
      </c>
      <c r="AI99" s="985">
        <f t="shared" si="32"/>
        <v>5037</v>
      </c>
      <c r="AJ99" s="985">
        <f t="shared" si="33"/>
        <v>8343</v>
      </c>
      <c r="AK99" s="985">
        <f t="shared" si="34"/>
        <v>6771</v>
      </c>
      <c r="AL99" s="985">
        <f t="shared" si="35"/>
        <v>17840</v>
      </c>
      <c r="AM99" s="985">
        <f t="shared" si="36"/>
        <v>24611</v>
      </c>
      <c r="AN99" s="985">
        <f t="shared" si="37"/>
        <v>1133</v>
      </c>
      <c r="AO99" s="985">
        <f t="shared" si="38"/>
        <v>4567</v>
      </c>
      <c r="AP99" s="985">
        <f t="shared" si="39"/>
        <v>5700</v>
      </c>
      <c r="AR99" s="986">
        <f t="shared" si="40"/>
        <v>0.39626033800791083</v>
      </c>
      <c r="AS99" s="986">
        <f t="shared" si="41"/>
        <v>0.27512088090691156</v>
      </c>
      <c r="AT99" s="986">
        <f t="shared" si="42"/>
        <v>0.19877192982456141</v>
      </c>
      <c r="AV99" s="987">
        <v>8585</v>
      </c>
      <c r="AW99" s="987">
        <v>26974</v>
      </c>
      <c r="AX99" s="987">
        <v>6006</v>
      </c>
      <c r="AZ99" s="987">
        <f t="shared" si="43"/>
        <v>3401.8950017979146</v>
      </c>
      <c r="BA99" s="987">
        <f t="shared" si="44"/>
        <v>7421.1106415830327</v>
      </c>
      <c r="BB99" s="987">
        <f t="shared" si="45"/>
        <v>1193.8242105263157</v>
      </c>
      <c r="BC99" s="1004">
        <f t="shared" si="46"/>
        <v>12016.829853907264</v>
      </c>
    </row>
    <row r="100" spans="1:55" s="984" customFormat="1" ht="12" customHeight="1">
      <c r="A100" s="984" t="s">
        <v>244</v>
      </c>
      <c r="B100" s="988" t="s">
        <v>534</v>
      </c>
      <c r="C100" s="1001">
        <v>632</v>
      </c>
      <c r="D100" s="985">
        <v>1005</v>
      </c>
      <c r="E100" s="985">
        <v>1637</v>
      </c>
      <c r="F100" s="985">
        <v>523</v>
      </c>
      <c r="G100" s="985">
        <v>1621</v>
      </c>
      <c r="H100" s="985">
        <v>2144</v>
      </c>
      <c r="I100" s="985">
        <v>616</v>
      </c>
      <c r="J100" s="985">
        <v>1295</v>
      </c>
      <c r="K100" s="985">
        <v>1911</v>
      </c>
      <c r="L100" s="985">
        <v>536</v>
      </c>
      <c r="M100" s="985">
        <v>1614</v>
      </c>
      <c r="N100" s="985">
        <v>2150</v>
      </c>
      <c r="O100" s="985">
        <v>597</v>
      </c>
      <c r="P100" s="985">
        <v>2599</v>
      </c>
      <c r="Q100" s="985">
        <v>3196</v>
      </c>
      <c r="R100" s="985">
        <v>665</v>
      </c>
      <c r="S100" s="985">
        <v>3361</v>
      </c>
      <c r="T100" s="985">
        <v>4026</v>
      </c>
      <c r="U100" s="985">
        <v>710</v>
      </c>
      <c r="V100" s="985">
        <v>3663</v>
      </c>
      <c r="W100" s="985">
        <v>4373</v>
      </c>
      <c r="X100" s="985">
        <v>597</v>
      </c>
      <c r="Y100" s="985">
        <v>3618</v>
      </c>
      <c r="Z100" s="985">
        <v>4215</v>
      </c>
      <c r="AA100" s="985">
        <v>353</v>
      </c>
      <c r="AB100" s="985">
        <v>2435</v>
      </c>
      <c r="AC100" s="985">
        <v>2788</v>
      </c>
      <c r="AD100" s="985">
        <v>531</v>
      </c>
      <c r="AE100" s="985">
        <v>1430</v>
      </c>
      <c r="AF100" s="985">
        <v>1961</v>
      </c>
      <c r="AH100" s="985">
        <f t="shared" si="31"/>
        <v>1771</v>
      </c>
      <c r="AI100" s="985">
        <f t="shared" si="32"/>
        <v>3921</v>
      </c>
      <c r="AJ100" s="985">
        <f t="shared" si="33"/>
        <v>5692</v>
      </c>
      <c r="AK100" s="985">
        <f t="shared" si="34"/>
        <v>3105</v>
      </c>
      <c r="AL100" s="985">
        <f t="shared" si="35"/>
        <v>14855</v>
      </c>
      <c r="AM100" s="985">
        <f t="shared" si="36"/>
        <v>17960</v>
      </c>
      <c r="AN100" s="985">
        <f t="shared" si="37"/>
        <v>884</v>
      </c>
      <c r="AO100" s="985">
        <f t="shared" si="38"/>
        <v>3865</v>
      </c>
      <c r="AP100" s="985">
        <f t="shared" si="39"/>
        <v>4749</v>
      </c>
      <c r="AR100" s="986">
        <f t="shared" si="40"/>
        <v>0.31113843991567114</v>
      </c>
      <c r="AS100" s="986">
        <f t="shared" si="41"/>
        <v>0.17288418708240536</v>
      </c>
      <c r="AT100" s="986">
        <f t="shared" si="42"/>
        <v>0.186144451463466</v>
      </c>
      <c r="AV100" s="987">
        <v>5977</v>
      </c>
      <c r="AW100" s="987">
        <v>17894</v>
      </c>
      <c r="AX100" s="987">
        <v>5333</v>
      </c>
      <c r="AZ100" s="987">
        <f t="shared" si="43"/>
        <v>1859.6744553759663</v>
      </c>
      <c r="BA100" s="987">
        <f t="shared" si="44"/>
        <v>3093.5896436525613</v>
      </c>
      <c r="BB100" s="987">
        <f t="shared" si="45"/>
        <v>992.70835965466415</v>
      </c>
      <c r="BC100" s="1004">
        <f t="shared" si="46"/>
        <v>5945.9724586831917</v>
      </c>
    </row>
    <row r="101" spans="1:55" s="984" customFormat="1" ht="12" customHeight="1">
      <c r="A101" s="984" t="s">
        <v>246</v>
      </c>
      <c r="B101" s="988" t="s">
        <v>779</v>
      </c>
      <c r="C101" s="1001">
        <v>439</v>
      </c>
      <c r="D101" s="985">
        <v>4699</v>
      </c>
      <c r="E101" s="985">
        <v>5138</v>
      </c>
      <c r="F101" s="985">
        <v>508</v>
      </c>
      <c r="G101" s="985">
        <v>5940</v>
      </c>
      <c r="H101" s="985">
        <v>6448</v>
      </c>
      <c r="I101" s="985">
        <v>636</v>
      </c>
      <c r="J101" s="985">
        <v>7616</v>
      </c>
      <c r="K101" s="985">
        <v>8252</v>
      </c>
      <c r="L101" s="985">
        <v>609</v>
      </c>
      <c r="M101" s="985">
        <v>4897</v>
      </c>
      <c r="N101" s="985">
        <v>5506</v>
      </c>
      <c r="O101" s="985">
        <v>489</v>
      </c>
      <c r="P101" s="985">
        <v>6783</v>
      </c>
      <c r="Q101" s="985">
        <v>7272</v>
      </c>
      <c r="R101" s="985">
        <v>512</v>
      </c>
      <c r="S101" s="985">
        <v>10508</v>
      </c>
      <c r="T101" s="985">
        <v>11020</v>
      </c>
      <c r="U101" s="985">
        <v>379</v>
      </c>
      <c r="V101" s="985">
        <v>13000</v>
      </c>
      <c r="W101" s="985">
        <v>13379</v>
      </c>
      <c r="X101" s="985">
        <v>225</v>
      </c>
      <c r="Y101" s="985">
        <v>9332</v>
      </c>
      <c r="Z101" s="985">
        <v>9557</v>
      </c>
      <c r="AA101" s="985">
        <v>217</v>
      </c>
      <c r="AB101" s="985">
        <v>5302</v>
      </c>
      <c r="AC101" s="985">
        <v>5519</v>
      </c>
      <c r="AD101" s="985">
        <v>512</v>
      </c>
      <c r="AE101" s="985">
        <v>3308</v>
      </c>
      <c r="AF101" s="985">
        <v>3820</v>
      </c>
      <c r="AH101" s="985">
        <f t="shared" si="31"/>
        <v>1583</v>
      </c>
      <c r="AI101" s="985">
        <f t="shared" si="32"/>
        <v>18255</v>
      </c>
      <c r="AJ101" s="985">
        <f t="shared" si="33"/>
        <v>19838</v>
      </c>
      <c r="AK101" s="985">
        <f t="shared" si="34"/>
        <v>2214</v>
      </c>
      <c r="AL101" s="985">
        <f t="shared" si="35"/>
        <v>44520</v>
      </c>
      <c r="AM101" s="985">
        <f t="shared" si="36"/>
        <v>46734</v>
      </c>
      <c r="AN101" s="985">
        <f t="shared" si="37"/>
        <v>729</v>
      </c>
      <c r="AO101" s="985">
        <f t="shared" si="38"/>
        <v>8610</v>
      </c>
      <c r="AP101" s="985">
        <f t="shared" si="39"/>
        <v>9339</v>
      </c>
      <c r="AR101" s="986">
        <f t="shared" si="40"/>
        <v>7.979635043855228E-2</v>
      </c>
      <c r="AS101" s="986">
        <f t="shared" si="41"/>
        <v>4.7374502503530619E-2</v>
      </c>
      <c r="AT101" s="986">
        <f t="shared" si="42"/>
        <v>7.8059749437841316E-2</v>
      </c>
      <c r="AV101" s="987">
        <v>16758</v>
      </c>
      <c r="AW101" s="987">
        <v>41153</v>
      </c>
      <c r="AX101" s="987">
        <v>8223</v>
      </c>
      <c r="AZ101" s="987">
        <f t="shared" si="43"/>
        <v>1337.2272406492591</v>
      </c>
      <c r="BA101" s="987">
        <f t="shared" si="44"/>
        <v>1949.6029015277957</v>
      </c>
      <c r="BB101" s="987">
        <f t="shared" si="45"/>
        <v>641.8853196273692</v>
      </c>
      <c r="BC101" s="1004">
        <f t="shared" si="46"/>
        <v>3928.7154618044242</v>
      </c>
    </row>
    <row r="102" spans="1:55" s="984" customFormat="1" ht="12" customHeight="1">
      <c r="A102" s="984" t="s">
        <v>14</v>
      </c>
      <c r="B102" s="988" t="s">
        <v>15</v>
      </c>
      <c r="C102" s="1001">
        <v>1767</v>
      </c>
      <c r="D102" s="985">
        <v>9613</v>
      </c>
      <c r="E102" s="985">
        <v>11380</v>
      </c>
      <c r="F102" s="985">
        <v>1663</v>
      </c>
      <c r="G102" s="985">
        <v>4934</v>
      </c>
      <c r="H102" s="985">
        <v>6597</v>
      </c>
      <c r="I102" s="985">
        <v>1080</v>
      </c>
      <c r="J102" s="985">
        <v>4150</v>
      </c>
      <c r="K102" s="985">
        <v>5230</v>
      </c>
      <c r="L102" s="985">
        <v>1489</v>
      </c>
      <c r="M102" s="985">
        <v>8262</v>
      </c>
      <c r="N102" s="985">
        <v>9751</v>
      </c>
      <c r="O102" s="985">
        <v>3190</v>
      </c>
      <c r="P102" s="985">
        <v>29865</v>
      </c>
      <c r="Q102" s="985">
        <v>33055</v>
      </c>
      <c r="R102" s="985">
        <v>1750</v>
      </c>
      <c r="S102" s="985">
        <v>22236</v>
      </c>
      <c r="T102" s="985">
        <v>23986</v>
      </c>
      <c r="U102" s="985">
        <v>1281</v>
      </c>
      <c r="V102" s="985">
        <v>16846</v>
      </c>
      <c r="W102" s="985">
        <v>18127</v>
      </c>
      <c r="X102" s="985">
        <v>1300</v>
      </c>
      <c r="Y102" s="985">
        <v>13969</v>
      </c>
      <c r="Z102" s="985">
        <v>15269</v>
      </c>
      <c r="AA102" s="985">
        <v>661</v>
      </c>
      <c r="AB102" s="985">
        <v>6220</v>
      </c>
      <c r="AC102" s="985">
        <v>6881</v>
      </c>
      <c r="AD102" s="985">
        <v>704</v>
      </c>
      <c r="AE102" s="985">
        <v>4395</v>
      </c>
      <c r="AF102" s="985">
        <v>5099</v>
      </c>
      <c r="AH102" s="985">
        <f t="shared" ref="AH102:AH126" si="47">C102+F102+I102</f>
        <v>4510</v>
      </c>
      <c r="AI102" s="985">
        <f t="shared" ref="AI102:AI126" si="48">D102+G102+J102</f>
        <v>18697</v>
      </c>
      <c r="AJ102" s="985">
        <f t="shared" ref="AJ102:AJ126" si="49">E102+H102+K102</f>
        <v>23207</v>
      </c>
      <c r="AK102" s="985">
        <f t="shared" ref="AK102:AK126" si="50">L102+O102+R102+U102+X102</f>
        <v>9010</v>
      </c>
      <c r="AL102" s="985">
        <f t="shared" ref="AL102:AL126" si="51">M102+P102+S102+V102+Y102</f>
        <v>91178</v>
      </c>
      <c r="AM102" s="985">
        <f t="shared" ref="AM102:AM126" si="52">N102+Q102+T102+W102+Z102</f>
        <v>100188</v>
      </c>
      <c r="AN102" s="985">
        <f t="shared" ref="AN102:AN126" si="53">AA102+AD102</f>
        <v>1365</v>
      </c>
      <c r="AO102" s="985">
        <f t="shared" ref="AO102:AO126" si="54">AB102+AE102</f>
        <v>10615</v>
      </c>
      <c r="AP102" s="985">
        <f t="shared" ref="AP102:AP126" si="55">AC102+AF102</f>
        <v>11980</v>
      </c>
      <c r="AR102" s="986">
        <f t="shared" ref="AR102:AR126" si="56">AH102/AJ102</f>
        <v>0.19433791528418148</v>
      </c>
      <c r="AS102" s="986">
        <f t="shared" ref="AS102:AS126" si="57">AK102/AM102</f>
        <v>8.9930929851878463E-2</v>
      </c>
      <c r="AT102" s="986">
        <f t="shared" ref="AT102:AT126" si="58">AN102/AP102</f>
        <v>0.11393989983305509</v>
      </c>
      <c r="AV102" s="987">
        <v>25229</v>
      </c>
      <c r="AW102" s="987">
        <v>105641</v>
      </c>
      <c r="AX102" s="987">
        <v>13431</v>
      </c>
      <c r="AZ102" s="987">
        <f t="shared" ref="AZ102:AZ126" si="59">AR102*AV102</f>
        <v>4902.9512647046149</v>
      </c>
      <c r="BA102" s="987">
        <f t="shared" ref="BA102:BA126" si="60">AS102*AW102</f>
        <v>9500.3933604822923</v>
      </c>
      <c r="BB102" s="987">
        <f t="shared" ref="BB102:BB126" si="61">AT102*AX102</f>
        <v>1530.326794657763</v>
      </c>
      <c r="BC102" s="1004">
        <f t="shared" si="46"/>
        <v>15933.67141984467</v>
      </c>
    </row>
    <row r="103" spans="1:55" s="984" customFormat="1" ht="12" customHeight="1">
      <c r="A103" s="984" t="s">
        <v>34</v>
      </c>
      <c r="B103" s="988" t="s">
        <v>35</v>
      </c>
      <c r="C103" s="1001">
        <v>570</v>
      </c>
      <c r="D103" s="985">
        <v>704</v>
      </c>
      <c r="E103" s="985">
        <v>1274</v>
      </c>
      <c r="F103" s="985">
        <v>376</v>
      </c>
      <c r="G103" s="985">
        <v>760</v>
      </c>
      <c r="H103" s="985">
        <v>1136</v>
      </c>
      <c r="I103" s="985">
        <v>515</v>
      </c>
      <c r="J103" s="985">
        <v>704</v>
      </c>
      <c r="K103" s="985">
        <v>1219</v>
      </c>
      <c r="L103" s="985">
        <v>446</v>
      </c>
      <c r="M103" s="985">
        <v>784</v>
      </c>
      <c r="N103" s="985">
        <v>1230</v>
      </c>
      <c r="O103" s="985">
        <v>679</v>
      </c>
      <c r="P103" s="985">
        <v>1483</v>
      </c>
      <c r="Q103" s="985">
        <v>2162</v>
      </c>
      <c r="R103" s="985">
        <v>539</v>
      </c>
      <c r="S103" s="985">
        <v>1677</v>
      </c>
      <c r="T103" s="985">
        <v>2216</v>
      </c>
      <c r="U103" s="985">
        <v>529</v>
      </c>
      <c r="V103" s="985">
        <v>1892</v>
      </c>
      <c r="W103" s="985">
        <v>2421</v>
      </c>
      <c r="X103" s="985">
        <v>444</v>
      </c>
      <c r="Y103" s="985">
        <v>1722</v>
      </c>
      <c r="Z103" s="985">
        <v>2166</v>
      </c>
      <c r="AA103" s="985">
        <v>390</v>
      </c>
      <c r="AB103" s="985">
        <v>1359</v>
      </c>
      <c r="AC103" s="985">
        <v>1749</v>
      </c>
      <c r="AD103" s="985">
        <v>383</v>
      </c>
      <c r="AE103" s="985">
        <v>1224</v>
      </c>
      <c r="AF103" s="985">
        <v>1607</v>
      </c>
      <c r="AH103" s="985">
        <f t="shared" si="47"/>
        <v>1461</v>
      </c>
      <c r="AI103" s="985">
        <f t="shared" si="48"/>
        <v>2168</v>
      </c>
      <c r="AJ103" s="985">
        <f t="shared" si="49"/>
        <v>3629</v>
      </c>
      <c r="AK103" s="985">
        <f t="shared" si="50"/>
        <v>2637</v>
      </c>
      <c r="AL103" s="985">
        <f t="shared" si="51"/>
        <v>7558</v>
      </c>
      <c r="AM103" s="985">
        <f t="shared" si="52"/>
        <v>10195</v>
      </c>
      <c r="AN103" s="985">
        <f t="shared" si="53"/>
        <v>773</v>
      </c>
      <c r="AO103" s="985">
        <f t="shared" si="54"/>
        <v>2583</v>
      </c>
      <c r="AP103" s="985">
        <f t="shared" si="55"/>
        <v>3356</v>
      </c>
      <c r="AR103" s="986">
        <f t="shared" si="56"/>
        <v>0.4025902452466244</v>
      </c>
      <c r="AS103" s="986">
        <f t="shared" si="57"/>
        <v>0.25865620402157918</v>
      </c>
      <c r="AT103" s="986">
        <f t="shared" si="58"/>
        <v>0.2303337306317044</v>
      </c>
      <c r="AV103" s="987">
        <v>3592</v>
      </c>
      <c r="AW103" s="987">
        <v>10818</v>
      </c>
      <c r="AX103" s="987">
        <v>3340</v>
      </c>
      <c r="AZ103" s="987">
        <f t="shared" si="59"/>
        <v>1446.1041609258748</v>
      </c>
      <c r="BA103" s="987">
        <f t="shared" si="60"/>
        <v>2798.1428151054438</v>
      </c>
      <c r="BB103" s="987">
        <f t="shared" si="61"/>
        <v>769.3146603098927</v>
      </c>
      <c r="BC103" s="1004">
        <f t="shared" si="46"/>
        <v>5013.5616363412119</v>
      </c>
    </row>
    <row r="104" spans="1:55" s="984" customFormat="1" ht="12" customHeight="1">
      <c r="A104" s="984" t="s">
        <v>52</v>
      </c>
      <c r="B104" s="988" t="s">
        <v>53</v>
      </c>
      <c r="C104" s="1001">
        <v>575</v>
      </c>
      <c r="D104" s="985">
        <v>1894</v>
      </c>
      <c r="E104" s="985">
        <v>2469</v>
      </c>
      <c r="F104" s="985">
        <v>391</v>
      </c>
      <c r="G104" s="985">
        <v>1540</v>
      </c>
      <c r="H104" s="985">
        <v>1931</v>
      </c>
      <c r="I104" s="985">
        <v>404</v>
      </c>
      <c r="J104" s="985">
        <v>1525</v>
      </c>
      <c r="K104" s="985">
        <v>1929</v>
      </c>
      <c r="L104" s="985">
        <v>6401</v>
      </c>
      <c r="M104" s="985">
        <v>3220</v>
      </c>
      <c r="N104" s="985">
        <v>9621</v>
      </c>
      <c r="O104" s="985">
        <v>1686</v>
      </c>
      <c r="P104" s="985">
        <v>5616</v>
      </c>
      <c r="Q104" s="985">
        <v>7302</v>
      </c>
      <c r="R104" s="985">
        <v>624</v>
      </c>
      <c r="S104" s="985">
        <v>3666</v>
      </c>
      <c r="T104" s="985">
        <v>4290</v>
      </c>
      <c r="U104" s="985">
        <v>946</v>
      </c>
      <c r="V104" s="985">
        <v>3365</v>
      </c>
      <c r="W104" s="985">
        <v>4311</v>
      </c>
      <c r="X104" s="985">
        <v>579</v>
      </c>
      <c r="Y104" s="985">
        <v>3154</v>
      </c>
      <c r="Z104" s="985">
        <v>3733</v>
      </c>
      <c r="AA104" s="985">
        <v>189</v>
      </c>
      <c r="AB104" s="985">
        <v>1878</v>
      </c>
      <c r="AC104" s="985">
        <v>2067</v>
      </c>
      <c r="AD104" s="985">
        <v>247</v>
      </c>
      <c r="AE104" s="985">
        <v>1577</v>
      </c>
      <c r="AF104" s="985">
        <v>1824</v>
      </c>
      <c r="AH104" s="985">
        <f t="shared" si="47"/>
        <v>1370</v>
      </c>
      <c r="AI104" s="985">
        <f t="shared" si="48"/>
        <v>4959</v>
      </c>
      <c r="AJ104" s="985">
        <f t="shared" si="49"/>
        <v>6329</v>
      </c>
      <c r="AK104" s="985">
        <f t="shared" si="50"/>
        <v>10236</v>
      </c>
      <c r="AL104" s="985">
        <f t="shared" si="51"/>
        <v>19021</v>
      </c>
      <c r="AM104" s="985">
        <f t="shared" si="52"/>
        <v>29257</v>
      </c>
      <c r="AN104" s="985">
        <f t="shared" si="53"/>
        <v>436</v>
      </c>
      <c r="AO104" s="985">
        <f t="shared" si="54"/>
        <v>3455</v>
      </c>
      <c r="AP104" s="985">
        <f t="shared" si="55"/>
        <v>3891</v>
      </c>
      <c r="AR104" s="986">
        <f t="shared" si="56"/>
        <v>0.2164638963501343</v>
      </c>
      <c r="AS104" s="986">
        <f t="shared" si="57"/>
        <v>0.34986498957514439</v>
      </c>
      <c r="AT104" s="986">
        <f t="shared" si="58"/>
        <v>0.11205345669493703</v>
      </c>
      <c r="AV104" s="987">
        <v>6368</v>
      </c>
      <c r="AW104" s="987">
        <v>33048</v>
      </c>
      <c r="AX104" s="987">
        <v>4095</v>
      </c>
      <c r="AZ104" s="987">
        <f t="shared" si="59"/>
        <v>1378.4420919576553</v>
      </c>
      <c r="BA104" s="987">
        <f t="shared" si="60"/>
        <v>11562.338175479372</v>
      </c>
      <c r="BB104" s="987">
        <f t="shared" si="61"/>
        <v>458.85890516576717</v>
      </c>
      <c r="BC104" s="1004">
        <f t="shared" si="46"/>
        <v>13399.639172602794</v>
      </c>
    </row>
    <row r="105" spans="1:55" s="984" customFormat="1" ht="12" customHeight="1">
      <c r="A105" s="984" t="s">
        <v>54</v>
      </c>
      <c r="B105" s="988" t="s">
        <v>55</v>
      </c>
      <c r="C105" s="1001">
        <v>3084</v>
      </c>
      <c r="D105" s="985">
        <v>13772</v>
      </c>
      <c r="E105" s="985">
        <v>16856</v>
      </c>
      <c r="F105" s="985">
        <v>2692</v>
      </c>
      <c r="G105" s="985">
        <v>16302</v>
      </c>
      <c r="H105" s="985">
        <v>18994</v>
      </c>
      <c r="I105" s="985">
        <v>2296</v>
      </c>
      <c r="J105" s="985">
        <v>18621</v>
      </c>
      <c r="K105" s="985">
        <v>20917</v>
      </c>
      <c r="L105" s="985">
        <v>2402</v>
      </c>
      <c r="M105" s="985">
        <v>16644</v>
      </c>
      <c r="N105" s="985">
        <v>19046</v>
      </c>
      <c r="O105" s="985">
        <v>2964</v>
      </c>
      <c r="P105" s="985">
        <v>23493</v>
      </c>
      <c r="Q105" s="985">
        <v>26457</v>
      </c>
      <c r="R105" s="985">
        <v>2304</v>
      </c>
      <c r="S105" s="985">
        <v>28925</v>
      </c>
      <c r="T105" s="985">
        <v>31229</v>
      </c>
      <c r="U105" s="985">
        <v>2031</v>
      </c>
      <c r="V105" s="985">
        <v>33944</v>
      </c>
      <c r="W105" s="985">
        <v>35975</v>
      </c>
      <c r="X105" s="985">
        <v>1686</v>
      </c>
      <c r="Y105" s="985">
        <v>22430</v>
      </c>
      <c r="Z105" s="985">
        <v>24116</v>
      </c>
      <c r="AA105" s="985">
        <v>1218</v>
      </c>
      <c r="AB105" s="985">
        <v>11753</v>
      </c>
      <c r="AC105" s="985">
        <v>12971</v>
      </c>
      <c r="AD105" s="985">
        <v>1162</v>
      </c>
      <c r="AE105" s="985">
        <v>8133</v>
      </c>
      <c r="AF105" s="985">
        <v>9295</v>
      </c>
      <c r="AH105" s="985">
        <f t="shared" si="47"/>
        <v>8072</v>
      </c>
      <c r="AI105" s="985">
        <f t="shared" si="48"/>
        <v>48695</v>
      </c>
      <c r="AJ105" s="985">
        <f t="shared" si="49"/>
        <v>56767</v>
      </c>
      <c r="AK105" s="985">
        <f t="shared" si="50"/>
        <v>11387</v>
      </c>
      <c r="AL105" s="985">
        <f t="shared" si="51"/>
        <v>125436</v>
      </c>
      <c r="AM105" s="985">
        <f t="shared" si="52"/>
        <v>136823</v>
      </c>
      <c r="AN105" s="985">
        <f t="shared" si="53"/>
        <v>2380</v>
      </c>
      <c r="AO105" s="985">
        <f t="shared" si="54"/>
        <v>19886</v>
      </c>
      <c r="AP105" s="985">
        <f t="shared" si="55"/>
        <v>22266</v>
      </c>
      <c r="AR105" s="986">
        <f t="shared" si="56"/>
        <v>0.14219528951679672</v>
      </c>
      <c r="AS105" s="986">
        <f t="shared" si="57"/>
        <v>8.3224311701979928E-2</v>
      </c>
      <c r="AT105" s="986">
        <f t="shared" si="58"/>
        <v>0.10688942782718046</v>
      </c>
      <c r="AV105" s="987">
        <v>57117</v>
      </c>
      <c r="AW105" s="987">
        <v>143811</v>
      </c>
      <c r="AX105" s="987">
        <v>24122</v>
      </c>
      <c r="AZ105" s="987">
        <f t="shared" si="59"/>
        <v>8121.7683513308784</v>
      </c>
      <c r="BA105" s="987">
        <f t="shared" si="60"/>
        <v>11968.571490173435</v>
      </c>
      <c r="BB105" s="987">
        <f t="shared" si="61"/>
        <v>2578.3867780472469</v>
      </c>
      <c r="BC105" s="1004">
        <f t="shared" si="46"/>
        <v>22668.726619551559</v>
      </c>
    </row>
    <row r="106" spans="1:55" s="984" customFormat="1" ht="12" customHeight="1">
      <c r="A106" s="984" t="s">
        <v>66</v>
      </c>
      <c r="B106" s="988" t="s">
        <v>67</v>
      </c>
      <c r="C106" s="1001">
        <v>1769</v>
      </c>
      <c r="D106" s="985">
        <v>1377</v>
      </c>
      <c r="E106" s="985">
        <v>3146</v>
      </c>
      <c r="F106" s="985">
        <v>1427</v>
      </c>
      <c r="G106" s="985">
        <v>1658</v>
      </c>
      <c r="H106" s="985">
        <v>3085</v>
      </c>
      <c r="I106" s="985">
        <v>1211</v>
      </c>
      <c r="J106" s="985">
        <v>1757</v>
      </c>
      <c r="K106" s="985">
        <v>2968</v>
      </c>
      <c r="L106" s="985">
        <v>1620</v>
      </c>
      <c r="M106" s="985">
        <v>2218</v>
      </c>
      <c r="N106" s="985">
        <v>3838</v>
      </c>
      <c r="O106" s="985">
        <v>1676</v>
      </c>
      <c r="P106" s="985">
        <v>2837</v>
      </c>
      <c r="Q106" s="985">
        <v>4513</v>
      </c>
      <c r="R106" s="985">
        <v>1314</v>
      </c>
      <c r="S106" s="985">
        <v>3376</v>
      </c>
      <c r="T106" s="985">
        <v>4690</v>
      </c>
      <c r="U106" s="985">
        <v>1527</v>
      </c>
      <c r="V106" s="985">
        <v>4702</v>
      </c>
      <c r="W106" s="985">
        <v>6229</v>
      </c>
      <c r="X106" s="985">
        <v>1121</v>
      </c>
      <c r="Y106" s="985">
        <v>4698</v>
      </c>
      <c r="Z106" s="985">
        <v>5819</v>
      </c>
      <c r="AA106" s="985">
        <v>753</v>
      </c>
      <c r="AB106" s="985">
        <v>3059</v>
      </c>
      <c r="AC106" s="985">
        <v>3812</v>
      </c>
      <c r="AD106" s="985">
        <v>1225</v>
      </c>
      <c r="AE106" s="985">
        <v>2640</v>
      </c>
      <c r="AF106" s="985">
        <v>3865</v>
      </c>
      <c r="AH106" s="985">
        <f t="shared" si="47"/>
        <v>4407</v>
      </c>
      <c r="AI106" s="985">
        <f t="shared" si="48"/>
        <v>4792</v>
      </c>
      <c r="AJ106" s="985">
        <f t="shared" si="49"/>
        <v>9199</v>
      </c>
      <c r="AK106" s="985">
        <f t="shared" si="50"/>
        <v>7258</v>
      </c>
      <c r="AL106" s="985">
        <f t="shared" si="51"/>
        <v>17831</v>
      </c>
      <c r="AM106" s="985">
        <f t="shared" si="52"/>
        <v>25089</v>
      </c>
      <c r="AN106" s="985">
        <f t="shared" si="53"/>
        <v>1978</v>
      </c>
      <c r="AO106" s="985">
        <f t="shared" si="54"/>
        <v>5699</v>
      </c>
      <c r="AP106" s="985">
        <f t="shared" si="55"/>
        <v>7677</v>
      </c>
      <c r="AR106" s="986">
        <f t="shared" si="56"/>
        <v>0.4790738123709099</v>
      </c>
      <c r="AS106" s="986">
        <f t="shared" si="57"/>
        <v>0.28929012714735541</v>
      </c>
      <c r="AT106" s="986">
        <f t="shared" si="58"/>
        <v>0.25765272893057184</v>
      </c>
      <c r="AV106" s="987">
        <v>9284</v>
      </c>
      <c r="AW106" s="987">
        <v>25358</v>
      </c>
      <c r="AX106" s="987">
        <v>8210</v>
      </c>
      <c r="AZ106" s="987">
        <f t="shared" si="59"/>
        <v>4447.7212740515279</v>
      </c>
      <c r="BA106" s="987">
        <f t="shared" si="60"/>
        <v>7335.8190442026389</v>
      </c>
      <c r="BB106" s="987">
        <f t="shared" si="61"/>
        <v>2115.3289045199949</v>
      </c>
      <c r="BC106" s="1004">
        <f t="shared" si="46"/>
        <v>13898.869222774161</v>
      </c>
    </row>
    <row r="107" spans="1:55" s="984" customFormat="1" ht="12" customHeight="1">
      <c r="A107" s="984" t="s">
        <v>82</v>
      </c>
      <c r="B107" s="988" t="s">
        <v>83</v>
      </c>
      <c r="C107" s="1001">
        <v>344</v>
      </c>
      <c r="D107" s="985">
        <v>350</v>
      </c>
      <c r="E107" s="985">
        <v>694</v>
      </c>
      <c r="F107" s="985">
        <v>223</v>
      </c>
      <c r="G107" s="985">
        <v>450</v>
      </c>
      <c r="H107" s="985">
        <v>673</v>
      </c>
      <c r="I107" s="985">
        <v>265</v>
      </c>
      <c r="J107" s="985">
        <v>394</v>
      </c>
      <c r="K107" s="985">
        <v>659</v>
      </c>
      <c r="L107" s="985">
        <v>286</v>
      </c>
      <c r="M107" s="985">
        <v>550</v>
      </c>
      <c r="N107" s="985">
        <v>836</v>
      </c>
      <c r="O107" s="985">
        <v>220</v>
      </c>
      <c r="P107" s="985">
        <v>621</v>
      </c>
      <c r="Q107" s="985">
        <v>841</v>
      </c>
      <c r="R107" s="985">
        <v>116</v>
      </c>
      <c r="S107" s="985">
        <v>936</v>
      </c>
      <c r="T107" s="985">
        <v>1052</v>
      </c>
      <c r="U107" s="985">
        <v>281</v>
      </c>
      <c r="V107" s="985">
        <v>959</v>
      </c>
      <c r="W107" s="985">
        <v>1240</v>
      </c>
      <c r="X107" s="985">
        <v>211</v>
      </c>
      <c r="Y107" s="985">
        <v>872</v>
      </c>
      <c r="Z107" s="985">
        <v>1083</v>
      </c>
      <c r="AA107" s="985">
        <v>94</v>
      </c>
      <c r="AB107" s="985">
        <v>483</v>
      </c>
      <c r="AC107" s="985">
        <v>577</v>
      </c>
      <c r="AD107" s="985">
        <v>138</v>
      </c>
      <c r="AE107" s="985">
        <v>631</v>
      </c>
      <c r="AF107" s="985">
        <v>769</v>
      </c>
      <c r="AH107" s="985">
        <f t="shared" si="47"/>
        <v>832</v>
      </c>
      <c r="AI107" s="985">
        <f t="shared" si="48"/>
        <v>1194</v>
      </c>
      <c r="AJ107" s="985">
        <f t="shared" si="49"/>
        <v>2026</v>
      </c>
      <c r="AK107" s="985">
        <f t="shared" si="50"/>
        <v>1114</v>
      </c>
      <c r="AL107" s="985">
        <f t="shared" si="51"/>
        <v>3938</v>
      </c>
      <c r="AM107" s="985">
        <f t="shared" si="52"/>
        <v>5052</v>
      </c>
      <c r="AN107" s="985">
        <f t="shared" si="53"/>
        <v>232</v>
      </c>
      <c r="AO107" s="985">
        <f t="shared" si="54"/>
        <v>1114</v>
      </c>
      <c r="AP107" s="985">
        <f t="shared" si="55"/>
        <v>1346</v>
      </c>
      <c r="AR107" s="986">
        <f t="shared" si="56"/>
        <v>0.4106614017769003</v>
      </c>
      <c r="AS107" s="986">
        <f t="shared" si="57"/>
        <v>0.22050673000791765</v>
      </c>
      <c r="AT107" s="986">
        <f t="shared" si="58"/>
        <v>0.17236255572065379</v>
      </c>
      <c r="AV107" s="987">
        <v>2050</v>
      </c>
      <c r="AW107" s="987">
        <v>5023</v>
      </c>
      <c r="AX107" s="987">
        <v>1515</v>
      </c>
      <c r="AZ107" s="987">
        <f t="shared" si="59"/>
        <v>841.85587364264563</v>
      </c>
      <c r="BA107" s="987">
        <f t="shared" si="60"/>
        <v>1107.6053048297704</v>
      </c>
      <c r="BB107" s="987">
        <f t="shared" si="61"/>
        <v>261.12927191679051</v>
      </c>
      <c r="BC107" s="1004">
        <f t="shared" si="46"/>
        <v>2210.5904503892066</v>
      </c>
    </row>
    <row r="108" spans="1:55" s="984" customFormat="1" ht="12" customHeight="1">
      <c r="A108" s="984" t="s">
        <v>88</v>
      </c>
      <c r="B108" s="988" t="s">
        <v>89</v>
      </c>
      <c r="C108" s="1001">
        <v>471</v>
      </c>
      <c r="D108" s="985">
        <v>1259</v>
      </c>
      <c r="E108" s="985">
        <v>1730</v>
      </c>
      <c r="F108" s="985">
        <v>243</v>
      </c>
      <c r="G108" s="985">
        <v>1358</v>
      </c>
      <c r="H108" s="985">
        <v>1601</v>
      </c>
      <c r="I108" s="985">
        <v>288</v>
      </c>
      <c r="J108" s="985">
        <v>1008</v>
      </c>
      <c r="K108" s="985">
        <v>1296</v>
      </c>
      <c r="L108" s="985">
        <v>1505</v>
      </c>
      <c r="M108" s="985">
        <v>1638</v>
      </c>
      <c r="N108" s="985">
        <v>3143</v>
      </c>
      <c r="O108" s="985">
        <v>351</v>
      </c>
      <c r="P108" s="985">
        <v>3063</v>
      </c>
      <c r="Q108" s="985">
        <v>3414</v>
      </c>
      <c r="R108" s="985">
        <v>314</v>
      </c>
      <c r="S108" s="985">
        <v>2643</v>
      </c>
      <c r="T108" s="985">
        <v>2957</v>
      </c>
      <c r="U108" s="985">
        <v>382</v>
      </c>
      <c r="V108" s="985">
        <v>2371</v>
      </c>
      <c r="W108" s="985">
        <v>2753</v>
      </c>
      <c r="X108" s="985">
        <v>371</v>
      </c>
      <c r="Y108" s="985">
        <v>1772</v>
      </c>
      <c r="Z108" s="985">
        <v>2143</v>
      </c>
      <c r="AA108" s="985">
        <v>74</v>
      </c>
      <c r="AB108" s="985">
        <v>1174</v>
      </c>
      <c r="AC108" s="985">
        <v>1248</v>
      </c>
      <c r="AD108" s="985">
        <v>189</v>
      </c>
      <c r="AE108" s="985">
        <v>1041</v>
      </c>
      <c r="AF108" s="985">
        <v>1230</v>
      </c>
      <c r="AH108" s="985">
        <f t="shared" si="47"/>
        <v>1002</v>
      </c>
      <c r="AI108" s="985">
        <f t="shared" si="48"/>
        <v>3625</v>
      </c>
      <c r="AJ108" s="985">
        <f t="shared" si="49"/>
        <v>4627</v>
      </c>
      <c r="AK108" s="985">
        <f t="shared" si="50"/>
        <v>2923</v>
      </c>
      <c r="AL108" s="985">
        <f t="shared" si="51"/>
        <v>11487</v>
      </c>
      <c r="AM108" s="985">
        <f t="shared" si="52"/>
        <v>14410</v>
      </c>
      <c r="AN108" s="985">
        <f t="shared" si="53"/>
        <v>263</v>
      </c>
      <c r="AO108" s="985">
        <f t="shared" si="54"/>
        <v>2215</v>
      </c>
      <c r="AP108" s="985">
        <f t="shared" si="55"/>
        <v>2478</v>
      </c>
      <c r="AR108" s="986">
        <f t="shared" si="56"/>
        <v>0.21655500324184138</v>
      </c>
      <c r="AS108" s="986">
        <f t="shared" si="57"/>
        <v>0.20284524635669673</v>
      </c>
      <c r="AT108" s="986">
        <f t="shared" si="58"/>
        <v>0.10613397901533494</v>
      </c>
      <c r="AV108" s="987">
        <v>5320</v>
      </c>
      <c r="AW108" s="987">
        <v>17912</v>
      </c>
      <c r="AX108" s="987">
        <v>2459</v>
      </c>
      <c r="AZ108" s="987">
        <f t="shared" si="59"/>
        <v>1152.0726172465961</v>
      </c>
      <c r="BA108" s="987">
        <f t="shared" si="60"/>
        <v>3633.3640527411521</v>
      </c>
      <c r="BB108" s="987">
        <f t="shared" si="61"/>
        <v>260.9834543987086</v>
      </c>
      <c r="BC108" s="1004">
        <f t="shared" si="46"/>
        <v>5046.4201243864572</v>
      </c>
    </row>
    <row r="109" spans="1:55" s="984" customFormat="1" ht="12" customHeight="1">
      <c r="A109" s="984" t="s">
        <v>90</v>
      </c>
      <c r="B109" s="988" t="s">
        <v>91</v>
      </c>
      <c r="C109" s="1001">
        <v>145</v>
      </c>
      <c r="D109" s="985">
        <v>63</v>
      </c>
      <c r="E109" s="985">
        <v>208</v>
      </c>
      <c r="F109" s="985">
        <v>321</v>
      </c>
      <c r="G109" s="985">
        <v>223</v>
      </c>
      <c r="H109" s="985">
        <v>544</v>
      </c>
      <c r="I109" s="985">
        <v>142</v>
      </c>
      <c r="J109" s="985">
        <v>220</v>
      </c>
      <c r="K109" s="985">
        <v>362</v>
      </c>
      <c r="L109" s="985">
        <v>172</v>
      </c>
      <c r="M109" s="985">
        <v>196</v>
      </c>
      <c r="N109" s="985">
        <v>368</v>
      </c>
      <c r="O109" s="985">
        <v>500</v>
      </c>
      <c r="P109" s="985">
        <v>703</v>
      </c>
      <c r="Q109" s="985">
        <v>1203</v>
      </c>
      <c r="R109" s="985">
        <v>132</v>
      </c>
      <c r="S109" s="985">
        <v>534</v>
      </c>
      <c r="T109" s="985">
        <v>666</v>
      </c>
      <c r="U109" s="985">
        <v>236</v>
      </c>
      <c r="V109" s="985">
        <v>604</v>
      </c>
      <c r="W109" s="985">
        <v>840</v>
      </c>
      <c r="X109" s="985">
        <v>257</v>
      </c>
      <c r="Y109" s="985">
        <v>534</v>
      </c>
      <c r="Z109" s="985">
        <v>791</v>
      </c>
      <c r="AA109" s="985">
        <v>96</v>
      </c>
      <c r="AB109" s="985">
        <v>622</v>
      </c>
      <c r="AC109" s="985">
        <v>718</v>
      </c>
      <c r="AD109" s="985">
        <v>365</v>
      </c>
      <c r="AE109" s="985">
        <v>597</v>
      </c>
      <c r="AF109" s="985">
        <v>962</v>
      </c>
      <c r="AH109" s="985">
        <f t="shared" si="47"/>
        <v>608</v>
      </c>
      <c r="AI109" s="985">
        <f t="shared" si="48"/>
        <v>506</v>
      </c>
      <c r="AJ109" s="985">
        <f t="shared" si="49"/>
        <v>1114</v>
      </c>
      <c r="AK109" s="985">
        <f t="shared" si="50"/>
        <v>1297</v>
      </c>
      <c r="AL109" s="985">
        <f t="shared" si="51"/>
        <v>2571</v>
      </c>
      <c r="AM109" s="985">
        <f t="shared" si="52"/>
        <v>3868</v>
      </c>
      <c r="AN109" s="985">
        <f t="shared" si="53"/>
        <v>461</v>
      </c>
      <c r="AO109" s="985">
        <f t="shared" si="54"/>
        <v>1219</v>
      </c>
      <c r="AP109" s="985">
        <f t="shared" si="55"/>
        <v>1680</v>
      </c>
      <c r="AR109" s="986">
        <f t="shared" si="56"/>
        <v>0.54578096947935373</v>
      </c>
      <c r="AS109" s="986">
        <f t="shared" si="57"/>
        <v>0.33531540847983454</v>
      </c>
      <c r="AT109" s="986">
        <f t="shared" si="58"/>
        <v>0.27440476190476193</v>
      </c>
      <c r="AV109" s="987">
        <v>1537</v>
      </c>
      <c r="AW109" s="987">
        <v>3979</v>
      </c>
      <c r="AX109" s="987">
        <v>1467</v>
      </c>
      <c r="AZ109" s="987">
        <f t="shared" si="59"/>
        <v>838.86535008976671</v>
      </c>
      <c r="BA109" s="987">
        <f t="shared" si="60"/>
        <v>1334.2200103412617</v>
      </c>
      <c r="BB109" s="987">
        <f t="shared" si="61"/>
        <v>402.55178571428576</v>
      </c>
      <c r="BC109" s="1004">
        <f t="shared" si="46"/>
        <v>2575.6371461453145</v>
      </c>
    </row>
    <row r="110" spans="1:55" s="984" customFormat="1" ht="12" customHeight="1">
      <c r="A110" s="984" t="s">
        <v>106</v>
      </c>
      <c r="B110" s="988" t="s">
        <v>107</v>
      </c>
      <c r="C110" s="1001">
        <v>2854</v>
      </c>
      <c r="D110" s="985">
        <v>7786</v>
      </c>
      <c r="E110" s="985">
        <v>10640</v>
      </c>
      <c r="F110" s="985">
        <v>3046</v>
      </c>
      <c r="G110" s="985">
        <v>6677</v>
      </c>
      <c r="H110" s="985">
        <v>9723</v>
      </c>
      <c r="I110" s="985">
        <v>3051</v>
      </c>
      <c r="J110" s="985">
        <v>7726</v>
      </c>
      <c r="K110" s="985">
        <v>10777</v>
      </c>
      <c r="L110" s="985">
        <v>3179</v>
      </c>
      <c r="M110" s="985">
        <v>11000</v>
      </c>
      <c r="N110" s="985">
        <v>14179</v>
      </c>
      <c r="O110" s="985">
        <v>2360</v>
      </c>
      <c r="P110" s="985">
        <v>16304</v>
      </c>
      <c r="Q110" s="985">
        <v>18664</v>
      </c>
      <c r="R110" s="985">
        <v>2567</v>
      </c>
      <c r="S110" s="985">
        <v>14294</v>
      </c>
      <c r="T110" s="985">
        <v>16861</v>
      </c>
      <c r="U110" s="985">
        <v>2069</v>
      </c>
      <c r="V110" s="985">
        <v>18621</v>
      </c>
      <c r="W110" s="985">
        <v>20690</v>
      </c>
      <c r="X110" s="985">
        <v>1807</v>
      </c>
      <c r="Y110" s="985">
        <v>13558</v>
      </c>
      <c r="Z110" s="985">
        <v>15365</v>
      </c>
      <c r="AA110" s="985">
        <v>818</v>
      </c>
      <c r="AB110" s="985">
        <v>8415</v>
      </c>
      <c r="AC110" s="985">
        <v>9233</v>
      </c>
      <c r="AD110" s="985">
        <v>1147</v>
      </c>
      <c r="AE110" s="985">
        <v>5758</v>
      </c>
      <c r="AF110" s="985">
        <v>6905</v>
      </c>
      <c r="AH110" s="985">
        <f t="shared" si="47"/>
        <v>8951</v>
      </c>
      <c r="AI110" s="985">
        <f t="shared" si="48"/>
        <v>22189</v>
      </c>
      <c r="AJ110" s="985">
        <f t="shared" si="49"/>
        <v>31140</v>
      </c>
      <c r="AK110" s="985">
        <f t="shared" si="50"/>
        <v>11982</v>
      </c>
      <c r="AL110" s="985">
        <f t="shared" si="51"/>
        <v>73777</v>
      </c>
      <c r="AM110" s="985">
        <f t="shared" si="52"/>
        <v>85759</v>
      </c>
      <c r="AN110" s="985">
        <f t="shared" si="53"/>
        <v>1965</v>
      </c>
      <c r="AO110" s="985">
        <f t="shared" si="54"/>
        <v>14173</v>
      </c>
      <c r="AP110" s="985">
        <f t="shared" si="55"/>
        <v>16138</v>
      </c>
      <c r="AR110" s="986">
        <f t="shared" si="56"/>
        <v>0.28744380218368659</v>
      </c>
      <c r="AS110" s="986">
        <f t="shared" si="57"/>
        <v>0.13971711423873878</v>
      </c>
      <c r="AT110" s="986">
        <f t="shared" si="58"/>
        <v>0.12176230016111042</v>
      </c>
      <c r="AV110" s="987">
        <v>30712</v>
      </c>
      <c r="AW110" s="987">
        <v>88489</v>
      </c>
      <c r="AX110" s="987">
        <v>17200</v>
      </c>
      <c r="AZ110" s="987">
        <f t="shared" si="59"/>
        <v>8827.9740526653823</v>
      </c>
      <c r="BA110" s="987">
        <f t="shared" si="60"/>
        <v>12363.427721871756</v>
      </c>
      <c r="BB110" s="987">
        <f t="shared" si="61"/>
        <v>2094.311562771099</v>
      </c>
      <c r="BC110" s="1004">
        <f t="shared" si="46"/>
        <v>23285.713337308236</v>
      </c>
    </row>
    <row r="111" spans="1:55" s="984" customFormat="1" ht="12" customHeight="1">
      <c r="A111" s="984" t="s">
        <v>116</v>
      </c>
      <c r="B111" s="988" t="s">
        <v>117</v>
      </c>
      <c r="C111" s="1001">
        <v>757</v>
      </c>
      <c r="D111" s="985">
        <v>1260</v>
      </c>
      <c r="E111" s="985">
        <v>2017</v>
      </c>
      <c r="F111" s="985">
        <v>505</v>
      </c>
      <c r="G111" s="985">
        <v>874</v>
      </c>
      <c r="H111" s="985">
        <v>1379</v>
      </c>
      <c r="I111" s="985">
        <v>822</v>
      </c>
      <c r="J111" s="985">
        <v>1117</v>
      </c>
      <c r="K111" s="985">
        <v>1939</v>
      </c>
      <c r="L111" s="985">
        <v>434</v>
      </c>
      <c r="M111" s="985">
        <v>1597</v>
      </c>
      <c r="N111" s="985">
        <v>2031</v>
      </c>
      <c r="O111" s="985">
        <v>777</v>
      </c>
      <c r="P111" s="985">
        <v>2370</v>
      </c>
      <c r="Q111" s="985">
        <v>3147</v>
      </c>
      <c r="R111" s="985">
        <v>505</v>
      </c>
      <c r="S111" s="985">
        <v>2491</v>
      </c>
      <c r="T111" s="985">
        <v>2996</v>
      </c>
      <c r="U111" s="985">
        <v>610</v>
      </c>
      <c r="V111" s="985">
        <v>2329</v>
      </c>
      <c r="W111" s="985">
        <v>2939</v>
      </c>
      <c r="X111" s="985">
        <v>516</v>
      </c>
      <c r="Y111" s="985">
        <v>1878</v>
      </c>
      <c r="Z111" s="985">
        <v>2394</v>
      </c>
      <c r="AA111" s="985">
        <v>210</v>
      </c>
      <c r="AB111" s="985">
        <v>1386</v>
      </c>
      <c r="AC111" s="985">
        <v>1596</v>
      </c>
      <c r="AD111" s="985">
        <v>286</v>
      </c>
      <c r="AE111" s="985">
        <v>1298</v>
      </c>
      <c r="AF111" s="985">
        <v>1584</v>
      </c>
      <c r="AH111" s="985">
        <f t="shared" si="47"/>
        <v>2084</v>
      </c>
      <c r="AI111" s="985">
        <f t="shared" si="48"/>
        <v>3251</v>
      </c>
      <c r="AJ111" s="985">
        <f t="shared" si="49"/>
        <v>5335</v>
      </c>
      <c r="AK111" s="985">
        <f t="shared" si="50"/>
        <v>2842</v>
      </c>
      <c r="AL111" s="985">
        <f t="shared" si="51"/>
        <v>10665</v>
      </c>
      <c r="AM111" s="985">
        <f t="shared" si="52"/>
        <v>13507</v>
      </c>
      <c r="AN111" s="985">
        <f t="shared" si="53"/>
        <v>496</v>
      </c>
      <c r="AO111" s="985">
        <f t="shared" si="54"/>
        <v>2684</v>
      </c>
      <c r="AP111" s="985">
        <f t="shared" si="55"/>
        <v>3180</v>
      </c>
      <c r="AR111" s="986">
        <f t="shared" si="56"/>
        <v>0.39062792877225866</v>
      </c>
      <c r="AS111" s="986">
        <f t="shared" si="57"/>
        <v>0.21040941733915747</v>
      </c>
      <c r="AT111" s="986">
        <f t="shared" si="58"/>
        <v>0.15597484276729559</v>
      </c>
      <c r="AV111" s="987">
        <v>5605</v>
      </c>
      <c r="AW111" s="987">
        <v>13635</v>
      </c>
      <c r="AX111" s="987">
        <v>3340</v>
      </c>
      <c r="AZ111" s="987">
        <f t="shared" si="59"/>
        <v>2189.4695407685099</v>
      </c>
      <c r="BA111" s="987">
        <f t="shared" si="60"/>
        <v>2868.9324054194121</v>
      </c>
      <c r="BB111" s="987">
        <f t="shared" si="61"/>
        <v>520.95597484276732</v>
      </c>
      <c r="BC111" s="1004">
        <f t="shared" si="46"/>
        <v>5579.3579210306889</v>
      </c>
    </row>
    <row r="112" spans="1:55" s="984" customFormat="1" ht="12" customHeight="1">
      <c r="A112" s="984" t="s">
        <v>138</v>
      </c>
      <c r="B112" s="988" t="s">
        <v>139</v>
      </c>
      <c r="C112" s="1001">
        <v>2402</v>
      </c>
      <c r="D112" s="985">
        <v>2700</v>
      </c>
      <c r="E112" s="985">
        <v>5102</v>
      </c>
      <c r="F112" s="985">
        <v>1577</v>
      </c>
      <c r="G112" s="985">
        <v>3199</v>
      </c>
      <c r="H112" s="985">
        <v>4776</v>
      </c>
      <c r="I112" s="985">
        <v>1248</v>
      </c>
      <c r="J112" s="985">
        <v>3311</v>
      </c>
      <c r="K112" s="985">
        <v>4559</v>
      </c>
      <c r="L112" s="985">
        <v>5359</v>
      </c>
      <c r="M112" s="985">
        <v>5038</v>
      </c>
      <c r="N112" s="985">
        <v>10397</v>
      </c>
      <c r="O112" s="985">
        <v>2181</v>
      </c>
      <c r="P112" s="985">
        <v>6576</v>
      </c>
      <c r="Q112" s="985">
        <v>8757</v>
      </c>
      <c r="R112" s="985">
        <v>1705</v>
      </c>
      <c r="S112" s="985">
        <v>5745</v>
      </c>
      <c r="T112" s="985">
        <v>7450</v>
      </c>
      <c r="U112" s="985">
        <v>1491</v>
      </c>
      <c r="V112" s="985">
        <v>7005</v>
      </c>
      <c r="W112" s="985">
        <v>8496</v>
      </c>
      <c r="X112" s="985">
        <v>1334</v>
      </c>
      <c r="Y112" s="985">
        <v>6129</v>
      </c>
      <c r="Z112" s="985">
        <v>7463</v>
      </c>
      <c r="AA112" s="985">
        <v>530</v>
      </c>
      <c r="AB112" s="985">
        <v>4082</v>
      </c>
      <c r="AC112" s="985">
        <v>4612</v>
      </c>
      <c r="AD112" s="985">
        <v>783</v>
      </c>
      <c r="AE112" s="985">
        <v>4343</v>
      </c>
      <c r="AF112" s="985">
        <v>5126</v>
      </c>
      <c r="AH112" s="985">
        <f t="shared" si="47"/>
        <v>5227</v>
      </c>
      <c r="AI112" s="985">
        <f t="shared" si="48"/>
        <v>9210</v>
      </c>
      <c r="AJ112" s="985">
        <f t="shared" si="49"/>
        <v>14437</v>
      </c>
      <c r="AK112" s="985">
        <f t="shared" si="50"/>
        <v>12070</v>
      </c>
      <c r="AL112" s="985">
        <f t="shared" si="51"/>
        <v>30493</v>
      </c>
      <c r="AM112" s="985">
        <f t="shared" si="52"/>
        <v>42563</v>
      </c>
      <c r="AN112" s="985">
        <f t="shared" si="53"/>
        <v>1313</v>
      </c>
      <c r="AO112" s="985">
        <f t="shared" si="54"/>
        <v>8425</v>
      </c>
      <c r="AP112" s="985">
        <f t="shared" si="55"/>
        <v>9738</v>
      </c>
      <c r="AR112" s="986">
        <f t="shared" si="56"/>
        <v>0.36205582877329084</v>
      </c>
      <c r="AS112" s="986">
        <f t="shared" si="57"/>
        <v>0.28357963489415688</v>
      </c>
      <c r="AT112" s="986">
        <f t="shared" si="58"/>
        <v>0.13483261449989731</v>
      </c>
      <c r="AV112" s="987">
        <v>14947</v>
      </c>
      <c r="AW112" s="987">
        <v>50797</v>
      </c>
      <c r="AX112" s="987">
        <v>10760</v>
      </c>
      <c r="AZ112" s="987">
        <f t="shared" si="59"/>
        <v>5411.6484726743784</v>
      </c>
      <c r="BA112" s="987">
        <f t="shared" si="60"/>
        <v>14404.994713718488</v>
      </c>
      <c r="BB112" s="987">
        <f t="shared" si="61"/>
        <v>1450.7989320188951</v>
      </c>
      <c r="BC112" s="1004">
        <f t="shared" si="46"/>
        <v>21267.44211841176</v>
      </c>
    </row>
    <row r="113" spans="1:55" s="984" customFormat="1" ht="12" customHeight="1">
      <c r="A113" s="984" t="s">
        <v>142</v>
      </c>
      <c r="B113" s="988" t="s">
        <v>143</v>
      </c>
      <c r="C113" s="1001">
        <v>916</v>
      </c>
      <c r="D113" s="985">
        <v>2782</v>
      </c>
      <c r="E113" s="985">
        <v>3698</v>
      </c>
      <c r="F113" s="985">
        <v>1200</v>
      </c>
      <c r="G113" s="985">
        <v>2083</v>
      </c>
      <c r="H113" s="985">
        <v>3283</v>
      </c>
      <c r="I113" s="985">
        <v>531</v>
      </c>
      <c r="J113" s="985">
        <v>2908</v>
      </c>
      <c r="K113" s="985">
        <v>3439</v>
      </c>
      <c r="L113" s="985">
        <v>547</v>
      </c>
      <c r="M113" s="985">
        <v>3150</v>
      </c>
      <c r="N113" s="985">
        <v>3697</v>
      </c>
      <c r="O113" s="985">
        <v>881</v>
      </c>
      <c r="P113" s="985">
        <v>4642</v>
      </c>
      <c r="Q113" s="985">
        <v>5523</v>
      </c>
      <c r="R113" s="985">
        <v>1003</v>
      </c>
      <c r="S113" s="985">
        <v>4676</v>
      </c>
      <c r="T113" s="985">
        <v>5679</v>
      </c>
      <c r="U113" s="985">
        <v>406</v>
      </c>
      <c r="V113" s="985">
        <v>4895</v>
      </c>
      <c r="W113" s="985">
        <v>5301</v>
      </c>
      <c r="X113" s="985">
        <v>306</v>
      </c>
      <c r="Y113" s="985">
        <v>3097</v>
      </c>
      <c r="Z113" s="985">
        <v>3403</v>
      </c>
      <c r="AA113" s="985">
        <v>162</v>
      </c>
      <c r="AB113" s="985">
        <v>1357</v>
      </c>
      <c r="AC113" s="985">
        <v>1519</v>
      </c>
      <c r="AD113" s="985">
        <v>80</v>
      </c>
      <c r="AE113" s="985">
        <v>938</v>
      </c>
      <c r="AF113" s="985">
        <v>1018</v>
      </c>
      <c r="AH113" s="985">
        <f t="shared" si="47"/>
        <v>2647</v>
      </c>
      <c r="AI113" s="985">
        <f t="shared" si="48"/>
        <v>7773</v>
      </c>
      <c r="AJ113" s="985">
        <f t="shared" si="49"/>
        <v>10420</v>
      </c>
      <c r="AK113" s="985">
        <f t="shared" si="50"/>
        <v>3143</v>
      </c>
      <c r="AL113" s="985">
        <f t="shared" si="51"/>
        <v>20460</v>
      </c>
      <c r="AM113" s="985">
        <f t="shared" si="52"/>
        <v>23603</v>
      </c>
      <c r="AN113" s="985">
        <f t="shared" si="53"/>
        <v>242</v>
      </c>
      <c r="AO113" s="985">
        <f t="shared" si="54"/>
        <v>2295</v>
      </c>
      <c r="AP113" s="985">
        <f t="shared" si="55"/>
        <v>2537</v>
      </c>
      <c r="AR113" s="986">
        <f t="shared" si="56"/>
        <v>0.2540307101727447</v>
      </c>
      <c r="AS113" s="986">
        <f t="shared" si="57"/>
        <v>0.13316103885099351</v>
      </c>
      <c r="AT113" s="986">
        <f t="shared" si="58"/>
        <v>9.5388253843121801E-2</v>
      </c>
      <c r="AV113" s="987">
        <v>11024</v>
      </c>
      <c r="AW113" s="987">
        <v>25519</v>
      </c>
      <c r="AX113" s="987">
        <v>2757</v>
      </c>
      <c r="AZ113" s="987">
        <f t="shared" si="59"/>
        <v>2800.4345489443376</v>
      </c>
      <c r="BA113" s="987">
        <f t="shared" si="60"/>
        <v>3398.1365504385035</v>
      </c>
      <c r="BB113" s="987">
        <f t="shared" si="61"/>
        <v>262.98541584548678</v>
      </c>
      <c r="BC113" s="1004">
        <f t="shared" si="46"/>
        <v>6461.556515228328</v>
      </c>
    </row>
    <row r="114" spans="1:55" s="984" customFormat="1" ht="12" customHeight="1">
      <c r="A114" s="984" t="s">
        <v>144</v>
      </c>
      <c r="B114" s="988" t="s">
        <v>145</v>
      </c>
      <c r="C114" s="1001">
        <v>183</v>
      </c>
      <c r="D114" s="985">
        <v>1365</v>
      </c>
      <c r="E114" s="985">
        <v>1548</v>
      </c>
      <c r="F114" s="985">
        <v>227</v>
      </c>
      <c r="G114" s="985">
        <v>1167</v>
      </c>
      <c r="H114" s="985">
        <v>1394</v>
      </c>
      <c r="I114" s="985">
        <v>39</v>
      </c>
      <c r="J114" s="985">
        <v>999</v>
      </c>
      <c r="K114" s="985">
        <v>1038</v>
      </c>
      <c r="L114" s="985">
        <v>139</v>
      </c>
      <c r="M114" s="985">
        <v>1254</v>
      </c>
      <c r="N114" s="985">
        <v>1393</v>
      </c>
      <c r="O114" s="985">
        <v>133</v>
      </c>
      <c r="P114" s="985">
        <v>2317</v>
      </c>
      <c r="Q114" s="985">
        <v>2450</v>
      </c>
      <c r="R114" s="985">
        <v>81</v>
      </c>
      <c r="S114" s="985">
        <v>2354</v>
      </c>
      <c r="T114" s="985">
        <v>2435</v>
      </c>
      <c r="U114" s="985">
        <v>18</v>
      </c>
      <c r="V114" s="985">
        <v>1693</v>
      </c>
      <c r="W114" s="985">
        <v>1711</v>
      </c>
      <c r="X114" s="985">
        <v>110</v>
      </c>
      <c r="Y114" s="985">
        <v>845</v>
      </c>
      <c r="Z114" s="985">
        <v>955</v>
      </c>
      <c r="AA114" s="985">
        <v>42</v>
      </c>
      <c r="AB114" s="985">
        <v>443</v>
      </c>
      <c r="AC114" s="985">
        <v>485</v>
      </c>
      <c r="AD114" s="985">
        <v>74</v>
      </c>
      <c r="AE114" s="985">
        <v>260</v>
      </c>
      <c r="AF114" s="985">
        <v>334</v>
      </c>
      <c r="AH114" s="985">
        <f t="shared" si="47"/>
        <v>449</v>
      </c>
      <c r="AI114" s="985">
        <f t="shared" si="48"/>
        <v>3531</v>
      </c>
      <c r="AJ114" s="985">
        <f t="shared" si="49"/>
        <v>3980</v>
      </c>
      <c r="AK114" s="985">
        <f t="shared" si="50"/>
        <v>481</v>
      </c>
      <c r="AL114" s="985">
        <f t="shared" si="51"/>
        <v>8463</v>
      </c>
      <c r="AM114" s="985">
        <f t="shared" si="52"/>
        <v>8944</v>
      </c>
      <c r="AN114" s="985">
        <f t="shared" si="53"/>
        <v>116</v>
      </c>
      <c r="AO114" s="985">
        <f t="shared" si="54"/>
        <v>703</v>
      </c>
      <c r="AP114" s="985">
        <f t="shared" si="55"/>
        <v>819</v>
      </c>
      <c r="AR114" s="986">
        <f t="shared" si="56"/>
        <v>0.11281407035175879</v>
      </c>
      <c r="AS114" s="986">
        <f t="shared" si="57"/>
        <v>5.3779069767441859E-2</v>
      </c>
      <c r="AT114" s="986">
        <f t="shared" si="58"/>
        <v>0.14163614163614163</v>
      </c>
      <c r="AV114" s="987">
        <v>4426</v>
      </c>
      <c r="AW114" s="987">
        <v>10119</v>
      </c>
      <c r="AX114" s="987">
        <v>787</v>
      </c>
      <c r="AZ114" s="987">
        <f t="shared" si="59"/>
        <v>499.31507537688441</v>
      </c>
      <c r="BA114" s="987">
        <f t="shared" si="60"/>
        <v>544.19040697674416</v>
      </c>
      <c r="BB114" s="987">
        <f t="shared" si="61"/>
        <v>111.46764346764347</v>
      </c>
      <c r="BC114" s="1004">
        <f t="shared" si="46"/>
        <v>1154.9731258212721</v>
      </c>
    </row>
    <row r="115" spans="1:55" s="984" customFormat="1" ht="12" customHeight="1">
      <c r="A115" s="984" t="s">
        <v>158</v>
      </c>
      <c r="B115" s="988" t="s">
        <v>159</v>
      </c>
      <c r="C115" s="1001">
        <v>5139</v>
      </c>
      <c r="D115" s="985">
        <v>10578</v>
      </c>
      <c r="E115" s="985">
        <v>15717</v>
      </c>
      <c r="F115" s="985">
        <v>3631</v>
      </c>
      <c r="G115" s="985">
        <v>10278</v>
      </c>
      <c r="H115" s="985">
        <v>13909</v>
      </c>
      <c r="I115" s="985">
        <v>3008</v>
      </c>
      <c r="J115" s="985">
        <v>11217</v>
      </c>
      <c r="K115" s="985">
        <v>14225</v>
      </c>
      <c r="L115" s="985">
        <v>5567</v>
      </c>
      <c r="M115" s="985">
        <v>14387</v>
      </c>
      <c r="N115" s="985">
        <v>19954</v>
      </c>
      <c r="O115" s="985">
        <v>4292</v>
      </c>
      <c r="P115" s="985">
        <v>22506</v>
      </c>
      <c r="Q115" s="985">
        <v>26798</v>
      </c>
      <c r="R115" s="985">
        <v>2780</v>
      </c>
      <c r="S115" s="985">
        <v>19632</v>
      </c>
      <c r="T115" s="985">
        <v>22412</v>
      </c>
      <c r="U115" s="985">
        <v>2723</v>
      </c>
      <c r="V115" s="985">
        <v>22035</v>
      </c>
      <c r="W115" s="985">
        <v>24758</v>
      </c>
      <c r="X115" s="985">
        <v>2475</v>
      </c>
      <c r="Y115" s="985">
        <v>15195</v>
      </c>
      <c r="Z115" s="985">
        <v>17670</v>
      </c>
      <c r="AA115" s="985">
        <v>1014</v>
      </c>
      <c r="AB115" s="985">
        <v>9053</v>
      </c>
      <c r="AC115" s="985">
        <v>10067</v>
      </c>
      <c r="AD115" s="985">
        <v>1019</v>
      </c>
      <c r="AE115" s="985">
        <v>7091</v>
      </c>
      <c r="AF115" s="985">
        <v>8110</v>
      </c>
      <c r="AH115" s="985">
        <f t="shared" si="47"/>
        <v>11778</v>
      </c>
      <c r="AI115" s="985">
        <f t="shared" si="48"/>
        <v>32073</v>
      </c>
      <c r="AJ115" s="985">
        <f t="shared" si="49"/>
        <v>43851</v>
      </c>
      <c r="AK115" s="985">
        <f t="shared" si="50"/>
        <v>17837</v>
      </c>
      <c r="AL115" s="985">
        <f t="shared" si="51"/>
        <v>93755</v>
      </c>
      <c r="AM115" s="985">
        <f t="shared" si="52"/>
        <v>111592</v>
      </c>
      <c r="AN115" s="985">
        <f t="shared" si="53"/>
        <v>2033</v>
      </c>
      <c r="AO115" s="985">
        <f t="shared" si="54"/>
        <v>16144</v>
      </c>
      <c r="AP115" s="985">
        <f t="shared" si="55"/>
        <v>18177</v>
      </c>
      <c r="AR115" s="986">
        <f t="shared" si="56"/>
        <v>0.26859136621741808</v>
      </c>
      <c r="AS115" s="986">
        <f t="shared" si="57"/>
        <v>0.15984120725500037</v>
      </c>
      <c r="AT115" s="986">
        <f t="shared" si="58"/>
        <v>0.11184463882928976</v>
      </c>
      <c r="AV115" s="987">
        <v>43481</v>
      </c>
      <c r="AW115" s="987">
        <v>116671</v>
      </c>
      <c r="AX115" s="987">
        <v>19459</v>
      </c>
      <c r="AZ115" s="987">
        <f t="shared" si="59"/>
        <v>11678.621194499556</v>
      </c>
      <c r="BA115" s="987">
        <f t="shared" si="60"/>
        <v>18648.833491648147</v>
      </c>
      <c r="BB115" s="987">
        <f t="shared" si="61"/>
        <v>2176.3848269791492</v>
      </c>
      <c r="BC115" s="1004">
        <f t="shared" si="46"/>
        <v>32503.839513126852</v>
      </c>
    </row>
    <row r="116" spans="1:55" s="984" customFormat="1" ht="12" customHeight="1">
      <c r="A116" s="984" t="s">
        <v>160</v>
      </c>
      <c r="B116" s="988" t="s">
        <v>161</v>
      </c>
      <c r="C116" s="1001">
        <v>7226</v>
      </c>
      <c r="D116" s="985">
        <v>12364</v>
      </c>
      <c r="E116" s="985">
        <v>19590</v>
      </c>
      <c r="F116" s="985">
        <v>5898</v>
      </c>
      <c r="G116" s="985">
        <v>10637</v>
      </c>
      <c r="H116" s="985">
        <v>16535</v>
      </c>
      <c r="I116" s="985">
        <v>4687</v>
      </c>
      <c r="J116" s="985">
        <v>10320</v>
      </c>
      <c r="K116" s="985">
        <v>15007</v>
      </c>
      <c r="L116" s="985">
        <v>8956</v>
      </c>
      <c r="M116" s="985">
        <v>22633</v>
      </c>
      <c r="N116" s="985">
        <v>31589</v>
      </c>
      <c r="O116" s="985">
        <v>7339</v>
      </c>
      <c r="P116" s="985">
        <v>30554</v>
      </c>
      <c r="Q116" s="985">
        <v>37893</v>
      </c>
      <c r="R116" s="985">
        <v>4172</v>
      </c>
      <c r="S116" s="985">
        <v>23184</v>
      </c>
      <c r="T116" s="985">
        <v>27356</v>
      </c>
      <c r="U116" s="985">
        <v>4981</v>
      </c>
      <c r="V116" s="985">
        <v>24197</v>
      </c>
      <c r="W116" s="985">
        <v>29178</v>
      </c>
      <c r="X116" s="985">
        <v>3225</v>
      </c>
      <c r="Y116" s="985">
        <v>18164</v>
      </c>
      <c r="Z116" s="985">
        <v>21389</v>
      </c>
      <c r="AA116" s="985">
        <v>1747</v>
      </c>
      <c r="AB116" s="985">
        <v>9446</v>
      </c>
      <c r="AC116" s="985">
        <v>11193</v>
      </c>
      <c r="AD116" s="985">
        <v>1811</v>
      </c>
      <c r="AE116" s="985">
        <v>9124</v>
      </c>
      <c r="AF116" s="985">
        <v>10935</v>
      </c>
      <c r="AH116" s="985">
        <f t="shared" si="47"/>
        <v>17811</v>
      </c>
      <c r="AI116" s="985">
        <f t="shared" si="48"/>
        <v>33321</v>
      </c>
      <c r="AJ116" s="985">
        <f t="shared" si="49"/>
        <v>51132</v>
      </c>
      <c r="AK116" s="985">
        <f t="shared" si="50"/>
        <v>28673</v>
      </c>
      <c r="AL116" s="985">
        <f t="shared" si="51"/>
        <v>118732</v>
      </c>
      <c r="AM116" s="985">
        <f t="shared" si="52"/>
        <v>147405</v>
      </c>
      <c r="AN116" s="985">
        <f t="shared" si="53"/>
        <v>3558</v>
      </c>
      <c r="AO116" s="985">
        <f t="shared" si="54"/>
        <v>18570</v>
      </c>
      <c r="AP116" s="985">
        <f t="shared" si="55"/>
        <v>22128</v>
      </c>
      <c r="AR116" s="986">
        <f t="shared" si="56"/>
        <v>0.34833372447782213</v>
      </c>
      <c r="AS116" s="986">
        <f t="shared" si="57"/>
        <v>0.19451850344289542</v>
      </c>
      <c r="AT116" s="986">
        <f t="shared" si="58"/>
        <v>0.16079175704989154</v>
      </c>
      <c r="AV116" s="987">
        <v>50672</v>
      </c>
      <c r="AW116" s="987">
        <v>169118</v>
      </c>
      <c r="AX116" s="987">
        <v>22838</v>
      </c>
      <c r="AZ116" s="987">
        <f t="shared" si="59"/>
        <v>17650.766486740202</v>
      </c>
      <c r="BA116" s="987">
        <f t="shared" si="60"/>
        <v>32896.580265255587</v>
      </c>
      <c r="BB116" s="987">
        <f t="shared" si="61"/>
        <v>3672.162147505423</v>
      </c>
      <c r="BC116" s="1004">
        <f t="shared" si="46"/>
        <v>54219.508899501212</v>
      </c>
    </row>
    <row r="117" spans="1:55" s="984" customFormat="1" ht="12" customHeight="1">
      <c r="A117" s="984" t="s">
        <v>166</v>
      </c>
      <c r="B117" s="988" t="s">
        <v>167</v>
      </c>
      <c r="C117" s="1001">
        <v>102</v>
      </c>
      <c r="D117" s="985">
        <v>75</v>
      </c>
      <c r="E117" s="985">
        <v>177</v>
      </c>
      <c r="F117" s="985">
        <v>49</v>
      </c>
      <c r="G117" s="985">
        <v>268</v>
      </c>
      <c r="H117" s="985">
        <v>317</v>
      </c>
      <c r="I117" s="985">
        <v>117</v>
      </c>
      <c r="J117" s="985">
        <v>335</v>
      </c>
      <c r="K117" s="985">
        <v>452</v>
      </c>
      <c r="L117" s="985">
        <v>181</v>
      </c>
      <c r="M117" s="985">
        <v>187</v>
      </c>
      <c r="N117" s="985">
        <v>368</v>
      </c>
      <c r="O117" s="985">
        <v>79</v>
      </c>
      <c r="P117" s="985">
        <v>334</v>
      </c>
      <c r="Q117" s="985">
        <v>413</v>
      </c>
      <c r="R117" s="985">
        <v>127</v>
      </c>
      <c r="S117" s="985">
        <v>422</v>
      </c>
      <c r="T117" s="985">
        <v>549</v>
      </c>
      <c r="U117" s="985">
        <v>135</v>
      </c>
      <c r="V117" s="985">
        <v>475</v>
      </c>
      <c r="W117" s="985">
        <v>610</v>
      </c>
      <c r="X117" s="985">
        <v>40</v>
      </c>
      <c r="Y117" s="985">
        <v>488</v>
      </c>
      <c r="Z117" s="985">
        <v>528</v>
      </c>
      <c r="AA117" s="985">
        <v>77</v>
      </c>
      <c r="AB117" s="985">
        <v>191</v>
      </c>
      <c r="AC117" s="985">
        <v>268</v>
      </c>
      <c r="AD117" s="985">
        <v>35</v>
      </c>
      <c r="AE117" s="985">
        <v>174</v>
      </c>
      <c r="AF117" s="985">
        <v>209</v>
      </c>
      <c r="AH117" s="985">
        <f t="shared" si="47"/>
        <v>268</v>
      </c>
      <c r="AI117" s="985">
        <f t="shared" si="48"/>
        <v>678</v>
      </c>
      <c r="AJ117" s="985">
        <f t="shared" si="49"/>
        <v>946</v>
      </c>
      <c r="AK117" s="985">
        <f t="shared" si="50"/>
        <v>562</v>
      </c>
      <c r="AL117" s="985">
        <f t="shared" si="51"/>
        <v>1906</v>
      </c>
      <c r="AM117" s="985">
        <f t="shared" si="52"/>
        <v>2468</v>
      </c>
      <c r="AN117" s="985">
        <f t="shared" si="53"/>
        <v>112</v>
      </c>
      <c r="AO117" s="985">
        <f t="shared" si="54"/>
        <v>365</v>
      </c>
      <c r="AP117" s="985">
        <f t="shared" si="55"/>
        <v>477</v>
      </c>
      <c r="AR117" s="986">
        <f t="shared" si="56"/>
        <v>0.28329809725158561</v>
      </c>
      <c r="AS117" s="986">
        <f t="shared" si="57"/>
        <v>0.22771474878444084</v>
      </c>
      <c r="AT117" s="986">
        <f t="shared" si="58"/>
        <v>0.23480083857442349</v>
      </c>
      <c r="AV117" s="987">
        <v>891</v>
      </c>
      <c r="AW117" s="987">
        <v>2588</v>
      </c>
      <c r="AX117" s="987">
        <v>575</v>
      </c>
      <c r="AZ117" s="987">
        <f t="shared" si="59"/>
        <v>252.41860465116278</v>
      </c>
      <c r="BA117" s="987">
        <f t="shared" si="60"/>
        <v>589.32576985413289</v>
      </c>
      <c r="BB117" s="987">
        <f t="shared" si="61"/>
        <v>135.01048218029351</v>
      </c>
      <c r="BC117" s="1004">
        <f t="shared" si="46"/>
        <v>976.75485668558917</v>
      </c>
    </row>
    <row r="118" spans="1:55" s="984" customFormat="1" ht="12" customHeight="1">
      <c r="A118" s="984" t="s">
        <v>176</v>
      </c>
      <c r="B118" s="988" t="s">
        <v>177</v>
      </c>
      <c r="C118" s="1001">
        <v>1152</v>
      </c>
      <c r="D118" s="985">
        <v>1316</v>
      </c>
      <c r="E118" s="985">
        <v>2468</v>
      </c>
      <c r="F118" s="985">
        <v>1062</v>
      </c>
      <c r="G118" s="985">
        <v>670</v>
      </c>
      <c r="H118" s="985">
        <v>1732</v>
      </c>
      <c r="I118" s="985">
        <v>965</v>
      </c>
      <c r="J118" s="985">
        <v>1542</v>
      </c>
      <c r="K118" s="985">
        <v>2507</v>
      </c>
      <c r="L118" s="985">
        <v>989</v>
      </c>
      <c r="M118" s="985">
        <v>2756</v>
      </c>
      <c r="N118" s="985">
        <v>3745</v>
      </c>
      <c r="O118" s="985">
        <v>1201</v>
      </c>
      <c r="P118" s="985">
        <v>2775</v>
      </c>
      <c r="Q118" s="985">
        <v>3976</v>
      </c>
      <c r="R118" s="985">
        <v>842</v>
      </c>
      <c r="S118" s="985">
        <v>2919</v>
      </c>
      <c r="T118" s="985">
        <v>3761</v>
      </c>
      <c r="U118" s="985">
        <v>1286</v>
      </c>
      <c r="V118" s="985">
        <v>3598</v>
      </c>
      <c r="W118" s="985">
        <v>4884</v>
      </c>
      <c r="X118" s="985">
        <v>588</v>
      </c>
      <c r="Y118" s="985">
        <v>3455</v>
      </c>
      <c r="Z118" s="985">
        <v>4043</v>
      </c>
      <c r="AA118" s="985">
        <v>447</v>
      </c>
      <c r="AB118" s="985">
        <v>2046</v>
      </c>
      <c r="AC118" s="985">
        <v>2493</v>
      </c>
      <c r="AD118" s="985">
        <v>476</v>
      </c>
      <c r="AE118" s="985">
        <v>1497</v>
      </c>
      <c r="AF118" s="985">
        <v>1973</v>
      </c>
      <c r="AH118" s="985">
        <f t="shared" si="47"/>
        <v>3179</v>
      </c>
      <c r="AI118" s="985">
        <f t="shared" si="48"/>
        <v>3528</v>
      </c>
      <c r="AJ118" s="985">
        <f t="shared" si="49"/>
        <v>6707</v>
      </c>
      <c r="AK118" s="985">
        <f t="shared" si="50"/>
        <v>4906</v>
      </c>
      <c r="AL118" s="985">
        <f t="shared" si="51"/>
        <v>15503</v>
      </c>
      <c r="AM118" s="985">
        <f t="shared" si="52"/>
        <v>20409</v>
      </c>
      <c r="AN118" s="985">
        <f t="shared" si="53"/>
        <v>923</v>
      </c>
      <c r="AO118" s="985">
        <f t="shared" si="54"/>
        <v>3543</v>
      </c>
      <c r="AP118" s="985">
        <f t="shared" si="55"/>
        <v>4466</v>
      </c>
      <c r="AR118" s="986">
        <f t="shared" si="56"/>
        <v>0.47398240644103173</v>
      </c>
      <c r="AS118" s="986">
        <f t="shared" si="57"/>
        <v>0.24038414425008575</v>
      </c>
      <c r="AT118" s="986">
        <f t="shared" si="58"/>
        <v>0.20667263770712047</v>
      </c>
      <c r="AV118" s="987">
        <v>6938</v>
      </c>
      <c r="AW118" s="987">
        <v>20387</v>
      </c>
      <c r="AX118" s="987">
        <v>5001</v>
      </c>
      <c r="AZ118" s="987">
        <f t="shared" si="59"/>
        <v>3288.4899358878783</v>
      </c>
      <c r="BA118" s="987">
        <f t="shared" si="60"/>
        <v>4900.7115488264981</v>
      </c>
      <c r="BB118" s="987">
        <f t="shared" si="61"/>
        <v>1033.5698611733094</v>
      </c>
      <c r="BC118" s="1004">
        <f t="shared" si="46"/>
        <v>9222.771345887686</v>
      </c>
    </row>
    <row r="119" spans="1:55" s="984" customFormat="1" ht="12" customHeight="1">
      <c r="A119" s="984" t="s">
        <v>180</v>
      </c>
      <c r="B119" s="988" t="s">
        <v>181</v>
      </c>
      <c r="C119" s="1001">
        <v>3133</v>
      </c>
      <c r="D119" s="985">
        <v>5078</v>
      </c>
      <c r="E119" s="985">
        <v>8211</v>
      </c>
      <c r="F119" s="985">
        <v>2271</v>
      </c>
      <c r="G119" s="985">
        <v>4879</v>
      </c>
      <c r="H119" s="985">
        <v>7150</v>
      </c>
      <c r="I119" s="985">
        <v>1911</v>
      </c>
      <c r="J119" s="985">
        <v>5299</v>
      </c>
      <c r="K119" s="985">
        <v>7210</v>
      </c>
      <c r="L119" s="985">
        <v>2366</v>
      </c>
      <c r="M119" s="985">
        <v>5868</v>
      </c>
      <c r="N119" s="985">
        <v>8234</v>
      </c>
      <c r="O119" s="985">
        <v>2738</v>
      </c>
      <c r="P119" s="985">
        <v>10410</v>
      </c>
      <c r="Q119" s="985">
        <v>13148</v>
      </c>
      <c r="R119" s="985">
        <v>1461</v>
      </c>
      <c r="S119" s="985">
        <v>9460</v>
      </c>
      <c r="T119" s="985">
        <v>10921</v>
      </c>
      <c r="U119" s="985">
        <v>1867</v>
      </c>
      <c r="V119" s="985">
        <v>11354</v>
      </c>
      <c r="W119" s="985">
        <v>13221</v>
      </c>
      <c r="X119" s="985">
        <v>1433</v>
      </c>
      <c r="Y119" s="985">
        <v>9125</v>
      </c>
      <c r="Z119" s="985">
        <v>10558</v>
      </c>
      <c r="AA119" s="985">
        <v>757</v>
      </c>
      <c r="AB119" s="985">
        <v>5501</v>
      </c>
      <c r="AC119" s="985">
        <v>6258</v>
      </c>
      <c r="AD119" s="985">
        <v>1102</v>
      </c>
      <c r="AE119" s="985">
        <v>4910</v>
      </c>
      <c r="AF119" s="985">
        <v>6012</v>
      </c>
      <c r="AH119" s="985">
        <f t="shared" si="47"/>
        <v>7315</v>
      </c>
      <c r="AI119" s="985">
        <f t="shared" si="48"/>
        <v>15256</v>
      </c>
      <c r="AJ119" s="985">
        <f t="shared" si="49"/>
        <v>22571</v>
      </c>
      <c r="AK119" s="985">
        <f t="shared" si="50"/>
        <v>9865</v>
      </c>
      <c r="AL119" s="985">
        <f t="shared" si="51"/>
        <v>46217</v>
      </c>
      <c r="AM119" s="985">
        <f t="shared" si="52"/>
        <v>56082</v>
      </c>
      <c r="AN119" s="985">
        <f t="shared" si="53"/>
        <v>1859</v>
      </c>
      <c r="AO119" s="985">
        <f t="shared" si="54"/>
        <v>10411</v>
      </c>
      <c r="AP119" s="985">
        <f t="shared" si="55"/>
        <v>12270</v>
      </c>
      <c r="AR119" s="986">
        <f t="shared" si="56"/>
        <v>0.32408843205883658</v>
      </c>
      <c r="AS119" s="986">
        <f t="shared" si="57"/>
        <v>0.17590314182803751</v>
      </c>
      <c r="AT119" s="986">
        <f t="shared" si="58"/>
        <v>0.1515077424612877</v>
      </c>
      <c r="AV119" s="987">
        <v>22755</v>
      </c>
      <c r="AW119" s="987">
        <v>60387</v>
      </c>
      <c r="AX119" s="987">
        <v>12542</v>
      </c>
      <c r="AZ119" s="987">
        <f t="shared" si="59"/>
        <v>7374.6322714988264</v>
      </c>
      <c r="BA119" s="987">
        <f t="shared" si="60"/>
        <v>10622.2630255697</v>
      </c>
      <c r="BB119" s="987">
        <f t="shared" si="61"/>
        <v>1900.2101059494703</v>
      </c>
      <c r="BC119" s="1004">
        <f t="shared" si="46"/>
        <v>19897.105403017998</v>
      </c>
    </row>
    <row r="120" spans="1:55" s="984" customFormat="1" ht="12" customHeight="1">
      <c r="A120" s="984" t="s">
        <v>192</v>
      </c>
      <c r="B120" s="988" t="s">
        <v>193</v>
      </c>
      <c r="C120" s="1001">
        <v>112</v>
      </c>
      <c r="D120" s="985">
        <v>500</v>
      </c>
      <c r="E120" s="985">
        <v>612</v>
      </c>
      <c r="F120" s="985">
        <v>159</v>
      </c>
      <c r="G120" s="985">
        <v>545</v>
      </c>
      <c r="H120" s="985">
        <v>704</v>
      </c>
      <c r="I120" s="985">
        <v>178</v>
      </c>
      <c r="J120" s="985">
        <v>534</v>
      </c>
      <c r="K120" s="985">
        <v>712</v>
      </c>
      <c r="L120" s="985">
        <v>3762</v>
      </c>
      <c r="M120" s="985">
        <v>827</v>
      </c>
      <c r="N120" s="985">
        <v>4589</v>
      </c>
      <c r="O120" s="985">
        <v>354</v>
      </c>
      <c r="P120" s="985">
        <v>1045</v>
      </c>
      <c r="Q120" s="985">
        <v>1399</v>
      </c>
      <c r="R120" s="985">
        <v>133</v>
      </c>
      <c r="S120" s="985">
        <v>1087</v>
      </c>
      <c r="T120" s="985">
        <v>1220</v>
      </c>
      <c r="U120" s="985">
        <v>298</v>
      </c>
      <c r="V120" s="985">
        <v>1150</v>
      </c>
      <c r="W120" s="985">
        <v>1448</v>
      </c>
      <c r="X120" s="985">
        <v>53</v>
      </c>
      <c r="Y120" s="985">
        <v>888</v>
      </c>
      <c r="Z120" s="985">
        <v>941</v>
      </c>
      <c r="AA120" s="985">
        <v>123</v>
      </c>
      <c r="AB120" s="985">
        <v>648</v>
      </c>
      <c r="AC120" s="985">
        <v>771</v>
      </c>
      <c r="AD120" s="985">
        <v>151</v>
      </c>
      <c r="AE120" s="985">
        <v>505</v>
      </c>
      <c r="AF120" s="985">
        <v>656</v>
      </c>
      <c r="AH120" s="985">
        <f t="shared" si="47"/>
        <v>449</v>
      </c>
      <c r="AI120" s="985">
        <f t="shared" si="48"/>
        <v>1579</v>
      </c>
      <c r="AJ120" s="985">
        <f t="shared" si="49"/>
        <v>2028</v>
      </c>
      <c r="AK120" s="985">
        <f t="shared" si="50"/>
        <v>4600</v>
      </c>
      <c r="AL120" s="985">
        <f t="shared" si="51"/>
        <v>4997</v>
      </c>
      <c r="AM120" s="985">
        <f t="shared" si="52"/>
        <v>9597</v>
      </c>
      <c r="AN120" s="985">
        <f t="shared" si="53"/>
        <v>274</v>
      </c>
      <c r="AO120" s="985">
        <f t="shared" si="54"/>
        <v>1153</v>
      </c>
      <c r="AP120" s="985">
        <f t="shared" si="55"/>
        <v>1427</v>
      </c>
      <c r="AR120" s="986">
        <f t="shared" si="56"/>
        <v>0.22140039447731755</v>
      </c>
      <c r="AS120" s="986">
        <f t="shared" si="57"/>
        <v>0.47931645305824738</v>
      </c>
      <c r="AT120" s="986">
        <f t="shared" si="58"/>
        <v>0.19201121233356691</v>
      </c>
      <c r="AV120" s="987">
        <v>2050</v>
      </c>
      <c r="AW120" s="987">
        <v>12937</v>
      </c>
      <c r="AX120" s="987">
        <v>1427</v>
      </c>
      <c r="AZ120" s="987">
        <f t="shared" si="59"/>
        <v>453.87080867850096</v>
      </c>
      <c r="BA120" s="987">
        <f t="shared" si="60"/>
        <v>6200.9169532145461</v>
      </c>
      <c r="BB120" s="987">
        <f t="shared" si="61"/>
        <v>274</v>
      </c>
      <c r="BC120" s="1004">
        <f t="shared" si="46"/>
        <v>6928.787761893047</v>
      </c>
    </row>
    <row r="121" spans="1:55" s="984" customFormat="1" ht="12" customHeight="1">
      <c r="A121" s="984" t="s">
        <v>196</v>
      </c>
      <c r="B121" s="988" t="s">
        <v>197</v>
      </c>
      <c r="C121" s="1001">
        <v>6893</v>
      </c>
      <c r="D121" s="985">
        <v>8237</v>
      </c>
      <c r="E121" s="985">
        <v>15130</v>
      </c>
      <c r="F121" s="985">
        <v>6052</v>
      </c>
      <c r="G121" s="985">
        <v>6112</v>
      </c>
      <c r="H121" s="985">
        <v>12164</v>
      </c>
      <c r="I121" s="985">
        <v>4866</v>
      </c>
      <c r="J121" s="985">
        <v>6164</v>
      </c>
      <c r="K121" s="985">
        <v>11030</v>
      </c>
      <c r="L121" s="985">
        <v>15048</v>
      </c>
      <c r="M121" s="985">
        <v>13192</v>
      </c>
      <c r="N121" s="985">
        <v>28240</v>
      </c>
      <c r="O121" s="985">
        <v>8672</v>
      </c>
      <c r="P121" s="985">
        <v>25296</v>
      </c>
      <c r="Q121" s="985">
        <v>33968</v>
      </c>
      <c r="R121" s="985">
        <v>4789</v>
      </c>
      <c r="S121" s="985">
        <v>19247</v>
      </c>
      <c r="T121" s="985">
        <v>24036</v>
      </c>
      <c r="U121" s="985">
        <v>5552</v>
      </c>
      <c r="V121" s="985">
        <v>20057</v>
      </c>
      <c r="W121" s="985">
        <v>25609</v>
      </c>
      <c r="X121" s="985">
        <v>4607</v>
      </c>
      <c r="Y121" s="985">
        <v>16784</v>
      </c>
      <c r="Z121" s="985">
        <v>21391</v>
      </c>
      <c r="AA121" s="985">
        <v>2531</v>
      </c>
      <c r="AB121" s="985">
        <v>8702</v>
      </c>
      <c r="AC121" s="985">
        <v>11233</v>
      </c>
      <c r="AD121" s="985">
        <v>2177</v>
      </c>
      <c r="AE121" s="985">
        <v>8420</v>
      </c>
      <c r="AF121" s="985">
        <v>10597</v>
      </c>
      <c r="AH121" s="985">
        <f t="shared" si="47"/>
        <v>17811</v>
      </c>
      <c r="AI121" s="985">
        <f t="shared" si="48"/>
        <v>20513</v>
      </c>
      <c r="AJ121" s="985">
        <f t="shared" si="49"/>
        <v>38324</v>
      </c>
      <c r="AK121" s="985">
        <f t="shared" si="50"/>
        <v>38668</v>
      </c>
      <c r="AL121" s="985">
        <f t="shared" si="51"/>
        <v>94576</v>
      </c>
      <c r="AM121" s="985">
        <f t="shared" si="52"/>
        <v>133244</v>
      </c>
      <c r="AN121" s="985">
        <f t="shared" si="53"/>
        <v>4708</v>
      </c>
      <c r="AO121" s="985">
        <f t="shared" si="54"/>
        <v>17122</v>
      </c>
      <c r="AP121" s="985">
        <f t="shared" si="55"/>
        <v>21830</v>
      </c>
      <c r="AR121" s="986">
        <f t="shared" si="56"/>
        <v>0.46474793862853564</v>
      </c>
      <c r="AS121" s="986">
        <f t="shared" si="57"/>
        <v>0.29020443697277176</v>
      </c>
      <c r="AT121" s="986">
        <f t="shared" si="58"/>
        <v>0.21566651397159872</v>
      </c>
      <c r="AV121" s="987">
        <v>39396</v>
      </c>
      <c r="AW121" s="987">
        <v>143661</v>
      </c>
      <c r="AX121" s="987">
        <v>22476</v>
      </c>
      <c r="AZ121" s="987">
        <f t="shared" si="59"/>
        <v>18309.209790209788</v>
      </c>
      <c r="BA121" s="987">
        <f t="shared" si="60"/>
        <v>41691.059619945365</v>
      </c>
      <c r="BB121" s="987">
        <f t="shared" si="61"/>
        <v>4847.3205680256533</v>
      </c>
      <c r="BC121" s="1004">
        <f t="shared" si="46"/>
        <v>64847.589978180804</v>
      </c>
    </row>
    <row r="122" spans="1:55" s="984" customFormat="1" ht="12" customHeight="1">
      <c r="A122" s="984" t="s">
        <v>200</v>
      </c>
      <c r="B122" s="988" t="s">
        <v>201</v>
      </c>
      <c r="C122" s="1001">
        <v>3167</v>
      </c>
      <c r="D122" s="985">
        <v>4574</v>
      </c>
      <c r="E122" s="985">
        <v>7741</v>
      </c>
      <c r="F122" s="985">
        <v>2806</v>
      </c>
      <c r="G122" s="985">
        <v>3698</v>
      </c>
      <c r="H122" s="985">
        <v>6504</v>
      </c>
      <c r="I122" s="985">
        <v>2386</v>
      </c>
      <c r="J122" s="985">
        <v>3845</v>
      </c>
      <c r="K122" s="985">
        <v>6231</v>
      </c>
      <c r="L122" s="985">
        <v>3011</v>
      </c>
      <c r="M122" s="985">
        <v>5271</v>
      </c>
      <c r="N122" s="985">
        <v>8282</v>
      </c>
      <c r="O122" s="985">
        <v>3420</v>
      </c>
      <c r="P122" s="985">
        <v>10524</v>
      </c>
      <c r="Q122" s="985">
        <v>13944</v>
      </c>
      <c r="R122" s="985">
        <v>2650</v>
      </c>
      <c r="S122" s="985">
        <v>10011</v>
      </c>
      <c r="T122" s="985">
        <v>12661</v>
      </c>
      <c r="U122" s="985">
        <v>2980</v>
      </c>
      <c r="V122" s="985">
        <v>10777</v>
      </c>
      <c r="W122" s="985">
        <v>13757</v>
      </c>
      <c r="X122" s="985">
        <v>2014</v>
      </c>
      <c r="Y122" s="985">
        <v>10035</v>
      </c>
      <c r="Z122" s="985">
        <v>12049</v>
      </c>
      <c r="AA122" s="985">
        <v>1202</v>
      </c>
      <c r="AB122" s="985">
        <v>5294</v>
      </c>
      <c r="AC122" s="985">
        <v>6496</v>
      </c>
      <c r="AD122" s="985">
        <v>1236</v>
      </c>
      <c r="AE122" s="985">
        <v>5378</v>
      </c>
      <c r="AF122" s="985">
        <v>6614</v>
      </c>
      <c r="AH122" s="985">
        <f t="shared" si="47"/>
        <v>8359</v>
      </c>
      <c r="AI122" s="985">
        <f t="shared" si="48"/>
        <v>12117</v>
      </c>
      <c r="AJ122" s="985">
        <f t="shared" si="49"/>
        <v>20476</v>
      </c>
      <c r="AK122" s="985">
        <f t="shared" si="50"/>
        <v>14075</v>
      </c>
      <c r="AL122" s="985">
        <f t="shared" si="51"/>
        <v>46618</v>
      </c>
      <c r="AM122" s="985">
        <f t="shared" si="52"/>
        <v>60693</v>
      </c>
      <c r="AN122" s="985">
        <f t="shared" si="53"/>
        <v>2438</v>
      </c>
      <c r="AO122" s="985">
        <f t="shared" si="54"/>
        <v>10672</v>
      </c>
      <c r="AP122" s="985">
        <f t="shared" si="55"/>
        <v>13110</v>
      </c>
      <c r="AR122" s="986">
        <f t="shared" si="56"/>
        <v>0.40823403008400078</v>
      </c>
      <c r="AS122" s="986">
        <f t="shared" si="57"/>
        <v>0.23190483251775329</v>
      </c>
      <c r="AT122" s="986">
        <f t="shared" si="58"/>
        <v>0.18596491228070175</v>
      </c>
      <c r="AV122" s="987">
        <v>21053</v>
      </c>
      <c r="AW122" s="987">
        <v>61790</v>
      </c>
      <c r="AX122" s="987">
        <v>13871</v>
      </c>
      <c r="AZ122" s="987">
        <f t="shared" si="59"/>
        <v>8594.5510353584687</v>
      </c>
      <c r="BA122" s="987">
        <f t="shared" si="60"/>
        <v>14329.399601271976</v>
      </c>
      <c r="BB122" s="987">
        <f t="shared" si="61"/>
        <v>2579.5192982456138</v>
      </c>
      <c r="BC122" s="1004">
        <f t="shared" si="46"/>
        <v>25503.469934876059</v>
      </c>
    </row>
    <row r="123" spans="1:55" s="984" customFormat="1" ht="12" customHeight="1">
      <c r="A123" s="984" t="s">
        <v>222</v>
      </c>
      <c r="B123" s="988" t="s">
        <v>223</v>
      </c>
      <c r="C123" s="1001">
        <v>1792</v>
      </c>
      <c r="D123" s="985">
        <v>5748</v>
      </c>
      <c r="E123" s="985">
        <v>7540</v>
      </c>
      <c r="F123" s="985">
        <v>1628</v>
      </c>
      <c r="G123" s="985">
        <v>5507</v>
      </c>
      <c r="H123" s="985">
        <v>7135</v>
      </c>
      <c r="I123" s="985">
        <v>1378</v>
      </c>
      <c r="J123" s="985">
        <v>5698</v>
      </c>
      <c r="K123" s="985">
        <v>7076</v>
      </c>
      <c r="L123" s="985">
        <v>1362</v>
      </c>
      <c r="M123" s="985">
        <v>5179</v>
      </c>
      <c r="N123" s="985">
        <v>6541</v>
      </c>
      <c r="O123" s="985">
        <v>1570</v>
      </c>
      <c r="P123" s="985">
        <v>7943</v>
      </c>
      <c r="Q123" s="985">
        <v>9513</v>
      </c>
      <c r="R123" s="985">
        <v>1290</v>
      </c>
      <c r="S123" s="985">
        <v>11473</v>
      </c>
      <c r="T123" s="985">
        <v>12763</v>
      </c>
      <c r="U123" s="985">
        <v>1158</v>
      </c>
      <c r="V123" s="985">
        <v>12154</v>
      </c>
      <c r="W123" s="985">
        <v>13312</v>
      </c>
      <c r="X123" s="985">
        <v>797</v>
      </c>
      <c r="Y123" s="985">
        <v>8499</v>
      </c>
      <c r="Z123" s="985">
        <v>9296</v>
      </c>
      <c r="AA123" s="985">
        <v>511</v>
      </c>
      <c r="AB123" s="985">
        <v>4866</v>
      </c>
      <c r="AC123" s="985">
        <v>5377</v>
      </c>
      <c r="AD123" s="985">
        <v>676</v>
      </c>
      <c r="AE123" s="985">
        <v>3132</v>
      </c>
      <c r="AF123" s="985">
        <v>3808</v>
      </c>
      <c r="AH123" s="985">
        <f t="shared" si="47"/>
        <v>4798</v>
      </c>
      <c r="AI123" s="985">
        <f t="shared" si="48"/>
        <v>16953</v>
      </c>
      <c r="AJ123" s="985">
        <f t="shared" si="49"/>
        <v>21751</v>
      </c>
      <c r="AK123" s="985">
        <f t="shared" si="50"/>
        <v>6177</v>
      </c>
      <c r="AL123" s="985">
        <f t="shared" si="51"/>
        <v>45248</v>
      </c>
      <c r="AM123" s="985">
        <f t="shared" si="52"/>
        <v>51425</v>
      </c>
      <c r="AN123" s="985">
        <f t="shared" si="53"/>
        <v>1187</v>
      </c>
      <c r="AO123" s="985">
        <f t="shared" si="54"/>
        <v>7998</v>
      </c>
      <c r="AP123" s="985">
        <f t="shared" si="55"/>
        <v>9185</v>
      </c>
      <c r="AR123" s="986">
        <f t="shared" si="56"/>
        <v>0.2205875591926808</v>
      </c>
      <c r="AS123" s="986">
        <f t="shared" si="57"/>
        <v>0.12011667476908118</v>
      </c>
      <c r="AT123" s="986">
        <f t="shared" si="58"/>
        <v>0.12923244420250407</v>
      </c>
      <c r="AV123" s="987">
        <v>21786</v>
      </c>
      <c r="AW123" s="987">
        <v>53101</v>
      </c>
      <c r="AX123" s="987">
        <v>10043</v>
      </c>
      <c r="AZ123" s="987">
        <f t="shared" si="59"/>
        <v>4805.720564571744</v>
      </c>
      <c r="BA123" s="987">
        <f t="shared" si="60"/>
        <v>6378.3155469129797</v>
      </c>
      <c r="BB123" s="987">
        <f t="shared" si="61"/>
        <v>1297.8814371257483</v>
      </c>
      <c r="BC123" s="1004">
        <f t="shared" si="46"/>
        <v>12481.917548610472</v>
      </c>
    </row>
    <row r="124" spans="1:55" s="984" customFormat="1" ht="12" customHeight="1">
      <c r="A124" s="984" t="s">
        <v>230</v>
      </c>
      <c r="B124" s="988" t="s">
        <v>231</v>
      </c>
      <c r="C124" s="1001">
        <v>5661</v>
      </c>
      <c r="D124" s="985">
        <v>27970</v>
      </c>
      <c r="E124" s="985">
        <v>33631</v>
      </c>
      <c r="F124" s="985">
        <v>4858</v>
      </c>
      <c r="G124" s="985">
        <v>29701</v>
      </c>
      <c r="H124" s="985">
        <v>34559</v>
      </c>
      <c r="I124" s="985">
        <v>4188</v>
      </c>
      <c r="J124" s="985">
        <v>32452</v>
      </c>
      <c r="K124" s="985">
        <v>36640</v>
      </c>
      <c r="L124" s="985">
        <v>5825</v>
      </c>
      <c r="M124" s="985">
        <v>36166</v>
      </c>
      <c r="N124" s="985">
        <v>41991</v>
      </c>
      <c r="O124" s="985">
        <v>5896</v>
      </c>
      <c r="P124" s="985">
        <v>58846</v>
      </c>
      <c r="Q124" s="985">
        <v>64742</v>
      </c>
      <c r="R124" s="985">
        <v>4241</v>
      </c>
      <c r="S124" s="985">
        <v>55844</v>
      </c>
      <c r="T124" s="985">
        <v>60085</v>
      </c>
      <c r="U124" s="985">
        <v>4287</v>
      </c>
      <c r="V124" s="985">
        <v>59707</v>
      </c>
      <c r="W124" s="985">
        <v>63994</v>
      </c>
      <c r="X124" s="985">
        <v>2815</v>
      </c>
      <c r="Y124" s="985">
        <v>43187</v>
      </c>
      <c r="Z124" s="985">
        <v>46002</v>
      </c>
      <c r="AA124" s="985">
        <v>1824</v>
      </c>
      <c r="AB124" s="985">
        <v>23101</v>
      </c>
      <c r="AC124" s="985">
        <v>24925</v>
      </c>
      <c r="AD124" s="985">
        <v>1774</v>
      </c>
      <c r="AE124" s="985">
        <v>17775</v>
      </c>
      <c r="AF124" s="985">
        <v>19549</v>
      </c>
      <c r="AH124" s="985">
        <f t="shared" si="47"/>
        <v>14707</v>
      </c>
      <c r="AI124" s="985">
        <f t="shared" si="48"/>
        <v>90123</v>
      </c>
      <c r="AJ124" s="985">
        <f t="shared" si="49"/>
        <v>104830</v>
      </c>
      <c r="AK124" s="985">
        <f t="shared" si="50"/>
        <v>23064</v>
      </c>
      <c r="AL124" s="985">
        <f t="shared" si="51"/>
        <v>253750</v>
      </c>
      <c r="AM124" s="985">
        <f t="shared" si="52"/>
        <v>276814</v>
      </c>
      <c r="AN124" s="985">
        <f t="shared" si="53"/>
        <v>3598</v>
      </c>
      <c r="AO124" s="985">
        <f t="shared" si="54"/>
        <v>40876</v>
      </c>
      <c r="AP124" s="985">
        <f t="shared" si="55"/>
        <v>44474</v>
      </c>
      <c r="AR124" s="986">
        <f t="shared" si="56"/>
        <v>0.14029380902413432</v>
      </c>
      <c r="AS124" s="986">
        <f t="shared" si="57"/>
        <v>8.3319485286148826E-2</v>
      </c>
      <c r="AT124" s="986">
        <f t="shared" si="58"/>
        <v>8.0901200701533477E-2</v>
      </c>
      <c r="AV124" s="987">
        <v>104515</v>
      </c>
      <c r="AW124" s="987">
        <v>290072</v>
      </c>
      <c r="AX124" s="987">
        <v>48120</v>
      </c>
      <c r="AZ124" s="987">
        <f t="shared" si="59"/>
        <v>14662.807450157399</v>
      </c>
      <c r="BA124" s="987">
        <f t="shared" si="60"/>
        <v>24168.649735923762</v>
      </c>
      <c r="BB124" s="987">
        <f t="shared" si="61"/>
        <v>3892.9657777577909</v>
      </c>
      <c r="BC124" s="1004">
        <f t="shared" si="46"/>
        <v>42724.422963838952</v>
      </c>
    </row>
    <row r="125" spans="1:55" s="984" customFormat="1" ht="12" customHeight="1">
      <c r="A125" s="984" t="s">
        <v>238</v>
      </c>
      <c r="B125" s="988" t="s">
        <v>239</v>
      </c>
      <c r="C125" s="1001">
        <v>109</v>
      </c>
      <c r="D125" s="985">
        <v>410</v>
      </c>
      <c r="E125" s="985">
        <v>519</v>
      </c>
      <c r="F125" s="985">
        <v>90</v>
      </c>
      <c r="G125" s="985">
        <v>368</v>
      </c>
      <c r="H125" s="985">
        <v>458</v>
      </c>
      <c r="I125" s="985">
        <v>43</v>
      </c>
      <c r="J125" s="985">
        <v>322</v>
      </c>
      <c r="K125" s="985">
        <v>365</v>
      </c>
      <c r="L125" s="985">
        <v>780</v>
      </c>
      <c r="M125" s="985">
        <v>723</v>
      </c>
      <c r="N125" s="985">
        <v>1503</v>
      </c>
      <c r="O125" s="985">
        <v>224</v>
      </c>
      <c r="P125" s="985">
        <v>954</v>
      </c>
      <c r="Q125" s="985">
        <v>1178</v>
      </c>
      <c r="R125" s="985">
        <v>90</v>
      </c>
      <c r="S125" s="985">
        <v>705</v>
      </c>
      <c r="T125" s="985">
        <v>795</v>
      </c>
      <c r="U125" s="985">
        <v>110</v>
      </c>
      <c r="V125" s="985">
        <v>824</v>
      </c>
      <c r="W125" s="985">
        <v>934</v>
      </c>
      <c r="X125" s="985">
        <v>64</v>
      </c>
      <c r="Y125" s="985">
        <v>1103</v>
      </c>
      <c r="Z125" s="985">
        <v>1167</v>
      </c>
      <c r="AA125" s="985">
        <v>104</v>
      </c>
      <c r="AB125" s="985">
        <v>964</v>
      </c>
      <c r="AC125" s="985">
        <v>1068</v>
      </c>
      <c r="AD125" s="985">
        <v>31</v>
      </c>
      <c r="AE125" s="985">
        <v>627</v>
      </c>
      <c r="AF125" s="985">
        <v>658</v>
      </c>
      <c r="AH125" s="985">
        <f t="shared" si="47"/>
        <v>242</v>
      </c>
      <c r="AI125" s="985">
        <f t="shared" si="48"/>
        <v>1100</v>
      </c>
      <c r="AJ125" s="985">
        <f t="shared" si="49"/>
        <v>1342</v>
      </c>
      <c r="AK125" s="985">
        <f t="shared" si="50"/>
        <v>1268</v>
      </c>
      <c r="AL125" s="985">
        <f t="shared" si="51"/>
        <v>4309</v>
      </c>
      <c r="AM125" s="985">
        <f t="shared" si="52"/>
        <v>5577</v>
      </c>
      <c r="AN125" s="985">
        <f t="shared" si="53"/>
        <v>135</v>
      </c>
      <c r="AO125" s="985">
        <f t="shared" si="54"/>
        <v>1591</v>
      </c>
      <c r="AP125" s="985">
        <f t="shared" si="55"/>
        <v>1726</v>
      </c>
      <c r="AR125" s="986">
        <f t="shared" si="56"/>
        <v>0.18032786885245902</v>
      </c>
      <c r="AS125" s="986">
        <f t="shared" si="57"/>
        <v>0.22736238120853505</v>
      </c>
      <c r="AT125" s="986">
        <f t="shared" si="58"/>
        <v>7.8215527230590956E-2</v>
      </c>
      <c r="AV125" s="987">
        <v>1518</v>
      </c>
      <c r="AW125" s="987">
        <v>11055</v>
      </c>
      <c r="AX125" s="987">
        <v>1871</v>
      </c>
      <c r="AZ125" s="987">
        <f t="shared" si="59"/>
        <v>273.73770491803282</v>
      </c>
      <c r="BA125" s="987">
        <f t="shared" si="60"/>
        <v>2513.4911242603548</v>
      </c>
      <c r="BB125" s="987">
        <f t="shared" si="61"/>
        <v>146.34125144843568</v>
      </c>
      <c r="BC125" s="1004">
        <f t="shared" si="46"/>
        <v>2933.5700806268233</v>
      </c>
    </row>
    <row r="126" spans="1:55" s="984" customFormat="1" ht="12" customHeight="1">
      <c r="A126" s="984" t="s">
        <v>240</v>
      </c>
      <c r="B126" s="988" t="s">
        <v>241</v>
      </c>
      <c r="C126" s="1001">
        <v>678</v>
      </c>
      <c r="D126" s="985">
        <v>1340</v>
      </c>
      <c r="E126" s="985">
        <v>2018</v>
      </c>
      <c r="F126" s="985">
        <v>554</v>
      </c>
      <c r="G126" s="985">
        <v>1068</v>
      </c>
      <c r="H126" s="985">
        <v>1622</v>
      </c>
      <c r="I126" s="985">
        <v>334</v>
      </c>
      <c r="J126" s="985">
        <v>1551</v>
      </c>
      <c r="K126" s="985">
        <v>1885</v>
      </c>
      <c r="L126" s="985">
        <v>1112</v>
      </c>
      <c r="M126" s="985">
        <v>1628</v>
      </c>
      <c r="N126" s="985">
        <v>2740</v>
      </c>
      <c r="O126" s="985">
        <v>756</v>
      </c>
      <c r="P126" s="985">
        <v>3033</v>
      </c>
      <c r="Q126" s="985">
        <v>3789</v>
      </c>
      <c r="R126" s="985">
        <v>624</v>
      </c>
      <c r="S126" s="985">
        <v>2603</v>
      </c>
      <c r="T126" s="985">
        <v>3227</v>
      </c>
      <c r="U126" s="985">
        <v>685</v>
      </c>
      <c r="V126" s="985">
        <v>2840</v>
      </c>
      <c r="W126" s="985">
        <v>3525</v>
      </c>
      <c r="X126" s="985">
        <v>360</v>
      </c>
      <c r="Y126" s="985">
        <v>2471</v>
      </c>
      <c r="Z126" s="985">
        <v>2831</v>
      </c>
      <c r="AA126" s="985">
        <v>253</v>
      </c>
      <c r="AB126" s="985">
        <v>1433</v>
      </c>
      <c r="AC126" s="985">
        <v>1686</v>
      </c>
      <c r="AD126" s="985">
        <v>204</v>
      </c>
      <c r="AE126" s="985">
        <v>1608</v>
      </c>
      <c r="AF126" s="985">
        <v>1812</v>
      </c>
      <c r="AH126" s="985">
        <f t="shared" si="47"/>
        <v>1566</v>
      </c>
      <c r="AI126" s="985">
        <f t="shared" si="48"/>
        <v>3959</v>
      </c>
      <c r="AJ126" s="985">
        <f t="shared" si="49"/>
        <v>5525</v>
      </c>
      <c r="AK126" s="985">
        <f t="shared" si="50"/>
        <v>3537</v>
      </c>
      <c r="AL126" s="985">
        <f t="shared" si="51"/>
        <v>12575</v>
      </c>
      <c r="AM126" s="985">
        <f t="shared" si="52"/>
        <v>16112</v>
      </c>
      <c r="AN126" s="985">
        <f t="shared" si="53"/>
        <v>457</v>
      </c>
      <c r="AO126" s="985">
        <f t="shared" si="54"/>
        <v>3041</v>
      </c>
      <c r="AP126" s="985">
        <f t="shared" si="55"/>
        <v>3498</v>
      </c>
      <c r="AR126" s="986">
        <f t="shared" si="56"/>
        <v>0.28343891402714932</v>
      </c>
      <c r="AS126" s="986">
        <f t="shared" si="57"/>
        <v>0.219525819265144</v>
      </c>
      <c r="AT126" s="986">
        <f t="shared" si="58"/>
        <v>0.13064608347627216</v>
      </c>
      <c r="AV126" s="987">
        <v>6017</v>
      </c>
      <c r="AW126" s="987">
        <v>16837</v>
      </c>
      <c r="AX126" s="987">
        <v>3733</v>
      </c>
      <c r="AZ126" s="987">
        <f t="shared" si="59"/>
        <v>1705.4519457013575</v>
      </c>
      <c r="BA126" s="987">
        <f t="shared" si="60"/>
        <v>3696.1562189672295</v>
      </c>
      <c r="BB126" s="987">
        <f t="shared" si="61"/>
        <v>487.70182961692399</v>
      </c>
      <c r="BC126" s="1004">
        <f t="shared" si="46"/>
        <v>5889.3099942855115</v>
      </c>
    </row>
  </sheetData>
  <mergeCells count="14">
    <mergeCell ref="C4:E4"/>
    <mergeCell ref="F4:H4"/>
    <mergeCell ref="AZ3:BB3"/>
    <mergeCell ref="I4:K4"/>
    <mergeCell ref="L4:N4"/>
    <mergeCell ref="O4:Q4"/>
    <mergeCell ref="R4:T4"/>
    <mergeCell ref="U4:W4"/>
    <mergeCell ref="AA4:AC4"/>
    <mergeCell ref="AD4:AF4"/>
    <mergeCell ref="AH4:AJ4"/>
    <mergeCell ref="AK4:AM4"/>
    <mergeCell ref="AN4:AP4"/>
    <mergeCell ref="X4:Z4"/>
  </mergeCell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T137"/>
  <sheetViews>
    <sheetView workbookViewId="0">
      <pane xSplit="2" ySplit="4" topLeftCell="C5" activePane="bottomRight" state="frozen"/>
      <selection pane="topRight" activeCell="C1" sqref="C1"/>
      <selection pane="bottomLeft" activeCell="A5" sqref="A5"/>
      <selection pane="bottomRight" activeCell="A5" sqref="A5:XFD124"/>
    </sheetView>
  </sheetViews>
  <sheetFormatPr defaultRowHeight="15.75"/>
  <cols>
    <col min="1" max="1" width="9.875" style="428" customWidth="1"/>
    <col min="2" max="2" width="32.5" style="428" customWidth="1"/>
    <col min="3" max="3" width="12.5" style="428" customWidth="1"/>
    <col min="4" max="15" width="7.375" style="428" customWidth="1"/>
    <col min="16" max="17" width="7.625" style="428" customWidth="1"/>
    <col min="18" max="18" width="3.25" style="428" customWidth="1"/>
    <col min="19" max="42" width="15" style="428" customWidth="1"/>
    <col min="43" max="43" width="14.125" style="428" customWidth="1"/>
    <col min="44" max="44" width="13.875" style="428" customWidth="1"/>
    <col min="45" max="46" width="14" style="428" customWidth="1"/>
    <col min="47" max="16384" width="9" style="428"/>
  </cols>
  <sheetData>
    <row r="1" spans="1:46">
      <c r="A1" s="184" t="s">
        <v>958</v>
      </c>
    </row>
    <row r="3" spans="1:46" ht="33.75" customHeight="1">
      <c r="A3" s="438" t="s">
        <v>4</v>
      </c>
      <c r="B3" s="554" t="s">
        <v>5</v>
      </c>
      <c r="C3" s="633" t="s">
        <v>251</v>
      </c>
      <c r="D3" s="439">
        <v>2000</v>
      </c>
      <c r="E3" s="440">
        <v>2001</v>
      </c>
      <c r="F3" s="441">
        <v>2002</v>
      </c>
      <c r="G3" s="441">
        <v>2003</v>
      </c>
      <c r="H3" s="441">
        <v>2004</v>
      </c>
      <c r="I3" s="441">
        <v>2005</v>
      </c>
      <c r="J3" s="441">
        <v>2006</v>
      </c>
      <c r="K3" s="441">
        <v>2007</v>
      </c>
      <c r="L3" s="441">
        <v>2008</v>
      </c>
      <c r="M3" s="441">
        <v>2009</v>
      </c>
      <c r="N3" s="441">
        <v>2010</v>
      </c>
      <c r="O3" s="442" t="s">
        <v>592</v>
      </c>
      <c r="P3" s="443" t="s">
        <v>855</v>
      </c>
      <c r="Q3" s="1068">
        <v>2013</v>
      </c>
      <c r="R3" s="186"/>
      <c r="S3" s="439" t="s">
        <v>756</v>
      </c>
      <c r="T3" s="444" t="s">
        <v>755</v>
      </c>
      <c r="U3" s="439" t="s">
        <v>443</v>
      </c>
      <c r="V3" s="444" t="s">
        <v>444</v>
      </c>
      <c r="W3" s="445" t="s">
        <v>445</v>
      </c>
      <c r="X3" s="441" t="s">
        <v>446</v>
      </c>
      <c r="Y3" s="445" t="s">
        <v>447</v>
      </c>
      <c r="Z3" s="441" t="s">
        <v>448</v>
      </c>
      <c r="AA3" s="445" t="s">
        <v>252</v>
      </c>
      <c r="AB3" s="441" t="s">
        <v>253</v>
      </c>
      <c r="AC3" s="445" t="s">
        <v>254</v>
      </c>
      <c r="AD3" s="441" t="s">
        <v>255</v>
      </c>
      <c r="AE3" s="445" t="s">
        <v>256</v>
      </c>
      <c r="AF3" s="441" t="s">
        <v>257</v>
      </c>
      <c r="AG3" s="445" t="s">
        <v>258</v>
      </c>
      <c r="AH3" s="441" t="s">
        <v>259</v>
      </c>
      <c r="AI3" s="445" t="s">
        <v>260</v>
      </c>
      <c r="AJ3" s="441" t="s">
        <v>261</v>
      </c>
      <c r="AK3" s="446" t="s">
        <v>262</v>
      </c>
      <c r="AL3" s="441" t="s">
        <v>263</v>
      </c>
      <c r="AM3" s="439" t="s">
        <v>594</v>
      </c>
      <c r="AN3" s="441" t="s">
        <v>595</v>
      </c>
      <c r="AO3" s="447" t="s">
        <v>596</v>
      </c>
      <c r="AP3" s="448" t="s">
        <v>597</v>
      </c>
      <c r="AQ3" s="439" t="s">
        <v>856</v>
      </c>
      <c r="AR3" s="444" t="s">
        <v>857</v>
      </c>
      <c r="AS3" s="1070" t="s">
        <v>870</v>
      </c>
      <c r="AT3" s="1071" t="s">
        <v>871</v>
      </c>
    </row>
    <row r="4" spans="1:46">
      <c r="A4" s="1292" t="s">
        <v>8</v>
      </c>
      <c r="B4" s="1293" t="s">
        <v>9</v>
      </c>
      <c r="C4" s="1294"/>
      <c r="D4" s="1295">
        <f t="shared" ref="D4" si="0">T4/S4</f>
        <v>2.2744400394302866E-2</v>
      </c>
      <c r="E4" s="1296">
        <f t="shared" ref="E4" si="1">V4/U4</f>
        <v>3.2187783912701044E-2</v>
      </c>
      <c r="F4" s="1297">
        <f t="shared" ref="F4" si="2">AR4/AQ4</f>
        <v>5.8774345474193433E-2</v>
      </c>
      <c r="G4" s="1297">
        <f t="shared" ref="G4" si="3">Z4/Y4</f>
        <v>4.0951027325666245E-2</v>
      </c>
      <c r="H4" s="1297">
        <f t="shared" ref="H4" si="4">AB4/AA4</f>
        <v>3.6983564098822252E-2</v>
      </c>
      <c r="I4" s="1297">
        <f t="shared" ref="I4" si="5">AD4/AC4</f>
        <v>3.5184099138150848E-2</v>
      </c>
      <c r="J4" s="1297">
        <f t="shared" ref="J4" si="6">AF4/AE4</f>
        <v>3.042605361214783E-2</v>
      </c>
      <c r="K4" s="1297">
        <f t="shared" ref="K4" si="7">AH4/AG4</f>
        <v>3.0637117624127935E-2</v>
      </c>
      <c r="L4" s="1297">
        <f t="shared" ref="L4" si="8">AJ4/AI4</f>
        <v>3.9533104507533175E-2</v>
      </c>
      <c r="M4" s="1297">
        <f t="shared" ref="M4" si="9">AL4/AK4</f>
        <v>6.9500899241383113E-2</v>
      </c>
      <c r="N4" s="1297">
        <f t="shared" ref="N4" si="10">AN4/AM4</f>
        <v>7.0996273411972191E-2</v>
      </c>
      <c r="O4" s="1298">
        <f t="shared" ref="O4" si="11">AP4/AO4</f>
        <v>6.4437374190308969E-2</v>
      </c>
      <c r="P4" s="1299">
        <f t="shared" ref="P4" si="12">AR4/AQ4</f>
        <v>5.8774345474193433E-2</v>
      </c>
      <c r="Q4" s="1299">
        <f t="shared" ref="Q4" si="13">AT4/AS4</f>
        <v>5.5454654156622714E-2</v>
      </c>
      <c r="R4" s="187"/>
      <c r="S4" s="1285">
        <v>3584047</v>
      </c>
      <c r="T4" s="1286">
        <v>81517</v>
      </c>
      <c r="U4" s="1287">
        <v>3655393</v>
      </c>
      <c r="V4" s="1288">
        <v>117659</v>
      </c>
      <c r="W4" s="1287">
        <v>3744653</v>
      </c>
      <c r="X4" s="1288">
        <v>156565</v>
      </c>
      <c r="Y4" s="1287">
        <v>3802835</v>
      </c>
      <c r="Z4" s="1288">
        <v>155730</v>
      </c>
      <c r="AA4" s="1287">
        <v>3857957</v>
      </c>
      <c r="AB4" s="1288">
        <v>142681</v>
      </c>
      <c r="AC4" s="1287">
        <v>3921800</v>
      </c>
      <c r="AD4" s="1288">
        <v>137985</v>
      </c>
      <c r="AE4" s="1287">
        <v>3983724</v>
      </c>
      <c r="AF4" s="1288">
        <v>121209</v>
      </c>
      <c r="AG4" s="1287">
        <v>4017186</v>
      </c>
      <c r="AH4" s="1288">
        <v>123075</v>
      </c>
      <c r="AI4" s="1287">
        <v>4138228</v>
      </c>
      <c r="AJ4" s="1288">
        <v>163597</v>
      </c>
      <c r="AK4" s="1289">
        <v>4130148</v>
      </c>
      <c r="AL4" s="1288">
        <v>287049</v>
      </c>
      <c r="AM4" s="1287">
        <v>4139175</v>
      </c>
      <c r="AN4" s="1288">
        <v>293866</v>
      </c>
      <c r="AO4" s="1287">
        <v>4208241</v>
      </c>
      <c r="AP4" s="1288">
        <v>271168</v>
      </c>
      <c r="AQ4" s="1290">
        <v>4220651</v>
      </c>
      <c r="AR4" s="1291">
        <v>248066</v>
      </c>
      <c r="AS4" s="1484">
        <v>4240113</v>
      </c>
      <c r="AT4" s="1485">
        <v>235134</v>
      </c>
    </row>
    <row r="5" spans="1:46" ht="15" customHeight="1">
      <c r="A5" s="449" t="s">
        <v>10</v>
      </c>
      <c r="B5" s="450" t="s">
        <v>11</v>
      </c>
      <c r="C5" s="190" t="s">
        <v>264</v>
      </c>
      <c r="D5" s="451">
        <f t="shared" ref="D5:D36" si="14">T5/S5</f>
        <v>2.9532585766625957E-2</v>
      </c>
      <c r="E5" s="452">
        <f t="shared" ref="E5:E36" si="15">V5/U5</f>
        <v>3.3548598949211909E-2</v>
      </c>
      <c r="F5" s="453">
        <f t="shared" ref="F5:F36" si="16">AR5/AQ5</f>
        <v>6.8050561185572622E-2</v>
      </c>
      <c r="G5" s="453">
        <f t="shared" ref="G5:G36" si="17">Z5/Y5</f>
        <v>4.3487190018996764E-2</v>
      </c>
      <c r="H5" s="453">
        <f t="shared" ref="H5:H36" si="18">AB5/AA5</f>
        <v>4.57900986010015E-2</v>
      </c>
      <c r="I5" s="453">
        <f t="shared" ref="I5:I36" si="19">AD5/AC5</f>
        <v>4.6296296296296294E-2</v>
      </c>
      <c r="J5" s="453">
        <f t="shared" ref="J5:J36" si="20">AF5/AE5</f>
        <v>4.2121684867394697E-2</v>
      </c>
      <c r="K5" s="453">
        <f t="shared" ref="K5:K36" si="21">AH5/AG5</f>
        <v>4.1361228530151423E-2</v>
      </c>
      <c r="L5" s="453">
        <f t="shared" ref="L5:L36" si="22">AJ5/AI5</f>
        <v>4.9915842625710076E-2</v>
      </c>
      <c r="M5" s="453">
        <f t="shared" ref="M5:M36" si="23">AL5/AK5</f>
        <v>6.7361708588491317E-2</v>
      </c>
      <c r="N5" s="453">
        <f t="shared" ref="N5:N36" si="24">AN5/AM5</f>
        <v>7.0492496300993454E-2</v>
      </c>
      <c r="O5" s="454">
        <f t="shared" ref="O5:O36" si="25">AP5/AO5</f>
        <v>7.280433499651269E-2</v>
      </c>
      <c r="P5" s="455">
        <f t="shared" ref="P5:P36" si="26">AR5/AQ5</f>
        <v>6.8050561185572622E-2</v>
      </c>
      <c r="Q5" s="1069">
        <f t="shared" ref="Q5:Q36" si="27">AT5/AS5</f>
        <v>6.469613259668508E-2</v>
      </c>
      <c r="R5" s="219"/>
      <c r="S5" s="456">
        <v>18014</v>
      </c>
      <c r="T5" s="457">
        <v>532</v>
      </c>
      <c r="U5" s="458">
        <v>18272</v>
      </c>
      <c r="V5" s="459">
        <v>613</v>
      </c>
      <c r="W5" s="458">
        <v>19107</v>
      </c>
      <c r="X5" s="459">
        <v>791</v>
      </c>
      <c r="Y5" s="458">
        <v>19477</v>
      </c>
      <c r="Z5" s="459">
        <v>847</v>
      </c>
      <c r="AA5" s="458">
        <v>19371</v>
      </c>
      <c r="AB5" s="459">
        <v>887</v>
      </c>
      <c r="AC5" s="458">
        <v>18900</v>
      </c>
      <c r="AD5" s="459">
        <v>875</v>
      </c>
      <c r="AE5" s="458">
        <v>18589</v>
      </c>
      <c r="AF5" s="459">
        <v>783</v>
      </c>
      <c r="AG5" s="458">
        <v>18689</v>
      </c>
      <c r="AH5" s="459">
        <v>773</v>
      </c>
      <c r="AI5" s="458">
        <v>19012</v>
      </c>
      <c r="AJ5" s="459">
        <v>949</v>
      </c>
      <c r="AK5" s="460">
        <v>19759</v>
      </c>
      <c r="AL5" s="459">
        <v>1331</v>
      </c>
      <c r="AM5" s="458">
        <v>18924</v>
      </c>
      <c r="AN5" s="459">
        <v>1334</v>
      </c>
      <c r="AO5" s="461">
        <v>18639</v>
      </c>
      <c r="AP5" s="462">
        <v>1357</v>
      </c>
      <c r="AQ5" s="463">
        <v>18354</v>
      </c>
      <c r="AR5" s="464">
        <v>1249</v>
      </c>
      <c r="AS5" s="463">
        <v>18100</v>
      </c>
      <c r="AT5" s="1072">
        <v>1171</v>
      </c>
    </row>
    <row r="6" spans="1:46" ht="15" customHeight="1">
      <c r="A6" s="449" t="s">
        <v>12</v>
      </c>
      <c r="B6" s="465" t="s">
        <v>13</v>
      </c>
      <c r="C6" s="190" t="s">
        <v>265</v>
      </c>
      <c r="D6" s="451">
        <f t="shared" si="14"/>
        <v>1.7134675780528359E-2</v>
      </c>
      <c r="E6" s="452">
        <f t="shared" si="15"/>
        <v>2.1573084791998182E-2</v>
      </c>
      <c r="F6" s="453">
        <f t="shared" si="16"/>
        <v>4.8710188788009798E-2</v>
      </c>
      <c r="G6" s="453">
        <f t="shared" si="17"/>
        <v>3.391626921038686E-2</v>
      </c>
      <c r="H6" s="453">
        <f t="shared" si="18"/>
        <v>3.0472824447222102E-2</v>
      </c>
      <c r="I6" s="453">
        <f t="shared" si="19"/>
        <v>2.8059513830678961E-2</v>
      </c>
      <c r="J6" s="453">
        <f t="shared" si="20"/>
        <v>2.4123422159887799E-2</v>
      </c>
      <c r="K6" s="453">
        <f t="shared" si="21"/>
        <v>2.2556390977443608E-2</v>
      </c>
      <c r="L6" s="453">
        <f t="shared" si="22"/>
        <v>2.9824128706672486E-2</v>
      </c>
      <c r="M6" s="453">
        <f t="shared" si="23"/>
        <v>5.3294908741594621E-2</v>
      </c>
      <c r="N6" s="453">
        <f t="shared" si="24"/>
        <v>5.7299975601058539E-2</v>
      </c>
      <c r="O6" s="454">
        <f t="shared" si="25"/>
        <v>5.2466318595056412E-2</v>
      </c>
      <c r="P6" s="455">
        <f t="shared" si="26"/>
        <v>4.8710188788009798E-2</v>
      </c>
      <c r="Q6" s="1069">
        <f t="shared" si="27"/>
        <v>4.5550468559982835E-2</v>
      </c>
      <c r="R6" s="219"/>
      <c r="S6" s="456">
        <v>43304</v>
      </c>
      <c r="T6" s="457">
        <v>742</v>
      </c>
      <c r="U6" s="458">
        <v>43990</v>
      </c>
      <c r="V6" s="459">
        <v>949</v>
      </c>
      <c r="W6" s="458">
        <v>44542</v>
      </c>
      <c r="X6" s="459">
        <v>1391</v>
      </c>
      <c r="Y6" s="458">
        <v>45288</v>
      </c>
      <c r="Z6" s="459">
        <v>1536</v>
      </c>
      <c r="AA6" s="458">
        <v>46402</v>
      </c>
      <c r="AB6" s="459">
        <v>1414</v>
      </c>
      <c r="AC6" s="458">
        <v>47720</v>
      </c>
      <c r="AD6" s="459">
        <v>1339</v>
      </c>
      <c r="AE6" s="458">
        <v>49910</v>
      </c>
      <c r="AF6" s="459">
        <v>1204</v>
      </c>
      <c r="AG6" s="458">
        <v>51072</v>
      </c>
      <c r="AH6" s="459">
        <v>1152</v>
      </c>
      <c r="AI6" s="458">
        <v>52709</v>
      </c>
      <c r="AJ6" s="459">
        <v>1572</v>
      </c>
      <c r="AK6" s="460">
        <v>52050</v>
      </c>
      <c r="AL6" s="459">
        <v>2774</v>
      </c>
      <c r="AM6" s="458">
        <v>53281</v>
      </c>
      <c r="AN6" s="459">
        <v>3053</v>
      </c>
      <c r="AO6" s="461">
        <v>54778</v>
      </c>
      <c r="AP6" s="462">
        <v>2874</v>
      </c>
      <c r="AQ6" s="463">
        <v>55512</v>
      </c>
      <c r="AR6" s="464">
        <v>2704</v>
      </c>
      <c r="AS6" s="463">
        <v>55916</v>
      </c>
      <c r="AT6" s="1072">
        <v>2547</v>
      </c>
    </row>
    <row r="7" spans="1:46" ht="15" customHeight="1">
      <c r="A7" s="449" t="s">
        <v>16</v>
      </c>
      <c r="B7" s="465" t="s">
        <v>17</v>
      </c>
      <c r="C7" s="190" t="s">
        <v>265</v>
      </c>
      <c r="D7" s="451">
        <f t="shared" si="14"/>
        <v>3.2557259133068332E-2</v>
      </c>
      <c r="E7" s="452">
        <f t="shared" si="15"/>
        <v>4.3324326842448524E-2</v>
      </c>
      <c r="F7" s="453">
        <f t="shared" si="16"/>
        <v>8.5031391122370306E-2</v>
      </c>
      <c r="G7" s="453">
        <f t="shared" si="17"/>
        <v>4.8516797712651896E-2</v>
      </c>
      <c r="H7" s="453">
        <f t="shared" si="18"/>
        <v>4.8531655225019073E-2</v>
      </c>
      <c r="I7" s="453">
        <f t="shared" si="19"/>
        <v>4.9295774647887321E-2</v>
      </c>
      <c r="J7" s="453">
        <f t="shared" si="20"/>
        <v>5.4240631163708086E-2</v>
      </c>
      <c r="K7" s="453">
        <f t="shared" si="21"/>
        <v>4.8147763826917093E-2</v>
      </c>
      <c r="L7" s="453">
        <f t="shared" si="22"/>
        <v>5.8110367892976592E-2</v>
      </c>
      <c r="M7" s="453">
        <f t="shared" si="23"/>
        <v>9.7239139261063742E-2</v>
      </c>
      <c r="N7" s="453">
        <f t="shared" si="24"/>
        <v>9.9793601651186795E-2</v>
      </c>
      <c r="O7" s="454">
        <f t="shared" si="25"/>
        <v>8.9150894611645465E-2</v>
      </c>
      <c r="P7" s="455">
        <f t="shared" si="26"/>
        <v>8.5031391122370306E-2</v>
      </c>
      <c r="Q7" s="1069">
        <f t="shared" si="27"/>
        <v>7.8494504274453203E-2</v>
      </c>
      <c r="R7" s="219"/>
      <c r="S7" s="466">
        <v>10566</v>
      </c>
      <c r="T7" s="467">
        <v>344</v>
      </c>
      <c r="U7" s="1684">
        <v>10733</v>
      </c>
      <c r="V7" s="1685">
        <v>465</v>
      </c>
      <c r="W7" s="1684">
        <v>11144</v>
      </c>
      <c r="X7" s="1685">
        <v>617</v>
      </c>
      <c r="Y7" s="1684">
        <v>11192</v>
      </c>
      <c r="Z7" s="1685">
        <v>543</v>
      </c>
      <c r="AA7" s="1684">
        <v>10488</v>
      </c>
      <c r="AB7" s="1685">
        <v>509</v>
      </c>
      <c r="AC7" s="1684">
        <v>10366</v>
      </c>
      <c r="AD7" s="1685">
        <v>511</v>
      </c>
      <c r="AE7" s="1684">
        <v>10140</v>
      </c>
      <c r="AF7" s="1685">
        <v>550</v>
      </c>
      <c r="AG7" s="1684">
        <v>9637</v>
      </c>
      <c r="AH7" s="1685">
        <v>464</v>
      </c>
      <c r="AI7" s="1684">
        <v>9568</v>
      </c>
      <c r="AJ7" s="1685">
        <v>556</v>
      </c>
      <c r="AK7" s="1686">
        <v>9852</v>
      </c>
      <c r="AL7" s="1685">
        <v>958</v>
      </c>
      <c r="AM7" s="1684">
        <v>9690</v>
      </c>
      <c r="AN7" s="1685">
        <v>967</v>
      </c>
      <c r="AO7" s="461">
        <v>9669</v>
      </c>
      <c r="AP7" s="462">
        <v>862</v>
      </c>
      <c r="AQ7" s="463">
        <v>9079</v>
      </c>
      <c r="AR7" s="464">
        <v>772</v>
      </c>
      <c r="AS7" s="463">
        <v>9007</v>
      </c>
      <c r="AT7" s="1072">
        <v>707</v>
      </c>
    </row>
    <row r="8" spans="1:46" ht="15" customHeight="1">
      <c r="A8" s="449" t="s">
        <v>18</v>
      </c>
      <c r="B8" s="465" t="s">
        <v>19</v>
      </c>
      <c r="C8" s="190" t="s">
        <v>266</v>
      </c>
      <c r="D8" s="451">
        <f t="shared" si="14"/>
        <v>1.9893671754416052E-2</v>
      </c>
      <c r="E8" s="452">
        <f t="shared" si="15"/>
        <v>2.5436662709852467E-2</v>
      </c>
      <c r="F8" s="453">
        <f t="shared" si="16"/>
        <v>5.9086013232805046E-2</v>
      </c>
      <c r="G8" s="453">
        <f t="shared" si="17"/>
        <v>3.9124668435013263E-2</v>
      </c>
      <c r="H8" s="453">
        <f t="shared" si="18"/>
        <v>3.5229476405946994E-2</v>
      </c>
      <c r="I8" s="453">
        <f t="shared" si="19"/>
        <v>3.4135598552776467E-2</v>
      </c>
      <c r="J8" s="453">
        <f t="shared" si="20"/>
        <v>2.9896748343350286E-2</v>
      </c>
      <c r="K8" s="453">
        <f t="shared" si="21"/>
        <v>2.7713979482468228E-2</v>
      </c>
      <c r="L8" s="453">
        <f t="shared" si="22"/>
        <v>4.4903988183161006E-2</v>
      </c>
      <c r="M8" s="453">
        <f t="shared" si="23"/>
        <v>8.0485611510791366E-2</v>
      </c>
      <c r="N8" s="453">
        <f t="shared" si="24"/>
        <v>7.9832584095489073E-2</v>
      </c>
      <c r="O8" s="454">
        <f t="shared" si="25"/>
        <v>7.094903875495881E-2</v>
      </c>
      <c r="P8" s="455">
        <f t="shared" si="26"/>
        <v>5.9086013232805046E-2</v>
      </c>
      <c r="Q8" s="1069">
        <f t="shared" si="27"/>
        <v>5.4936670227376777E-2</v>
      </c>
      <c r="R8" s="219"/>
      <c r="S8" s="456">
        <v>5831</v>
      </c>
      <c r="T8" s="457">
        <v>116</v>
      </c>
      <c r="U8" s="458">
        <v>5897</v>
      </c>
      <c r="V8" s="459">
        <v>150</v>
      </c>
      <c r="W8" s="458">
        <v>6026</v>
      </c>
      <c r="X8" s="459">
        <v>232</v>
      </c>
      <c r="Y8" s="458">
        <v>6032</v>
      </c>
      <c r="Z8" s="459">
        <v>236</v>
      </c>
      <c r="AA8" s="458">
        <v>6188</v>
      </c>
      <c r="AB8" s="459">
        <v>218</v>
      </c>
      <c r="AC8" s="458">
        <v>6357</v>
      </c>
      <c r="AD8" s="459">
        <v>217</v>
      </c>
      <c r="AE8" s="458">
        <v>6489</v>
      </c>
      <c r="AF8" s="459">
        <v>194</v>
      </c>
      <c r="AG8" s="458">
        <v>6531</v>
      </c>
      <c r="AH8" s="459">
        <v>181</v>
      </c>
      <c r="AI8" s="458">
        <v>6770</v>
      </c>
      <c r="AJ8" s="459">
        <v>304</v>
      </c>
      <c r="AK8" s="460">
        <v>6672</v>
      </c>
      <c r="AL8" s="459">
        <v>537</v>
      </c>
      <c r="AM8" s="458">
        <v>6451</v>
      </c>
      <c r="AN8" s="459">
        <v>515</v>
      </c>
      <c r="AO8" s="461">
        <v>6554</v>
      </c>
      <c r="AP8" s="462">
        <v>465</v>
      </c>
      <c r="AQ8" s="463">
        <v>6499</v>
      </c>
      <c r="AR8" s="464">
        <v>384</v>
      </c>
      <c r="AS8" s="463">
        <v>6553</v>
      </c>
      <c r="AT8" s="1072">
        <v>360</v>
      </c>
    </row>
    <row r="9" spans="1:46" ht="15" customHeight="1">
      <c r="A9" s="449" t="s">
        <v>20</v>
      </c>
      <c r="B9" s="465" t="s">
        <v>21</v>
      </c>
      <c r="C9" s="190" t="s">
        <v>265</v>
      </c>
      <c r="D9" s="451">
        <f t="shared" si="14"/>
        <v>2.114882506527415E-2</v>
      </c>
      <c r="E9" s="452">
        <f t="shared" si="15"/>
        <v>3.6382880201098103E-2</v>
      </c>
      <c r="F9" s="453">
        <f t="shared" si="16"/>
        <v>6.9684536221160956E-2</v>
      </c>
      <c r="G9" s="453">
        <f t="shared" si="17"/>
        <v>4.9579777184181377E-2</v>
      </c>
      <c r="H9" s="453">
        <f t="shared" si="18"/>
        <v>4.4838646331085946E-2</v>
      </c>
      <c r="I9" s="453">
        <f t="shared" si="19"/>
        <v>4.0736896730669436E-2</v>
      </c>
      <c r="J9" s="453">
        <f t="shared" si="20"/>
        <v>3.2092095954723773E-2</v>
      </c>
      <c r="K9" s="453">
        <f t="shared" si="21"/>
        <v>3.5009383291270305E-2</v>
      </c>
      <c r="L9" s="453">
        <f t="shared" si="22"/>
        <v>4.132643520538553E-2</v>
      </c>
      <c r="M9" s="453">
        <f t="shared" si="23"/>
        <v>8.0362268001785822E-2</v>
      </c>
      <c r="N9" s="453">
        <f t="shared" si="24"/>
        <v>8.6634797983105236E-2</v>
      </c>
      <c r="O9" s="454">
        <f t="shared" si="25"/>
        <v>7.6019488753921116E-2</v>
      </c>
      <c r="P9" s="455">
        <f t="shared" si="26"/>
        <v>6.9684536221160956E-2</v>
      </c>
      <c r="Q9" s="1069">
        <f t="shared" si="27"/>
        <v>6.3376483279395907E-2</v>
      </c>
      <c r="R9" s="219"/>
      <c r="S9" s="456">
        <v>15320</v>
      </c>
      <c r="T9" s="457">
        <v>324</v>
      </c>
      <c r="U9" s="458">
        <v>15117</v>
      </c>
      <c r="V9" s="459">
        <v>550</v>
      </c>
      <c r="W9" s="458">
        <v>15274</v>
      </c>
      <c r="X9" s="459">
        <v>834</v>
      </c>
      <c r="Y9" s="458">
        <v>15349</v>
      </c>
      <c r="Z9" s="459">
        <v>761</v>
      </c>
      <c r="AA9" s="458">
        <v>15277</v>
      </c>
      <c r="AB9" s="459">
        <v>685</v>
      </c>
      <c r="AC9" s="458">
        <v>15416</v>
      </c>
      <c r="AD9" s="459">
        <v>628</v>
      </c>
      <c r="AE9" s="458">
        <v>15549</v>
      </c>
      <c r="AF9" s="459">
        <v>499</v>
      </c>
      <c r="AG9" s="458">
        <v>15453</v>
      </c>
      <c r="AH9" s="459">
        <v>541</v>
      </c>
      <c r="AI9" s="458">
        <v>16043</v>
      </c>
      <c r="AJ9" s="459">
        <v>663</v>
      </c>
      <c r="AK9" s="460">
        <v>15679</v>
      </c>
      <c r="AL9" s="459">
        <v>1260</v>
      </c>
      <c r="AM9" s="458">
        <v>15271</v>
      </c>
      <c r="AN9" s="459">
        <v>1323</v>
      </c>
      <c r="AO9" s="461">
        <v>14983</v>
      </c>
      <c r="AP9" s="462">
        <v>1139</v>
      </c>
      <c r="AQ9" s="463">
        <v>14867</v>
      </c>
      <c r="AR9" s="464">
        <v>1036</v>
      </c>
      <c r="AS9" s="463">
        <v>14832</v>
      </c>
      <c r="AT9" s="1072">
        <v>940</v>
      </c>
    </row>
    <row r="10" spans="1:46" ht="15" customHeight="1">
      <c r="A10" s="449" t="s">
        <v>22</v>
      </c>
      <c r="B10" s="465" t="s">
        <v>23</v>
      </c>
      <c r="C10" s="190" t="s">
        <v>265</v>
      </c>
      <c r="D10" s="451">
        <f t="shared" si="14"/>
        <v>2.4676676081462762E-2</v>
      </c>
      <c r="E10" s="452">
        <f t="shared" si="15"/>
        <v>4.311502312397434E-2</v>
      </c>
      <c r="F10" s="453">
        <f t="shared" si="16"/>
        <v>7.1136203246294993E-2</v>
      </c>
      <c r="G10" s="453">
        <f t="shared" si="17"/>
        <v>5.5621127176158157E-2</v>
      </c>
      <c r="H10" s="453">
        <f t="shared" si="18"/>
        <v>4.4738778513612951E-2</v>
      </c>
      <c r="I10" s="453">
        <f t="shared" si="19"/>
        <v>4.6752111855519952E-2</v>
      </c>
      <c r="J10" s="453">
        <f t="shared" si="20"/>
        <v>3.6303630363036306E-2</v>
      </c>
      <c r="K10" s="453">
        <f t="shared" si="21"/>
        <v>3.9201608271108558E-2</v>
      </c>
      <c r="L10" s="453">
        <f t="shared" si="22"/>
        <v>4.4626967830253252E-2</v>
      </c>
      <c r="M10" s="453">
        <f t="shared" si="23"/>
        <v>8.1797878280290337E-2</v>
      </c>
      <c r="N10" s="453">
        <f t="shared" si="24"/>
        <v>8.7819089900110989E-2</v>
      </c>
      <c r="O10" s="454">
        <f t="shared" si="25"/>
        <v>7.6858462830743379E-2</v>
      </c>
      <c r="P10" s="455">
        <f t="shared" si="26"/>
        <v>7.1136203246294993E-2</v>
      </c>
      <c r="Q10" s="1069">
        <f t="shared" si="27"/>
        <v>6.1745919091554295E-2</v>
      </c>
      <c r="R10" s="219"/>
      <c r="S10" s="456">
        <v>6727</v>
      </c>
      <c r="T10" s="457">
        <v>166</v>
      </c>
      <c r="U10" s="458">
        <v>6703</v>
      </c>
      <c r="V10" s="459">
        <v>289</v>
      </c>
      <c r="W10" s="458">
        <v>6739</v>
      </c>
      <c r="X10" s="459">
        <v>382</v>
      </c>
      <c r="Y10" s="458">
        <v>6778</v>
      </c>
      <c r="Z10" s="459">
        <v>377</v>
      </c>
      <c r="AA10" s="458">
        <v>6795</v>
      </c>
      <c r="AB10" s="459">
        <v>304</v>
      </c>
      <c r="AC10" s="458">
        <v>6866</v>
      </c>
      <c r="AD10" s="459">
        <v>321</v>
      </c>
      <c r="AE10" s="458">
        <v>6969</v>
      </c>
      <c r="AF10" s="459">
        <v>253</v>
      </c>
      <c r="AG10" s="458">
        <v>6964</v>
      </c>
      <c r="AH10" s="459">
        <v>273</v>
      </c>
      <c r="AI10" s="458">
        <v>7305</v>
      </c>
      <c r="AJ10" s="459">
        <v>326</v>
      </c>
      <c r="AK10" s="460">
        <v>7164</v>
      </c>
      <c r="AL10" s="459">
        <v>586</v>
      </c>
      <c r="AM10" s="458">
        <v>7208</v>
      </c>
      <c r="AN10" s="459">
        <v>633</v>
      </c>
      <c r="AO10" s="461">
        <v>7143</v>
      </c>
      <c r="AP10" s="462">
        <v>549</v>
      </c>
      <c r="AQ10" s="463">
        <v>7085</v>
      </c>
      <c r="AR10" s="464">
        <v>504</v>
      </c>
      <c r="AS10" s="463">
        <v>7045</v>
      </c>
      <c r="AT10" s="1072">
        <v>435</v>
      </c>
    </row>
    <row r="11" spans="1:46" ht="15" customHeight="1">
      <c r="A11" s="449" t="s">
        <v>24</v>
      </c>
      <c r="B11" s="465" t="s">
        <v>25</v>
      </c>
      <c r="C11" s="190" t="s">
        <v>267</v>
      </c>
      <c r="D11" s="451">
        <f t="shared" si="14"/>
        <v>1.5587853445514171E-2</v>
      </c>
      <c r="E11" s="452">
        <f t="shared" si="15"/>
        <v>2.4040972421112927E-2</v>
      </c>
      <c r="F11" s="453">
        <f t="shared" si="16"/>
        <v>3.6574578365219428E-2</v>
      </c>
      <c r="G11" s="453">
        <f t="shared" si="17"/>
        <v>2.6742175270659006E-2</v>
      </c>
      <c r="H11" s="453">
        <f t="shared" si="18"/>
        <v>2.4003933485406609E-2</v>
      </c>
      <c r="I11" s="453">
        <f t="shared" si="19"/>
        <v>2.2998783601988124E-2</v>
      </c>
      <c r="J11" s="453">
        <f t="shared" si="20"/>
        <v>1.9534497090606815E-2</v>
      </c>
      <c r="K11" s="453">
        <f t="shared" si="21"/>
        <v>1.9385538113161356E-2</v>
      </c>
      <c r="L11" s="453">
        <f t="shared" si="22"/>
        <v>2.4609629028840323E-2</v>
      </c>
      <c r="M11" s="453">
        <f t="shared" si="23"/>
        <v>4.4287636853017134E-2</v>
      </c>
      <c r="N11" s="453">
        <f t="shared" si="24"/>
        <v>4.4648289778722552E-2</v>
      </c>
      <c r="O11" s="454">
        <f t="shared" si="25"/>
        <v>3.991020758938494E-2</v>
      </c>
      <c r="P11" s="455">
        <f t="shared" si="26"/>
        <v>3.6574578365219428E-2</v>
      </c>
      <c r="Q11" s="1069">
        <f t="shared" si="27"/>
        <v>3.6364821979741772E-2</v>
      </c>
      <c r="R11" s="219"/>
      <c r="S11" s="456">
        <v>118618</v>
      </c>
      <c r="T11" s="457">
        <v>1849</v>
      </c>
      <c r="U11" s="458">
        <v>118714</v>
      </c>
      <c r="V11" s="459">
        <v>2854</v>
      </c>
      <c r="W11" s="458">
        <v>121721</v>
      </c>
      <c r="X11" s="459">
        <v>3616</v>
      </c>
      <c r="Y11" s="458">
        <v>122017</v>
      </c>
      <c r="Z11" s="459">
        <v>3263</v>
      </c>
      <c r="AA11" s="458">
        <v>124063</v>
      </c>
      <c r="AB11" s="459">
        <v>2978</v>
      </c>
      <c r="AC11" s="458">
        <v>124137</v>
      </c>
      <c r="AD11" s="459">
        <v>2855</v>
      </c>
      <c r="AE11" s="458">
        <v>127518</v>
      </c>
      <c r="AF11" s="459">
        <v>2491</v>
      </c>
      <c r="AG11" s="458">
        <v>130716</v>
      </c>
      <c r="AH11" s="459">
        <v>2534</v>
      </c>
      <c r="AI11" s="458">
        <v>136857</v>
      </c>
      <c r="AJ11" s="459">
        <v>3368</v>
      </c>
      <c r="AK11" s="460">
        <v>137465</v>
      </c>
      <c r="AL11" s="459">
        <v>6088</v>
      </c>
      <c r="AM11" s="458">
        <v>129837</v>
      </c>
      <c r="AN11" s="459">
        <v>5797</v>
      </c>
      <c r="AO11" s="461">
        <v>134978</v>
      </c>
      <c r="AP11" s="462">
        <v>5387</v>
      </c>
      <c r="AQ11" s="463">
        <v>136789</v>
      </c>
      <c r="AR11" s="464">
        <v>5003</v>
      </c>
      <c r="AS11" s="463">
        <v>138018</v>
      </c>
      <c r="AT11" s="1072">
        <v>5019</v>
      </c>
    </row>
    <row r="12" spans="1:46">
      <c r="A12" s="449" t="s">
        <v>26</v>
      </c>
      <c r="B12" s="1683" t="s">
        <v>706</v>
      </c>
      <c r="C12" s="190" t="s">
        <v>265</v>
      </c>
      <c r="D12" s="451">
        <f t="shared" si="14"/>
        <v>2.0796628948180976E-2</v>
      </c>
      <c r="E12" s="452">
        <f t="shared" si="15"/>
        <v>2.9483809830320586E-2</v>
      </c>
      <c r="F12" s="453">
        <f t="shared" si="16"/>
        <v>5.8930812348364427E-2</v>
      </c>
      <c r="G12" s="453">
        <f t="shared" si="17"/>
        <v>3.691635758605151E-2</v>
      </c>
      <c r="H12" s="453">
        <f t="shared" si="18"/>
        <v>3.2337650894351928E-2</v>
      </c>
      <c r="I12" s="453">
        <f t="shared" si="19"/>
        <v>3.1978507669642081E-2</v>
      </c>
      <c r="J12" s="453">
        <f t="shared" si="20"/>
        <v>2.789840088227185E-2</v>
      </c>
      <c r="K12" s="453">
        <f t="shared" si="21"/>
        <v>2.8824985066985238E-2</v>
      </c>
      <c r="L12" s="453">
        <f t="shared" si="22"/>
        <v>3.9859942583096865E-2</v>
      </c>
      <c r="M12" s="453">
        <f t="shared" si="23"/>
        <v>7.2243097533082834E-2</v>
      </c>
      <c r="N12" s="453">
        <f t="shared" si="24"/>
        <v>7.5877901538984785E-2</v>
      </c>
      <c r="O12" s="454">
        <f t="shared" si="25"/>
        <v>6.6654335726656688E-2</v>
      </c>
      <c r="P12" s="455">
        <f t="shared" si="26"/>
        <v>5.8930812348364427E-2</v>
      </c>
      <c r="Q12" s="1069">
        <f t="shared" si="27"/>
        <v>5.2848318462594371E-2</v>
      </c>
      <c r="R12" s="219"/>
      <c r="S12" s="466">
        <v>55057</v>
      </c>
      <c r="T12" s="467">
        <v>1145</v>
      </c>
      <c r="U12" s="1684">
        <v>55929</v>
      </c>
      <c r="V12" s="1685">
        <v>1649</v>
      </c>
      <c r="W12" s="1684">
        <v>57107</v>
      </c>
      <c r="X12" s="1685">
        <v>2154</v>
      </c>
      <c r="Y12" s="1684">
        <v>57698</v>
      </c>
      <c r="Z12" s="1685">
        <v>2130</v>
      </c>
      <c r="AA12" s="1684">
        <v>56745</v>
      </c>
      <c r="AB12" s="1685">
        <v>1835</v>
      </c>
      <c r="AC12" s="1684">
        <v>57695</v>
      </c>
      <c r="AD12" s="1685">
        <v>1845</v>
      </c>
      <c r="AE12" s="1684">
        <v>58032</v>
      </c>
      <c r="AF12" s="1685">
        <v>1619</v>
      </c>
      <c r="AG12" s="1684">
        <v>58595</v>
      </c>
      <c r="AH12" s="1685">
        <v>1689</v>
      </c>
      <c r="AI12" s="1684">
        <v>60261</v>
      </c>
      <c r="AJ12" s="1685">
        <v>2402</v>
      </c>
      <c r="AK12" s="1686">
        <v>61210</v>
      </c>
      <c r="AL12" s="1685">
        <v>4422</v>
      </c>
      <c r="AM12" s="1684">
        <v>58805</v>
      </c>
      <c r="AN12" s="1685">
        <v>4462</v>
      </c>
      <c r="AO12" s="461">
        <v>59471</v>
      </c>
      <c r="AP12" s="462">
        <v>3964</v>
      </c>
      <c r="AQ12" s="463">
        <v>59765</v>
      </c>
      <c r="AR12" s="464">
        <v>3522</v>
      </c>
      <c r="AS12" s="463">
        <v>59737</v>
      </c>
      <c r="AT12" s="1072">
        <v>3157</v>
      </c>
    </row>
    <row r="13" spans="1:46" ht="15" customHeight="1">
      <c r="A13" s="449" t="s">
        <v>27</v>
      </c>
      <c r="B13" s="465" t="s">
        <v>28</v>
      </c>
      <c r="C13" s="190" t="s">
        <v>265</v>
      </c>
      <c r="D13" s="451">
        <f t="shared" si="14"/>
        <v>2.6460859977949284E-2</v>
      </c>
      <c r="E13" s="452">
        <f t="shared" si="15"/>
        <v>3.6982248520710061E-2</v>
      </c>
      <c r="F13" s="453">
        <f t="shared" si="16"/>
        <v>5.3479853479853477E-2</v>
      </c>
      <c r="G13" s="453">
        <f t="shared" si="17"/>
        <v>4.5735900962861072E-2</v>
      </c>
      <c r="H13" s="453">
        <f t="shared" si="18"/>
        <v>3.5864978902953586E-2</v>
      </c>
      <c r="I13" s="453">
        <f t="shared" si="19"/>
        <v>3.5302104548540394E-2</v>
      </c>
      <c r="J13" s="453">
        <f t="shared" si="20"/>
        <v>3.2447359337245428E-2</v>
      </c>
      <c r="K13" s="453">
        <f t="shared" si="21"/>
        <v>3.1903945111492284E-2</v>
      </c>
      <c r="L13" s="453">
        <f t="shared" si="22"/>
        <v>4.1042112776588154E-2</v>
      </c>
      <c r="M13" s="453">
        <f t="shared" si="23"/>
        <v>6.4492216456634541E-2</v>
      </c>
      <c r="N13" s="453">
        <f t="shared" si="24"/>
        <v>7.0459683496608888E-2</v>
      </c>
      <c r="O13" s="454">
        <f t="shared" si="25"/>
        <v>5.7727438801607599E-2</v>
      </c>
      <c r="P13" s="455">
        <f t="shared" si="26"/>
        <v>5.3479853479853477E-2</v>
      </c>
      <c r="Q13" s="1069">
        <f t="shared" si="27"/>
        <v>5.0018254837531945E-2</v>
      </c>
      <c r="R13" s="219"/>
      <c r="S13" s="456">
        <v>2721</v>
      </c>
      <c r="T13" s="457">
        <v>72</v>
      </c>
      <c r="U13" s="458">
        <v>2704</v>
      </c>
      <c r="V13" s="459">
        <v>100</v>
      </c>
      <c r="W13" s="458">
        <v>2817</v>
      </c>
      <c r="X13" s="459">
        <v>124</v>
      </c>
      <c r="Y13" s="458">
        <v>2908</v>
      </c>
      <c r="Z13" s="459">
        <v>133</v>
      </c>
      <c r="AA13" s="458">
        <v>2844</v>
      </c>
      <c r="AB13" s="459">
        <v>102</v>
      </c>
      <c r="AC13" s="458">
        <v>2946</v>
      </c>
      <c r="AD13" s="459">
        <v>104</v>
      </c>
      <c r="AE13" s="458">
        <v>2897</v>
      </c>
      <c r="AF13" s="459">
        <v>94</v>
      </c>
      <c r="AG13" s="458">
        <v>2915</v>
      </c>
      <c r="AH13" s="459">
        <v>93</v>
      </c>
      <c r="AI13" s="458">
        <v>2802</v>
      </c>
      <c r="AJ13" s="459">
        <v>115</v>
      </c>
      <c r="AK13" s="460">
        <v>2698</v>
      </c>
      <c r="AL13" s="459">
        <v>174</v>
      </c>
      <c r="AM13" s="458">
        <v>2654</v>
      </c>
      <c r="AN13" s="459">
        <v>187</v>
      </c>
      <c r="AO13" s="461">
        <v>2737</v>
      </c>
      <c r="AP13" s="462">
        <v>158</v>
      </c>
      <c r="AQ13" s="463">
        <v>2730</v>
      </c>
      <c r="AR13" s="464">
        <v>146</v>
      </c>
      <c r="AS13" s="463">
        <v>2739</v>
      </c>
      <c r="AT13" s="1072">
        <v>137</v>
      </c>
    </row>
    <row r="14" spans="1:46" ht="15" customHeight="1">
      <c r="A14" s="449" t="s">
        <v>29</v>
      </c>
      <c r="B14" s="465" t="s">
        <v>1012</v>
      </c>
      <c r="C14" s="190" t="s">
        <v>265</v>
      </c>
      <c r="D14" s="451">
        <f t="shared" si="14"/>
        <v>1.9583985167159163E-2</v>
      </c>
      <c r="E14" s="452">
        <f t="shared" si="15"/>
        <v>3.3024944372877389E-2</v>
      </c>
      <c r="F14" s="453">
        <f t="shared" si="16"/>
        <v>6.17806409876277E-2</v>
      </c>
      <c r="G14" s="453">
        <f t="shared" si="17"/>
        <v>4.1594943138527525E-2</v>
      </c>
      <c r="H14" s="453">
        <f t="shared" si="18"/>
        <v>3.7889340836908675E-2</v>
      </c>
      <c r="I14" s="453">
        <f t="shared" si="19"/>
        <v>3.4545702220405941E-2</v>
      </c>
      <c r="J14" s="453">
        <f t="shared" si="20"/>
        <v>2.9520980319346454E-2</v>
      </c>
      <c r="K14" s="453">
        <f t="shared" si="21"/>
        <v>2.9997868712702474E-2</v>
      </c>
      <c r="L14" s="453">
        <f t="shared" si="22"/>
        <v>3.6713151018084915E-2</v>
      </c>
      <c r="M14" s="453">
        <f t="shared" si="23"/>
        <v>7.0708940423619013E-2</v>
      </c>
      <c r="N14" s="453">
        <f t="shared" si="24"/>
        <v>7.3098636557307195E-2</v>
      </c>
      <c r="O14" s="454">
        <f t="shared" si="25"/>
        <v>6.6261203585147241E-2</v>
      </c>
      <c r="P14" s="455">
        <f t="shared" si="26"/>
        <v>6.17806409876277E-2</v>
      </c>
      <c r="Q14" s="1069">
        <f t="shared" si="27"/>
        <v>5.775346305179755E-2</v>
      </c>
      <c r="R14" s="219"/>
      <c r="S14" s="466">
        <v>34518</v>
      </c>
      <c r="T14" s="467">
        <v>676</v>
      </c>
      <c r="U14" s="1684">
        <v>34156</v>
      </c>
      <c r="V14" s="1685">
        <v>1128</v>
      </c>
      <c r="W14" s="1684">
        <v>34903</v>
      </c>
      <c r="X14" s="1685">
        <v>1617</v>
      </c>
      <c r="Y14" s="1684">
        <v>35437</v>
      </c>
      <c r="Z14" s="1685">
        <v>1474</v>
      </c>
      <c r="AA14" s="1684">
        <v>35894</v>
      </c>
      <c r="AB14" s="1685">
        <v>1360</v>
      </c>
      <c r="AC14" s="1684">
        <v>36705</v>
      </c>
      <c r="AD14" s="1685">
        <v>1268</v>
      </c>
      <c r="AE14" s="1684">
        <v>37702</v>
      </c>
      <c r="AF14" s="1685">
        <v>1113</v>
      </c>
      <c r="AG14" s="1684">
        <v>37536</v>
      </c>
      <c r="AH14" s="1685">
        <v>1126</v>
      </c>
      <c r="AI14" s="1684">
        <v>38651</v>
      </c>
      <c r="AJ14" s="1685">
        <v>1419</v>
      </c>
      <c r="AK14" s="1686">
        <v>37817</v>
      </c>
      <c r="AL14" s="1685">
        <v>2674</v>
      </c>
      <c r="AM14" s="1684">
        <v>37552</v>
      </c>
      <c r="AN14" s="1685">
        <v>2745</v>
      </c>
      <c r="AO14" s="461">
        <v>37488</v>
      </c>
      <c r="AP14" s="462">
        <v>2484</v>
      </c>
      <c r="AQ14" s="463">
        <v>37099</v>
      </c>
      <c r="AR14" s="464">
        <v>2292</v>
      </c>
      <c r="AS14" s="463">
        <v>37106</v>
      </c>
      <c r="AT14" s="1072">
        <v>2143</v>
      </c>
    </row>
    <row r="15" spans="1:46" ht="15" customHeight="1">
      <c r="A15" s="449" t="s">
        <v>30</v>
      </c>
      <c r="B15" s="465" t="s">
        <v>31</v>
      </c>
      <c r="C15" s="190" t="s">
        <v>268</v>
      </c>
      <c r="D15" s="451">
        <f t="shared" si="14"/>
        <v>5.1818805765271106E-2</v>
      </c>
      <c r="E15" s="452">
        <f t="shared" si="15"/>
        <v>5.6653491436100128E-2</v>
      </c>
      <c r="F15" s="453">
        <f t="shared" si="16"/>
        <v>6.0134936931651513E-2</v>
      </c>
      <c r="G15" s="453">
        <f t="shared" si="17"/>
        <v>0.05</v>
      </c>
      <c r="H15" s="453">
        <f t="shared" si="18"/>
        <v>4.5015005001667226E-2</v>
      </c>
      <c r="I15" s="453">
        <f t="shared" si="19"/>
        <v>3.9311241065627028E-2</v>
      </c>
      <c r="J15" s="453">
        <f t="shared" si="20"/>
        <v>3.7197768133911964E-2</v>
      </c>
      <c r="K15" s="453">
        <f t="shared" si="21"/>
        <v>3.7993469872365689E-2</v>
      </c>
      <c r="L15" s="453">
        <f t="shared" si="22"/>
        <v>4.7714285714285716E-2</v>
      </c>
      <c r="M15" s="453">
        <f t="shared" si="23"/>
        <v>7.7072359301358473E-2</v>
      </c>
      <c r="N15" s="453">
        <f t="shared" si="24"/>
        <v>7.5116009280742455E-2</v>
      </c>
      <c r="O15" s="454">
        <f t="shared" si="25"/>
        <v>6.3779988297249859E-2</v>
      </c>
      <c r="P15" s="455">
        <f t="shared" si="26"/>
        <v>6.0134936931651513E-2</v>
      </c>
      <c r="Q15" s="1069">
        <f t="shared" si="27"/>
        <v>5.9224163458691144E-2</v>
      </c>
      <c r="R15" s="219"/>
      <c r="S15" s="456">
        <v>2914</v>
      </c>
      <c r="T15" s="457">
        <v>151</v>
      </c>
      <c r="U15" s="458">
        <v>3036</v>
      </c>
      <c r="V15" s="459">
        <v>172</v>
      </c>
      <c r="W15" s="458">
        <v>3031</v>
      </c>
      <c r="X15" s="459">
        <v>160</v>
      </c>
      <c r="Y15" s="458">
        <v>3060</v>
      </c>
      <c r="Z15" s="459">
        <v>153</v>
      </c>
      <c r="AA15" s="458">
        <v>2999</v>
      </c>
      <c r="AB15" s="459">
        <v>135</v>
      </c>
      <c r="AC15" s="458">
        <v>3078</v>
      </c>
      <c r="AD15" s="459">
        <v>121</v>
      </c>
      <c r="AE15" s="458">
        <v>3226</v>
      </c>
      <c r="AF15" s="459">
        <v>120</v>
      </c>
      <c r="AG15" s="458">
        <v>3369</v>
      </c>
      <c r="AH15" s="459">
        <v>128</v>
      </c>
      <c r="AI15" s="458">
        <v>3500</v>
      </c>
      <c r="AJ15" s="459">
        <v>167</v>
      </c>
      <c r="AK15" s="460">
        <v>3607</v>
      </c>
      <c r="AL15" s="459">
        <v>278</v>
      </c>
      <c r="AM15" s="458">
        <v>3448</v>
      </c>
      <c r="AN15" s="459">
        <v>259</v>
      </c>
      <c r="AO15" s="461">
        <v>3418</v>
      </c>
      <c r="AP15" s="462">
        <v>218</v>
      </c>
      <c r="AQ15" s="463">
        <v>3409</v>
      </c>
      <c r="AR15" s="464">
        <v>205</v>
      </c>
      <c r="AS15" s="463">
        <v>3377</v>
      </c>
      <c r="AT15" s="1072">
        <v>200</v>
      </c>
    </row>
    <row r="16" spans="1:46" ht="15" customHeight="1">
      <c r="A16" s="449" t="s">
        <v>32</v>
      </c>
      <c r="B16" s="465" t="s">
        <v>33</v>
      </c>
      <c r="C16" s="190" t="s">
        <v>265</v>
      </c>
      <c r="D16" s="451">
        <f t="shared" si="14"/>
        <v>1.7711005252229142E-2</v>
      </c>
      <c r="E16" s="452">
        <f t="shared" si="15"/>
        <v>2.6597665182332409E-2</v>
      </c>
      <c r="F16" s="453">
        <f t="shared" si="16"/>
        <v>5.6118383608423451E-2</v>
      </c>
      <c r="G16" s="453">
        <f t="shared" si="17"/>
        <v>3.5630291627469425E-2</v>
      </c>
      <c r="H16" s="453">
        <f t="shared" si="18"/>
        <v>3.2599066910765959E-2</v>
      </c>
      <c r="I16" s="453">
        <f t="shared" si="19"/>
        <v>2.9896064463389001E-2</v>
      </c>
      <c r="J16" s="453">
        <f t="shared" si="20"/>
        <v>2.5611642697530509E-2</v>
      </c>
      <c r="K16" s="453">
        <f t="shared" si="21"/>
        <v>2.6592062759575451E-2</v>
      </c>
      <c r="L16" s="453">
        <f t="shared" si="22"/>
        <v>3.2679003318521853E-2</v>
      </c>
      <c r="M16" s="453">
        <f t="shared" si="23"/>
        <v>6.5336374002280498E-2</v>
      </c>
      <c r="N16" s="453">
        <f t="shared" si="24"/>
        <v>6.691919191919192E-2</v>
      </c>
      <c r="O16" s="454">
        <f t="shared" si="25"/>
        <v>6.0882974470272432E-2</v>
      </c>
      <c r="P16" s="455">
        <f t="shared" si="26"/>
        <v>5.6118383608423451E-2</v>
      </c>
      <c r="Q16" s="1069">
        <f t="shared" si="27"/>
        <v>5.2125966348340158E-2</v>
      </c>
      <c r="R16" s="219"/>
      <c r="S16" s="456">
        <v>16374</v>
      </c>
      <c r="T16" s="457">
        <v>290</v>
      </c>
      <c r="U16" s="458">
        <v>16618</v>
      </c>
      <c r="V16" s="459">
        <v>442</v>
      </c>
      <c r="W16" s="458">
        <v>17202</v>
      </c>
      <c r="X16" s="459">
        <v>626</v>
      </c>
      <c r="Y16" s="458">
        <v>17008</v>
      </c>
      <c r="Z16" s="459">
        <v>606</v>
      </c>
      <c r="AA16" s="458">
        <v>16933</v>
      </c>
      <c r="AB16" s="459">
        <v>552</v>
      </c>
      <c r="AC16" s="458">
        <v>17126</v>
      </c>
      <c r="AD16" s="459">
        <v>512</v>
      </c>
      <c r="AE16" s="458">
        <v>17453</v>
      </c>
      <c r="AF16" s="459">
        <v>447</v>
      </c>
      <c r="AG16" s="458">
        <v>17336</v>
      </c>
      <c r="AH16" s="459">
        <v>461</v>
      </c>
      <c r="AI16" s="458">
        <v>17779</v>
      </c>
      <c r="AJ16" s="459">
        <v>581</v>
      </c>
      <c r="AK16" s="460">
        <v>17540</v>
      </c>
      <c r="AL16" s="459">
        <v>1146</v>
      </c>
      <c r="AM16" s="458">
        <v>17424</v>
      </c>
      <c r="AN16" s="459">
        <v>1166</v>
      </c>
      <c r="AO16" s="461">
        <v>17509</v>
      </c>
      <c r="AP16" s="462">
        <v>1066</v>
      </c>
      <c r="AQ16" s="463">
        <v>17570</v>
      </c>
      <c r="AR16" s="464">
        <v>986</v>
      </c>
      <c r="AS16" s="463">
        <v>17592</v>
      </c>
      <c r="AT16" s="1072">
        <v>917</v>
      </c>
    </row>
    <row r="17" spans="1:46" ht="15" customHeight="1">
      <c r="A17" s="449" t="s">
        <v>36</v>
      </c>
      <c r="B17" s="465" t="s">
        <v>37</v>
      </c>
      <c r="C17" s="190" t="s">
        <v>264</v>
      </c>
      <c r="D17" s="451">
        <f t="shared" si="14"/>
        <v>3.4811985898942424E-2</v>
      </c>
      <c r="E17" s="452">
        <f t="shared" si="15"/>
        <v>5.4026354319180091E-2</v>
      </c>
      <c r="F17" s="453">
        <f t="shared" si="16"/>
        <v>0.10413223140495868</v>
      </c>
      <c r="G17" s="453">
        <f t="shared" si="17"/>
        <v>6.9684420962444663E-2</v>
      </c>
      <c r="H17" s="453">
        <f t="shared" si="18"/>
        <v>6.4218841427735512E-2</v>
      </c>
      <c r="I17" s="453">
        <f t="shared" si="19"/>
        <v>5.101440752719788E-2</v>
      </c>
      <c r="J17" s="453">
        <f t="shared" si="20"/>
        <v>4.7967241883591694E-2</v>
      </c>
      <c r="K17" s="453">
        <f t="shared" si="21"/>
        <v>4.8384739073234907E-2</v>
      </c>
      <c r="L17" s="453">
        <f t="shared" si="22"/>
        <v>6.6222348269994333E-2</v>
      </c>
      <c r="M17" s="453">
        <f t="shared" si="23"/>
        <v>0.11619864434914925</v>
      </c>
      <c r="N17" s="453">
        <f t="shared" si="24"/>
        <v>0.11972348874834535</v>
      </c>
      <c r="O17" s="454">
        <f t="shared" si="25"/>
        <v>0.10966212211025489</v>
      </c>
      <c r="P17" s="455">
        <f t="shared" si="26"/>
        <v>0.10413223140495868</v>
      </c>
      <c r="Q17" s="1069">
        <f t="shared" si="27"/>
        <v>9.965220021170422E-2</v>
      </c>
      <c r="R17" s="219"/>
      <c r="S17" s="456">
        <v>6808</v>
      </c>
      <c r="T17" s="457">
        <v>237</v>
      </c>
      <c r="U17" s="458">
        <v>6830</v>
      </c>
      <c r="V17" s="459">
        <v>369</v>
      </c>
      <c r="W17" s="458">
        <v>6859</v>
      </c>
      <c r="X17" s="459">
        <v>436</v>
      </c>
      <c r="Y17" s="458">
        <v>7003</v>
      </c>
      <c r="Z17" s="459">
        <v>488</v>
      </c>
      <c r="AA17" s="458">
        <v>6836</v>
      </c>
      <c r="AB17" s="459">
        <v>439</v>
      </c>
      <c r="AC17" s="458">
        <v>6802</v>
      </c>
      <c r="AD17" s="459">
        <v>347</v>
      </c>
      <c r="AE17" s="458">
        <v>6838</v>
      </c>
      <c r="AF17" s="459">
        <v>328</v>
      </c>
      <c r="AG17" s="458">
        <v>6841</v>
      </c>
      <c r="AH17" s="459">
        <v>331</v>
      </c>
      <c r="AI17" s="458">
        <v>7052</v>
      </c>
      <c r="AJ17" s="459">
        <v>467</v>
      </c>
      <c r="AK17" s="460">
        <v>7229</v>
      </c>
      <c r="AL17" s="459">
        <v>840</v>
      </c>
      <c r="AM17" s="458">
        <v>6799</v>
      </c>
      <c r="AN17" s="459">
        <v>814</v>
      </c>
      <c r="AO17" s="461">
        <v>6748</v>
      </c>
      <c r="AP17" s="462">
        <v>740</v>
      </c>
      <c r="AQ17" s="463">
        <v>6655</v>
      </c>
      <c r="AR17" s="464">
        <v>693</v>
      </c>
      <c r="AS17" s="463">
        <v>6613</v>
      </c>
      <c r="AT17" s="1072">
        <v>659</v>
      </c>
    </row>
    <row r="18" spans="1:46" ht="15" customHeight="1">
      <c r="A18" s="449" t="s">
        <v>38</v>
      </c>
      <c r="B18" s="465" t="s">
        <v>39</v>
      </c>
      <c r="C18" s="190" t="s">
        <v>268</v>
      </c>
      <c r="D18" s="451">
        <f t="shared" si="14"/>
        <v>5.8179723502304145E-2</v>
      </c>
      <c r="E18" s="452">
        <f t="shared" si="15"/>
        <v>6.0146975692481626E-2</v>
      </c>
      <c r="F18" s="453">
        <f t="shared" si="16"/>
        <v>8.142812402129658E-2</v>
      </c>
      <c r="G18" s="453">
        <f t="shared" si="17"/>
        <v>6.9593386952636282E-2</v>
      </c>
      <c r="H18" s="453">
        <f t="shared" si="18"/>
        <v>5.622632575757576E-2</v>
      </c>
      <c r="I18" s="453">
        <f t="shared" si="19"/>
        <v>5.3129807123417347E-2</v>
      </c>
      <c r="J18" s="453">
        <f t="shared" si="20"/>
        <v>4.9252314265369093E-2</v>
      </c>
      <c r="K18" s="453">
        <f t="shared" si="21"/>
        <v>4.9094707520891366E-2</v>
      </c>
      <c r="L18" s="453">
        <f t="shared" si="22"/>
        <v>5.0011163206072781E-2</v>
      </c>
      <c r="M18" s="453">
        <f t="shared" si="23"/>
        <v>8.8565264293419627E-2</v>
      </c>
      <c r="N18" s="453">
        <f t="shared" si="24"/>
        <v>9.2319375135604259E-2</v>
      </c>
      <c r="O18" s="454">
        <f t="shared" si="25"/>
        <v>7.6824720298348428E-2</v>
      </c>
      <c r="P18" s="455">
        <f t="shared" si="26"/>
        <v>8.142812402129658E-2</v>
      </c>
      <c r="Q18" s="1069">
        <f t="shared" si="27"/>
        <v>9.7566323174742384E-2</v>
      </c>
      <c r="R18" s="219"/>
      <c r="S18" s="456">
        <v>8680</v>
      </c>
      <c r="T18" s="457">
        <v>505</v>
      </c>
      <c r="U18" s="458">
        <v>8845</v>
      </c>
      <c r="V18" s="459">
        <v>532</v>
      </c>
      <c r="W18" s="458">
        <v>9025</v>
      </c>
      <c r="X18" s="459">
        <v>638</v>
      </c>
      <c r="Y18" s="458">
        <v>8952</v>
      </c>
      <c r="Z18" s="459">
        <v>623</v>
      </c>
      <c r="AA18" s="458">
        <v>8448</v>
      </c>
      <c r="AB18" s="459">
        <v>475</v>
      </c>
      <c r="AC18" s="458">
        <v>8451</v>
      </c>
      <c r="AD18" s="459">
        <v>449</v>
      </c>
      <c r="AE18" s="458">
        <v>8426</v>
      </c>
      <c r="AF18" s="459">
        <v>415</v>
      </c>
      <c r="AG18" s="458">
        <v>8616</v>
      </c>
      <c r="AH18" s="459">
        <v>423</v>
      </c>
      <c r="AI18" s="458">
        <v>8958</v>
      </c>
      <c r="AJ18" s="459">
        <v>448</v>
      </c>
      <c r="AK18" s="460">
        <v>9270</v>
      </c>
      <c r="AL18" s="459">
        <v>821</v>
      </c>
      <c r="AM18" s="458">
        <v>9218</v>
      </c>
      <c r="AN18" s="459">
        <v>851</v>
      </c>
      <c r="AO18" s="461">
        <v>9385</v>
      </c>
      <c r="AP18" s="462">
        <v>721</v>
      </c>
      <c r="AQ18" s="463">
        <v>9579</v>
      </c>
      <c r="AR18" s="464">
        <v>780</v>
      </c>
      <c r="AS18" s="463">
        <v>9122</v>
      </c>
      <c r="AT18" s="1072">
        <v>890</v>
      </c>
    </row>
    <row r="19" spans="1:46" ht="15" customHeight="1">
      <c r="A19" s="449" t="s">
        <v>40</v>
      </c>
      <c r="B19" s="465" t="s">
        <v>41</v>
      </c>
      <c r="C19" s="190" t="s">
        <v>266</v>
      </c>
      <c r="D19" s="451">
        <f t="shared" si="14"/>
        <v>3.1766824954969707E-2</v>
      </c>
      <c r="E19" s="452">
        <f t="shared" si="15"/>
        <v>3.4309758860657062E-2</v>
      </c>
      <c r="F19" s="453">
        <f t="shared" si="16"/>
        <v>7.6725304465493915E-2</v>
      </c>
      <c r="G19" s="453">
        <f t="shared" si="17"/>
        <v>4.3625192012288788E-2</v>
      </c>
      <c r="H19" s="453">
        <f t="shared" si="18"/>
        <v>4.2060212514757972E-2</v>
      </c>
      <c r="I19" s="453">
        <f t="shared" si="19"/>
        <v>4.3070612364488718E-2</v>
      </c>
      <c r="J19" s="453">
        <f t="shared" si="20"/>
        <v>3.5510740903112667E-2</v>
      </c>
      <c r="K19" s="453">
        <f t="shared" si="21"/>
        <v>3.4893739230327396E-2</v>
      </c>
      <c r="L19" s="453">
        <f t="shared" si="22"/>
        <v>4.9202858713578893E-2</v>
      </c>
      <c r="M19" s="453">
        <f t="shared" si="23"/>
        <v>8.4076777507434447E-2</v>
      </c>
      <c r="N19" s="453">
        <f t="shared" si="24"/>
        <v>0.10057236304170074</v>
      </c>
      <c r="O19" s="454">
        <f t="shared" si="25"/>
        <v>8.9039242219215151E-2</v>
      </c>
      <c r="P19" s="455">
        <f t="shared" si="26"/>
        <v>7.6725304465493915E-2</v>
      </c>
      <c r="Q19" s="1069">
        <f t="shared" si="27"/>
        <v>7.1759890859481576E-2</v>
      </c>
      <c r="R19" s="219"/>
      <c r="S19" s="456">
        <v>6107</v>
      </c>
      <c r="T19" s="457">
        <v>194</v>
      </c>
      <c r="U19" s="458">
        <v>6179</v>
      </c>
      <c r="V19" s="459">
        <v>212</v>
      </c>
      <c r="W19" s="458">
        <v>6260</v>
      </c>
      <c r="X19" s="459">
        <v>241</v>
      </c>
      <c r="Y19" s="458">
        <v>6510</v>
      </c>
      <c r="Z19" s="459">
        <v>284</v>
      </c>
      <c r="AA19" s="458">
        <v>6776</v>
      </c>
      <c r="AB19" s="459">
        <v>285</v>
      </c>
      <c r="AC19" s="458">
        <v>6826</v>
      </c>
      <c r="AD19" s="459">
        <v>294</v>
      </c>
      <c r="AE19" s="458">
        <v>6843</v>
      </c>
      <c r="AF19" s="459">
        <v>243</v>
      </c>
      <c r="AG19" s="458">
        <v>6964</v>
      </c>
      <c r="AH19" s="459">
        <v>243</v>
      </c>
      <c r="AI19" s="458">
        <v>7276</v>
      </c>
      <c r="AJ19" s="459">
        <v>358</v>
      </c>
      <c r="AK19" s="460">
        <v>7398</v>
      </c>
      <c r="AL19" s="459">
        <v>622</v>
      </c>
      <c r="AM19" s="458">
        <v>7338</v>
      </c>
      <c r="AN19" s="459">
        <v>738</v>
      </c>
      <c r="AO19" s="461">
        <v>7390</v>
      </c>
      <c r="AP19" s="462">
        <v>658</v>
      </c>
      <c r="AQ19" s="463">
        <v>7390</v>
      </c>
      <c r="AR19" s="464">
        <v>567</v>
      </c>
      <c r="AS19" s="463">
        <v>7330</v>
      </c>
      <c r="AT19" s="1072">
        <v>526</v>
      </c>
    </row>
    <row r="20" spans="1:46" ht="15" customHeight="1">
      <c r="A20" s="449" t="s">
        <v>42</v>
      </c>
      <c r="B20" s="465" t="s">
        <v>43</v>
      </c>
      <c r="C20" s="190" t="s">
        <v>265</v>
      </c>
      <c r="D20" s="451">
        <f t="shared" si="14"/>
        <v>2.3074003795066415E-2</v>
      </c>
      <c r="E20" s="452">
        <f t="shared" si="15"/>
        <v>4.2419119342196263E-2</v>
      </c>
      <c r="F20" s="453">
        <f t="shared" si="16"/>
        <v>6.2729805013927581E-2</v>
      </c>
      <c r="G20" s="453">
        <f t="shared" si="17"/>
        <v>4.9788774894387447E-2</v>
      </c>
      <c r="H20" s="453">
        <f t="shared" si="18"/>
        <v>4.304698443948056E-2</v>
      </c>
      <c r="I20" s="453">
        <f t="shared" si="19"/>
        <v>3.9225181598062951E-2</v>
      </c>
      <c r="J20" s="453">
        <f t="shared" si="20"/>
        <v>3.2129990441879273E-2</v>
      </c>
      <c r="K20" s="453">
        <f t="shared" si="21"/>
        <v>3.4512001769846243E-2</v>
      </c>
      <c r="L20" s="453">
        <f t="shared" si="22"/>
        <v>3.9788178044940607E-2</v>
      </c>
      <c r="M20" s="453">
        <f t="shared" si="23"/>
        <v>7.5120302685229401E-2</v>
      </c>
      <c r="N20" s="453">
        <f t="shared" si="24"/>
        <v>7.8146611341632088E-2</v>
      </c>
      <c r="O20" s="454">
        <f t="shared" si="25"/>
        <v>7.1841392932913889E-2</v>
      </c>
      <c r="P20" s="455">
        <f t="shared" si="26"/>
        <v>6.2729805013927581E-2</v>
      </c>
      <c r="Q20" s="1069">
        <f t="shared" si="27"/>
        <v>5.9094283593170011E-2</v>
      </c>
      <c r="R20" s="219"/>
      <c r="S20" s="456">
        <v>26350</v>
      </c>
      <c r="T20" s="457">
        <v>608</v>
      </c>
      <c r="U20" s="458">
        <v>26026</v>
      </c>
      <c r="V20" s="459">
        <v>1104</v>
      </c>
      <c r="W20" s="458">
        <v>26518</v>
      </c>
      <c r="X20" s="459">
        <v>1513</v>
      </c>
      <c r="Y20" s="458">
        <v>26512</v>
      </c>
      <c r="Z20" s="459">
        <v>1320</v>
      </c>
      <c r="AA20" s="458">
        <v>26413</v>
      </c>
      <c r="AB20" s="459">
        <v>1137</v>
      </c>
      <c r="AC20" s="458">
        <v>26845</v>
      </c>
      <c r="AD20" s="459">
        <v>1053</v>
      </c>
      <c r="AE20" s="458">
        <v>27202</v>
      </c>
      <c r="AF20" s="459">
        <v>874</v>
      </c>
      <c r="AG20" s="458">
        <v>27121</v>
      </c>
      <c r="AH20" s="459">
        <v>936</v>
      </c>
      <c r="AI20" s="458">
        <v>27948</v>
      </c>
      <c r="AJ20" s="459">
        <v>1112</v>
      </c>
      <c r="AK20" s="460">
        <v>27223</v>
      </c>
      <c r="AL20" s="459">
        <v>2045</v>
      </c>
      <c r="AM20" s="458">
        <v>27474</v>
      </c>
      <c r="AN20" s="459">
        <v>2147</v>
      </c>
      <c r="AO20" s="461">
        <v>27338</v>
      </c>
      <c r="AP20" s="462">
        <v>1964</v>
      </c>
      <c r="AQ20" s="463">
        <v>26925</v>
      </c>
      <c r="AR20" s="464">
        <v>1689</v>
      </c>
      <c r="AS20" s="463">
        <v>26940</v>
      </c>
      <c r="AT20" s="1072">
        <v>1592</v>
      </c>
    </row>
    <row r="21" spans="1:46" ht="15" customHeight="1">
      <c r="A21" s="449" t="s">
        <v>44</v>
      </c>
      <c r="B21" s="465" t="s">
        <v>45</v>
      </c>
      <c r="C21" s="190" t="s">
        <v>266</v>
      </c>
      <c r="D21" s="451">
        <f t="shared" si="14"/>
        <v>2.1677490167383153E-2</v>
      </c>
      <c r="E21" s="452">
        <f t="shared" si="15"/>
        <v>3.0198603427949579E-2</v>
      </c>
      <c r="F21" s="453">
        <f t="shared" si="16"/>
        <v>7.2523262178434592E-2</v>
      </c>
      <c r="G21" s="453">
        <f t="shared" si="17"/>
        <v>4.252577319587629E-2</v>
      </c>
      <c r="H21" s="453">
        <f t="shared" si="18"/>
        <v>3.9278656126482216E-2</v>
      </c>
      <c r="I21" s="453">
        <f t="shared" si="19"/>
        <v>3.7629423582135682E-2</v>
      </c>
      <c r="J21" s="453">
        <f t="shared" si="20"/>
        <v>3.3736004714201531E-2</v>
      </c>
      <c r="K21" s="453">
        <f t="shared" si="21"/>
        <v>3.7513552584026021E-2</v>
      </c>
      <c r="L21" s="453">
        <f t="shared" si="22"/>
        <v>4.8008957939673878E-2</v>
      </c>
      <c r="M21" s="453">
        <f t="shared" si="23"/>
        <v>8.6913580246913577E-2</v>
      </c>
      <c r="N21" s="453">
        <f t="shared" si="24"/>
        <v>9.4811419045634504E-2</v>
      </c>
      <c r="O21" s="454">
        <f t="shared" si="25"/>
        <v>8.4720121028744322E-2</v>
      </c>
      <c r="P21" s="455">
        <f t="shared" si="26"/>
        <v>7.2523262178434592E-2</v>
      </c>
      <c r="Q21" s="1069">
        <f t="shared" si="27"/>
        <v>6.700645599728168E-2</v>
      </c>
      <c r="R21" s="219"/>
      <c r="S21" s="456">
        <v>10933</v>
      </c>
      <c r="T21" s="457">
        <v>237</v>
      </c>
      <c r="U21" s="458">
        <v>11027</v>
      </c>
      <c r="V21" s="459">
        <v>333</v>
      </c>
      <c r="W21" s="458">
        <v>11340</v>
      </c>
      <c r="X21" s="459">
        <v>484</v>
      </c>
      <c r="Y21" s="458">
        <v>11640</v>
      </c>
      <c r="Z21" s="459">
        <v>495</v>
      </c>
      <c r="AA21" s="458">
        <v>12144</v>
      </c>
      <c r="AB21" s="459">
        <v>477</v>
      </c>
      <c r="AC21" s="458">
        <v>12942</v>
      </c>
      <c r="AD21" s="459">
        <v>487</v>
      </c>
      <c r="AE21" s="458">
        <v>13576</v>
      </c>
      <c r="AF21" s="459">
        <v>458</v>
      </c>
      <c r="AG21" s="458">
        <v>13835</v>
      </c>
      <c r="AH21" s="459">
        <v>519</v>
      </c>
      <c r="AI21" s="458">
        <v>14289</v>
      </c>
      <c r="AJ21" s="459">
        <v>686</v>
      </c>
      <c r="AK21" s="460">
        <v>14175</v>
      </c>
      <c r="AL21" s="459">
        <v>1232</v>
      </c>
      <c r="AM21" s="458">
        <v>14397</v>
      </c>
      <c r="AN21" s="459">
        <v>1365</v>
      </c>
      <c r="AO21" s="461">
        <v>14542</v>
      </c>
      <c r="AP21" s="462">
        <v>1232</v>
      </c>
      <c r="AQ21" s="463">
        <v>14616</v>
      </c>
      <c r="AR21" s="464">
        <v>1060</v>
      </c>
      <c r="AS21" s="463">
        <v>14715</v>
      </c>
      <c r="AT21" s="1072">
        <v>986</v>
      </c>
    </row>
    <row r="22" spans="1:46" ht="15" customHeight="1">
      <c r="A22" s="449" t="s">
        <v>46</v>
      </c>
      <c r="B22" s="465" t="s">
        <v>47</v>
      </c>
      <c r="C22" s="190" t="s">
        <v>268</v>
      </c>
      <c r="D22" s="451">
        <f t="shared" si="14"/>
        <v>4.0266177768724112E-2</v>
      </c>
      <c r="E22" s="452">
        <f t="shared" si="15"/>
        <v>6.8937495767589896E-2</v>
      </c>
      <c r="F22" s="453">
        <f t="shared" si="16"/>
        <v>8.5284031608766964E-2</v>
      </c>
      <c r="G22" s="453">
        <f t="shared" si="17"/>
        <v>5.5688463583200426E-2</v>
      </c>
      <c r="H22" s="453">
        <f t="shared" si="18"/>
        <v>4.9054293101102188E-2</v>
      </c>
      <c r="I22" s="453">
        <f t="shared" si="19"/>
        <v>5.5567074434998961E-2</v>
      </c>
      <c r="J22" s="453">
        <f t="shared" si="20"/>
        <v>5.1886110709640124E-2</v>
      </c>
      <c r="K22" s="453">
        <f t="shared" si="21"/>
        <v>5.6880601329864125E-2</v>
      </c>
      <c r="L22" s="453">
        <f t="shared" si="22"/>
        <v>6.6704553527029906E-2</v>
      </c>
      <c r="M22" s="453">
        <f t="shared" si="23"/>
        <v>0.1121398466109307</v>
      </c>
      <c r="N22" s="453">
        <f t="shared" si="24"/>
        <v>0.11297335203366059</v>
      </c>
      <c r="O22" s="454">
        <f t="shared" si="25"/>
        <v>9.5360091090236271E-2</v>
      </c>
      <c r="P22" s="455">
        <f t="shared" si="26"/>
        <v>8.5284031608766964E-2</v>
      </c>
      <c r="Q22" s="1069">
        <f t="shared" si="27"/>
        <v>8.0836547018688823E-2</v>
      </c>
      <c r="R22" s="219"/>
      <c r="S22" s="456">
        <v>14727</v>
      </c>
      <c r="T22" s="457">
        <v>593</v>
      </c>
      <c r="U22" s="458">
        <v>14767</v>
      </c>
      <c r="V22" s="459">
        <v>1018</v>
      </c>
      <c r="W22" s="458">
        <v>14853</v>
      </c>
      <c r="X22" s="459">
        <v>979</v>
      </c>
      <c r="Y22" s="458">
        <v>15048</v>
      </c>
      <c r="Z22" s="459">
        <v>838</v>
      </c>
      <c r="AA22" s="458">
        <v>14698</v>
      </c>
      <c r="AB22" s="459">
        <v>721</v>
      </c>
      <c r="AC22" s="458">
        <v>14469</v>
      </c>
      <c r="AD22" s="459">
        <v>804</v>
      </c>
      <c r="AE22" s="458">
        <v>13838</v>
      </c>
      <c r="AF22" s="459">
        <v>718</v>
      </c>
      <c r="AG22" s="458">
        <v>13836</v>
      </c>
      <c r="AH22" s="459">
        <v>787</v>
      </c>
      <c r="AI22" s="458">
        <v>14077</v>
      </c>
      <c r="AJ22" s="459">
        <v>939</v>
      </c>
      <c r="AK22" s="460">
        <v>14473</v>
      </c>
      <c r="AL22" s="459">
        <v>1623</v>
      </c>
      <c r="AM22" s="458">
        <v>14260</v>
      </c>
      <c r="AN22" s="459">
        <v>1611</v>
      </c>
      <c r="AO22" s="461">
        <v>14052</v>
      </c>
      <c r="AP22" s="462">
        <v>1340</v>
      </c>
      <c r="AQ22" s="463">
        <v>13414</v>
      </c>
      <c r="AR22" s="464">
        <v>1144</v>
      </c>
      <c r="AS22" s="463">
        <v>13484</v>
      </c>
      <c r="AT22" s="1072">
        <v>1090</v>
      </c>
    </row>
    <row r="23" spans="1:46" ht="15" customHeight="1">
      <c r="A23" s="449" t="s">
        <v>48</v>
      </c>
      <c r="B23" s="465" t="s">
        <v>269</v>
      </c>
      <c r="C23" s="190" t="s">
        <v>266</v>
      </c>
      <c r="D23" s="451">
        <f t="shared" si="14"/>
        <v>2.4492067909824659E-2</v>
      </c>
      <c r="E23" s="452">
        <f t="shared" si="15"/>
        <v>4.8873201194678251E-2</v>
      </c>
      <c r="F23" s="453">
        <f t="shared" si="16"/>
        <v>7.4920297555791715E-2</v>
      </c>
      <c r="G23" s="453">
        <f t="shared" si="17"/>
        <v>5.0317796610169489E-2</v>
      </c>
      <c r="H23" s="453">
        <f t="shared" si="18"/>
        <v>4.9697607152248226E-2</v>
      </c>
      <c r="I23" s="453">
        <f t="shared" si="19"/>
        <v>4.3374768579740812E-2</v>
      </c>
      <c r="J23" s="453">
        <f t="shared" si="20"/>
        <v>3.9302446642373763E-2</v>
      </c>
      <c r="K23" s="453">
        <f t="shared" si="21"/>
        <v>3.9313984168865439E-2</v>
      </c>
      <c r="L23" s="453">
        <f t="shared" si="22"/>
        <v>5.0115651503469548E-2</v>
      </c>
      <c r="M23" s="453">
        <f t="shared" si="23"/>
        <v>9.3319469716662329E-2</v>
      </c>
      <c r="N23" s="453">
        <f t="shared" si="24"/>
        <v>9.5063025210084029E-2</v>
      </c>
      <c r="O23" s="454">
        <f t="shared" si="25"/>
        <v>8.7467362924281991E-2</v>
      </c>
      <c r="P23" s="455">
        <f t="shared" si="26"/>
        <v>7.4920297555791715E-2</v>
      </c>
      <c r="Q23" s="1069">
        <f t="shared" si="27"/>
        <v>6.0719041278295603E-2</v>
      </c>
      <c r="R23" s="219"/>
      <c r="S23" s="456">
        <v>3593</v>
      </c>
      <c r="T23" s="457">
        <v>88</v>
      </c>
      <c r="U23" s="458">
        <v>3683</v>
      </c>
      <c r="V23" s="459">
        <v>180</v>
      </c>
      <c r="W23" s="458">
        <v>3743</v>
      </c>
      <c r="X23" s="459">
        <v>195</v>
      </c>
      <c r="Y23" s="458">
        <v>3776</v>
      </c>
      <c r="Z23" s="459">
        <v>190</v>
      </c>
      <c r="AA23" s="458">
        <v>3803</v>
      </c>
      <c r="AB23" s="459">
        <v>189</v>
      </c>
      <c r="AC23" s="458">
        <v>3781</v>
      </c>
      <c r="AD23" s="459">
        <v>164</v>
      </c>
      <c r="AE23" s="458">
        <v>3842</v>
      </c>
      <c r="AF23" s="459">
        <v>151</v>
      </c>
      <c r="AG23" s="458">
        <v>3790</v>
      </c>
      <c r="AH23" s="459">
        <v>149</v>
      </c>
      <c r="AI23" s="458">
        <v>3891</v>
      </c>
      <c r="AJ23" s="459">
        <v>195</v>
      </c>
      <c r="AK23" s="460">
        <v>3847</v>
      </c>
      <c r="AL23" s="459">
        <v>359</v>
      </c>
      <c r="AM23" s="458">
        <v>3808</v>
      </c>
      <c r="AN23" s="459">
        <v>362</v>
      </c>
      <c r="AO23" s="461">
        <v>3830</v>
      </c>
      <c r="AP23" s="462">
        <v>335</v>
      </c>
      <c r="AQ23" s="463">
        <v>3764</v>
      </c>
      <c r="AR23" s="464">
        <v>282</v>
      </c>
      <c r="AS23" s="463">
        <v>3755</v>
      </c>
      <c r="AT23" s="1072">
        <v>228</v>
      </c>
    </row>
    <row r="24" spans="1:46" ht="15" customHeight="1">
      <c r="A24" s="449" t="s">
        <v>50</v>
      </c>
      <c r="B24" s="465" t="s">
        <v>51</v>
      </c>
      <c r="C24" s="190" t="s">
        <v>265</v>
      </c>
      <c r="D24" s="451">
        <f t="shared" si="14"/>
        <v>3.1358249772105745E-2</v>
      </c>
      <c r="E24" s="452">
        <f t="shared" si="15"/>
        <v>4.2880703683342493E-2</v>
      </c>
      <c r="F24" s="453">
        <f t="shared" si="16"/>
        <v>8.8521400778210121E-2</v>
      </c>
      <c r="G24" s="453">
        <f t="shared" si="17"/>
        <v>6.4985111227885792E-2</v>
      </c>
      <c r="H24" s="453">
        <f t="shared" si="18"/>
        <v>5.9128260092890315E-2</v>
      </c>
      <c r="I24" s="453">
        <f t="shared" si="19"/>
        <v>8.1224789145581219E-2</v>
      </c>
      <c r="J24" s="453">
        <f t="shared" si="20"/>
        <v>6.5969581749049433E-2</v>
      </c>
      <c r="K24" s="453">
        <f t="shared" si="21"/>
        <v>5.34147272033575E-2</v>
      </c>
      <c r="L24" s="453">
        <f t="shared" si="22"/>
        <v>5.9353178978316795E-2</v>
      </c>
      <c r="M24" s="453">
        <f t="shared" si="23"/>
        <v>9.5528820254982938E-2</v>
      </c>
      <c r="N24" s="453">
        <f t="shared" si="24"/>
        <v>0.10061832490163013</v>
      </c>
      <c r="O24" s="454">
        <f t="shared" si="25"/>
        <v>9.7165236851920925E-2</v>
      </c>
      <c r="P24" s="455">
        <f t="shared" si="26"/>
        <v>8.8521400778210121E-2</v>
      </c>
      <c r="Q24" s="1069">
        <f t="shared" si="27"/>
        <v>7.9009433962264147E-2</v>
      </c>
      <c r="R24" s="219"/>
      <c r="S24" s="456">
        <v>5485</v>
      </c>
      <c r="T24" s="457">
        <v>172</v>
      </c>
      <c r="U24" s="458">
        <v>5457</v>
      </c>
      <c r="V24" s="459">
        <v>234</v>
      </c>
      <c r="W24" s="458">
        <v>5568</v>
      </c>
      <c r="X24" s="459">
        <v>414</v>
      </c>
      <c r="Y24" s="458">
        <v>5709</v>
      </c>
      <c r="Z24" s="459">
        <v>371</v>
      </c>
      <c r="AA24" s="458">
        <v>5598</v>
      </c>
      <c r="AB24" s="459">
        <v>331</v>
      </c>
      <c r="AC24" s="458">
        <v>5454</v>
      </c>
      <c r="AD24" s="459">
        <v>443</v>
      </c>
      <c r="AE24" s="458">
        <v>5260</v>
      </c>
      <c r="AF24" s="459">
        <v>347</v>
      </c>
      <c r="AG24" s="458">
        <v>5242</v>
      </c>
      <c r="AH24" s="459">
        <v>280</v>
      </c>
      <c r="AI24" s="458">
        <v>5442</v>
      </c>
      <c r="AJ24" s="459">
        <v>323</v>
      </c>
      <c r="AK24" s="460">
        <v>5569</v>
      </c>
      <c r="AL24" s="459">
        <v>532</v>
      </c>
      <c r="AM24" s="458">
        <v>5337</v>
      </c>
      <c r="AN24" s="459">
        <v>537</v>
      </c>
      <c r="AO24" s="461">
        <v>5362</v>
      </c>
      <c r="AP24" s="462">
        <v>521</v>
      </c>
      <c r="AQ24" s="463">
        <v>5140</v>
      </c>
      <c r="AR24" s="464">
        <v>455</v>
      </c>
      <c r="AS24" s="463">
        <v>5088</v>
      </c>
      <c r="AT24" s="1072">
        <v>402</v>
      </c>
    </row>
    <row r="25" spans="1:46">
      <c r="A25" s="449" t="s">
        <v>56</v>
      </c>
      <c r="B25" s="465" t="s">
        <v>57</v>
      </c>
      <c r="C25" s="190" t="s">
        <v>266</v>
      </c>
      <c r="D25" s="451">
        <f t="shared" si="14"/>
        <v>1.8083773262944594E-2</v>
      </c>
      <c r="E25" s="452">
        <f t="shared" si="15"/>
        <v>2.6142125346296587E-2</v>
      </c>
      <c r="F25" s="453">
        <f t="shared" si="16"/>
        <v>5.9556465737921373E-2</v>
      </c>
      <c r="G25" s="453">
        <f t="shared" si="17"/>
        <v>3.5656008270948295E-2</v>
      </c>
      <c r="H25" s="453">
        <f t="shared" si="18"/>
        <v>3.3082360916089674E-2</v>
      </c>
      <c r="I25" s="453">
        <f t="shared" si="19"/>
        <v>3.1828336760514137E-2</v>
      </c>
      <c r="J25" s="453">
        <f t="shared" si="20"/>
        <v>2.7787702414568086E-2</v>
      </c>
      <c r="K25" s="453">
        <f t="shared" si="21"/>
        <v>2.6788330814624981E-2</v>
      </c>
      <c r="L25" s="453">
        <f t="shared" si="22"/>
        <v>3.7053340093942753E-2</v>
      </c>
      <c r="M25" s="453">
        <f t="shared" si="23"/>
        <v>6.9645389269593419E-2</v>
      </c>
      <c r="N25" s="453">
        <f t="shared" si="24"/>
        <v>7.3687374080299198E-2</v>
      </c>
      <c r="O25" s="454">
        <f t="shared" si="25"/>
        <v>6.6593648510211642E-2</v>
      </c>
      <c r="P25" s="455">
        <f t="shared" si="26"/>
        <v>5.9556465737921373E-2</v>
      </c>
      <c r="Q25" s="1069">
        <f t="shared" si="27"/>
        <v>5.5725337664558047E-2</v>
      </c>
      <c r="R25" s="219"/>
      <c r="S25" s="466">
        <v>150024</v>
      </c>
      <c r="T25" s="467">
        <v>2713</v>
      </c>
      <c r="U25" s="1684">
        <v>153048</v>
      </c>
      <c r="V25" s="1685">
        <v>4001</v>
      </c>
      <c r="W25" s="1684">
        <v>157039</v>
      </c>
      <c r="X25" s="1685">
        <v>5423</v>
      </c>
      <c r="Y25" s="1684">
        <v>160562</v>
      </c>
      <c r="Z25" s="1685">
        <v>5725</v>
      </c>
      <c r="AA25" s="1684">
        <v>165224</v>
      </c>
      <c r="AB25" s="1685">
        <v>5466</v>
      </c>
      <c r="AC25" s="1684">
        <v>168749</v>
      </c>
      <c r="AD25" s="1685">
        <v>5371</v>
      </c>
      <c r="AE25" s="1684">
        <v>173530</v>
      </c>
      <c r="AF25" s="1685">
        <v>4822</v>
      </c>
      <c r="AG25" s="1684">
        <v>174031</v>
      </c>
      <c r="AH25" s="1685">
        <v>4662</v>
      </c>
      <c r="AI25" s="1684">
        <v>179471</v>
      </c>
      <c r="AJ25" s="1685">
        <v>6650</v>
      </c>
      <c r="AK25" s="1686">
        <v>177011</v>
      </c>
      <c r="AL25" s="1685">
        <v>12328</v>
      </c>
      <c r="AM25" s="1684">
        <v>179678</v>
      </c>
      <c r="AN25" s="1685">
        <v>13240</v>
      </c>
      <c r="AO25" s="461">
        <v>183516</v>
      </c>
      <c r="AP25" s="462">
        <v>12221</v>
      </c>
      <c r="AQ25" s="463">
        <v>185555</v>
      </c>
      <c r="AR25" s="464">
        <v>11051</v>
      </c>
      <c r="AS25" s="463">
        <v>187168</v>
      </c>
      <c r="AT25" s="1072">
        <v>10430</v>
      </c>
    </row>
    <row r="26" spans="1:46" ht="15" customHeight="1">
      <c r="A26" s="449" t="s">
        <v>58</v>
      </c>
      <c r="B26" s="465" t="s">
        <v>59</v>
      </c>
      <c r="C26" s="190" t="s">
        <v>267</v>
      </c>
      <c r="D26" s="451">
        <f t="shared" si="14"/>
        <v>1.5729682493445966E-2</v>
      </c>
      <c r="E26" s="452">
        <f t="shared" si="15"/>
        <v>2.2301136363636363E-2</v>
      </c>
      <c r="F26" s="453">
        <f t="shared" si="16"/>
        <v>5.0135676443985012E-2</v>
      </c>
      <c r="G26" s="453">
        <f t="shared" si="17"/>
        <v>3.0972222222222224E-2</v>
      </c>
      <c r="H26" s="453">
        <f t="shared" si="18"/>
        <v>2.7955271565495207E-2</v>
      </c>
      <c r="I26" s="453">
        <f t="shared" si="19"/>
        <v>2.5552131484334873E-2</v>
      </c>
      <c r="J26" s="453">
        <f t="shared" si="20"/>
        <v>2.4302541847489152E-2</v>
      </c>
      <c r="K26" s="453">
        <f t="shared" si="21"/>
        <v>2.707445475056405E-2</v>
      </c>
      <c r="L26" s="453">
        <f t="shared" si="22"/>
        <v>3.4247410115783056E-2</v>
      </c>
      <c r="M26" s="453">
        <f t="shared" si="23"/>
        <v>6.5484982767109803E-2</v>
      </c>
      <c r="N26" s="453">
        <f t="shared" si="24"/>
        <v>5.9979182930002602E-2</v>
      </c>
      <c r="O26" s="454">
        <f t="shared" si="25"/>
        <v>5.3084832904884319E-2</v>
      </c>
      <c r="P26" s="455">
        <f t="shared" si="26"/>
        <v>5.0135676443985012E-2</v>
      </c>
      <c r="Q26" s="1069">
        <f t="shared" si="27"/>
        <v>4.5056642636457263E-2</v>
      </c>
      <c r="R26" s="219"/>
      <c r="S26" s="456">
        <v>6866</v>
      </c>
      <c r="T26" s="457">
        <v>108</v>
      </c>
      <c r="U26" s="458">
        <v>7040</v>
      </c>
      <c r="V26" s="459">
        <v>157</v>
      </c>
      <c r="W26" s="458">
        <v>7103</v>
      </c>
      <c r="X26" s="459">
        <v>214</v>
      </c>
      <c r="Y26" s="458">
        <v>7200</v>
      </c>
      <c r="Z26" s="459">
        <v>223</v>
      </c>
      <c r="AA26" s="458">
        <v>7512</v>
      </c>
      <c r="AB26" s="459">
        <v>210</v>
      </c>
      <c r="AC26" s="458">
        <v>7788</v>
      </c>
      <c r="AD26" s="459">
        <v>199</v>
      </c>
      <c r="AE26" s="458">
        <v>8065</v>
      </c>
      <c r="AF26" s="459">
        <v>196</v>
      </c>
      <c r="AG26" s="458">
        <v>7978</v>
      </c>
      <c r="AH26" s="459">
        <v>216</v>
      </c>
      <c r="AI26" s="458">
        <v>8205</v>
      </c>
      <c r="AJ26" s="459">
        <v>281</v>
      </c>
      <c r="AK26" s="460">
        <v>8124</v>
      </c>
      <c r="AL26" s="459">
        <v>532</v>
      </c>
      <c r="AM26" s="458">
        <v>7686</v>
      </c>
      <c r="AN26" s="459">
        <v>461</v>
      </c>
      <c r="AO26" s="461">
        <v>7780</v>
      </c>
      <c r="AP26" s="462">
        <v>413</v>
      </c>
      <c r="AQ26" s="463">
        <v>7739</v>
      </c>
      <c r="AR26" s="464">
        <v>388</v>
      </c>
      <c r="AS26" s="463">
        <v>7768</v>
      </c>
      <c r="AT26" s="1072">
        <v>350</v>
      </c>
    </row>
    <row r="27" spans="1:46" ht="15" customHeight="1">
      <c r="A27" s="449" t="s">
        <v>60</v>
      </c>
      <c r="B27" s="465" t="s">
        <v>61</v>
      </c>
      <c r="C27" s="190" t="s">
        <v>265</v>
      </c>
      <c r="D27" s="451">
        <f t="shared" si="14"/>
        <v>2.4115755627009645E-2</v>
      </c>
      <c r="E27" s="452">
        <f t="shared" si="15"/>
        <v>2.9246794871794872E-2</v>
      </c>
      <c r="F27" s="453">
        <f t="shared" si="16"/>
        <v>6.7246835443037972E-2</v>
      </c>
      <c r="G27" s="453">
        <f t="shared" si="17"/>
        <v>4.0873015873015874E-2</v>
      </c>
      <c r="H27" s="453">
        <f t="shared" si="18"/>
        <v>3.8630027877339705E-2</v>
      </c>
      <c r="I27" s="453">
        <f t="shared" si="19"/>
        <v>3.8553259141494434E-2</v>
      </c>
      <c r="J27" s="453">
        <f t="shared" si="20"/>
        <v>3.399765533411489E-2</v>
      </c>
      <c r="K27" s="453">
        <f t="shared" si="21"/>
        <v>3.7676609105180531E-2</v>
      </c>
      <c r="L27" s="453">
        <f t="shared" si="22"/>
        <v>3.9921722113502936E-2</v>
      </c>
      <c r="M27" s="453">
        <f t="shared" si="23"/>
        <v>7.6703386372909022E-2</v>
      </c>
      <c r="N27" s="453">
        <f t="shared" si="24"/>
        <v>7.9968012794882054E-2</v>
      </c>
      <c r="O27" s="454">
        <f t="shared" si="25"/>
        <v>7.6583801122694473E-2</v>
      </c>
      <c r="P27" s="455">
        <f t="shared" si="26"/>
        <v>6.7246835443037972E-2</v>
      </c>
      <c r="Q27" s="1069">
        <f t="shared" si="27"/>
        <v>6.6535433070866137E-2</v>
      </c>
      <c r="R27" s="219"/>
      <c r="S27" s="456">
        <v>2488</v>
      </c>
      <c r="T27" s="457">
        <v>60</v>
      </c>
      <c r="U27" s="458">
        <v>2496</v>
      </c>
      <c r="V27" s="459">
        <v>73</v>
      </c>
      <c r="W27" s="458">
        <v>2545</v>
      </c>
      <c r="X27" s="459">
        <v>102</v>
      </c>
      <c r="Y27" s="458">
        <v>2520</v>
      </c>
      <c r="Z27" s="459">
        <v>103</v>
      </c>
      <c r="AA27" s="458">
        <v>2511</v>
      </c>
      <c r="AB27" s="459">
        <v>97</v>
      </c>
      <c r="AC27" s="458">
        <v>2516</v>
      </c>
      <c r="AD27" s="459">
        <v>97</v>
      </c>
      <c r="AE27" s="458">
        <v>2559</v>
      </c>
      <c r="AF27" s="459">
        <v>87</v>
      </c>
      <c r="AG27" s="458">
        <v>2548</v>
      </c>
      <c r="AH27" s="459">
        <v>96</v>
      </c>
      <c r="AI27" s="458">
        <v>2555</v>
      </c>
      <c r="AJ27" s="459">
        <v>102</v>
      </c>
      <c r="AK27" s="460">
        <v>2451</v>
      </c>
      <c r="AL27" s="459">
        <v>188</v>
      </c>
      <c r="AM27" s="458">
        <v>2501</v>
      </c>
      <c r="AN27" s="459">
        <v>200</v>
      </c>
      <c r="AO27" s="461">
        <v>2494</v>
      </c>
      <c r="AP27" s="462">
        <v>191</v>
      </c>
      <c r="AQ27" s="463">
        <v>2528</v>
      </c>
      <c r="AR27" s="464">
        <v>170</v>
      </c>
      <c r="AS27" s="463">
        <v>2540</v>
      </c>
      <c r="AT27" s="1072">
        <v>169</v>
      </c>
    </row>
    <row r="28" spans="1:46" ht="15" customHeight="1">
      <c r="A28" s="449" t="s">
        <v>62</v>
      </c>
      <c r="B28" s="465" t="s">
        <v>63</v>
      </c>
      <c r="C28" s="190" t="s">
        <v>267</v>
      </c>
      <c r="D28" s="451">
        <f t="shared" si="14"/>
        <v>1.9015925837889233E-2</v>
      </c>
      <c r="E28" s="452">
        <f t="shared" si="15"/>
        <v>2.5980789260502256E-2</v>
      </c>
      <c r="F28" s="453">
        <f t="shared" si="16"/>
        <v>6.3088248998229429E-2</v>
      </c>
      <c r="G28" s="453">
        <f t="shared" si="17"/>
        <v>4.0235579040070454E-2</v>
      </c>
      <c r="H28" s="453">
        <f t="shared" si="18"/>
        <v>3.4819323353621756E-2</v>
      </c>
      <c r="I28" s="453">
        <f t="shared" si="19"/>
        <v>3.2595068951107399E-2</v>
      </c>
      <c r="J28" s="453">
        <f t="shared" si="20"/>
        <v>3.2203474192424468E-2</v>
      </c>
      <c r="K28" s="453">
        <f t="shared" si="21"/>
        <v>3.6269687484473595E-2</v>
      </c>
      <c r="L28" s="453">
        <f t="shared" si="22"/>
        <v>4.8125029780340209E-2</v>
      </c>
      <c r="M28" s="453">
        <f t="shared" si="23"/>
        <v>8.2175763528366308E-2</v>
      </c>
      <c r="N28" s="453">
        <f t="shared" si="24"/>
        <v>8.1104359060242118E-2</v>
      </c>
      <c r="O28" s="454">
        <f t="shared" si="25"/>
        <v>7.13878868426049E-2</v>
      </c>
      <c r="P28" s="455">
        <f t="shared" si="26"/>
        <v>6.3088248998229429E-2</v>
      </c>
      <c r="Q28" s="1069">
        <f t="shared" si="27"/>
        <v>5.893254262416605E-2</v>
      </c>
      <c r="R28" s="219"/>
      <c r="S28" s="456">
        <v>16828</v>
      </c>
      <c r="T28" s="457">
        <v>320</v>
      </c>
      <c r="U28" s="458">
        <v>17282</v>
      </c>
      <c r="V28" s="459">
        <v>449</v>
      </c>
      <c r="W28" s="458">
        <v>17643</v>
      </c>
      <c r="X28" s="459">
        <v>665</v>
      </c>
      <c r="Y28" s="458">
        <v>18168</v>
      </c>
      <c r="Z28" s="459">
        <v>731</v>
      </c>
      <c r="AA28" s="458">
        <v>18237</v>
      </c>
      <c r="AB28" s="459">
        <v>635</v>
      </c>
      <c r="AC28" s="458">
        <v>19144</v>
      </c>
      <c r="AD28" s="459">
        <v>624</v>
      </c>
      <c r="AE28" s="458">
        <v>20091</v>
      </c>
      <c r="AF28" s="459">
        <v>647</v>
      </c>
      <c r="AG28" s="458">
        <v>20127</v>
      </c>
      <c r="AH28" s="459">
        <v>730</v>
      </c>
      <c r="AI28" s="458">
        <v>20987</v>
      </c>
      <c r="AJ28" s="459">
        <v>1010</v>
      </c>
      <c r="AK28" s="460">
        <v>21381</v>
      </c>
      <c r="AL28" s="459">
        <v>1757</v>
      </c>
      <c r="AM28" s="458">
        <v>20899</v>
      </c>
      <c r="AN28" s="459">
        <v>1695</v>
      </c>
      <c r="AO28" s="461">
        <v>21068</v>
      </c>
      <c r="AP28" s="462">
        <v>1504</v>
      </c>
      <c r="AQ28" s="463">
        <v>21462</v>
      </c>
      <c r="AR28" s="464">
        <v>1354</v>
      </c>
      <c r="AS28" s="463">
        <v>21584</v>
      </c>
      <c r="AT28" s="1072">
        <v>1272</v>
      </c>
    </row>
    <row r="29" spans="1:46" ht="15" customHeight="1">
      <c r="A29" s="449" t="s">
        <v>64</v>
      </c>
      <c r="B29" s="465" t="s">
        <v>65</v>
      </c>
      <c r="C29" s="190" t="s">
        <v>266</v>
      </c>
      <c r="D29" s="451">
        <f t="shared" si="14"/>
        <v>2.2317188983855651E-2</v>
      </c>
      <c r="E29" s="452">
        <f t="shared" si="15"/>
        <v>2.7877055039313797E-2</v>
      </c>
      <c r="F29" s="453">
        <f t="shared" si="16"/>
        <v>6.8987749838813672E-2</v>
      </c>
      <c r="G29" s="453">
        <f t="shared" si="17"/>
        <v>4.0387722132471729E-2</v>
      </c>
      <c r="H29" s="453">
        <f t="shared" si="18"/>
        <v>3.9041095890410958E-2</v>
      </c>
      <c r="I29" s="453">
        <f t="shared" si="19"/>
        <v>3.861607142857143E-2</v>
      </c>
      <c r="J29" s="453">
        <f t="shared" si="20"/>
        <v>3.422389048355045E-2</v>
      </c>
      <c r="K29" s="453">
        <f t="shared" si="21"/>
        <v>3.2378035440822579E-2</v>
      </c>
      <c r="L29" s="453">
        <f t="shared" si="22"/>
        <v>4.7831632653061222E-2</v>
      </c>
      <c r="M29" s="453">
        <f t="shared" si="23"/>
        <v>7.5672159583694706E-2</v>
      </c>
      <c r="N29" s="453">
        <f t="shared" si="24"/>
        <v>8.2872928176795577E-2</v>
      </c>
      <c r="O29" s="454">
        <f t="shared" si="25"/>
        <v>7.2083599914693958E-2</v>
      </c>
      <c r="P29" s="455">
        <f t="shared" si="26"/>
        <v>6.8987749838813672E-2</v>
      </c>
      <c r="Q29" s="1069">
        <f t="shared" si="27"/>
        <v>6.3193851409052093E-2</v>
      </c>
      <c r="R29" s="219"/>
      <c r="S29" s="456">
        <v>4212</v>
      </c>
      <c r="T29" s="457">
        <v>94</v>
      </c>
      <c r="U29" s="458">
        <v>4197</v>
      </c>
      <c r="V29" s="459">
        <v>117</v>
      </c>
      <c r="W29" s="458">
        <v>4258</v>
      </c>
      <c r="X29" s="459">
        <v>156</v>
      </c>
      <c r="Y29" s="458">
        <v>4333</v>
      </c>
      <c r="Z29" s="459">
        <v>175</v>
      </c>
      <c r="AA29" s="458">
        <v>4380</v>
      </c>
      <c r="AB29" s="459">
        <v>171</v>
      </c>
      <c r="AC29" s="458">
        <v>4480</v>
      </c>
      <c r="AD29" s="459">
        <v>173</v>
      </c>
      <c r="AE29" s="458">
        <v>4529</v>
      </c>
      <c r="AF29" s="459">
        <v>155</v>
      </c>
      <c r="AG29" s="458">
        <v>4571</v>
      </c>
      <c r="AH29" s="459">
        <v>148</v>
      </c>
      <c r="AI29" s="458">
        <v>4704</v>
      </c>
      <c r="AJ29" s="459">
        <v>225</v>
      </c>
      <c r="AK29" s="460">
        <v>4612</v>
      </c>
      <c r="AL29" s="459">
        <v>349</v>
      </c>
      <c r="AM29" s="458">
        <v>4706</v>
      </c>
      <c r="AN29" s="459">
        <v>390</v>
      </c>
      <c r="AO29" s="461">
        <v>4689</v>
      </c>
      <c r="AP29" s="462">
        <v>338</v>
      </c>
      <c r="AQ29" s="463">
        <v>4653</v>
      </c>
      <c r="AR29" s="464">
        <v>321</v>
      </c>
      <c r="AS29" s="463">
        <v>4684</v>
      </c>
      <c r="AT29" s="1072">
        <v>296</v>
      </c>
    </row>
    <row r="30" spans="1:46" ht="15" customHeight="1">
      <c r="A30" s="449" t="s">
        <v>68</v>
      </c>
      <c r="B30" s="465" t="s">
        <v>69</v>
      </c>
      <c r="C30" s="190" t="s">
        <v>268</v>
      </c>
      <c r="D30" s="451">
        <f t="shared" si="14"/>
        <v>5.7598499061913694E-2</v>
      </c>
      <c r="E30" s="452">
        <f t="shared" si="15"/>
        <v>6.987378818364734E-2</v>
      </c>
      <c r="F30" s="453">
        <f t="shared" si="16"/>
        <v>8.8809645101035825E-2</v>
      </c>
      <c r="G30" s="453">
        <f t="shared" si="17"/>
        <v>8.4341455103083995E-2</v>
      </c>
      <c r="H30" s="453">
        <f t="shared" si="18"/>
        <v>6.1293179805137286E-2</v>
      </c>
      <c r="I30" s="453">
        <f t="shared" si="19"/>
        <v>6.3456189151599438E-2</v>
      </c>
      <c r="J30" s="453">
        <f t="shared" si="20"/>
        <v>5.0661959399823479E-2</v>
      </c>
      <c r="K30" s="453">
        <f t="shared" si="21"/>
        <v>5.2777777777777778E-2</v>
      </c>
      <c r="L30" s="453">
        <f t="shared" si="22"/>
        <v>5.7227429699062651E-2</v>
      </c>
      <c r="M30" s="453">
        <f t="shared" si="23"/>
        <v>8.9995361063862689E-2</v>
      </c>
      <c r="N30" s="453">
        <f t="shared" si="24"/>
        <v>8.7580874230708539E-2</v>
      </c>
      <c r="O30" s="454">
        <f t="shared" si="25"/>
        <v>8.0728757656667191E-2</v>
      </c>
      <c r="P30" s="455">
        <f t="shared" si="26"/>
        <v>8.8809645101035825E-2</v>
      </c>
      <c r="Q30" s="1069">
        <f t="shared" si="27"/>
        <v>9.9549080818591748E-2</v>
      </c>
      <c r="R30" s="219"/>
      <c r="S30" s="456">
        <v>5330</v>
      </c>
      <c r="T30" s="457">
        <v>307</v>
      </c>
      <c r="U30" s="458">
        <v>5467</v>
      </c>
      <c r="V30" s="459">
        <v>382</v>
      </c>
      <c r="W30" s="458">
        <v>5676</v>
      </c>
      <c r="X30" s="459">
        <v>443</v>
      </c>
      <c r="Y30" s="458">
        <v>5869</v>
      </c>
      <c r="Z30" s="459">
        <v>495</v>
      </c>
      <c r="AA30" s="458">
        <v>5645</v>
      </c>
      <c r="AB30" s="459">
        <v>346</v>
      </c>
      <c r="AC30" s="458">
        <v>5752</v>
      </c>
      <c r="AD30" s="459">
        <v>365</v>
      </c>
      <c r="AE30" s="458">
        <v>5665</v>
      </c>
      <c r="AF30" s="459">
        <v>287</v>
      </c>
      <c r="AG30" s="458">
        <v>5760</v>
      </c>
      <c r="AH30" s="459">
        <v>304</v>
      </c>
      <c r="AI30" s="458">
        <v>6081</v>
      </c>
      <c r="AJ30" s="459">
        <v>348</v>
      </c>
      <c r="AK30" s="460">
        <v>6467</v>
      </c>
      <c r="AL30" s="459">
        <v>582</v>
      </c>
      <c r="AM30" s="458">
        <v>6337</v>
      </c>
      <c r="AN30" s="459">
        <v>555</v>
      </c>
      <c r="AO30" s="461">
        <v>6367</v>
      </c>
      <c r="AP30" s="462">
        <v>514</v>
      </c>
      <c r="AQ30" s="463">
        <v>5889</v>
      </c>
      <c r="AR30" s="464">
        <v>523</v>
      </c>
      <c r="AS30" s="463">
        <v>5766</v>
      </c>
      <c r="AT30" s="1072">
        <v>574</v>
      </c>
    </row>
    <row r="31" spans="1:46" ht="15" customHeight="1">
      <c r="A31" s="449" t="s">
        <v>70</v>
      </c>
      <c r="B31" s="465" t="s">
        <v>71</v>
      </c>
      <c r="C31" s="190" t="s">
        <v>264</v>
      </c>
      <c r="D31" s="451">
        <f t="shared" si="14"/>
        <v>2.0810697868783954E-2</v>
      </c>
      <c r="E31" s="452">
        <f t="shared" si="15"/>
        <v>3.0168440459230703E-2</v>
      </c>
      <c r="F31" s="453">
        <f t="shared" si="16"/>
        <v>7.2369842298552603E-2</v>
      </c>
      <c r="G31" s="453">
        <f t="shared" si="17"/>
        <v>4.0508598907816447E-2</v>
      </c>
      <c r="H31" s="453">
        <f t="shared" si="18"/>
        <v>3.8051750380517502E-2</v>
      </c>
      <c r="I31" s="453">
        <f t="shared" si="19"/>
        <v>4.0795391777795315E-2</v>
      </c>
      <c r="J31" s="453">
        <f t="shared" si="20"/>
        <v>3.1440638198029093E-2</v>
      </c>
      <c r="K31" s="453">
        <f t="shared" si="21"/>
        <v>3.4668962278916887E-2</v>
      </c>
      <c r="L31" s="453">
        <f t="shared" si="22"/>
        <v>4.5361605452480122E-2</v>
      </c>
      <c r="M31" s="453">
        <f t="shared" si="23"/>
        <v>8.3333333333333329E-2</v>
      </c>
      <c r="N31" s="453">
        <f t="shared" si="24"/>
        <v>8.4443473829802718E-2</v>
      </c>
      <c r="O31" s="454">
        <f t="shared" si="25"/>
        <v>7.6705780095610604E-2</v>
      </c>
      <c r="P31" s="455">
        <f t="shared" si="26"/>
        <v>7.2369842298552603E-2</v>
      </c>
      <c r="Q31" s="1069">
        <f t="shared" si="27"/>
        <v>6.8537159991432853E-2</v>
      </c>
      <c r="R31" s="219"/>
      <c r="S31" s="456">
        <v>11965</v>
      </c>
      <c r="T31" s="457">
        <v>249</v>
      </c>
      <c r="U31" s="458">
        <v>11933</v>
      </c>
      <c r="V31" s="459">
        <v>360</v>
      </c>
      <c r="W31" s="458">
        <v>12134</v>
      </c>
      <c r="X31" s="459">
        <v>483</v>
      </c>
      <c r="Y31" s="458">
        <v>12269</v>
      </c>
      <c r="Z31" s="459">
        <v>497</v>
      </c>
      <c r="AA31" s="458">
        <v>12483</v>
      </c>
      <c r="AB31" s="459">
        <v>475</v>
      </c>
      <c r="AC31" s="458">
        <v>12673</v>
      </c>
      <c r="AD31" s="459">
        <v>517</v>
      </c>
      <c r="AE31" s="458">
        <v>12786</v>
      </c>
      <c r="AF31" s="459">
        <v>402</v>
      </c>
      <c r="AG31" s="458">
        <v>12778</v>
      </c>
      <c r="AH31" s="459">
        <v>443</v>
      </c>
      <c r="AI31" s="458">
        <v>13205</v>
      </c>
      <c r="AJ31" s="459">
        <v>599</v>
      </c>
      <c r="AK31" s="460">
        <v>13104</v>
      </c>
      <c r="AL31" s="459">
        <v>1092</v>
      </c>
      <c r="AM31" s="458">
        <v>13737</v>
      </c>
      <c r="AN31" s="459">
        <v>1160</v>
      </c>
      <c r="AO31" s="461">
        <v>13806</v>
      </c>
      <c r="AP31" s="462">
        <v>1059</v>
      </c>
      <c r="AQ31" s="463">
        <v>13887</v>
      </c>
      <c r="AR31" s="464">
        <v>1005</v>
      </c>
      <c r="AS31" s="463">
        <v>14007</v>
      </c>
      <c r="AT31" s="1072">
        <v>960</v>
      </c>
    </row>
    <row r="32" spans="1:46" ht="15" customHeight="1">
      <c r="A32" s="449" t="s">
        <v>72</v>
      </c>
      <c r="B32" s="465" t="s">
        <v>73</v>
      </c>
      <c r="C32" s="190" t="s">
        <v>266</v>
      </c>
      <c r="D32" s="451">
        <f t="shared" si="14"/>
        <v>2.6562499999999999E-2</v>
      </c>
      <c r="E32" s="452">
        <f t="shared" si="15"/>
        <v>3.2276546982429336E-2</v>
      </c>
      <c r="F32" s="453">
        <f t="shared" si="16"/>
        <v>7.3110285006195791E-2</v>
      </c>
      <c r="G32" s="453">
        <f t="shared" si="17"/>
        <v>5.3873304848597439E-2</v>
      </c>
      <c r="H32" s="453">
        <f t="shared" si="18"/>
        <v>4.200442151805453E-2</v>
      </c>
      <c r="I32" s="453">
        <f t="shared" si="19"/>
        <v>4.6116952591772738E-2</v>
      </c>
      <c r="J32" s="453">
        <f t="shared" si="20"/>
        <v>3.8984920926811328E-2</v>
      </c>
      <c r="K32" s="453">
        <f t="shared" si="21"/>
        <v>3.6962488563586457E-2</v>
      </c>
      <c r="L32" s="453">
        <f t="shared" si="22"/>
        <v>5.197100936892346E-2</v>
      </c>
      <c r="M32" s="453">
        <f t="shared" si="23"/>
        <v>8.3732876712328763E-2</v>
      </c>
      <c r="N32" s="453">
        <f t="shared" si="24"/>
        <v>9.065453272663633E-2</v>
      </c>
      <c r="O32" s="454">
        <f t="shared" si="25"/>
        <v>8.2218309859154931E-2</v>
      </c>
      <c r="P32" s="455">
        <f t="shared" si="26"/>
        <v>7.3110285006195791E-2</v>
      </c>
      <c r="Q32" s="1069">
        <f t="shared" si="27"/>
        <v>6.7917783735478104E-2</v>
      </c>
      <c r="R32" s="219"/>
      <c r="S32" s="456">
        <v>5120</v>
      </c>
      <c r="T32" s="457">
        <v>136</v>
      </c>
      <c r="U32" s="458">
        <v>5236</v>
      </c>
      <c r="V32" s="459">
        <v>169</v>
      </c>
      <c r="W32" s="458">
        <v>5360</v>
      </c>
      <c r="X32" s="459">
        <v>236</v>
      </c>
      <c r="Y32" s="458">
        <v>5383</v>
      </c>
      <c r="Z32" s="459">
        <v>290</v>
      </c>
      <c r="AA32" s="458">
        <v>5428</v>
      </c>
      <c r="AB32" s="459">
        <v>228</v>
      </c>
      <c r="AC32" s="458">
        <v>5421</v>
      </c>
      <c r="AD32" s="459">
        <v>250</v>
      </c>
      <c r="AE32" s="458">
        <v>5438</v>
      </c>
      <c r="AF32" s="459">
        <v>212</v>
      </c>
      <c r="AG32" s="458">
        <v>5465</v>
      </c>
      <c r="AH32" s="459">
        <v>202</v>
      </c>
      <c r="AI32" s="458">
        <v>5657</v>
      </c>
      <c r="AJ32" s="459">
        <v>294</v>
      </c>
      <c r="AK32" s="460">
        <v>5840</v>
      </c>
      <c r="AL32" s="459">
        <v>489</v>
      </c>
      <c r="AM32" s="458">
        <v>5714</v>
      </c>
      <c r="AN32" s="459">
        <v>518</v>
      </c>
      <c r="AO32" s="461">
        <v>5680</v>
      </c>
      <c r="AP32" s="462">
        <v>467</v>
      </c>
      <c r="AQ32" s="463">
        <v>5649</v>
      </c>
      <c r="AR32" s="464">
        <v>413</v>
      </c>
      <c r="AS32" s="463">
        <v>5595</v>
      </c>
      <c r="AT32" s="1072">
        <v>380</v>
      </c>
    </row>
    <row r="33" spans="1:46">
      <c r="A33" s="449" t="s">
        <v>74</v>
      </c>
      <c r="B33" s="465" t="s">
        <v>661</v>
      </c>
      <c r="C33" s="190" t="s">
        <v>267</v>
      </c>
      <c r="D33" s="451">
        <f t="shared" si="14"/>
        <v>1.6152713998724321E-2</v>
      </c>
      <c r="E33" s="452">
        <f t="shared" si="15"/>
        <v>2.5071257911724022E-2</v>
      </c>
      <c r="F33" s="453">
        <f t="shared" si="16"/>
        <v>4.3947231679605403E-2</v>
      </c>
      <c r="G33" s="453">
        <f t="shared" si="17"/>
        <v>3.0671264015172645E-2</v>
      </c>
      <c r="H33" s="453">
        <f t="shared" si="18"/>
        <v>2.6978136364962577E-2</v>
      </c>
      <c r="I33" s="453">
        <f t="shared" si="19"/>
        <v>2.5467677006867157E-2</v>
      </c>
      <c r="J33" s="453">
        <f t="shared" si="20"/>
        <v>2.210276389051449E-2</v>
      </c>
      <c r="K33" s="453">
        <f t="shared" si="21"/>
        <v>2.2099567424800199E-2</v>
      </c>
      <c r="L33" s="453">
        <f t="shared" si="22"/>
        <v>2.8680573286215403E-2</v>
      </c>
      <c r="M33" s="453">
        <f t="shared" si="23"/>
        <v>4.9874891102857852E-2</v>
      </c>
      <c r="N33" s="453">
        <f t="shared" si="24"/>
        <v>5.0458416702292161E-2</v>
      </c>
      <c r="O33" s="454">
        <f t="shared" si="25"/>
        <v>4.6651153268518791E-2</v>
      </c>
      <c r="P33" s="455">
        <f t="shared" si="26"/>
        <v>4.3947231679605403E-2</v>
      </c>
      <c r="Q33" s="1069">
        <f t="shared" si="27"/>
        <v>4.2505310470092046E-2</v>
      </c>
      <c r="R33" s="219"/>
      <c r="S33" s="466">
        <v>565973</v>
      </c>
      <c r="T33" s="467">
        <v>9142</v>
      </c>
      <c r="U33" s="1684">
        <v>572568</v>
      </c>
      <c r="V33" s="1685">
        <v>14355</v>
      </c>
      <c r="W33" s="1684">
        <v>574214</v>
      </c>
      <c r="X33" s="1685">
        <v>19212</v>
      </c>
      <c r="Y33" s="1684">
        <v>573664</v>
      </c>
      <c r="Z33" s="1685">
        <v>17595</v>
      </c>
      <c r="AA33" s="1684">
        <v>582657</v>
      </c>
      <c r="AB33" s="1685">
        <v>15719</v>
      </c>
      <c r="AC33" s="1684">
        <v>591220</v>
      </c>
      <c r="AD33" s="1685">
        <v>15057</v>
      </c>
      <c r="AE33" s="1684">
        <v>598070</v>
      </c>
      <c r="AF33" s="1685">
        <v>13219</v>
      </c>
      <c r="AG33" s="1684">
        <v>598971</v>
      </c>
      <c r="AH33" s="1685">
        <v>13237</v>
      </c>
      <c r="AI33" s="1684">
        <v>614911</v>
      </c>
      <c r="AJ33" s="1685">
        <v>17636</v>
      </c>
      <c r="AK33" s="1686">
        <v>610668</v>
      </c>
      <c r="AL33" s="1685">
        <v>30457</v>
      </c>
      <c r="AM33" s="1684">
        <v>629231</v>
      </c>
      <c r="AN33" s="1685">
        <v>31750</v>
      </c>
      <c r="AO33" s="461">
        <v>639877</v>
      </c>
      <c r="AP33" s="462">
        <v>29851</v>
      </c>
      <c r="AQ33" s="463">
        <v>644705</v>
      </c>
      <c r="AR33" s="464">
        <v>28333</v>
      </c>
      <c r="AS33" s="463">
        <v>649660</v>
      </c>
      <c r="AT33" s="1072">
        <v>27614</v>
      </c>
    </row>
    <row r="34" spans="1:46" ht="15" customHeight="1">
      <c r="A34" s="449" t="s">
        <v>76</v>
      </c>
      <c r="B34" s="465" t="s">
        <v>77</v>
      </c>
      <c r="C34" s="190" t="s">
        <v>267</v>
      </c>
      <c r="D34" s="451">
        <f t="shared" si="14"/>
        <v>1.5381030062922395E-2</v>
      </c>
      <c r="E34" s="452">
        <f t="shared" si="15"/>
        <v>2.1385882732999517E-2</v>
      </c>
      <c r="F34" s="453">
        <f t="shared" si="16"/>
        <v>4.8507150623065987E-2</v>
      </c>
      <c r="G34" s="453">
        <f t="shared" si="17"/>
        <v>3.1034693006523992E-2</v>
      </c>
      <c r="H34" s="453">
        <f t="shared" si="18"/>
        <v>2.7431713166052522E-2</v>
      </c>
      <c r="I34" s="453">
        <f t="shared" si="19"/>
        <v>2.6372639789018881E-2</v>
      </c>
      <c r="J34" s="453">
        <f t="shared" si="20"/>
        <v>2.4234310537963443E-2</v>
      </c>
      <c r="K34" s="453">
        <f t="shared" si="21"/>
        <v>2.522586263197997E-2</v>
      </c>
      <c r="L34" s="453">
        <f t="shared" si="22"/>
        <v>3.3481199831009716E-2</v>
      </c>
      <c r="M34" s="453">
        <f t="shared" si="23"/>
        <v>5.6859398335822486E-2</v>
      </c>
      <c r="N34" s="453">
        <f t="shared" si="24"/>
        <v>5.949945349065329E-2</v>
      </c>
      <c r="O34" s="454">
        <f t="shared" si="25"/>
        <v>5.1669029155896495E-2</v>
      </c>
      <c r="P34" s="455">
        <f t="shared" si="26"/>
        <v>4.8507150623065987E-2</v>
      </c>
      <c r="Q34" s="1069">
        <f t="shared" si="27"/>
        <v>4.6214764357312955E-2</v>
      </c>
      <c r="R34" s="219"/>
      <c r="S34" s="456">
        <v>30037</v>
      </c>
      <c r="T34" s="457">
        <v>462</v>
      </c>
      <c r="U34" s="458">
        <v>30955</v>
      </c>
      <c r="V34" s="459">
        <v>662</v>
      </c>
      <c r="W34" s="458">
        <v>31987</v>
      </c>
      <c r="X34" s="459">
        <v>983</v>
      </c>
      <c r="Y34" s="458">
        <v>32802</v>
      </c>
      <c r="Z34" s="459">
        <v>1018</v>
      </c>
      <c r="AA34" s="458">
        <v>34194</v>
      </c>
      <c r="AB34" s="459">
        <v>938</v>
      </c>
      <c r="AC34" s="458">
        <v>35643</v>
      </c>
      <c r="AD34" s="459">
        <v>940</v>
      </c>
      <c r="AE34" s="458">
        <v>36601</v>
      </c>
      <c r="AF34" s="459">
        <v>887</v>
      </c>
      <c r="AG34" s="458">
        <v>36748</v>
      </c>
      <c r="AH34" s="459">
        <v>927</v>
      </c>
      <c r="AI34" s="458">
        <v>37872</v>
      </c>
      <c r="AJ34" s="459">
        <v>1268</v>
      </c>
      <c r="AK34" s="460">
        <v>37496</v>
      </c>
      <c r="AL34" s="459">
        <v>2132</v>
      </c>
      <c r="AM34" s="458">
        <v>35681</v>
      </c>
      <c r="AN34" s="459">
        <v>2123</v>
      </c>
      <c r="AO34" s="461">
        <v>35979</v>
      </c>
      <c r="AP34" s="462">
        <v>1859</v>
      </c>
      <c r="AQ34" s="463">
        <v>35871</v>
      </c>
      <c r="AR34" s="464">
        <v>1740</v>
      </c>
      <c r="AS34" s="463">
        <v>36114</v>
      </c>
      <c r="AT34" s="1072">
        <v>1669</v>
      </c>
    </row>
    <row r="35" spans="1:46" ht="15" customHeight="1">
      <c r="A35" s="449" t="s">
        <v>78</v>
      </c>
      <c r="B35" s="465" t="s">
        <v>79</v>
      </c>
      <c r="C35" s="190" t="s">
        <v>268</v>
      </c>
      <c r="D35" s="451">
        <f t="shared" si="14"/>
        <v>3.6919526968560712E-2</v>
      </c>
      <c r="E35" s="452">
        <f t="shared" si="15"/>
        <v>4.2771349055221911E-2</v>
      </c>
      <c r="F35" s="453">
        <f t="shared" si="16"/>
        <v>6.3496352337206158E-2</v>
      </c>
      <c r="G35" s="453">
        <f t="shared" si="17"/>
        <v>4.0195545898967955E-2</v>
      </c>
      <c r="H35" s="453">
        <f t="shared" si="18"/>
        <v>4.0022870211549454E-2</v>
      </c>
      <c r="I35" s="453">
        <f t="shared" si="19"/>
        <v>3.6564864107593166E-2</v>
      </c>
      <c r="J35" s="453">
        <f t="shared" si="20"/>
        <v>3.2396175253318109E-2</v>
      </c>
      <c r="K35" s="453">
        <f t="shared" si="21"/>
        <v>3.5067873303167421E-2</v>
      </c>
      <c r="L35" s="453">
        <f t="shared" si="22"/>
        <v>4.4211994421199441E-2</v>
      </c>
      <c r="M35" s="453">
        <f t="shared" si="23"/>
        <v>7.9337046596929764E-2</v>
      </c>
      <c r="N35" s="453">
        <f t="shared" si="24"/>
        <v>7.6712328767123292E-2</v>
      </c>
      <c r="O35" s="454">
        <f t="shared" si="25"/>
        <v>7.0659488559892333E-2</v>
      </c>
      <c r="P35" s="455">
        <f t="shared" si="26"/>
        <v>6.3496352337206158E-2</v>
      </c>
      <c r="Q35" s="1069">
        <f t="shared" si="27"/>
        <v>6.1246612466124659E-2</v>
      </c>
      <c r="R35" s="219"/>
      <c r="S35" s="456">
        <v>6934</v>
      </c>
      <c r="T35" s="457">
        <v>256</v>
      </c>
      <c r="U35" s="458">
        <v>6827</v>
      </c>
      <c r="V35" s="459">
        <v>292</v>
      </c>
      <c r="W35" s="458">
        <v>6797</v>
      </c>
      <c r="X35" s="459">
        <v>297</v>
      </c>
      <c r="Y35" s="458">
        <v>7364</v>
      </c>
      <c r="Z35" s="459">
        <v>296</v>
      </c>
      <c r="AA35" s="458">
        <v>6996</v>
      </c>
      <c r="AB35" s="459">
        <v>280</v>
      </c>
      <c r="AC35" s="458">
        <v>7138</v>
      </c>
      <c r="AD35" s="459">
        <v>261</v>
      </c>
      <c r="AE35" s="458">
        <v>7007</v>
      </c>
      <c r="AF35" s="459">
        <v>227</v>
      </c>
      <c r="AG35" s="458">
        <v>7072</v>
      </c>
      <c r="AH35" s="459">
        <v>248</v>
      </c>
      <c r="AI35" s="458">
        <v>7170</v>
      </c>
      <c r="AJ35" s="459">
        <v>317</v>
      </c>
      <c r="AK35" s="460">
        <v>7361</v>
      </c>
      <c r="AL35" s="459">
        <v>584</v>
      </c>
      <c r="AM35" s="458">
        <v>7300</v>
      </c>
      <c r="AN35" s="459">
        <v>560</v>
      </c>
      <c r="AO35" s="461">
        <v>7430</v>
      </c>
      <c r="AP35" s="462">
        <v>525</v>
      </c>
      <c r="AQ35" s="463">
        <v>7402</v>
      </c>
      <c r="AR35" s="464">
        <v>470</v>
      </c>
      <c r="AS35" s="463">
        <v>7380</v>
      </c>
      <c r="AT35" s="1072">
        <v>452</v>
      </c>
    </row>
    <row r="36" spans="1:46" ht="15" customHeight="1">
      <c r="A36" s="449" t="s">
        <v>80</v>
      </c>
      <c r="B36" s="465" t="s">
        <v>81</v>
      </c>
      <c r="C36" s="190" t="s">
        <v>266</v>
      </c>
      <c r="D36" s="451">
        <f t="shared" si="14"/>
        <v>1.9673421207948062E-2</v>
      </c>
      <c r="E36" s="452">
        <f t="shared" si="15"/>
        <v>2.481834481457016E-2</v>
      </c>
      <c r="F36" s="453">
        <f t="shared" si="16"/>
        <v>4.7989063961436075E-2</v>
      </c>
      <c r="G36" s="453">
        <f t="shared" si="17"/>
        <v>3.4188034188034191E-2</v>
      </c>
      <c r="H36" s="453">
        <f t="shared" si="18"/>
        <v>3.0305505636333933E-2</v>
      </c>
      <c r="I36" s="453">
        <f t="shared" si="19"/>
        <v>3.021359223300971E-2</v>
      </c>
      <c r="J36" s="453">
        <f t="shared" si="20"/>
        <v>2.3502200999776169E-2</v>
      </c>
      <c r="K36" s="453">
        <f t="shared" si="21"/>
        <v>2.3814725802927681E-2</v>
      </c>
      <c r="L36" s="453">
        <f t="shared" si="22"/>
        <v>3.3077085831158759E-2</v>
      </c>
      <c r="M36" s="453">
        <f t="shared" si="23"/>
        <v>5.9528053040564625E-2</v>
      </c>
      <c r="N36" s="453">
        <f t="shared" si="24"/>
        <v>5.9369744827081961E-2</v>
      </c>
      <c r="O36" s="454">
        <f t="shared" si="25"/>
        <v>5.4138766206012254E-2</v>
      </c>
      <c r="P36" s="455">
        <f t="shared" si="26"/>
        <v>4.7989063961436075E-2</v>
      </c>
      <c r="Q36" s="1069">
        <f t="shared" si="27"/>
        <v>4.3897905197683565E-2</v>
      </c>
      <c r="R36" s="219"/>
      <c r="S36" s="456">
        <v>10166</v>
      </c>
      <c r="T36" s="457">
        <v>200</v>
      </c>
      <c r="U36" s="458">
        <v>10597</v>
      </c>
      <c r="V36" s="459">
        <v>263</v>
      </c>
      <c r="W36" s="458">
        <v>11290</v>
      </c>
      <c r="X36" s="459">
        <v>361</v>
      </c>
      <c r="Y36" s="458">
        <v>11817</v>
      </c>
      <c r="Z36" s="459">
        <v>404</v>
      </c>
      <c r="AA36" s="458">
        <v>12242</v>
      </c>
      <c r="AB36" s="459">
        <v>371</v>
      </c>
      <c r="AC36" s="458">
        <v>12875</v>
      </c>
      <c r="AD36" s="459">
        <v>389</v>
      </c>
      <c r="AE36" s="458">
        <v>13403</v>
      </c>
      <c r="AF36" s="459">
        <v>315</v>
      </c>
      <c r="AG36" s="458">
        <v>13731</v>
      </c>
      <c r="AH36" s="459">
        <v>327</v>
      </c>
      <c r="AI36" s="458">
        <v>14179</v>
      </c>
      <c r="AJ36" s="459">
        <v>469</v>
      </c>
      <c r="AK36" s="460">
        <v>14027</v>
      </c>
      <c r="AL36" s="459">
        <v>835</v>
      </c>
      <c r="AM36" s="458">
        <v>13677</v>
      </c>
      <c r="AN36" s="459">
        <v>812</v>
      </c>
      <c r="AO36" s="461">
        <v>14038</v>
      </c>
      <c r="AP36" s="462">
        <v>760</v>
      </c>
      <c r="AQ36" s="463">
        <v>13899</v>
      </c>
      <c r="AR36" s="464">
        <v>667</v>
      </c>
      <c r="AS36" s="463">
        <v>13987</v>
      </c>
      <c r="AT36" s="1072">
        <v>614</v>
      </c>
    </row>
    <row r="37" spans="1:46" ht="15" customHeight="1">
      <c r="A37" s="449" t="s">
        <v>84</v>
      </c>
      <c r="B37" s="465" t="s">
        <v>308</v>
      </c>
      <c r="C37" s="190" t="s">
        <v>265</v>
      </c>
      <c r="D37" s="451">
        <f t="shared" ref="D37:D68" si="28">T37/S37</f>
        <v>2.9677632393610435E-2</v>
      </c>
      <c r="E37" s="452">
        <f t="shared" ref="E37:E68" si="29">V37/U37</f>
        <v>4.0230347938144333E-2</v>
      </c>
      <c r="F37" s="453">
        <f t="shared" ref="F37:F68" si="30">AR37/AQ37</f>
        <v>6.0171919770773637E-2</v>
      </c>
      <c r="G37" s="453">
        <f t="shared" ref="G37:G68" si="31">Z37/Y37</f>
        <v>4.438880941026864E-2</v>
      </c>
      <c r="H37" s="453">
        <f t="shared" ref="H37:H68" si="32">AB37/AA37</f>
        <v>3.8464604591836732E-2</v>
      </c>
      <c r="I37" s="453">
        <f t="shared" ref="I37:I68" si="33">AD37/AC37</f>
        <v>3.6002823750882422E-2</v>
      </c>
      <c r="J37" s="453">
        <f t="shared" ref="J37:J68" si="34">AF37/AE37</f>
        <v>3.1560760222691497E-2</v>
      </c>
      <c r="K37" s="453">
        <f t="shared" ref="K37:K68" si="35">AH37/AG37</f>
        <v>3.3549124143183548E-2</v>
      </c>
      <c r="L37" s="453">
        <f t="shared" ref="L37:L68" si="36">AJ37/AI37</f>
        <v>4.7812142883474032E-2</v>
      </c>
      <c r="M37" s="453">
        <f t="shared" ref="M37:M68" si="37">AL37/AK37</f>
        <v>8.5049438703442129E-2</v>
      </c>
      <c r="N37" s="453">
        <f t="shared" ref="N37:N68" si="38">AN37/AM37</f>
        <v>8.0061012379837537E-2</v>
      </c>
      <c r="O37" s="454">
        <f t="shared" ref="O37:O68" si="39">AP37/AO37</f>
        <v>6.8013349727735817E-2</v>
      </c>
      <c r="P37" s="455">
        <f t="shared" ref="P37:P68" si="40">AR37/AQ37</f>
        <v>6.0171919770773637E-2</v>
      </c>
      <c r="Q37" s="1069">
        <f t="shared" ref="Q37:Q68" si="41">AT37/AS37</f>
        <v>5.4773193687637112E-2</v>
      </c>
      <c r="R37" s="219"/>
      <c r="S37" s="456">
        <v>24227</v>
      </c>
      <c r="T37" s="457">
        <v>719</v>
      </c>
      <c r="U37" s="458">
        <v>24832</v>
      </c>
      <c r="V37" s="459">
        <v>999</v>
      </c>
      <c r="W37" s="458">
        <v>25624</v>
      </c>
      <c r="X37" s="459">
        <v>1329</v>
      </c>
      <c r="Y37" s="458">
        <v>25164</v>
      </c>
      <c r="Z37" s="459">
        <v>1117</v>
      </c>
      <c r="AA37" s="458">
        <v>25088</v>
      </c>
      <c r="AB37" s="459">
        <v>965</v>
      </c>
      <c r="AC37" s="458">
        <v>25498</v>
      </c>
      <c r="AD37" s="459">
        <v>918</v>
      </c>
      <c r="AE37" s="458">
        <v>26045</v>
      </c>
      <c r="AF37" s="459">
        <v>822</v>
      </c>
      <c r="AG37" s="458">
        <v>26260</v>
      </c>
      <c r="AH37" s="459">
        <v>881</v>
      </c>
      <c r="AI37" s="458">
        <v>27127</v>
      </c>
      <c r="AJ37" s="459">
        <v>1297</v>
      </c>
      <c r="AK37" s="460">
        <v>26902</v>
      </c>
      <c r="AL37" s="459">
        <v>2288</v>
      </c>
      <c r="AM37" s="458">
        <v>28191</v>
      </c>
      <c r="AN37" s="459">
        <v>2257</v>
      </c>
      <c r="AO37" s="461">
        <v>28465</v>
      </c>
      <c r="AP37" s="462">
        <v>1936</v>
      </c>
      <c r="AQ37" s="463">
        <v>28269</v>
      </c>
      <c r="AR37" s="464">
        <v>1701</v>
      </c>
      <c r="AS37" s="463">
        <v>28262</v>
      </c>
      <c r="AT37" s="1072">
        <v>1548</v>
      </c>
    </row>
    <row r="38" spans="1:46" ht="15" customHeight="1">
      <c r="A38" s="449" t="s">
        <v>86</v>
      </c>
      <c r="B38" s="465" t="s">
        <v>87</v>
      </c>
      <c r="C38" s="190" t="s">
        <v>267</v>
      </c>
      <c r="D38" s="451">
        <f t="shared" si="28"/>
        <v>2.0230418971365707E-2</v>
      </c>
      <c r="E38" s="452">
        <f t="shared" si="29"/>
        <v>2.7932126426480252E-2</v>
      </c>
      <c r="F38" s="453">
        <f t="shared" si="30"/>
        <v>5.5965024720747117E-2</v>
      </c>
      <c r="G38" s="453">
        <f t="shared" si="31"/>
        <v>3.6193764041865306E-2</v>
      </c>
      <c r="H38" s="453">
        <f t="shared" si="32"/>
        <v>2.9792332268370608E-2</v>
      </c>
      <c r="I38" s="453">
        <f t="shared" si="33"/>
        <v>2.787293677981937E-2</v>
      </c>
      <c r="J38" s="453">
        <f t="shared" si="34"/>
        <v>2.6269788512199327E-2</v>
      </c>
      <c r="K38" s="453">
        <f t="shared" si="35"/>
        <v>2.9813543168544267E-2</v>
      </c>
      <c r="L38" s="453">
        <f t="shared" si="36"/>
        <v>4.1969835686406783E-2</v>
      </c>
      <c r="M38" s="453">
        <f t="shared" si="37"/>
        <v>7.8297104980992294E-2</v>
      </c>
      <c r="N38" s="453">
        <f t="shared" si="38"/>
        <v>7.2260960932276241E-2</v>
      </c>
      <c r="O38" s="454">
        <f t="shared" si="39"/>
        <v>6.3382556529764655E-2</v>
      </c>
      <c r="P38" s="455">
        <f t="shared" si="40"/>
        <v>5.5965024720747117E-2</v>
      </c>
      <c r="Q38" s="1069">
        <f t="shared" si="41"/>
        <v>5.0163306678680034E-2</v>
      </c>
      <c r="R38" s="219"/>
      <c r="S38" s="456">
        <v>32723</v>
      </c>
      <c r="T38" s="457">
        <v>662</v>
      </c>
      <c r="U38" s="458">
        <v>33474</v>
      </c>
      <c r="V38" s="459">
        <v>935</v>
      </c>
      <c r="W38" s="458">
        <v>34743</v>
      </c>
      <c r="X38" s="459">
        <v>1199</v>
      </c>
      <c r="Y38" s="458">
        <v>36498</v>
      </c>
      <c r="Z38" s="459">
        <v>1321</v>
      </c>
      <c r="AA38" s="458">
        <v>37560</v>
      </c>
      <c r="AB38" s="459">
        <v>1119</v>
      </c>
      <c r="AC38" s="458">
        <v>38532</v>
      </c>
      <c r="AD38" s="459">
        <v>1074</v>
      </c>
      <c r="AE38" s="458">
        <v>40617</v>
      </c>
      <c r="AF38" s="459">
        <v>1067</v>
      </c>
      <c r="AG38" s="458">
        <v>40921</v>
      </c>
      <c r="AH38" s="459">
        <v>1220</v>
      </c>
      <c r="AI38" s="458">
        <v>41506</v>
      </c>
      <c r="AJ38" s="459">
        <v>1742</v>
      </c>
      <c r="AK38" s="460">
        <v>41036</v>
      </c>
      <c r="AL38" s="459">
        <v>3213</v>
      </c>
      <c r="AM38" s="458">
        <v>41876</v>
      </c>
      <c r="AN38" s="459">
        <v>3026</v>
      </c>
      <c r="AO38" s="461">
        <v>43340</v>
      </c>
      <c r="AP38" s="462">
        <v>2747</v>
      </c>
      <c r="AQ38" s="463">
        <v>43688</v>
      </c>
      <c r="AR38" s="464">
        <v>2445</v>
      </c>
      <c r="AS38" s="463">
        <v>44395</v>
      </c>
      <c r="AT38" s="1072">
        <v>2227</v>
      </c>
    </row>
    <row r="39" spans="1:46" ht="15" customHeight="1">
      <c r="A39" s="449" t="s">
        <v>92</v>
      </c>
      <c r="B39" s="465" t="s">
        <v>93</v>
      </c>
      <c r="C39" s="190" t="s">
        <v>268</v>
      </c>
      <c r="D39" s="451">
        <f t="shared" si="28"/>
        <v>4.206451612903226E-2</v>
      </c>
      <c r="E39" s="452">
        <f t="shared" si="29"/>
        <v>5.6577445135100851E-2</v>
      </c>
      <c r="F39" s="453">
        <f t="shared" si="30"/>
        <v>7.052709725315516E-2</v>
      </c>
      <c r="G39" s="453">
        <f t="shared" si="31"/>
        <v>5.3773812394502046E-2</v>
      </c>
      <c r="H39" s="453">
        <f t="shared" si="32"/>
        <v>4.9849124924562463E-2</v>
      </c>
      <c r="I39" s="453">
        <f t="shared" si="33"/>
        <v>5.0702213758628899E-2</v>
      </c>
      <c r="J39" s="453">
        <f t="shared" si="34"/>
        <v>3.6984687868080096E-2</v>
      </c>
      <c r="K39" s="453">
        <f t="shared" si="35"/>
        <v>4.5280690931523752E-2</v>
      </c>
      <c r="L39" s="453">
        <f t="shared" si="36"/>
        <v>5.3912213740458015E-2</v>
      </c>
      <c r="M39" s="453">
        <f t="shared" si="37"/>
        <v>9.4788429356920875E-2</v>
      </c>
      <c r="N39" s="453">
        <f t="shared" si="38"/>
        <v>9.7684158659768414E-2</v>
      </c>
      <c r="O39" s="454">
        <f t="shared" si="39"/>
        <v>7.7622205846229433E-2</v>
      </c>
      <c r="P39" s="455">
        <f t="shared" si="40"/>
        <v>7.052709725315516E-2</v>
      </c>
      <c r="Q39" s="1069">
        <f t="shared" si="41"/>
        <v>6.6845245342749299E-2</v>
      </c>
      <c r="R39" s="219"/>
      <c r="S39" s="456">
        <v>7750</v>
      </c>
      <c r="T39" s="457">
        <v>326</v>
      </c>
      <c r="U39" s="458">
        <v>7883</v>
      </c>
      <c r="V39" s="459">
        <v>446</v>
      </c>
      <c r="W39" s="458">
        <v>8053</v>
      </c>
      <c r="X39" s="459">
        <v>483</v>
      </c>
      <c r="Y39" s="458">
        <v>8294</v>
      </c>
      <c r="Z39" s="459">
        <v>446</v>
      </c>
      <c r="AA39" s="458">
        <v>8285</v>
      </c>
      <c r="AB39" s="459">
        <v>413</v>
      </c>
      <c r="AC39" s="458">
        <v>8402</v>
      </c>
      <c r="AD39" s="459">
        <v>426</v>
      </c>
      <c r="AE39" s="458">
        <v>8490</v>
      </c>
      <c r="AF39" s="459">
        <v>314</v>
      </c>
      <c r="AG39" s="458">
        <v>8105</v>
      </c>
      <c r="AH39" s="459">
        <v>367</v>
      </c>
      <c r="AI39" s="458">
        <v>8384</v>
      </c>
      <c r="AJ39" s="459">
        <v>452</v>
      </c>
      <c r="AK39" s="460">
        <v>8366</v>
      </c>
      <c r="AL39" s="459">
        <v>793</v>
      </c>
      <c r="AM39" s="458">
        <v>8118</v>
      </c>
      <c r="AN39" s="459">
        <v>793</v>
      </c>
      <c r="AO39" s="461">
        <v>8142</v>
      </c>
      <c r="AP39" s="462">
        <v>632</v>
      </c>
      <c r="AQ39" s="463">
        <v>8082</v>
      </c>
      <c r="AR39" s="464">
        <v>570</v>
      </c>
      <c r="AS39" s="463">
        <v>8213</v>
      </c>
      <c r="AT39" s="1072">
        <v>549</v>
      </c>
    </row>
    <row r="40" spans="1:46" ht="15" customHeight="1">
      <c r="A40" s="449" t="s">
        <v>94</v>
      </c>
      <c r="B40" s="465" t="s">
        <v>95</v>
      </c>
      <c r="C40" s="190" t="s">
        <v>264</v>
      </c>
      <c r="D40" s="451">
        <f t="shared" si="28"/>
        <v>1.9212076162159072E-2</v>
      </c>
      <c r="E40" s="452">
        <f t="shared" si="29"/>
        <v>2.4434840425531915E-2</v>
      </c>
      <c r="F40" s="453">
        <f t="shared" si="30"/>
        <v>5.5116504359353488E-2</v>
      </c>
      <c r="G40" s="453">
        <f t="shared" si="31"/>
        <v>3.1682027649769587E-2</v>
      </c>
      <c r="H40" s="453">
        <f t="shared" si="32"/>
        <v>3.0356130495284236E-2</v>
      </c>
      <c r="I40" s="453">
        <f t="shared" si="33"/>
        <v>3.0563083408611864E-2</v>
      </c>
      <c r="J40" s="453">
        <f t="shared" si="34"/>
        <v>2.6159509202453989E-2</v>
      </c>
      <c r="K40" s="453">
        <f t="shared" si="35"/>
        <v>2.4990219092331768E-2</v>
      </c>
      <c r="L40" s="453">
        <f t="shared" si="36"/>
        <v>3.4801574131145985E-2</v>
      </c>
      <c r="M40" s="453">
        <f t="shared" si="37"/>
        <v>6.2437155853483362E-2</v>
      </c>
      <c r="N40" s="453">
        <f t="shared" si="38"/>
        <v>6.8224441177961379E-2</v>
      </c>
      <c r="O40" s="454">
        <f t="shared" si="39"/>
        <v>6.0557043926603653E-2</v>
      </c>
      <c r="P40" s="455">
        <f t="shared" si="40"/>
        <v>5.5116504359353488E-2</v>
      </c>
      <c r="Q40" s="1069">
        <f t="shared" si="41"/>
        <v>5.1436679673643133E-2</v>
      </c>
      <c r="R40" s="219"/>
      <c r="S40" s="456">
        <v>17489</v>
      </c>
      <c r="T40" s="457">
        <v>336</v>
      </c>
      <c r="U40" s="458">
        <v>18048</v>
      </c>
      <c r="V40" s="459">
        <v>441</v>
      </c>
      <c r="W40" s="458">
        <v>18682</v>
      </c>
      <c r="X40" s="459">
        <v>589</v>
      </c>
      <c r="Y40" s="458">
        <v>19096</v>
      </c>
      <c r="Z40" s="459">
        <v>605</v>
      </c>
      <c r="AA40" s="458">
        <v>19403</v>
      </c>
      <c r="AB40" s="459">
        <v>589</v>
      </c>
      <c r="AC40" s="458">
        <v>19926</v>
      </c>
      <c r="AD40" s="459">
        <v>609</v>
      </c>
      <c r="AE40" s="458">
        <v>20375</v>
      </c>
      <c r="AF40" s="459">
        <v>533</v>
      </c>
      <c r="AG40" s="458">
        <v>20448</v>
      </c>
      <c r="AH40" s="459">
        <v>511</v>
      </c>
      <c r="AI40" s="458">
        <v>21091</v>
      </c>
      <c r="AJ40" s="459">
        <v>734</v>
      </c>
      <c r="AK40" s="460">
        <v>20885</v>
      </c>
      <c r="AL40" s="459">
        <v>1304</v>
      </c>
      <c r="AM40" s="458">
        <v>19729</v>
      </c>
      <c r="AN40" s="459">
        <v>1346</v>
      </c>
      <c r="AO40" s="461">
        <v>19783</v>
      </c>
      <c r="AP40" s="462">
        <v>1198</v>
      </c>
      <c r="AQ40" s="463">
        <v>19613</v>
      </c>
      <c r="AR40" s="464">
        <v>1081</v>
      </c>
      <c r="AS40" s="463">
        <v>19733</v>
      </c>
      <c r="AT40" s="1072">
        <v>1015</v>
      </c>
    </row>
    <row r="41" spans="1:46" ht="15" customHeight="1">
      <c r="A41" s="449" t="s">
        <v>96</v>
      </c>
      <c r="B41" s="465" t="s">
        <v>97</v>
      </c>
      <c r="C41" s="190" t="s">
        <v>266</v>
      </c>
      <c r="D41" s="451">
        <f t="shared" si="28"/>
        <v>1.7375606453796683E-2</v>
      </c>
      <c r="E41" s="452">
        <f t="shared" si="29"/>
        <v>2.4967003959524857E-2</v>
      </c>
      <c r="F41" s="453">
        <f t="shared" si="30"/>
        <v>4.9663597733711047E-2</v>
      </c>
      <c r="G41" s="453">
        <f t="shared" si="31"/>
        <v>3.33782523064165E-2</v>
      </c>
      <c r="H41" s="453">
        <f t="shared" si="32"/>
        <v>3.2762397928699463E-2</v>
      </c>
      <c r="I41" s="453">
        <f t="shared" si="33"/>
        <v>2.9586935638808837E-2</v>
      </c>
      <c r="J41" s="453">
        <f t="shared" si="34"/>
        <v>2.4365482233502538E-2</v>
      </c>
      <c r="K41" s="453">
        <f t="shared" si="35"/>
        <v>2.4028906955736225E-2</v>
      </c>
      <c r="L41" s="453">
        <f t="shared" si="36"/>
        <v>3.3225778320397664E-2</v>
      </c>
      <c r="M41" s="453">
        <f t="shared" si="37"/>
        <v>6.7530875010948579E-2</v>
      </c>
      <c r="N41" s="453">
        <f t="shared" si="38"/>
        <v>6.4931650893796003E-2</v>
      </c>
      <c r="O41" s="454">
        <f t="shared" si="39"/>
        <v>5.7241379310344828E-2</v>
      </c>
      <c r="P41" s="455">
        <f t="shared" si="40"/>
        <v>4.9663597733711047E-2</v>
      </c>
      <c r="Q41" s="1069">
        <f t="shared" si="41"/>
        <v>4.6483073145062268E-2</v>
      </c>
      <c r="R41" s="219"/>
      <c r="S41" s="456">
        <v>8863</v>
      </c>
      <c r="T41" s="457">
        <v>154</v>
      </c>
      <c r="U41" s="458">
        <v>9092</v>
      </c>
      <c r="V41" s="459">
        <v>227</v>
      </c>
      <c r="W41" s="458">
        <v>9379</v>
      </c>
      <c r="X41" s="459">
        <v>314</v>
      </c>
      <c r="Y41" s="458">
        <v>9647</v>
      </c>
      <c r="Z41" s="459">
        <v>322</v>
      </c>
      <c r="AA41" s="458">
        <v>10042</v>
      </c>
      <c r="AB41" s="459">
        <v>329</v>
      </c>
      <c r="AC41" s="458">
        <v>10410</v>
      </c>
      <c r="AD41" s="459">
        <v>308</v>
      </c>
      <c r="AE41" s="458">
        <v>10835</v>
      </c>
      <c r="AF41" s="459">
        <v>264</v>
      </c>
      <c r="AG41" s="458">
        <v>11070</v>
      </c>
      <c r="AH41" s="459">
        <v>266</v>
      </c>
      <c r="AI41" s="458">
        <v>11467</v>
      </c>
      <c r="AJ41" s="459">
        <v>381</v>
      </c>
      <c r="AK41" s="460">
        <v>11417</v>
      </c>
      <c r="AL41" s="459">
        <v>771</v>
      </c>
      <c r="AM41" s="458">
        <v>11412</v>
      </c>
      <c r="AN41" s="459">
        <v>741</v>
      </c>
      <c r="AO41" s="461">
        <v>11600</v>
      </c>
      <c r="AP41" s="462">
        <v>664</v>
      </c>
      <c r="AQ41" s="463">
        <v>11296</v>
      </c>
      <c r="AR41" s="464">
        <v>561</v>
      </c>
      <c r="AS41" s="463">
        <v>11402</v>
      </c>
      <c r="AT41" s="1072">
        <v>530</v>
      </c>
    </row>
    <row r="42" spans="1:46" ht="15" customHeight="1">
      <c r="A42" s="449" t="s">
        <v>98</v>
      </c>
      <c r="B42" s="465" t="s">
        <v>99</v>
      </c>
      <c r="C42" s="190" t="s">
        <v>268</v>
      </c>
      <c r="D42" s="451">
        <f t="shared" si="28"/>
        <v>5.0851672261593935E-2</v>
      </c>
      <c r="E42" s="452">
        <f t="shared" si="29"/>
        <v>7.5638755375664057E-2</v>
      </c>
      <c r="F42" s="453">
        <f t="shared" si="30"/>
        <v>9.6603303209722657E-2</v>
      </c>
      <c r="G42" s="453">
        <f t="shared" si="31"/>
        <v>6.2772993884936984E-2</v>
      </c>
      <c r="H42" s="453">
        <f t="shared" si="32"/>
        <v>4.7662575084878561E-2</v>
      </c>
      <c r="I42" s="453">
        <f t="shared" si="33"/>
        <v>4.6333601933924252E-2</v>
      </c>
      <c r="J42" s="453">
        <f t="shared" si="34"/>
        <v>5.4438036292024192E-2</v>
      </c>
      <c r="K42" s="453">
        <f t="shared" si="35"/>
        <v>5.1495485327313767E-2</v>
      </c>
      <c r="L42" s="453">
        <f t="shared" si="36"/>
        <v>6.4772252402841624E-2</v>
      </c>
      <c r="M42" s="453">
        <f t="shared" si="37"/>
        <v>0.11080786026200873</v>
      </c>
      <c r="N42" s="453">
        <f t="shared" si="38"/>
        <v>0.1251616611582124</v>
      </c>
      <c r="O42" s="454">
        <f t="shared" si="39"/>
        <v>0.10685781850428613</v>
      </c>
      <c r="P42" s="455">
        <f t="shared" si="40"/>
        <v>9.6603303209722657E-2</v>
      </c>
      <c r="Q42" s="1069">
        <f t="shared" si="41"/>
        <v>9.7256473489519116E-2</v>
      </c>
      <c r="R42" s="219"/>
      <c r="S42" s="456">
        <v>8043</v>
      </c>
      <c r="T42" s="457">
        <v>409</v>
      </c>
      <c r="U42" s="458">
        <v>7906</v>
      </c>
      <c r="V42" s="459">
        <v>598</v>
      </c>
      <c r="W42" s="458">
        <v>8042</v>
      </c>
      <c r="X42" s="459">
        <v>640</v>
      </c>
      <c r="Y42" s="458">
        <v>8013</v>
      </c>
      <c r="Z42" s="459">
        <v>503</v>
      </c>
      <c r="AA42" s="458">
        <v>7658</v>
      </c>
      <c r="AB42" s="459">
        <v>365</v>
      </c>
      <c r="AC42" s="458">
        <v>7446</v>
      </c>
      <c r="AD42" s="459">
        <v>345</v>
      </c>
      <c r="AE42" s="458">
        <v>7109</v>
      </c>
      <c r="AF42" s="459">
        <v>387</v>
      </c>
      <c r="AG42" s="458">
        <v>7088</v>
      </c>
      <c r="AH42" s="459">
        <v>365</v>
      </c>
      <c r="AI42" s="458">
        <v>7179</v>
      </c>
      <c r="AJ42" s="459">
        <v>465</v>
      </c>
      <c r="AK42" s="460">
        <v>7328</v>
      </c>
      <c r="AL42" s="459">
        <v>812</v>
      </c>
      <c r="AM42" s="458">
        <v>6959</v>
      </c>
      <c r="AN42" s="459">
        <v>871</v>
      </c>
      <c r="AO42" s="461">
        <v>6766</v>
      </c>
      <c r="AP42" s="462">
        <v>723</v>
      </c>
      <c r="AQ42" s="463">
        <v>6418</v>
      </c>
      <c r="AR42" s="464">
        <v>620</v>
      </c>
      <c r="AS42" s="463">
        <v>6488</v>
      </c>
      <c r="AT42" s="1072">
        <v>631</v>
      </c>
    </row>
    <row r="43" spans="1:46" ht="15" customHeight="1">
      <c r="A43" s="449" t="s">
        <v>100</v>
      </c>
      <c r="B43" s="465" t="s">
        <v>101</v>
      </c>
      <c r="C43" s="190" t="s">
        <v>267</v>
      </c>
      <c r="D43" s="451">
        <f t="shared" si="28"/>
        <v>1.8323353293413173E-2</v>
      </c>
      <c r="E43" s="452">
        <f t="shared" si="29"/>
        <v>2.2833178005591797E-2</v>
      </c>
      <c r="F43" s="453">
        <f t="shared" si="30"/>
        <v>4.9291207263967386E-2</v>
      </c>
      <c r="G43" s="453">
        <f t="shared" si="31"/>
        <v>4.0628385698808236E-2</v>
      </c>
      <c r="H43" s="453">
        <f t="shared" si="32"/>
        <v>3.0635038825656845E-2</v>
      </c>
      <c r="I43" s="453">
        <f t="shared" si="33"/>
        <v>2.8909465020576133E-2</v>
      </c>
      <c r="J43" s="453">
        <f t="shared" si="34"/>
        <v>2.301563883151372E-2</v>
      </c>
      <c r="K43" s="453">
        <f t="shared" si="35"/>
        <v>2.1506413347478059E-2</v>
      </c>
      <c r="L43" s="453">
        <f t="shared" si="36"/>
        <v>3.2809871003925968E-2</v>
      </c>
      <c r="M43" s="453">
        <f t="shared" si="37"/>
        <v>6.0100166944908183E-2</v>
      </c>
      <c r="N43" s="453">
        <f t="shared" si="38"/>
        <v>6.1052031902772502E-2</v>
      </c>
      <c r="O43" s="454">
        <f t="shared" si="39"/>
        <v>5.4081632653061228E-2</v>
      </c>
      <c r="P43" s="455">
        <f t="shared" si="40"/>
        <v>4.9291207263967386E-2</v>
      </c>
      <c r="Q43" s="1069">
        <f t="shared" si="41"/>
        <v>4.1235207100591718E-2</v>
      </c>
      <c r="R43" s="219"/>
      <c r="S43" s="456">
        <v>8350</v>
      </c>
      <c r="T43" s="457">
        <v>153</v>
      </c>
      <c r="U43" s="458">
        <v>8584</v>
      </c>
      <c r="V43" s="459">
        <v>196</v>
      </c>
      <c r="W43" s="458">
        <v>8941</v>
      </c>
      <c r="X43" s="459">
        <v>315</v>
      </c>
      <c r="Y43" s="458">
        <v>9230</v>
      </c>
      <c r="Z43" s="459">
        <v>375</v>
      </c>
      <c r="AA43" s="458">
        <v>9401</v>
      </c>
      <c r="AB43" s="459">
        <v>288</v>
      </c>
      <c r="AC43" s="458">
        <v>9720</v>
      </c>
      <c r="AD43" s="459">
        <v>281</v>
      </c>
      <c r="AE43" s="458">
        <v>10167</v>
      </c>
      <c r="AF43" s="459">
        <v>234</v>
      </c>
      <c r="AG43" s="458">
        <v>10369</v>
      </c>
      <c r="AH43" s="459">
        <v>223</v>
      </c>
      <c r="AI43" s="458">
        <v>10698</v>
      </c>
      <c r="AJ43" s="459">
        <v>351</v>
      </c>
      <c r="AK43" s="460">
        <v>10782</v>
      </c>
      <c r="AL43" s="459">
        <v>648</v>
      </c>
      <c r="AM43" s="458">
        <v>10532</v>
      </c>
      <c r="AN43" s="459">
        <v>643</v>
      </c>
      <c r="AO43" s="461">
        <v>10780</v>
      </c>
      <c r="AP43" s="462">
        <v>583</v>
      </c>
      <c r="AQ43" s="463">
        <v>10793</v>
      </c>
      <c r="AR43" s="464">
        <v>532</v>
      </c>
      <c r="AS43" s="463">
        <v>10816</v>
      </c>
      <c r="AT43" s="1072">
        <v>446</v>
      </c>
    </row>
    <row r="44" spans="1:46" ht="15" customHeight="1">
      <c r="A44" s="449" t="s">
        <v>102</v>
      </c>
      <c r="B44" s="465" t="s">
        <v>103</v>
      </c>
      <c r="C44" s="190" t="s">
        <v>264</v>
      </c>
      <c r="D44" s="451">
        <f t="shared" si="28"/>
        <v>3.2649842271293375E-2</v>
      </c>
      <c r="E44" s="452">
        <f t="shared" si="29"/>
        <v>4.4612534732942265E-2</v>
      </c>
      <c r="F44" s="453">
        <f t="shared" si="30"/>
        <v>9.8780487804878053E-2</v>
      </c>
      <c r="G44" s="453">
        <f t="shared" si="31"/>
        <v>5.8686809994189425E-2</v>
      </c>
      <c r="H44" s="453">
        <f t="shared" si="32"/>
        <v>6.6204772902232492E-2</v>
      </c>
      <c r="I44" s="453">
        <f t="shared" si="33"/>
        <v>5.451421430802874E-2</v>
      </c>
      <c r="J44" s="453">
        <f t="shared" si="34"/>
        <v>4.7027782089088935E-2</v>
      </c>
      <c r="K44" s="453">
        <f t="shared" si="35"/>
        <v>5.15417845970505E-2</v>
      </c>
      <c r="L44" s="453">
        <f t="shared" si="36"/>
        <v>6.2165678762469277E-2</v>
      </c>
      <c r="M44" s="453">
        <f t="shared" si="37"/>
        <v>0.1046812176909822</v>
      </c>
      <c r="N44" s="453">
        <f t="shared" si="38"/>
        <v>0.1126946811636791</v>
      </c>
      <c r="O44" s="454">
        <f t="shared" si="39"/>
        <v>0.10076157000585823</v>
      </c>
      <c r="P44" s="455">
        <f t="shared" si="40"/>
        <v>9.8780487804878053E-2</v>
      </c>
      <c r="Q44" s="1069">
        <f t="shared" si="41"/>
        <v>9.4935704080012701E-2</v>
      </c>
      <c r="R44" s="219"/>
      <c r="S44" s="466">
        <v>6340</v>
      </c>
      <c r="T44" s="467">
        <v>207</v>
      </c>
      <c r="U44" s="1684">
        <v>6478</v>
      </c>
      <c r="V44" s="1685">
        <v>289</v>
      </c>
      <c r="W44" s="1684">
        <v>6445</v>
      </c>
      <c r="X44" s="1685">
        <v>309</v>
      </c>
      <c r="Y44" s="1684">
        <v>6884</v>
      </c>
      <c r="Z44" s="1685">
        <v>404</v>
      </c>
      <c r="AA44" s="1684">
        <v>6495</v>
      </c>
      <c r="AB44" s="1685">
        <v>430</v>
      </c>
      <c r="AC44" s="1684">
        <v>6402</v>
      </c>
      <c r="AD44" s="1685">
        <v>349</v>
      </c>
      <c r="AE44" s="1684">
        <v>6443</v>
      </c>
      <c r="AF44" s="1685">
        <v>303</v>
      </c>
      <c r="AG44" s="1684">
        <v>6713</v>
      </c>
      <c r="AH44" s="1685">
        <v>346</v>
      </c>
      <c r="AI44" s="1684">
        <v>6917</v>
      </c>
      <c r="AJ44" s="1685">
        <v>430</v>
      </c>
      <c r="AK44" s="1686">
        <v>6964</v>
      </c>
      <c r="AL44" s="1685">
        <v>729</v>
      </c>
      <c r="AM44" s="1684">
        <v>6806</v>
      </c>
      <c r="AN44" s="1685">
        <v>767</v>
      </c>
      <c r="AO44" s="461">
        <v>6828</v>
      </c>
      <c r="AP44" s="462">
        <v>688</v>
      </c>
      <c r="AQ44" s="463">
        <v>6560</v>
      </c>
      <c r="AR44" s="464">
        <v>648</v>
      </c>
      <c r="AS44" s="463">
        <v>6299</v>
      </c>
      <c r="AT44" s="1072">
        <v>598</v>
      </c>
    </row>
    <row r="45" spans="1:46" ht="15" customHeight="1">
      <c r="A45" s="449" t="s">
        <v>104</v>
      </c>
      <c r="B45" s="465" t="s">
        <v>662</v>
      </c>
      <c r="C45" s="190" t="s">
        <v>265</v>
      </c>
      <c r="D45" s="451">
        <f t="shared" si="28"/>
        <v>4.9624246941183781E-2</v>
      </c>
      <c r="E45" s="452">
        <f t="shared" si="29"/>
        <v>7.2848477568914785E-2</v>
      </c>
      <c r="F45" s="453">
        <f t="shared" si="30"/>
        <v>9.4667770911639165E-2</v>
      </c>
      <c r="G45" s="453">
        <f t="shared" si="31"/>
        <v>0.10154444849811504</v>
      </c>
      <c r="H45" s="453">
        <f t="shared" si="32"/>
        <v>7.5813421453990851E-2</v>
      </c>
      <c r="I45" s="453">
        <f t="shared" si="33"/>
        <v>6.0686181932640859E-2</v>
      </c>
      <c r="J45" s="453">
        <f t="shared" si="34"/>
        <v>5.8118899733806566E-2</v>
      </c>
      <c r="K45" s="453">
        <f t="shared" si="35"/>
        <v>6.4114270806157059E-2</v>
      </c>
      <c r="L45" s="453">
        <f t="shared" si="36"/>
        <v>6.8633047890897553E-2</v>
      </c>
      <c r="M45" s="453">
        <f t="shared" si="37"/>
        <v>0.11679711017459361</v>
      </c>
      <c r="N45" s="453">
        <f t="shared" si="38"/>
        <v>0.12400684512895734</v>
      </c>
      <c r="O45" s="454">
        <f t="shared" si="39"/>
        <v>0.11027397260273973</v>
      </c>
      <c r="P45" s="455">
        <f t="shared" si="40"/>
        <v>9.4667770911639165E-2</v>
      </c>
      <c r="Q45" s="1069">
        <f t="shared" si="41"/>
        <v>9.2465972266598501E-2</v>
      </c>
      <c r="R45" s="219"/>
      <c r="S45" s="456">
        <v>16101</v>
      </c>
      <c r="T45" s="457">
        <v>799</v>
      </c>
      <c r="U45" s="458">
        <v>16651</v>
      </c>
      <c r="V45" s="459">
        <v>1213</v>
      </c>
      <c r="W45" s="458">
        <v>16832</v>
      </c>
      <c r="X45" s="459">
        <v>1719</v>
      </c>
      <c r="Y45" s="458">
        <v>16446</v>
      </c>
      <c r="Z45" s="459">
        <v>1670</v>
      </c>
      <c r="AA45" s="458">
        <v>15736</v>
      </c>
      <c r="AB45" s="459">
        <v>1193</v>
      </c>
      <c r="AC45" s="458">
        <v>15885</v>
      </c>
      <c r="AD45" s="459">
        <v>964</v>
      </c>
      <c r="AE45" s="458">
        <v>15778</v>
      </c>
      <c r="AF45" s="459">
        <v>917</v>
      </c>
      <c r="AG45" s="458">
        <v>15332</v>
      </c>
      <c r="AH45" s="459">
        <v>983</v>
      </c>
      <c r="AI45" s="458">
        <v>15765</v>
      </c>
      <c r="AJ45" s="459">
        <v>1082</v>
      </c>
      <c r="AK45" s="460">
        <v>16610</v>
      </c>
      <c r="AL45" s="459">
        <v>1940</v>
      </c>
      <c r="AM45" s="458">
        <v>16362</v>
      </c>
      <c r="AN45" s="459">
        <v>2029</v>
      </c>
      <c r="AO45" s="461">
        <v>16060</v>
      </c>
      <c r="AP45" s="462">
        <v>1771</v>
      </c>
      <c r="AQ45" s="463">
        <v>15697</v>
      </c>
      <c r="AR45" s="464">
        <v>1486</v>
      </c>
      <c r="AS45" s="463">
        <v>15649</v>
      </c>
      <c r="AT45" s="1072">
        <v>1447</v>
      </c>
    </row>
    <row r="46" spans="1:46" ht="15" customHeight="1">
      <c r="A46" s="449" t="s">
        <v>108</v>
      </c>
      <c r="B46" s="465" t="s">
        <v>109</v>
      </c>
      <c r="C46" s="190" t="s">
        <v>266</v>
      </c>
      <c r="D46" s="451">
        <f t="shared" si="28"/>
        <v>1.6439981356722172E-2</v>
      </c>
      <c r="E46" s="452">
        <f t="shared" si="29"/>
        <v>2.5038155343810584E-2</v>
      </c>
      <c r="F46" s="453">
        <f t="shared" si="30"/>
        <v>5.6196990424076609E-2</v>
      </c>
      <c r="G46" s="453">
        <f t="shared" si="31"/>
        <v>3.2354424486945726E-2</v>
      </c>
      <c r="H46" s="453">
        <f t="shared" si="32"/>
        <v>3.0360674263113289E-2</v>
      </c>
      <c r="I46" s="453">
        <f t="shared" si="33"/>
        <v>2.9299812466346064E-2</v>
      </c>
      <c r="J46" s="453">
        <f t="shared" si="34"/>
        <v>2.507888449121783E-2</v>
      </c>
      <c r="K46" s="453">
        <f t="shared" si="35"/>
        <v>2.4858632591613423E-2</v>
      </c>
      <c r="L46" s="453">
        <f t="shared" si="36"/>
        <v>3.441922037961323E-2</v>
      </c>
      <c r="M46" s="453">
        <f t="shared" si="37"/>
        <v>6.7749538652683128E-2</v>
      </c>
      <c r="N46" s="453">
        <f t="shared" si="38"/>
        <v>6.6994468346650279E-2</v>
      </c>
      <c r="O46" s="454">
        <f t="shared" si="39"/>
        <v>6.0957483898196232E-2</v>
      </c>
      <c r="P46" s="455">
        <f t="shared" si="40"/>
        <v>5.6196990424076609E-2</v>
      </c>
      <c r="Q46" s="1069">
        <f t="shared" si="41"/>
        <v>5.0495533853930755E-2</v>
      </c>
      <c r="R46" s="219"/>
      <c r="S46" s="456">
        <v>47202</v>
      </c>
      <c r="T46" s="457">
        <v>776</v>
      </c>
      <c r="U46" s="458">
        <v>48486</v>
      </c>
      <c r="V46" s="459">
        <v>1214</v>
      </c>
      <c r="W46" s="458">
        <v>50347</v>
      </c>
      <c r="X46" s="459">
        <v>1647</v>
      </c>
      <c r="Y46" s="458">
        <v>51554</v>
      </c>
      <c r="Z46" s="459">
        <v>1668</v>
      </c>
      <c r="AA46" s="458">
        <v>53095</v>
      </c>
      <c r="AB46" s="459">
        <v>1612</v>
      </c>
      <c r="AC46" s="458">
        <v>53857</v>
      </c>
      <c r="AD46" s="459">
        <v>1578</v>
      </c>
      <c r="AE46" s="458">
        <v>54827</v>
      </c>
      <c r="AF46" s="459">
        <v>1375</v>
      </c>
      <c r="AG46" s="458">
        <v>54468</v>
      </c>
      <c r="AH46" s="459">
        <v>1354</v>
      </c>
      <c r="AI46" s="458">
        <v>55899</v>
      </c>
      <c r="AJ46" s="459">
        <v>1924</v>
      </c>
      <c r="AK46" s="460">
        <v>54731</v>
      </c>
      <c r="AL46" s="459">
        <v>3708</v>
      </c>
      <c r="AM46" s="458">
        <v>53691</v>
      </c>
      <c r="AN46" s="459">
        <v>3597</v>
      </c>
      <c r="AO46" s="461">
        <v>54497</v>
      </c>
      <c r="AP46" s="462">
        <v>3322</v>
      </c>
      <c r="AQ46" s="463">
        <v>54825</v>
      </c>
      <c r="AR46" s="464">
        <v>3081</v>
      </c>
      <c r="AS46" s="463">
        <v>55193</v>
      </c>
      <c r="AT46" s="1072">
        <v>2787</v>
      </c>
    </row>
    <row r="47" spans="1:46" ht="15" customHeight="1">
      <c r="A47" s="449" t="s">
        <v>110</v>
      </c>
      <c r="B47" s="465" t="s">
        <v>111</v>
      </c>
      <c r="C47" s="190" t="s">
        <v>266</v>
      </c>
      <c r="D47" s="451">
        <f t="shared" si="28"/>
        <v>1.8059299191374664E-2</v>
      </c>
      <c r="E47" s="452">
        <f t="shared" si="29"/>
        <v>2.9352983562873032E-2</v>
      </c>
      <c r="F47" s="453">
        <f t="shared" si="30"/>
        <v>5.9157970906292531E-2</v>
      </c>
      <c r="G47" s="453">
        <f t="shared" si="31"/>
        <v>3.7052470054434454E-2</v>
      </c>
      <c r="H47" s="453">
        <f t="shared" si="32"/>
        <v>3.4427774621701185E-2</v>
      </c>
      <c r="I47" s="453">
        <f t="shared" si="33"/>
        <v>3.3550484462900175E-2</v>
      </c>
      <c r="J47" s="453">
        <f t="shared" si="34"/>
        <v>2.8531741562488267E-2</v>
      </c>
      <c r="K47" s="453">
        <f t="shared" si="35"/>
        <v>2.7845066244809175E-2</v>
      </c>
      <c r="L47" s="453">
        <f t="shared" si="36"/>
        <v>3.6416689227807358E-2</v>
      </c>
      <c r="M47" s="453">
        <f t="shared" si="37"/>
        <v>7.1342765616657769E-2</v>
      </c>
      <c r="N47" s="453">
        <f t="shared" si="38"/>
        <v>7.3396023291639162E-2</v>
      </c>
      <c r="O47" s="454">
        <f t="shared" si="39"/>
        <v>6.6215940550779548E-2</v>
      </c>
      <c r="P47" s="455">
        <f t="shared" si="40"/>
        <v>5.9157970906292531E-2</v>
      </c>
      <c r="Q47" s="1069">
        <f t="shared" si="41"/>
        <v>5.4472823423485028E-2</v>
      </c>
      <c r="R47" s="219"/>
      <c r="S47" s="456">
        <v>144690</v>
      </c>
      <c r="T47" s="457">
        <v>2613</v>
      </c>
      <c r="U47" s="458">
        <v>147106</v>
      </c>
      <c r="V47" s="459">
        <v>4318</v>
      </c>
      <c r="W47" s="458">
        <v>149054</v>
      </c>
      <c r="X47" s="459">
        <v>5460</v>
      </c>
      <c r="Y47" s="458">
        <v>151191</v>
      </c>
      <c r="Z47" s="459">
        <v>5602</v>
      </c>
      <c r="AA47" s="458">
        <v>154904</v>
      </c>
      <c r="AB47" s="459">
        <v>5333</v>
      </c>
      <c r="AC47" s="458">
        <v>157494</v>
      </c>
      <c r="AD47" s="459">
        <v>5284</v>
      </c>
      <c r="AE47" s="458">
        <v>159822</v>
      </c>
      <c r="AF47" s="459">
        <v>4560</v>
      </c>
      <c r="AG47" s="458">
        <v>161824</v>
      </c>
      <c r="AH47" s="459">
        <v>4506</v>
      </c>
      <c r="AI47" s="458">
        <v>166215</v>
      </c>
      <c r="AJ47" s="459">
        <v>6053</v>
      </c>
      <c r="AK47" s="460">
        <v>164824</v>
      </c>
      <c r="AL47" s="459">
        <v>11759</v>
      </c>
      <c r="AM47" s="458">
        <v>168129</v>
      </c>
      <c r="AN47" s="459">
        <v>12340</v>
      </c>
      <c r="AO47" s="461">
        <v>171575</v>
      </c>
      <c r="AP47" s="462">
        <v>11361</v>
      </c>
      <c r="AQ47" s="463">
        <v>174127</v>
      </c>
      <c r="AR47" s="464">
        <v>10301</v>
      </c>
      <c r="AS47" s="463">
        <v>175482</v>
      </c>
      <c r="AT47" s="1072">
        <v>9559</v>
      </c>
    </row>
    <row r="48" spans="1:46" ht="15" customHeight="1">
      <c r="A48" s="449" t="s">
        <v>112</v>
      </c>
      <c r="B48" s="465" t="s">
        <v>113</v>
      </c>
      <c r="C48" s="190" t="s">
        <v>265</v>
      </c>
      <c r="D48" s="451">
        <f t="shared" si="28"/>
        <v>5.4047942107643597E-2</v>
      </c>
      <c r="E48" s="452">
        <f t="shared" si="29"/>
        <v>6.2667809197372179E-2</v>
      </c>
      <c r="F48" s="453">
        <f t="shared" si="30"/>
        <v>0.1077602969771964</v>
      </c>
      <c r="G48" s="453">
        <f t="shared" si="31"/>
        <v>0.10082872928176796</v>
      </c>
      <c r="H48" s="453">
        <f t="shared" si="32"/>
        <v>9.7198381559588029E-2</v>
      </c>
      <c r="I48" s="453">
        <f t="shared" si="33"/>
        <v>7.2034434738574502E-2</v>
      </c>
      <c r="J48" s="453">
        <f t="shared" si="34"/>
        <v>5.1916185064410938E-2</v>
      </c>
      <c r="K48" s="453">
        <f t="shared" si="35"/>
        <v>6.0584914039205733E-2</v>
      </c>
      <c r="L48" s="453">
        <f t="shared" si="36"/>
        <v>8.7894921414225141E-2</v>
      </c>
      <c r="M48" s="453">
        <f t="shared" si="37"/>
        <v>0.15290147182900535</v>
      </c>
      <c r="N48" s="453">
        <f t="shared" si="38"/>
        <v>0.14967170059093893</v>
      </c>
      <c r="O48" s="454">
        <f t="shared" si="39"/>
        <v>0.12581699346405228</v>
      </c>
      <c r="P48" s="455">
        <f t="shared" si="40"/>
        <v>0.1077602969771964</v>
      </c>
      <c r="Q48" s="1069">
        <f t="shared" si="41"/>
        <v>9.6939486893474619E-2</v>
      </c>
      <c r="R48" s="219"/>
      <c r="S48" s="466">
        <v>35376</v>
      </c>
      <c r="T48" s="467">
        <v>1912</v>
      </c>
      <c r="U48" s="1684">
        <v>35010</v>
      </c>
      <c r="V48" s="1685">
        <v>2194</v>
      </c>
      <c r="W48" s="1684">
        <v>34905</v>
      </c>
      <c r="X48" s="1685">
        <v>3675</v>
      </c>
      <c r="Y48" s="1684">
        <v>34752</v>
      </c>
      <c r="Z48" s="1685">
        <v>3504</v>
      </c>
      <c r="AA48" s="1684">
        <v>32624</v>
      </c>
      <c r="AB48" s="1685">
        <v>3171</v>
      </c>
      <c r="AC48" s="1684">
        <v>31596</v>
      </c>
      <c r="AD48" s="1685">
        <v>2276</v>
      </c>
      <c r="AE48" s="1684">
        <v>30973</v>
      </c>
      <c r="AF48" s="1685">
        <v>1608</v>
      </c>
      <c r="AG48" s="1684">
        <v>31526</v>
      </c>
      <c r="AH48" s="1685">
        <v>1910</v>
      </c>
      <c r="AI48" s="1684">
        <v>31367</v>
      </c>
      <c r="AJ48" s="1685">
        <v>2757</v>
      </c>
      <c r="AK48" s="1686">
        <v>32001</v>
      </c>
      <c r="AL48" s="1685">
        <v>4893</v>
      </c>
      <c r="AM48" s="1684">
        <v>30460</v>
      </c>
      <c r="AN48" s="1685">
        <v>4559</v>
      </c>
      <c r="AO48" s="461">
        <v>29376</v>
      </c>
      <c r="AP48" s="462">
        <v>3696</v>
      </c>
      <c r="AQ48" s="463">
        <v>28285</v>
      </c>
      <c r="AR48" s="464">
        <v>3048</v>
      </c>
      <c r="AS48" s="463">
        <v>28688</v>
      </c>
      <c r="AT48" s="1072">
        <v>2781</v>
      </c>
    </row>
    <row r="49" spans="1:46" ht="15" customHeight="1">
      <c r="A49" s="449" t="s">
        <v>114</v>
      </c>
      <c r="B49" s="465" t="s">
        <v>115</v>
      </c>
      <c r="C49" s="190" t="s">
        <v>265</v>
      </c>
      <c r="D49" s="451">
        <f t="shared" si="28"/>
        <v>2.8350515463917526E-2</v>
      </c>
      <c r="E49" s="452">
        <f t="shared" si="29"/>
        <v>3.1774051191526917E-2</v>
      </c>
      <c r="F49" s="453">
        <f t="shared" si="30"/>
        <v>6.2444246208742192E-2</v>
      </c>
      <c r="G49" s="453">
        <f t="shared" si="31"/>
        <v>4.1771094402673348E-2</v>
      </c>
      <c r="H49" s="453">
        <f t="shared" si="32"/>
        <v>3.3940397350993377E-2</v>
      </c>
      <c r="I49" s="453">
        <f t="shared" si="33"/>
        <v>3.4424853064651553E-2</v>
      </c>
      <c r="J49" s="453">
        <f t="shared" si="34"/>
        <v>3.1802120141342753E-2</v>
      </c>
      <c r="K49" s="453">
        <f t="shared" si="35"/>
        <v>3.3898305084745763E-2</v>
      </c>
      <c r="L49" s="453">
        <f t="shared" si="36"/>
        <v>5.0699300699300696E-2</v>
      </c>
      <c r="M49" s="453">
        <f t="shared" si="37"/>
        <v>7.8111587982832617E-2</v>
      </c>
      <c r="N49" s="453">
        <f t="shared" si="38"/>
        <v>7.9252003561887802E-2</v>
      </c>
      <c r="O49" s="454">
        <f t="shared" si="39"/>
        <v>7.1808510638297879E-2</v>
      </c>
      <c r="P49" s="455">
        <f t="shared" si="40"/>
        <v>6.2444246208742192E-2</v>
      </c>
      <c r="Q49" s="1069">
        <f t="shared" si="41"/>
        <v>5.6066176470588237E-2</v>
      </c>
      <c r="R49" s="219"/>
      <c r="S49" s="456">
        <v>1164</v>
      </c>
      <c r="T49" s="457">
        <v>33</v>
      </c>
      <c r="U49" s="458">
        <v>1133</v>
      </c>
      <c r="V49" s="459">
        <v>36</v>
      </c>
      <c r="W49" s="458">
        <v>1128</v>
      </c>
      <c r="X49" s="459">
        <v>44</v>
      </c>
      <c r="Y49" s="458">
        <v>1197</v>
      </c>
      <c r="Z49" s="459">
        <v>50</v>
      </c>
      <c r="AA49" s="458">
        <v>1208</v>
      </c>
      <c r="AB49" s="459">
        <v>41</v>
      </c>
      <c r="AC49" s="458">
        <v>1191</v>
      </c>
      <c r="AD49" s="459">
        <v>41</v>
      </c>
      <c r="AE49" s="458">
        <v>1132</v>
      </c>
      <c r="AF49" s="459">
        <v>36</v>
      </c>
      <c r="AG49" s="458">
        <v>1121</v>
      </c>
      <c r="AH49" s="459">
        <v>38</v>
      </c>
      <c r="AI49" s="458">
        <v>1144</v>
      </c>
      <c r="AJ49" s="459">
        <v>58</v>
      </c>
      <c r="AK49" s="460">
        <v>1165</v>
      </c>
      <c r="AL49" s="459">
        <v>91</v>
      </c>
      <c r="AM49" s="458">
        <v>1123</v>
      </c>
      <c r="AN49" s="459">
        <v>89</v>
      </c>
      <c r="AO49" s="461">
        <v>1128</v>
      </c>
      <c r="AP49" s="462">
        <v>81</v>
      </c>
      <c r="AQ49" s="463">
        <v>1121</v>
      </c>
      <c r="AR49" s="464">
        <v>70</v>
      </c>
      <c r="AS49" s="463">
        <v>1088</v>
      </c>
      <c r="AT49" s="1072">
        <v>61</v>
      </c>
    </row>
    <row r="50" spans="1:46" ht="15" customHeight="1">
      <c r="A50" s="449" t="s">
        <v>118</v>
      </c>
      <c r="B50" s="465" t="s">
        <v>119</v>
      </c>
      <c r="C50" s="190" t="s">
        <v>264</v>
      </c>
      <c r="D50" s="451">
        <f t="shared" si="28"/>
        <v>2.1593899723328161E-2</v>
      </c>
      <c r="E50" s="452">
        <f t="shared" si="29"/>
        <v>2.6667536023994264E-2</v>
      </c>
      <c r="F50" s="453">
        <f t="shared" si="30"/>
        <v>6.0338365992076239E-2</v>
      </c>
      <c r="G50" s="453">
        <f t="shared" si="31"/>
        <v>3.565571281054486E-2</v>
      </c>
      <c r="H50" s="453">
        <f t="shared" si="32"/>
        <v>3.3994669825288718E-2</v>
      </c>
      <c r="I50" s="453">
        <f t="shared" si="33"/>
        <v>3.6443732478974769E-2</v>
      </c>
      <c r="J50" s="453">
        <f t="shared" si="34"/>
        <v>3.0549786861952127E-2</v>
      </c>
      <c r="K50" s="453">
        <f t="shared" si="35"/>
        <v>2.886642521217363E-2</v>
      </c>
      <c r="L50" s="453">
        <f t="shared" si="36"/>
        <v>3.6818158046127293E-2</v>
      </c>
      <c r="M50" s="453">
        <f t="shared" si="37"/>
        <v>6.442562202223398E-2</v>
      </c>
      <c r="N50" s="453">
        <f t="shared" si="38"/>
        <v>7.4087902709622358E-2</v>
      </c>
      <c r="O50" s="454">
        <f t="shared" si="39"/>
        <v>6.8190253990137339E-2</v>
      </c>
      <c r="P50" s="455">
        <f t="shared" si="40"/>
        <v>6.0338365992076239E-2</v>
      </c>
      <c r="Q50" s="1069">
        <f t="shared" si="41"/>
        <v>5.6271294718909709E-2</v>
      </c>
      <c r="R50" s="219"/>
      <c r="S50" s="456">
        <v>14819</v>
      </c>
      <c r="T50" s="457">
        <v>320</v>
      </c>
      <c r="U50" s="458">
        <v>15337</v>
      </c>
      <c r="V50" s="459">
        <v>409</v>
      </c>
      <c r="W50" s="458">
        <v>15925</v>
      </c>
      <c r="X50" s="459">
        <v>553</v>
      </c>
      <c r="Y50" s="458">
        <v>16463</v>
      </c>
      <c r="Z50" s="459">
        <v>587</v>
      </c>
      <c r="AA50" s="458">
        <v>16885</v>
      </c>
      <c r="AB50" s="459">
        <v>574</v>
      </c>
      <c r="AC50" s="458">
        <v>17479</v>
      </c>
      <c r="AD50" s="459">
        <v>637</v>
      </c>
      <c r="AE50" s="458">
        <v>18298</v>
      </c>
      <c r="AF50" s="459">
        <v>559</v>
      </c>
      <c r="AG50" s="458">
        <v>18499</v>
      </c>
      <c r="AH50" s="459">
        <v>534</v>
      </c>
      <c r="AI50" s="458">
        <v>19121</v>
      </c>
      <c r="AJ50" s="459">
        <v>704</v>
      </c>
      <c r="AK50" s="460">
        <v>18890</v>
      </c>
      <c r="AL50" s="459">
        <v>1217</v>
      </c>
      <c r="AM50" s="458">
        <v>18748</v>
      </c>
      <c r="AN50" s="459">
        <v>1389</v>
      </c>
      <c r="AO50" s="461">
        <v>18859</v>
      </c>
      <c r="AP50" s="462">
        <v>1286</v>
      </c>
      <c r="AQ50" s="463">
        <v>18678</v>
      </c>
      <c r="AR50" s="464">
        <v>1127</v>
      </c>
      <c r="AS50" s="463">
        <v>18784</v>
      </c>
      <c r="AT50" s="1072">
        <v>1057</v>
      </c>
    </row>
    <row r="51" spans="1:46" ht="15" customHeight="1">
      <c r="A51" s="449" t="s">
        <v>120</v>
      </c>
      <c r="B51" s="465" t="s">
        <v>121</v>
      </c>
      <c r="C51" s="190" t="s">
        <v>264</v>
      </c>
      <c r="D51" s="451">
        <f t="shared" si="28"/>
        <v>1.9565499071394637E-2</v>
      </c>
      <c r="E51" s="452">
        <f t="shared" si="29"/>
        <v>2.5278225973273758E-2</v>
      </c>
      <c r="F51" s="453">
        <f t="shared" si="30"/>
        <v>5.5816068434364964E-2</v>
      </c>
      <c r="G51" s="453">
        <f t="shared" si="31"/>
        <v>3.3176248821866164E-2</v>
      </c>
      <c r="H51" s="453">
        <f t="shared" si="32"/>
        <v>3.3103994812866973E-2</v>
      </c>
      <c r="I51" s="453">
        <f t="shared" si="33"/>
        <v>3.1131359149582385E-2</v>
      </c>
      <c r="J51" s="453">
        <f t="shared" si="34"/>
        <v>2.6343519494204427E-2</v>
      </c>
      <c r="K51" s="453">
        <f t="shared" si="35"/>
        <v>2.4816441694187053E-2</v>
      </c>
      <c r="L51" s="453">
        <f t="shared" si="36"/>
        <v>3.1770977781886534E-2</v>
      </c>
      <c r="M51" s="453">
        <f t="shared" si="37"/>
        <v>5.5722658066916807E-2</v>
      </c>
      <c r="N51" s="453">
        <f t="shared" si="38"/>
        <v>6.2990052662375659E-2</v>
      </c>
      <c r="O51" s="454">
        <f t="shared" si="39"/>
        <v>6.0007422421422249E-2</v>
      </c>
      <c r="P51" s="455">
        <f t="shared" si="40"/>
        <v>5.5816068434364964E-2</v>
      </c>
      <c r="Q51" s="1069">
        <f t="shared" si="41"/>
        <v>5.2170719995480612E-2</v>
      </c>
      <c r="R51" s="219"/>
      <c r="S51" s="456">
        <v>23153</v>
      </c>
      <c r="T51" s="457">
        <v>453</v>
      </c>
      <c r="U51" s="458">
        <v>24171</v>
      </c>
      <c r="V51" s="459">
        <v>611</v>
      </c>
      <c r="W51" s="458">
        <v>25510</v>
      </c>
      <c r="X51" s="459">
        <v>837</v>
      </c>
      <c r="Y51" s="458">
        <v>26525</v>
      </c>
      <c r="Z51" s="459">
        <v>880</v>
      </c>
      <c r="AA51" s="458">
        <v>27761</v>
      </c>
      <c r="AB51" s="459">
        <v>919</v>
      </c>
      <c r="AC51" s="458">
        <v>28974</v>
      </c>
      <c r="AD51" s="459">
        <v>902</v>
      </c>
      <c r="AE51" s="458">
        <v>30368</v>
      </c>
      <c r="AF51" s="459">
        <v>800</v>
      </c>
      <c r="AG51" s="458">
        <v>31189</v>
      </c>
      <c r="AH51" s="459">
        <v>774</v>
      </c>
      <c r="AI51" s="458">
        <v>32451</v>
      </c>
      <c r="AJ51" s="459">
        <v>1031</v>
      </c>
      <c r="AK51" s="460">
        <v>32249</v>
      </c>
      <c r="AL51" s="459">
        <v>1797</v>
      </c>
      <c r="AM51" s="458">
        <v>34180</v>
      </c>
      <c r="AN51" s="459">
        <v>2153</v>
      </c>
      <c r="AO51" s="461">
        <v>35029</v>
      </c>
      <c r="AP51" s="462">
        <v>2102</v>
      </c>
      <c r="AQ51" s="463">
        <v>35187</v>
      </c>
      <c r="AR51" s="464">
        <v>1964</v>
      </c>
      <c r="AS51" s="463">
        <v>35403</v>
      </c>
      <c r="AT51" s="1072">
        <v>1847</v>
      </c>
    </row>
    <row r="52" spans="1:46" ht="15" customHeight="1">
      <c r="A52" s="449" t="s">
        <v>122</v>
      </c>
      <c r="B52" s="465" t="s">
        <v>271</v>
      </c>
      <c r="C52" s="190" t="s">
        <v>266</v>
      </c>
      <c r="D52" s="451">
        <f t="shared" si="28"/>
        <v>2.5461489497135583E-2</v>
      </c>
      <c r="E52" s="452">
        <f t="shared" si="29"/>
        <v>3.2760814249363869E-2</v>
      </c>
      <c r="F52" s="453">
        <f t="shared" si="30"/>
        <v>7.0581257413997622E-2</v>
      </c>
      <c r="G52" s="453">
        <f t="shared" si="31"/>
        <v>4.5167403663929247E-2</v>
      </c>
      <c r="H52" s="453">
        <f t="shared" si="32"/>
        <v>3.7434795949677815E-2</v>
      </c>
      <c r="I52" s="453">
        <f t="shared" si="33"/>
        <v>3.8976857490864797E-2</v>
      </c>
      <c r="J52" s="453">
        <f t="shared" si="34"/>
        <v>3.3263410248726401E-2</v>
      </c>
      <c r="K52" s="453">
        <f t="shared" si="35"/>
        <v>3.5294117647058823E-2</v>
      </c>
      <c r="L52" s="453">
        <f t="shared" si="36"/>
        <v>4.5915324985092425E-2</v>
      </c>
      <c r="M52" s="453">
        <f t="shared" si="37"/>
        <v>8.3078802687843623E-2</v>
      </c>
      <c r="N52" s="453">
        <f t="shared" si="38"/>
        <v>8.6086692937253712E-2</v>
      </c>
      <c r="O52" s="454">
        <f t="shared" si="39"/>
        <v>7.8208955223880591E-2</v>
      </c>
      <c r="P52" s="455">
        <f t="shared" si="40"/>
        <v>7.0581257413997622E-2</v>
      </c>
      <c r="Q52" s="1069">
        <f t="shared" si="41"/>
        <v>6.3164108618654069E-2</v>
      </c>
      <c r="R52" s="219"/>
      <c r="S52" s="456">
        <v>3142</v>
      </c>
      <c r="T52" s="457">
        <v>80</v>
      </c>
      <c r="U52" s="458">
        <v>3144</v>
      </c>
      <c r="V52" s="459">
        <v>103</v>
      </c>
      <c r="W52" s="458">
        <v>3158</v>
      </c>
      <c r="X52" s="459">
        <v>138</v>
      </c>
      <c r="Y52" s="458">
        <v>3166</v>
      </c>
      <c r="Z52" s="459">
        <v>143</v>
      </c>
      <c r="AA52" s="458">
        <v>3259</v>
      </c>
      <c r="AB52" s="459">
        <v>122</v>
      </c>
      <c r="AC52" s="458">
        <v>3284</v>
      </c>
      <c r="AD52" s="459">
        <v>128</v>
      </c>
      <c r="AE52" s="458">
        <v>3337</v>
      </c>
      <c r="AF52" s="459">
        <v>111</v>
      </c>
      <c r="AG52" s="458">
        <v>3315</v>
      </c>
      <c r="AH52" s="459">
        <v>117</v>
      </c>
      <c r="AI52" s="458">
        <v>3354</v>
      </c>
      <c r="AJ52" s="459">
        <v>154</v>
      </c>
      <c r="AK52" s="460">
        <v>3274</v>
      </c>
      <c r="AL52" s="459">
        <v>272</v>
      </c>
      <c r="AM52" s="458">
        <v>3299</v>
      </c>
      <c r="AN52" s="459">
        <v>284</v>
      </c>
      <c r="AO52" s="461">
        <v>3350</v>
      </c>
      <c r="AP52" s="462">
        <v>262</v>
      </c>
      <c r="AQ52" s="463">
        <v>3372</v>
      </c>
      <c r="AR52" s="464">
        <v>238</v>
      </c>
      <c r="AS52" s="463">
        <v>3388</v>
      </c>
      <c r="AT52" s="1072">
        <v>214</v>
      </c>
    </row>
    <row r="53" spans="1:46" ht="15" customHeight="1">
      <c r="A53" s="449" t="s">
        <v>124</v>
      </c>
      <c r="B53" s="465" t="s">
        <v>125</v>
      </c>
      <c r="C53" s="190" t="s">
        <v>267</v>
      </c>
      <c r="D53" s="451">
        <f t="shared" si="28"/>
        <v>1.9267592149353759E-2</v>
      </c>
      <c r="E53" s="452">
        <f t="shared" si="29"/>
        <v>2.4404282260849546E-2</v>
      </c>
      <c r="F53" s="453">
        <f t="shared" si="30"/>
        <v>7.1326676176890161E-2</v>
      </c>
      <c r="G53" s="453">
        <f t="shared" si="31"/>
        <v>3.22969126341143E-2</v>
      </c>
      <c r="H53" s="453">
        <f t="shared" si="32"/>
        <v>3.0739466895958727E-2</v>
      </c>
      <c r="I53" s="453">
        <f t="shared" si="33"/>
        <v>3.3298319327731092E-2</v>
      </c>
      <c r="J53" s="453">
        <f t="shared" si="34"/>
        <v>3.3385992627698792E-2</v>
      </c>
      <c r="K53" s="453">
        <f t="shared" si="35"/>
        <v>3.5457182765660254E-2</v>
      </c>
      <c r="L53" s="453">
        <f t="shared" si="36"/>
        <v>5.0921134340716205E-2</v>
      </c>
      <c r="M53" s="453">
        <f t="shared" si="37"/>
        <v>7.8471411901983659E-2</v>
      </c>
      <c r="N53" s="453">
        <f t="shared" si="38"/>
        <v>8.1770222743259083E-2</v>
      </c>
      <c r="O53" s="454">
        <f t="shared" si="39"/>
        <v>7.6378398791540791E-2</v>
      </c>
      <c r="P53" s="455">
        <f t="shared" si="40"/>
        <v>7.1326676176890161E-2</v>
      </c>
      <c r="Q53" s="1069">
        <f t="shared" si="41"/>
        <v>6.2604651162790695E-2</v>
      </c>
      <c r="R53" s="219"/>
      <c r="S53" s="456">
        <v>8356</v>
      </c>
      <c r="T53" s="457">
        <v>161</v>
      </c>
      <c r="U53" s="458">
        <v>8687</v>
      </c>
      <c r="V53" s="459">
        <v>212</v>
      </c>
      <c r="W53" s="458">
        <v>8856</v>
      </c>
      <c r="X53" s="459">
        <v>276</v>
      </c>
      <c r="Y53" s="458">
        <v>9134</v>
      </c>
      <c r="Z53" s="459">
        <v>295</v>
      </c>
      <c r="AA53" s="458">
        <v>9304</v>
      </c>
      <c r="AB53" s="459">
        <v>286</v>
      </c>
      <c r="AC53" s="458">
        <v>9520</v>
      </c>
      <c r="AD53" s="459">
        <v>317</v>
      </c>
      <c r="AE53" s="458">
        <v>9495</v>
      </c>
      <c r="AF53" s="459">
        <v>317</v>
      </c>
      <c r="AG53" s="458">
        <v>9307</v>
      </c>
      <c r="AH53" s="459">
        <v>330</v>
      </c>
      <c r="AI53" s="458">
        <v>9662</v>
      </c>
      <c r="AJ53" s="459">
        <v>492</v>
      </c>
      <c r="AK53" s="460">
        <v>10284</v>
      </c>
      <c r="AL53" s="459">
        <v>807</v>
      </c>
      <c r="AM53" s="458">
        <v>10236</v>
      </c>
      <c r="AN53" s="459">
        <v>837</v>
      </c>
      <c r="AO53" s="461">
        <v>10592</v>
      </c>
      <c r="AP53" s="462">
        <v>809</v>
      </c>
      <c r="AQ53" s="463">
        <v>10515</v>
      </c>
      <c r="AR53" s="464">
        <v>750</v>
      </c>
      <c r="AS53" s="463">
        <v>10750</v>
      </c>
      <c r="AT53" s="1072">
        <v>673</v>
      </c>
    </row>
    <row r="54" spans="1:46" ht="15" customHeight="1">
      <c r="A54" s="449" t="s">
        <v>126</v>
      </c>
      <c r="B54" s="465" t="s">
        <v>127</v>
      </c>
      <c r="C54" s="190" t="s">
        <v>266</v>
      </c>
      <c r="D54" s="451">
        <f t="shared" si="28"/>
        <v>1.8749105481608703E-2</v>
      </c>
      <c r="E54" s="452">
        <f t="shared" si="29"/>
        <v>2.9227557411273485E-2</v>
      </c>
      <c r="F54" s="453">
        <f t="shared" si="30"/>
        <v>6.3877168307548055E-2</v>
      </c>
      <c r="G54" s="453">
        <f t="shared" si="31"/>
        <v>3.6243386243386244E-2</v>
      </c>
      <c r="H54" s="453">
        <f t="shared" si="32"/>
        <v>3.350148751778554E-2</v>
      </c>
      <c r="I54" s="453">
        <f t="shared" si="33"/>
        <v>3.453906053755338E-2</v>
      </c>
      <c r="J54" s="453">
        <f t="shared" si="34"/>
        <v>2.7105168052041922E-2</v>
      </c>
      <c r="K54" s="453">
        <f t="shared" si="35"/>
        <v>2.7315914489311165E-2</v>
      </c>
      <c r="L54" s="453">
        <f t="shared" si="36"/>
        <v>3.7505699954400368E-2</v>
      </c>
      <c r="M54" s="453">
        <f t="shared" si="37"/>
        <v>7.2744014732965004E-2</v>
      </c>
      <c r="N54" s="453">
        <f t="shared" si="38"/>
        <v>7.5633250089190154E-2</v>
      </c>
      <c r="O54" s="454">
        <f t="shared" si="39"/>
        <v>7.1035048646114166E-2</v>
      </c>
      <c r="P54" s="455">
        <f t="shared" si="40"/>
        <v>6.3877168307548055E-2</v>
      </c>
      <c r="Q54" s="1069">
        <f t="shared" si="41"/>
        <v>5.6676384839650144E-2</v>
      </c>
      <c r="R54" s="190"/>
      <c r="S54" s="466">
        <v>6987</v>
      </c>
      <c r="T54" s="467">
        <v>131</v>
      </c>
      <c r="U54" s="458">
        <v>7185</v>
      </c>
      <c r="V54" s="459">
        <v>210</v>
      </c>
      <c r="W54" s="458">
        <v>7379</v>
      </c>
      <c r="X54" s="459">
        <v>267</v>
      </c>
      <c r="Y54" s="458">
        <v>7560</v>
      </c>
      <c r="Z54" s="459">
        <v>274</v>
      </c>
      <c r="AA54" s="485">
        <v>7731</v>
      </c>
      <c r="AB54" s="462">
        <v>259</v>
      </c>
      <c r="AC54" s="485">
        <v>7962</v>
      </c>
      <c r="AD54" s="462">
        <v>275</v>
      </c>
      <c r="AE54" s="485">
        <v>8301</v>
      </c>
      <c r="AF54" s="462">
        <v>225</v>
      </c>
      <c r="AG54" s="485">
        <v>8420</v>
      </c>
      <c r="AH54" s="462">
        <v>230</v>
      </c>
      <c r="AI54" s="485">
        <v>8772</v>
      </c>
      <c r="AJ54" s="462">
        <v>329</v>
      </c>
      <c r="AK54" s="468">
        <v>8688</v>
      </c>
      <c r="AL54" s="462">
        <v>632</v>
      </c>
      <c r="AM54" s="458">
        <v>8409</v>
      </c>
      <c r="AN54" s="459">
        <v>636</v>
      </c>
      <c r="AO54" s="461">
        <v>8531</v>
      </c>
      <c r="AP54" s="462">
        <v>606</v>
      </c>
      <c r="AQ54" s="463">
        <v>8532</v>
      </c>
      <c r="AR54" s="464">
        <v>545</v>
      </c>
      <c r="AS54" s="463">
        <v>8575</v>
      </c>
      <c r="AT54" s="1072">
        <v>486</v>
      </c>
    </row>
    <row r="55" spans="1:46" ht="15" customHeight="1">
      <c r="A55" s="449" t="s">
        <v>128</v>
      </c>
      <c r="B55" s="465" t="s">
        <v>129</v>
      </c>
      <c r="C55" s="190" t="s">
        <v>266</v>
      </c>
      <c r="D55" s="451">
        <f t="shared" si="28"/>
        <v>5.73208722741433E-2</v>
      </c>
      <c r="E55" s="452">
        <f t="shared" si="29"/>
        <v>6.1216188732967254E-2</v>
      </c>
      <c r="F55" s="453">
        <f t="shared" si="30"/>
        <v>8.0141976461797118E-2</v>
      </c>
      <c r="G55" s="453">
        <f t="shared" si="31"/>
        <v>5.5094339622641507E-2</v>
      </c>
      <c r="H55" s="453">
        <f t="shared" si="32"/>
        <v>5.5384021613276727E-2</v>
      </c>
      <c r="I55" s="453">
        <f t="shared" si="33"/>
        <v>5.5703929797787106E-2</v>
      </c>
      <c r="J55" s="453">
        <f t="shared" si="34"/>
        <v>4.3553671227596839E-2</v>
      </c>
      <c r="K55" s="453">
        <f t="shared" si="35"/>
        <v>4.383975812547241E-2</v>
      </c>
      <c r="L55" s="453">
        <f t="shared" si="36"/>
        <v>5.7137707281903385E-2</v>
      </c>
      <c r="M55" s="453">
        <f t="shared" si="37"/>
        <v>9.6177558569667074E-2</v>
      </c>
      <c r="N55" s="453">
        <f t="shared" si="38"/>
        <v>9.9064391854705558E-2</v>
      </c>
      <c r="O55" s="454">
        <f t="shared" si="39"/>
        <v>9.3406593406593408E-2</v>
      </c>
      <c r="P55" s="455">
        <f t="shared" si="40"/>
        <v>8.0141976461797118E-2</v>
      </c>
      <c r="Q55" s="1069">
        <f t="shared" si="41"/>
        <v>7.668886774500476E-2</v>
      </c>
      <c r="R55" s="219"/>
      <c r="S55" s="456">
        <v>4815</v>
      </c>
      <c r="T55" s="457">
        <v>276</v>
      </c>
      <c r="U55" s="458">
        <v>4917</v>
      </c>
      <c r="V55" s="459">
        <v>301</v>
      </c>
      <c r="W55" s="458">
        <v>5192</v>
      </c>
      <c r="X55" s="459">
        <v>331</v>
      </c>
      <c r="Y55" s="458">
        <v>5300</v>
      </c>
      <c r="Z55" s="459">
        <v>292</v>
      </c>
      <c r="AA55" s="458">
        <v>5182</v>
      </c>
      <c r="AB55" s="459">
        <v>287</v>
      </c>
      <c r="AC55" s="458">
        <v>5242</v>
      </c>
      <c r="AD55" s="459">
        <v>292</v>
      </c>
      <c r="AE55" s="458">
        <v>5189</v>
      </c>
      <c r="AF55" s="459">
        <v>226</v>
      </c>
      <c r="AG55" s="458">
        <v>5292</v>
      </c>
      <c r="AH55" s="459">
        <v>232</v>
      </c>
      <c r="AI55" s="458">
        <v>5548</v>
      </c>
      <c r="AJ55" s="459">
        <v>317</v>
      </c>
      <c r="AK55" s="460">
        <v>5677</v>
      </c>
      <c r="AL55" s="459">
        <v>546</v>
      </c>
      <c r="AM55" s="458">
        <v>5451</v>
      </c>
      <c r="AN55" s="459">
        <v>540</v>
      </c>
      <c r="AO55" s="461">
        <v>5460</v>
      </c>
      <c r="AP55" s="462">
        <v>510</v>
      </c>
      <c r="AQ55" s="463">
        <v>5353</v>
      </c>
      <c r="AR55" s="464">
        <v>429</v>
      </c>
      <c r="AS55" s="463">
        <v>5255</v>
      </c>
      <c r="AT55" s="1072">
        <v>403</v>
      </c>
    </row>
    <row r="56" spans="1:46" ht="15" customHeight="1">
      <c r="A56" s="449" t="s">
        <v>130</v>
      </c>
      <c r="B56" s="465" t="s">
        <v>131</v>
      </c>
      <c r="C56" s="190" t="s">
        <v>268</v>
      </c>
      <c r="D56" s="451">
        <f t="shared" si="28"/>
        <v>4.1828128561659447E-2</v>
      </c>
      <c r="E56" s="452">
        <f t="shared" si="29"/>
        <v>4.9562035702406033E-2</v>
      </c>
      <c r="F56" s="453">
        <f t="shared" si="30"/>
        <v>8.5312040344610207E-2</v>
      </c>
      <c r="G56" s="453">
        <f t="shared" si="31"/>
        <v>5.9788739616449593E-2</v>
      </c>
      <c r="H56" s="453">
        <f t="shared" si="32"/>
        <v>5.4732161761592207E-2</v>
      </c>
      <c r="I56" s="453">
        <f t="shared" si="33"/>
        <v>4.9757673667205168E-2</v>
      </c>
      <c r="J56" s="453">
        <f t="shared" si="34"/>
        <v>4.2855604608592654E-2</v>
      </c>
      <c r="K56" s="453">
        <f t="shared" si="35"/>
        <v>4.1937513105472848E-2</v>
      </c>
      <c r="L56" s="453">
        <f t="shared" si="36"/>
        <v>5.316869068272273E-2</v>
      </c>
      <c r="M56" s="453">
        <f t="shared" si="37"/>
        <v>7.4832611264277274E-2</v>
      </c>
      <c r="N56" s="453">
        <f t="shared" si="38"/>
        <v>8.3998787021126051E-2</v>
      </c>
      <c r="O56" s="454">
        <f t="shared" si="39"/>
        <v>7.887352174784526E-2</v>
      </c>
      <c r="P56" s="455">
        <f t="shared" si="40"/>
        <v>8.5312040344610207E-2</v>
      </c>
      <c r="Q56" s="1069">
        <f t="shared" si="41"/>
        <v>9.0948603716179507E-2</v>
      </c>
      <c r="R56" s="219"/>
      <c r="S56" s="456">
        <v>8774</v>
      </c>
      <c r="T56" s="457">
        <v>367</v>
      </c>
      <c r="U56" s="458">
        <v>9019</v>
      </c>
      <c r="V56" s="459">
        <v>447</v>
      </c>
      <c r="W56" s="458">
        <v>9549</v>
      </c>
      <c r="X56" s="459">
        <v>545</v>
      </c>
      <c r="Y56" s="458">
        <v>9751</v>
      </c>
      <c r="Z56" s="459">
        <v>583</v>
      </c>
      <c r="AA56" s="458">
        <v>9446</v>
      </c>
      <c r="AB56" s="459">
        <v>517</v>
      </c>
      <c r="AC56" s="458">
        <v>9285</v>
      </c>
      <c r="AD56" s="459">
        <v>462</v>
      </c>
      <c r="AE56" s="458">
        <v>9287</v>
      </c>
      <c r="AF56" s="459">
        <v>398</v>
      </c>
      <c r="AG56" s="458">
        <v>9538</v>
      </c>
      <c r="AH56" s="459">
        <v>400</v>
      </c>
      <c r="AI56" s="458">
        <v>9799</v>
      </c>
      <c r="AJ56" s="459">
        <v>521</v>
      </c>
      <c r="AK56" s="460">
        <v>10156</v>
      </c>
      <c r="AL56" s="459">
        <v>760</v>
      </c>
      <c r="AM56" s="458">
        <v>9893</v>
      </c>
      <c r="AN56" s="459">
        <v>831</v>
      </c>
      <c r="AO56" s="461">
        <v>9978</v>
      </c>
      <c r="AP56" s="462">
        <v>787</v>
      </c>
      <c r="AQ56" s="463">
        <v>9518</v>
      </c>
      <c r="AR56" s="464">
        <v>812</v>
      </c>
      <c r="AS56" s="463">
        <v>9203</v>
      </c>
      <c r="AT56" s="1072">
        <v>837</v>
      </c>
    </row>
    <row r="57" spans="1:46" ht="15" customHeight="1">
      <c r="A57" s="449" t="s">
        <v>132</v>
      </c>
      <c r="B57" s="465" t="s">
        <v>133</v>
      </c>
      <c r="C57" s="190" t="s">
        <v>267</v>
      </c>
      <c r="D57" s="451">
        <f t="shared" si="28"/>
        <v>1.4113957135389441E-2</v>
      </c>
      <c r="E57" s="452">
        <f t="shared" si="29"/>
        <v>2.4879548478869362E-2</v>
      </c>
      <c r="F57" s="453">
        <f t="shared" si="30"/>
        <v>4.2400797690456425E-2</v>
      </c>
      <c r="G57" s="453">
        <f t="shared" si="31"/>
        <v>3.160730034880857E-2</v>
      </c>
      <c r="H57" s="453">
        <f t="shared" si="32"/>
        <v>2.6035261844297782E-2</v>
      </c>
      <c r="I57" s="453">
        <f t="shared" si="33"/>
        <v>2.4054936456112896E-2</v>
      </c>
      <c r="J57" s="453">
        <f t="shared" si="34"/>
        <v>2.1251017708121312E-2</v>
      </c>
      <c r="K57" s="453">
        <f t="shared" si="35"/>
        <v>2.1132630546702624E-2</v>
      </c>
      <c r="L57" s="453">
        <f t="shared" si="36"/>
        <v>2.8066066308605579E-2</v>
      </c>
      <c r="M57" s="453">
        <f t="shared" si="37"/>
        <v>4.8770153902528396E-2</v>
      </c>
      <c r="N57" s="453">
        <f t="shared" si="38"/>
        <v>4.8989603367059674E-2</v>
      </c>
      <c r="O57" s="454">
        <f t="shared" si="39"/>
        <v>4.4019831167090982E-2</v>
      </c>
      <c r="P57" s="455">
        <f t="shared" si="40"/>
        <v>4.2400797690456425E-2</v>
      </c>
      <c r="Q57" s="1069">
        <f t="shared" si="41"/>
        <v>4.1688020582586596E-2</v>
      </c>
      <c r="R57" s="219"/>
      <c r="S57" s="456">
        <v>99476</v>
      </c>
      <c r="T57" s="457">
        <v>1404</v>
      </c>
      <c r="U57" s="458">
        <v>108965</v>
      </c>
      <c r="V57" s="459">
        <v>2711</v>
      </c>
      <c r="W57" s="458">
        <v>116962</v>
      </c>
      <c r="X57" s="459">
        <v>4351</v>
      </c>
      <c r="Y57" s="458">
        <v>125857</v>
      </c>
      <c r="Z57" s="459">
        <v>3978</v>
      </c>
      <c r="AA57" s="458">
        <v>137429</v>
      </c>
      <c r="AB57" s="459">
        <v>3578</v>
      </c>
      <c r="AC57" s="458">
        <v>148244</v>
      </c>
      <c r="AD57" s="459">
        <v>3566</v>
      </c>
      <c r="AE57" s="458">
        <v>157216</v>
      </c>
      <c r="AF57" s="459">
        <v>3341</v>
      </c>
      <c r="AG57" s="458">
        <v>163160</v>
      </c>
      <c r="AH57" s="459">
        <v>3448</v>
      </c>
      <c r="AI57" s="458">
        <v>173341</v>
      </c>
      <c r="AJ57" s="459">
        <v>4865</v>
      </c>
      <c r="AK57" s="460">
        <v>174656</v>
      </c>
      <c r="AL57" s="459">
        <v>8518</v>
      </c>
      <c r="AM57" s="458">
        <v>179385</v>
      </c>
      <c r="AN57" s="459">
        <v>8788</v>
      </c>
      <c r="AO57" s="461">
        <v>186575</v>
      </c>
      <c r="AP57" s="462">
        <v>8213</v>
      </c>
      <c r="AQ57" s="463">
        <v>191553</v>
      </c>
      <c r="AR57" s="464">
        <v>8122</v>
      </c>
      <c r="AS57" s="463">
        <v>193173</v>
      </c>
      <c r="AT57" s="1072">
        <v>8053</v>
      </c>
    </row>
    <row r="58" spans="1:46" ht="15" customHeight="1">
      <c r="A58" s="449" t="s">
        <v>134</v>
      </c>
      <c r="B58" s="465" t="s">
        <v>135</v>
      </c>
      <c r="C58" s="190" t="s">
        <v>267</v>
      </c>
      <c r="D58" s="451">
        <f t="shared" si="28"/>
        <v>2.3731459797033568E-2</v>
      </c>
      <c r="E58" s="452">
        <f t="shared" si="29"/>
        <v>3.1004799268682867E-2</v>
      </c>
      <c r="F58" s="453">
        <f t="shared" si="30"/>
        <v>6.5985296754527523E-2</v>
      </c>
      <c r="G58" s="453">
        <f t="shared" si="31"/>
        <v>4.228943826592052E-2</v>
      </c>
      <c r="H58" s="453">
        <f t="shared" si="32"/>
        <v>3.7364596188125598E-2</v>
      </c>
      <c r="I58" s="453">
        <f t="shared" si="33"/>
        <v>3.5993946173586894E-2</v>
      </c>
      <c r="J58" s="453">
        <f t="shared" si="34"/>
        <v>3.065739570164349E-2</v>
      </c>
      <c r="K58" s="453">
        <f t="shared" si="35"/>
        <v>2.9241585267218317E-2</v>
      </c>
      <c r="L58" s="453">
        <f t="shared" si="36"/>
        <v>4.2110271813477665E-2</v>
      </c>
      <c r="M58" s="453">
        <f t="shared" si="37"/>
        <v>8.1334848394234799E-2</v>
      </c>
      <c r="N58" s="453">
        <f t="shared" si="38"/>
        <v>8.0770633280661239E-2</v>
      </c>
      <c r="O58" s="454">
        <f t="shared" si="39"/>
        <v>7.2232870148538575E-2</v>
      </c>
      <c r="P58" s="455">
        <f t="shared" si="40"/>
        <v>6.5985296754527523E-2</v>
      </c>
      <c r="Q58" s="1069">
        <f t="shared" si="41"/>
        <v>5.8924961350933523E-2</v>
      </c>
      <c r="R58" s="219"/>
      <c r="S58" s="456">
        <v>12810</v>
      </c>
      <c r="T58" s="457">
        <v>304</v>
      </c>
      <c r="U58" s="458">
        <v>13127</v>
      </c>
      <c r="V58" s="459">
        <v>407</v>
      </c>
      <c r="W58" s="458">
        <v>13669</v>
      </c>
      <c r="X58" s="459">
        <v>595</v>
      </c>
      <c r="Y58" s="458">
        <v>14117</v>
      </c>
      <c r="Z58" s="459">
        <v>597</v>
      </c>
      <c r="AA58" s="458">
        <v>14586</v>
      </c>
      <c r="AB58" s="459">
        <v>545</v>
      </c>
      <c r="AC58" s="458">
        <v>15197</v>
      </c>
      <c r="AD58" s="459">
        <v>547</v>
      </c>
      <c r="AE58" s="458">
        <v>15820</v>
      </c>
      <c r="AF58" s="459">
        <v>485</v>
      </c>
      <c r="AG58" s="458">
        <v>16073</v>
      </c>
      <c r="AH58" s="459">
        <v>470</v>
      </c>
      <c r="AI58" s="458">
        <v>16813</v>
      </c>
      <c r="AJ58" s="459">
        <v>708</v>
      </c>
      <c r="AK58" s="460">
        <v>16721</v>
      </c>
      <c r="AL58" s="459">
        <v>1360</v>
      </c>
      <c r="AM58" s="458">
        <v>16454</v>
      </c>
      <c r="AN58" s="459">
        <v>1329</v>
      </c>
      <c r="AO58" s="461">
        <v>16696</v>
      </c>
      <c r="AP58" s="462">
        <v>1206</v>
      </c>
      <c r="AQ58" s="463">
        <v>16731</v>
      </c>
      <c r="AR58" s="464">
        <v>1104</v>
      </c>
      <c r="AS58" s="463">
        <v>16818</v>
      </c>
      <c r="AT58" s="1072">
        <v>991</v>
      </c>
    </row>
    <row r="59" spans="1:46" ht="15" customHeight="1">
      <c r="A59" s="449" t="s">
        <v>136</v>
      </c>
      <c r="B59" s="465" t="s">
        <v>137</v>
      </c>
      <c r="C59" s="190" t="s">
        <v>266</v>
      </c>
      <c r="D59" s="451">
        <f t="shared" si="28"/>
        <v>3.4450477438681897E-2</v>
      </c>
      <c r="E59" s="452">
        <f t="shared" si="29"/>
        <v>4.5006509205876885E-2</v>
      </c>
      <c r="F59" s="453">
        <f t="shared" si="30"/>
        <v>8.2660893524896667E-2</v>
      </c>
      <c r="G59" s="453">
        <f t="shared" si="31"/>
        <v>5.58205264087617E-2</v>
      </c>
      <c r="H59" s="453">
        <f t="shared" si="32"/>
        <v>4.8492553577915001E-2</v>
      </c>
      <c r="I59" s="453">
        <f t="shared" si="33"/>
        <v>5.2049910873440283E-2</v>
      </c>
      <c r="J59" s="453">
        <f t="shared" si="34"/>
        <v>4.3914680050188205E-2</v>
      </c>
      <c r="K59" s="453">
        <f t="shared" si="35"/>
        <v>4.561211457763182E-2</v>
      </c>
      <c r="L59" s="453">
        <f t="shared" si="36"/>
        <v>5.9538936286077329E-2</v>
      </c>
      <c r="M59" s="453">
        <f t="shared" si="37"/>
        <v>9.6150434628348408E-2</v>
      </c>
      <c r="N59" s="453">
        <f t="shared" si="38"/>
        <v>0.10185012147262194</v>
      </c>
      <c r="O59" s="454">
        <f t="shared" si="39"/>
        <v>9.1803899299640362E-2</v>
      </c>
      <c r="P59" s="455">
        <f t="shared" si="40"/>
        <v>8.2660893524896667E-2</v>
      </c>
      <c r="Q59" s="1069">
        <f t="shared" si="41"/>
        <v>8.0739104237798759E-2</v>
      </c>
      <c r="R59" s="219"/>
      <c r="S59" s="456">
        <v>5341</v>
      </c>
      <c r="T59" s="457">
        <v>184</v>
      </c>
      <c r="U59" s="458">
        <v>5377</v>
      </c>
      <c r="V59" s="459">
        <v>242</v>
      </c>
      <c r="W59" s="458">
        <v>5492</v>
      </c>
      <c r="X59" s="459">
        <v>306</v>
      </c>
      <c r="Y59" s="458">
        <v>5661</v>
      </c>
      <c r="Z59" s="459">
        <v>316</v>
      </c>
      <c r="AA59" s="458">
        <v>5506</v>
      </c>
      <c r="AB59" s="459">
        <v>267</v>
      </c>
      <c r="AC59" s="458">
        <v>5610</v>
      </c>
      <c r="AD59" s="459">
        <v>292</v>
      </c>
      <c r="AE59" s="458">
        <v>5579</v>
      </c>
      <c r="AF59" s="459">
        <v>245</v>
      </c>
      <c r="AG59" s="458">
        <v>5481</v>
      </c>
      <c r="AH59" s="459">
        <v>250</v>
      </c>
      <c r="AI59" s="458">
        <v>5509</v>
      </c>
      <c r="AJ59" s="459">
        <v>328</v>
      </c>
      <c r="AK59" s="460">
        <v>5637</v>
      </c>
      <c r="AL59" s="459">
        <v>542</v>
      </c>
      <c r="AM59" s="458">
        <v>5351</v>
      </c>
      <c r="AN59" s="459">
        <v>545</v>
      </c>
      <c r="AO59" s="461">
        <v>5283</v>
      </c>
      <c r="AP59" s="462">
        <v>485</v>
      </c>
      <c r="AQ59" s="463">
        <v>5081</v>
      </c>
      <c r="AR59" s="464">
        <v>420</v>
      </c>
      <c r="AS59" s="463">
        <v>4979</v>
      </c>
      <c r="AT59" s="1072">
        <v>402</v>
      </c>
    </row>
    <row r="60" spans="1:46" ht="15" customHeight="1">
      <c r="A60" s="449" t="s">
        <v>140</v>
      </c>
      <c r="B60" s="465" t="s">
        <v>141</v>
      </c>
      <c r="C60" s="190" t="s">
        <v>267</v>
      </c>
      <c r="D60" s="451">
        <f t="shared" si="28"/>
        <v>1.763803680981595E-2</v>
      </c>
      <c r="E60" s="452">
        <f t="shared" si="29"/>
        <v>2.2172949002217297E-2</v>
      </c>
      <c r="F60" s="453">
        <f t="shared" si="30"/>
        <v>4.5466631215102367E-2</v>
      </c>
      <c r="G60" s="453">
        <f t="shared" si="31"/>
        <v>3.8482834994462901E-2</v>
      </c>
      <c r="H60" s="453">
        <f t="shared" si="32"/>
        <v>2.962650940746981E-2</v>
      </c>
      <c r="I60" s="453">
        <f t="shared" si="33"/>
        <v>3.0479357162648935E-2</v>
      </c>
      <c r="J60" s="453">
        <f t="shared" si="34"/>
        <v>2.622545654263353E-2</v>
      </c>
      <c r="K60" s="453">
        <f t="shared" si="35"/>
        <v>2.6923602569359027E-2</v>
      </c>
      <c r="L60" s="453">
        <f t="shared" si="36"/>
        <v>3.7506745817593092E-2</v>
      </c>
      <c r="M60" s="453">
        <f t="shared" si="37"/>
        <v>6.3766948583702507E-2</v>
      </c>
      <c r="N60" s="453">
        <f t="shared" si="38"/>
        <v>6.3250488690309969E-2</v>
      </c>
      <c r="O60" s="454">
        <f t="shared" si="39"/>
        <v>5.20586182833217E-2</v>
      </c>
      <c r="P60" s="455">
        <f t="shared" si="40"/>
        <v>4.5466631215102367E-2</v>
      </c>
      <c r="Q60" s="1069">
        <f t="shared" si="41"/>
        <v>4.265213925059793E-2</v>
      </c>
      <c r="R60" s="219"/>
      <c r="S60" s="456">
        <v>6520</v>
      </c>
      <c r="T60" s="457">
        <v>115</v>
      </c>
      <c r="U60" s="458">
        <v>6765</v>
      </c>
      <c r="V60" s="459">
        <v>150</v>
      </c>
      <c r="W60" s="458">
        <v>7021</v>
      </c>
      <c r="X60" s="459">
        <v>301</v>
      </c>
      <c r="Y60" s="458">
        <v>7224</v>
      </c>
      <c r="Z60" s="459">
        <v>278</v>
      </c>
      <c r="AA60" s="458">
        <v>7122</v>
      </c>
      <c r="AB60" s="459">
        <v>211</v>
      </c>
      <c r="AC60" s="458">
        <v>7218</v>
      </c>
      <c r="AD60" s="459">
        <v>220</v>
      </c>
      <c r="AE60" s="458">
        <v>7283</v>
      </c>
      <c r="AF60" s="459">
        <v>191</v>
      </c>
      <c r="AG60" s="458">
        <v>7317</v>
      </c>
      <c r="AH60" s="459">
        <v>197</v>
      </c>
      <c r="AI60" s="458">
        <v>7412</v>
      </c>
      <c r="AJ60" s="459">
        <v>278</v>
      </c>
      <c r="AK60" s="460">
        <v>7449</v>
      </c>
      <c r="AL60" s="459">
        <v>475</v>
      </c>
      <c r="AM60" s="458">
        <v>7162</v>
      </c>
      <c r="AN60" s="459">
        <v>453</v>
      </c>
      <c r="AO60" s="461">
        <v>7165</v>
      </c>
      <c r="AP60" s="462">
        <v>373</v>
      </c>
      <c r="AQ60" s="463">
        <v>7522</v>
      </c>
      <c r="AR60" s="464">
        <v>342</v>
      </c>
      <c r="AS60" s="463">
        <v>7526</v>
      </c>
      <c r="AT60" s="1072">
        <v>321</v>
      </c>
    </row>
    <row r="61" spans="1:46" ht="15" customHeight="1">
      <c r="A61" s="449" t="s">
        <v>146</v>
      </c>
      <c r="B61" s="465" t="s">
        <v>147</v>
      </c>
      <c r="C61" s="190" t="s">
        <v>264</v>
      </c>
      <c r="D61" s="451">
        <f t="shared" si="28"/>
        <v>2.1733994802740374E-2</v>
      </c>
      <c r="E61" s="452">
        <f t="shared" si="29"/>
        <v>2.9737206085753802E-2</v>
      </c>
      <c r="F61" s="453">
        <f t="shared" si="30"/>
        <v>5.340143951706524E-2</v>
      </c>
      <c r="G61" s="453">
        <f t="shared" si="31"/>
        <v>3.1839890834659997E-2</v>
      </c>
      <c r="H61" s="453">
        <f t="shared" si="32"/>
        <v>2.9741477922672156E-2</v>
      </c>
      <c r="I61" s="453">
        <f t="shared" si="33"/>
        <v>2.9830508474576273E-2</v>
      </c>
      <c r="J61" s="453">
        <f t="shared" si="34"/>
        <v>2.600313830979601E-2</v>
      </c>
      <c r="K61" s="453">
        <f t="shared" si="35"/>
        <v>2.5652667423382521E-2</v>
      </c>
      <c r="L61" s="453">
        <f t="shared" si="36"/>
        <v>3.5523978685612786E-2</v>
      </c>
      <c r="M61" s="453">
        <f t="shared" si="37"/>
        <v>5.72940635066728E-2</v>
      </c>
      <c r="N61" s="453">
        <f t="shared" si="38"/>
        <v>6.1697247706422022E-2</v>
      </c>
      <c r="O61" s="454">
        <f t="shared" si="39"/>
        <v>6.3593004769475353E-2</v>
      </c>
      <c r="P61" s="455">
        <f t="shared" si="40"/>
        <v>5.340143951706524E-2</v>
      </c>
      <c r="Q61" s="1069">
        <f t="shared" si="41"/>
        <v>4.8081368469717986E-2</v>
      </c>
      <c r="R61" s="219"/>
      <c r="S61" s="456">
        <v>4233</v>
      </c>
      <c r="T61" s="457">
        <v>92</v>
      </c>
      <c r="U61" s="458">
        <v>4338</v>
      </c>
      <c r="V61" s="459">
        <v>129</v>
      </c>
      <c r="W61" s="458">
        <v>4445</v>
      </c>
      <c r="X61" s="459">
        <v>176</v>
      </c>
      <c r="Y61" s="458">
        <v>4397</v>
      </c>
      <c r="Z61" s="459">
        <v>140</v>
      </c>
      <c r="AA61" s="458">
        <v>4371</v>
      </c>
      <c r="AB61" s="459">
        <v>130</v>
      </c>
      <c r="AC61" s="458">
        <v>4425</v>
      </c>
      <c r="AD61" s="459">
        <v>132</v>
      </c>
      <c r="AE61" s="458">
        <v>4461</v>
      </c>
      <c r="AF61" s="459">
        <v>116</v>
      </c>
      <c r="AG61" s="458">
        <v>4405</v>
      </c>
      <c r="AH61" s="459">
        <v>113</v>
      </c>
      <c r="AI61" s="458">
        <v>4504</v>
      </c>
      <c r="AJ61" s="459">
        <v>160</v>
      </c>
      <c r="AK61" s="460">
        <v>4346</v>
      </c>
      <c r="AL61" s="459">
        <v>249</v>
      </c>
      <c r="AM61" s="458">
        <v>4360</v>
      </c>
      <c r="AN61" s="459">
        <v>269</v>
      </c>
      <c r="AO61" s="461">
        <v>4403</v>
      </c>
      <c r="AP61" s="462">
        <v>280</v>
      </c>
      <c r="AQ61" s="463">
        <v>4307</v>
      </c>
      <c r="AR61" s="464">
        <v>230</v>
      </c>
      <c r="AS61" s="463">
        <v>4326</v>
      </c>
      <c r="AT61" s="1072">
        <v>208</v>
      </c>
    </row>
    <row r="62" spans="1:46" ht="15" customHeight="1">
      <c r="A62" s="449" t="s">
        <v>148</v>
      </c>
      <c r="B62" s="465" t="s">
        <v>149</v>
      </c>
      <c r="C62" s="190" t="s">
        <v>265</v>
      </c>
      <c r="D62" s="451">
        <f t="shared" si="28"/>
        <v>3.340631400522636E-2</v>
      </c>
      <c r="E62" s="452">
        <f t="shared" si="29"/>
        <v>5.8173315382980234E-2</v>
      </c>
      <c r="F62" s="453">
        <f t="shared" si="30"/>
        <v>9.8811465858774178E-2</v>
      </c>
      <c r="G62" s="453">
        <f t="shared" si="31"/>
        <v>9.3296575739988397E-2</v>
      </c>
      <c r="H62" s="453">
        <f t="shared" si="32"/>
        <v>6.651029055690072E-2</v>
      </c>
      <c r="I62" s="453">
        <f t="shared" si="33"/>
        <v>6.0959987943636502E-2</v>
      </c>
      <c r="J62" s="453">
        <f t="shared" si="34"/>
        <v>5.2238805970149252E-2</v>
      </c>
      <c r="K62" s="453">
        <f t="shared" si="35"/>
        <v>5.0879731891233147E-2</v>
      </c>
      <c r="L62" s="453">
        <f t="shared" si="36"/>
        <v>6.5568906690402023E-2</v>
      </c>
      <c r="M62" s="453">
        <f t="shared" si="37"/>
        <v>0.11300594395697708</v>
      </c>
      <c r="N62" s="453">
        <f t="shared" si="38"/>
        <v>0.11956761526582838</v>
      </c>
      <c r="O62" s="454">
        <f t="shared" si="39"/>
        <v>0.10824017176278966</v>
      </c>
      <c r="P62" s="455">
        <f t="shared" si="40"/>
        <v>9.8811465858774178E-2</v>
      </c>
      <c r="Q62" s="1069">
        <f t="shared" si="41"/>
        <v>9.8816809465524277E-2</v>
      </c>
      <c r="R62" s="219"/>
      <c r="S62" s="456">
        <v>14159</v>
      </c>
      <c r="T62" s="457">
        <v>473</v>
      </c>
      <c r="U62" s="458">
        <v>14113</v>
      </c>
      <c r="V62" s="459">
        <v>821</v>
      </c>
      <c r="W62" s="458">
        <v>14150</v>
      </c>
      <c r="X62" s="459">
        <v>1438</v>
      </c>
      <c r="Y62" s="458">
        <v>13784</v>
      </c>
      <c r="Z62" s="459">
        <v>1286</v>
      </c>
      <c r="AA62" s="458">
        <v>13216</v>
      </c>
      <c r="AB62" s="459">
        <v>879</v>
      </c>
      <c r="AC62" s="458">
        <v>13271</v>
      </c>
      <c r="AD62" s="459">
        <v>809</v>
      </c>
      <c r="AE62" s="458">
        <v>13132</v>
      </c>
      <c r="AF62" s="459">
        <v>686</v>
      </c>
      <c r="AG62" s="458">
        <v>13129</v>
      </c>
      <c r="AH62" s="459">
        <v>668</v>
      </c>
      <c r="AI62" s="458">
        <v>13482</v>
      </c>
      <c r="AJ62" s="459">
        <v>884</v>
      </c>
      <c r="AK62" s="460">
        <v>14132</v>
      </c>
      <c r="AL62" s="459">
        <v>1597</v>
      </c>
      <c r="AM62" s="458">
        <v>13599</v>
      </c>
      <c r="AN62" s="459">
        <v>1626</v>
      </c>
      <c r="AO62" s="461">
        <v>13507</v>
      </c>
      <c r="AP62" s="462">
        <v>1462</v>
      </c>
      <c r="AQ62" s="463">
        <v>12873</v>
      </c>
      <c r="AR62" s="464">
        <v>1272</v>
      </c>
      <c r="AS62" s="463">
        <v>12255</v>
      </c>
      <c r="AT62" s="1072">
        <v>1211</v>
      </c>
    </row>
    <row r="63" spans="1:46" ht="15" customHeight="1">
      <c r="A63" s="449" t="s">
        <v>150</v>
      </c>
      <c r="B63" s="465" t="s">
        <v>151</v>
      </c>
      <c r="C63" s="190" t="s">
        <v>266</v>
      </c>
      <c r="D63" s="451">
        <f t="shared" si="28"/>
        <v>2.0810272304626964E-2</v>
      </c>
      <c r="E63" s="452">
        <f t="shared" si="29"/>
        <v>2.6446997615434641E-2</v>
      </c>
      <c r="F63" s="453">
        <f t="shared" si="30"/>
        <v>6.1987602479504099E-2</v>
      </c>
      <c r="G63" s="453">
        <f t="shared" si="31"/>
        <v>3.4897959183673471E-2</v>
      </c>
      <c r="H63" s="453">
        <f t="shared" si="32"/>
        <v>3.3400809716599193E-2</v>
      </c>
      <c r="I63" s="453">
        <f t="shared" si="33"/>
        <v>3.4959510171834879E-2</v>
      </c>
      <c r="J63" s="453">
        <f t="shared" si="34"/>
        <v>3.1583103039873668E-2</v>
      </c>
      <c r="K63" s="453">
        <f t="shared" si="35"/>
        <v>3.0296990233207095E-2</v>
      </c>
      <c r="L63" s="453">
        <f t="shared" si="36"/>
        <v>3.834176722460101E-2</v>
      </c>
      <c r="M63" s="453">
        <f t="shared" si="37"/>
        <v>6.9038461538461535E-2</v>
      </c>
      <c r="N63" s="453">
        <f t="shared" si="38"/>
        <v>7.4390001983733384E-2</v>
      </c>
      <c r="O63" s="454">
        <f t="shared" si="39"/>
        <v>6.6772655007949128E-2</v>
      </c>
      <c r="P63" s="455">
        <f t="shared" si="40"/>
        <v>6.1987602479504099E-2</v>
      </c>
      <c r="Q63" s="1069">
        <f t="shared" si="41"/>
        <v>5.7927440368811388E-2</v>
      </c>
      <c r="R63" s="219"/>
      <c r="S63" s="456">
        <v>4517</v>
      </c>
      <c r="T63" s="457">
        <v>94</v>
      </c>
      <c r="U63" s="458">
        <v>4613</v>
      </c>
      <c r="V63" s="459">
        <v>122</v>
      </c>
      <c r="W63" s="458">
        <v>4762</v>
      </c>
      <c r="X63" s="459">
        <v>157</v>
      </c>
      <c r="Y63" s="458">
        <v>4900</v>
      </c>
      <c r="Z63" s="459">
        <v>171</v>
      </c>
      <c r="AA63" s="458">
        <v>4940</v>
      </c>
      <c r="AB63" s="459">
        <v>165</v>
      </c>
      <c r="AC63" s="458">
        <v>5063</v>
      </c>
      <c r="AD63" s="459">
        <v>177</v>
      </c>
      <c r="AE63" s="458">
        <v>5066</v>
      </c>
      <c r="AF63" s="459">
        <v>160</v>
      </c>
      <c r="AG63" s="458">
        <v>5017</v>
      </c>
      <c r="AH63" s="459">
        <v>152</v>
      </c>
      <c r="AI63" s="458">
        <v>5138</v>
      </c>
      <c r="AJ63" s="459">
        <v>197</v>
      </c>
      <c r="AK63" s="460">
        <v>5200</v>
      </c>
      <c r="AL63" s="459">
        <v>359</v>
      </c>
      <c r="AM63" s="458">
        <v>5041</v>
      </c>
      <c r="AN63" s="459">
        <v>375</v>
      </c>
      <c r="AO63" s="461">
        <v>5032</v>
      </c>
      <c r="AP63" s="462">
        <v>336</v>
      </c>
      <c r="AQ63" s="463">
        <v>5001</v>
      </c>
      <c r="AR63" s="464">
        <v>310</v>
      </c>
      <c r="AS63" s="463">
        <v>4989</v>
      </c>
      <c r="AT63" s="1072">
        <v>289</v>
      </c>
    </row>
    <row r="64" spans="1:46" ht="15" customHeight="1">
      <c r="A64" s="449" t="s">
        <v>152</v>
      </c>
      <c r="B64" s="465" t="s">
        <v>153</v>
      </c>
      <c r="C64" s="190" t="s">
        <v>268</v>
      </c>
      <c r="D64" s="451">
        <f t="shared" si="28"/>
        <v>2.5115224410322136E-2</v>
      </c>
      <c r="E64" s="452">
        <f t="shared" si="29"/>
        <v>3.2999901931940766E-2</v>
      </c>
      <c r="F64" s="453">
        <f t="shared" si="30"/>
        <v>6.0118189980997723E-2</v>
      </c>
      <c r="G64" s="453">
        <f t="shared" si="31"/>
        <v>3.7969689233411472E-2</v>
      </c>
      <c r="H64" s="453">
        <f t="shared" si="32"/>
        <v>3.6267025547021832E-2</v>
      </c>
      <c r="I64" s="453">
        <f t="shared" si="33"/>
        <v>3.544187118331605E-2</v>
      </c>
      <c r="J64" s="453">
        <f t="shared" si="34"/>
        <v>3.0656699990828214E-2</v>
      </c>
      <c r="K64" s="453">
        <f t="shared" si="35"/>
        <v>3.2284411371009826E-2</v>
      </c>
      <c r="L64" s="453">
        <f t="shared" si="36"/>
        <v>4.0866536033093835E-2</v>
      </c>
      <c r="M64" s="453">
        <f t="shared" si="37"/>
        <v>7.2259026894221909E-2</v>
      </c>
      <c r="N64" s="453">
        <f t="shared" si="38"/>
        <v>7.4622651753719182E-2</v>
      </c>
      <c r="O64" s="454">
        <f t="shared" si="39"/>
        <v>6.6477477286685446E-2</v>
      </c>
      <c r="P64" s="455">
        <f t="shared" si="40"/>
        <v>6.0118189980997723E-2</v>
      </c>
      <c r="Q64" s="1069">
        <f t="shared" si="41"/>
        <v>5.5163474002592541E-2</v>
      </c>
      <c r="R64" s="219"/>
      <c r="S64" s="456">
        <v>40573</v>
      </c>
      <c r="T64" s="457">
        <v>1019</v>
      </c>
      <c r="U64" s="458">
        <v>40788</v>
      </c>
      <c r="V64" s="459">
        <v>1346</v>
      </c>
      <c r="W64" s="458">
        <v>41554</v>
      </c>
      <c r="X64" s="459">
        <v>1654</v>
      </c>
      <c r="Y64" s="458">
        <v>43087</v>
      </c>
      <c r="Z64" s="459">
        <v>1636</v>
      </c>
      <c r="AA64" s="458">
        <v>43097</v>
      </c>
      <c r="AB64" s="459">
        <v>1563</v>
      </c>
      <c r="AC64" s="458">
        <v>43395</v>
      </c>
      <c r="AD64" s="459">
        <v>1538</v>
      </c>
      <c r="AE64" s="458">
        <v>43612</v>
      </c>
      <c r="AF64" s="459">
        <v>1337</v>
      </c>
      <c r="AG64" s="458">
        <v>44077</v>
      </c>
      <c r="AH64" s="459">
        <v>1423</v>
      </c>
      <c r="AI64" s="458">
        <v>45930</v>
      </c>
      <c r="AJ64" s="459">
        <v>1877</v>
      </c>
      <c r="AK64" s="460">
        <v>45586</v>
      </c>
      <c r="AL64" s="459">
        <v>3294</v>
      </c>
      <c r="AM64" s="458">
        <v>46045</v>
      </c>
      <c r="AN64" s="459">
        <v>3436</v>
      </c>
      <c r="AO64" s="461">
        <v>47219</v>
      </c>
      <c r="AP64" s="462">
        <v>3139</v>
      </c>
      <c r="AQ64" s="463">
        <v>47889</v>
      </c>
      <c r="AR64" s="464">
        <v>2879</v>
      </c>
      <c r="AS64" s="463">
        <v>48601</v>
      </c>
      <c r="AT64" s="1072">
        <v>2681</v>
      </c>
    </row>
    <row r="65" spans="1:46" ht="15" customHeight="1">
      <c r="A65" s="449" t="s">
        <v>154</v>
      </c>
      <c r="B65" s="465" t="s">
        <v>155</v>
      </c>
      <c r="C65" s="190" t="s">
        <v>265</v>
      </c>
      <c r="D65" s="451">
        <f t="shared" si="28"/>
        <v>2.3172650550708052E-2</v>
      </c>
      <c r="E65" s="452">
        <f t="shared" si="29"/>
        <v>3.2717529262445352E-2</v>
      </c>
      <c r="F65" s="453">
        <f t="shared" si="30"/>
        <v>5.4675118858954042E-2</v>
      </c>
      <c r="G65" s="453">
        <f t="shared" si="31"/>
        <v>3.6341025286721014E-2</v>
      </c>
      <c r="H65" s="453">
        <f t="shared" si="32"/>
        <v>3.5563428259980927E-2</v>
      </c>
      <c r="I65" s="453">
        <f t="shared" si="33"/>
        <v>3.1990362735912194E-2</v>
      </c>
      <c r="J65" s="453">
        <f t="shared" si="34"/>
        <v>2.7439813616360342E-2</v>
      </c>
      <c r="K65" s="453">
        <f t="shared" si="35"/>
        <v>2.707856598016781E-2</v>
      </c>
      <c r="L65" s="453">
        <f t="shared" si="36"/>
        <v>3.5979228486646884E-2</v>
      </c>
      <c r="M65" s="453">
        <f t="shared" si="37"/>
        <v>6.6352474265161845E-2</v>
      </c>
      <c r="N65" s="453">
        <f t="shared" si="38"/>
        <v>6.859158609877189E-2</v>
      </c>
      <c r="O65" s="454">
        <f t="shared" si="39"/>
        <v>5.8162078324932143E-2</v>
      </c>
      <c r="P65" s="455">
        <f t="shared" si="40"/>
        <v>5.4675118858954042E-2</v>
      </c>
      <c r="Q65" s="1069">
        <f t="shared" si="41"/>
        <v>5.1527468205060968E-2</v>
      </c>
      <c r="R65" s="219"/>
      <c r="S65" s="456">
        <v>6991</v>
      </c>
      <c r="T65" s="457">
        <v>162</v>
      </c>
      <c r="U65" s="458">
        <v>7091</v>
      </c>
      <c r="V65" s="459">
        <v>232</v>
      </c>
      <c r="W65" s="458">
        <v>7137</v>
      </c>
      <c r="X65" s="459">
        <v>259</v>
      </c>
      <c r="Y65" s="458">
        <v>7237</v>
      </c>
      <c r="Z65" s="459">
        <v>263</v>
      </c>
      <c r="AA65" s="458">
        <v>7339</v>
      </c>
      <c r="AB65" s="459">
        <v>261</v>
      </c>
      <c r="AC65" s="458">
        <v>7471</v>
      </c>
      <c r="AD65" s="459">
        <v>239</v>
      </c>
      <c r="AE65" s="458">
        <v>7726</v>
      </c>
      <c r="AF65" s="459">
        <v>212</v>
      </c>
      <c r="AG65" s="458">
        <v>7866</v>
      </c>
      <c r="AH65" s="459">
        <v>213</v>
      </c>
      <c r="AI65" s="458">
        <v>8088</v>
      </c>
      <c r="AJ65" s="459">
        <v>291</v>
      </c>
      <c r="AK65" s="460">
        <v>8063</v>
      </c>
      <c r="AL65" s="459">
        <v>535</v>
      </c>
      <c r="AM65" s="458">
        <v>7654</v>
      </c>
      <c r="AN65" s="459">
        <v>525</v>
      </c>
      <c r="AO65" s="461">
        <v>7737</v>
      </c>
      <c r="AP65" s="462">
        <v>450</v>
      </c>
      <c r="AQ65" s="463">
        <v>7572</v>
      </c>
      <c r="AR65" s="464">
        <v>414</v>
      </c>
      <c r="AS65" s="463">
        <v>7627</v>
      </c>
      <c r="AT65" s="1072">
        <v>393</v>
      </c>
    </row>
    <row r="66" spans="1:46" ht="15" customHeight="1">
      <c r="A66" s="449" t="s">
        <v>156</v>
      </c>
      <c r="B66" s="465" t="s">
        <v>157</v>
      </c>
      <c r="C66" s="190" t="s">
        <v>266</v>
      </c>
      <c r="D66" s="451">
        <f t="shared" si="28"/>
        <v>1.8191841234840134E-2</v>
      </c>
      <c r="E66" s="452">
        <f t="shared" si="29"/>
        <v>2.9976019184652279E-2</v>
      </c>
      <c r="F66" s="453">
        <f t="shared" si="30"/>
        <v>5.6865197729240834E-2</v>
      </c>
      <c r="G66" s="453">
        <f t="shared" si="31"/>
        <v>3.6813592711154891E-2</v>
      </c>
      <c r="H66" s="453">
        <f t="shared" si="32"/>
        <v>3.3721066854658678E-2</v>
      </c>
      <c r="I66" s="453">
        <f t="shared" si="33"/>
        <v>3.1991860728012661E-2</v>
      </c>
      <c r="J66" s="453">
        <f t="shared" si="34"/>
        <v>2.7370689655172413E-2</v>
      </c>
      <c r="K66" s="453">
        <f t="shared" si="35"/>
        <v>2.7327070879590094E-2</v>
      </c>
      <c r="L66" s="453">
        <f t="shared" si="36"/>
        <v>3.5919106549954727E-2</v>
      </c>
      <c r="M66" s="453">
        <f t="shared" si="37"/>
        <v>7.2193053311793209E-2</v>
      </c>
      <c r="N66" s="453">
        <f t="shared" si="38"/>
        <v>7.7038971474487752E-2</v>
      </c>
      <c r="O66" s="454">
        <f t="shared" si="39"/>
        <v>6.6497164091531391E-2</v>
      </c>
      <c r="P66" s="455">
        <f t="shared" si="40"/>
        <v>5.6865197729240834E-2</v>
      </c>
      <c r="Q66" s="1069">
        <f t="shared" si="41"/>
        <v>5.2762141017078525E-2</v>
      </c>
      <c r="R66" s="219"/>
      <c r="S66" s="456">
        <v>7256</v>
      </c>
      <c r="T66" s="457">
        <v>132</v>
      </c>
      <c r="U66" s="458">
        <v>7506</v>
      </c>
      <c r="V66" s="459">
        <v>225</v>
      </c>
      <c r="W66" s="458">
        <v>7755</v>
      </c>
      <c r="X66" s="459">
        <v>280</v>
      </c>
      <c r="Y66" s="458">
        <v>8122</v>
      </c>
      <c r="Z66" s="459">
        <v>299</v>
      </c>
      <c r="AA66" s="458">
        <v>8511</v>
      </c>
      <c r="AB66" s="459">
        <v>287</v>
      </c>
      <c r="AC66" s="458">
        <v>8846</v>
      </c>
      <c r="AD66" s="459">
        <v>283</v>
      </c>
      <c r="AE66" s="458">
        <v>9280</v>
      </c>
      <c r="AF66" s="459">
        <v>254</v>
      </c>
      <c r="AG66" s="458">
        <v>9368</v>
      </c>
      <c r="AH66" s="459">
        <v>256</v>
      </c>
      <c r="AI66" s="458">
        <v>9939</v>
      </c>
      <c r="AJ66" s="459">
        <v>357</v>
      </c>
      <c r="AK66" s="460">
        <v>9904</v>
      </c>
      <c r="AL66" s="459">
        <v>715</v>
      </c>
      <c r="AM66" s="458">
        <v>9956</v>
      </c>
      <c r="AN66" s="459">
        <v>767</v>
      </c>
      <c r="AO66" s="461">
        <v>10226</v>
      </c>
      <c r="AP66" s="462">
        <v>680</v>
      </c>
      <c r="AQ66" s="463">
        <v>10393</v>
      </c>
      <c r="AR66" s="464">
        <v>591</v>
      </c>
      <c r="AS66" s="463">
        <v>10481</v>
      </c>
      <c r="AT66" s="1072">
        <v>553</v>
      </c>
    </row>
    <row r="67" spans="1:46" ht="15" customHeight="1">
      <c r="A67" s="449" t="s">
        <v>162</v>
      </c>
      <c r="B67" s="465" t="s">
        <v>163</v>
      </c>
      <c r="C67" s="190" t="s">
        <v>264</v>
      </c>
      <c r="D67" s="451">
        <f t="shared" si="28"/>
        <v>2.6400862068965518E-2</v>
      </c>
      <c r="E67" s="452">
        <f t="shared" si="29"/>
        <v>3.6663124335812966E-2</v>
      </c>
      <c r="F67" s="453">
        <f t="shared" si="30"/>
        <v>8.7836760720548385E-2</v>
      </c>
      <c r="G67" s="453">
        <f t="shared" si="31"/>
        <v>4.8395143854980872E-2</v>
      </c>
      <c r="H67" s="453">
        <f t="shared" si="32"/>
        <v>4.6182060686895635E-2</v>
      </c>
      <c r="I67" s="453">
        <f t="shared" si="33"/>
        <v>5.0764834425953941E-2</v>
      </c>
      <c r="J67" s="453">
        <f t="shared" si="34"/>
        <v>4.3767029972752045E-2</v>
      </c>
      <c r="K67" s="453">
        <f t="shared" si="35"/>
        <v>4.0809443507588535E-2</v>
      </c>
      <c r="L67" s="453">
        <f t="shared" si="36"/>
        <v>5.4411764705882354E-2</v>
      </c>
      <c r="M67" s="453">
        <f t="shared" si="37"/>
        <v>7.9493987193503049E-2</v>
      </c>
      <c r="N67" s="453">
        <f t="shared" si="38"/>
        <v>7.9508825786646198E-2</v>
      </c>
      <c r="O67" s="454">
        <f t="shared" si="39"/>
        <v>8.4870271959987489E-2</v>
      </c>
      <c r="P67" s="455">
        <f t="shared" si="40"/>
        <v>8.7836760720548385E-2</v>
      </c>
      <c r="Q67" s="1069">
        <f t="shared" si="41"/>
        <v>7.6622106292794256E-2</v>
      </c>
      <c r="R67" s="219"/>
      <c r="S67" s="456">
        <v>5568</v>
      </c>
      <c r="T67" s="457">
        <v>147</v>
      </c>
      <c r="U67" s="458">
        <v>5646</v>
      </c>
      <c r="V67" s="459">
        <v>207</v>
      </c>
      <c r="W67" s="458">
        <v>5904</v>
      </c>
      <c r="X67" s="459">
        <v>299</v>
      </c>
      <c r="Y67" s="458">
        <v>6013</v>
      </c>
      <c r="Z67" s="459">
        <v>291</v>
      </c>
      <c r="AA67" s="458">
        <v>5998</v>
      </c>
      <c r="AB67" s="459">
        <v>277</v>
      </c>
      <c r="AC67" s="458">
        <v>5949</v>
      </c>
      <c r="AD67" s="459">
        <v>302</v>
      </c>
      <c r="AE67" s="458">
        <v>5872</v>
      </c>
      <c r="AF67" s="459">
        <v>257</v>
      </c>
      <c r="AG67" s="458">
        <v>5930</v>
      </c>
      <c r="AH67" s="459">
        <v>242</v>
      </c>
      <c r="AI67" s="458">
        <v>6120</v>
      </c>
      <c r="AJ67" s="459">
        <v>333</v>
      </c>
      <c r="AK67" s="460">
        <v>6403</v>
      </c>
      <c r="AL67" s="459">
        <v>509</v>
      </c>
      <c r="AM67" s="458">
        <v>6515</v>
      </c>
      <c r="AN67" s="459">
        <v>518</v>
      </c>
      <c r="AO67" s="461">
        <v>6398</v>
      </c>
      <c r="AP67" s="462">
        <v>543</v>
      </c>
      <c r="AQ67" s="463">
        <v>6273</v>
      </c>
      <c r="AR67" s="464">
        <v>551</v>
      </c>
      <c r="AS67" s="463">
        <v>6134</v>
      </c>
      <c r="AT67" s="1072">
        <v>470</v>
      </c>
    </row>
    <row r="68" spans="1:46" ht="15" customHeight="1">
      <c r="A68" s="449" t="s">
        <v>164</v>
      </c>
      <c r="B68" s="465" t="s">
        <v>165</v>
      </c>
      <c r="C68" s="190" t="s">
        <v>266</v>
      </c>
      <c r="D68" s="451">
        <f t="shared" si="28"/>
        <v>4.4781643227239085E-2</v>
      </c>
      <c r="E68" s="452">
        <f t="shared" si="29"/>
        <v>5.0200803212851405E-2</v>
      </c>
      <c r="F68" s="453">
        <f t="shared" si="30"/>
        <v>8.409703504043127E-2</v>
      </c>
      <c r="G68" s="453">
        <f t="shared" si="31"/>
        <v>5.576012624934245E-2</v>
      </c>
      <c r="H68" s="453">
        <f t="shared" si="32"/>
        <v>4.9319163068747923E-2</v>
      </c>
      <c r="I68" s="453">
        <f t="shared" si="33"/>
        <v>4.7909120842937108E-2</v>
      </c>
      <c r="J68" s="453">
        <f t="shared" si="34"/>
        <v>4.1492387485360549E-2</v>
      </c>
      <c r="K68" s="453">
        <f t="shared" si="35"/>
        <v>4.3595809395065903E-2</v>
      </c>
      <c r="L68" s="453">
        <f t="shared" si="36"/>
        <v>5.695453777251986E-2</v>
      </c>
      <c r="M68" s="453">
        <f t="shared" si="37"/>
        <v>9.0257412838057993E-2</v>
      </c>
      <c r="N68" s="453">
        <f t="shared" si="38"/>
        <v>8.7867522811760732E-2</v>
      </c>
      <c r="O68" s="454">
        <f t="shared" si="39"/>
        <v>9.1049382716049385E-2</v>
      </c>
      <c r="P68" s="455">
        <f t="shared" si="40"/>
        <v>8.409703504043127E-2</v>
      </c>
      <c r="Q68" s="1069">
        <f t="shared" si="41"/>
        <v>7.8127913481260483E-2</v>
      </c>
      <c r="R68" s="219"/>
      <c r="S68" s="456">
        <v>5404</v>
      </c>
      <c r="T68" s="457">
        <v>242</v>
      </c>
      <c r="U68" s="458">
        <v>5478</v>
      </c>
      <c r="V68" s="459">
        <v>275</v>
      </c>
      <c r="W68" s="458">
        <v>5603</v>
      </c>
      <c r="X68" s="459">
        <v>333</v>
      </c>
      <c r="Y68" s="458">
        <v>5703</v>
      </c>
      <c r="Z68" s="459">
        <v>318</v>
      </c>
      <c r="AA68" s="458">
        <v>6022</v>
      </c>
      <c r="AB68" s="459">
        <v>297</v>
      </c>
      <c r="AC68" s="458">
        <v>6074</v>
      </c>
      <c r="AD68" s="459">
        <v>291</v>
      </c>
      <c r="AE68" s="458">
        <v>5977</v>
      </c>
      <c r="AF68" s="459">
        <v>248</v>
      </c>
      <c r="AG68" s="458">
        <v>5918</v>
      </c>
      <c r="AH68" s="459">
        <v>258</v>
      </c>
      <c r="AI68" s="458">
        <v>5917</v>
      </c>
      <c r="AJ68" s="459">
        <v>337</v>
      </c>
      <c r="AK68" s="460">
        <v>6138</v>
      </c>
      <c r="AL68" s="459">
        <v>554</v>
      </c>
      <c r="AM68" s="458">
        <v>5918</v>
      </c>
      <c r="AN68" s="459">
        <v>520</v>
      </c>
      <c r="AO68" s="461">
        <v>5832</v>
      </c>
      <c r="AP68" s="462">
        <v>531</v>
      </c>
      <c r="AQ68" s="463">
        <v>5565</v>
      </c>
      <c r="AR68" s="464">
        <v>468</v>
      </c>
      <c r="AS68" s="463">
        <v>5363</v>
      </c>
      <c r="AT68" s="1072">
        <v>419</v>
      </c>
    </row>
    <row r="69" spans="1:46" ht="15" customHeight="1">
      <c r="A69" s="449" t="s">
        <v>168</v>
      </c>
      <c r="B69" s="465" t="s">
        <v>169</v>
      </c>
      <c r="C69" s="190" t="s">
        <v>266</v>
      </c>
      <c r="D69" s="451">
        <f t="shared" ref="D69:D100" si="42">T69/S69</f>
        <v>2.9176854115729421E-2</v>
      </c>
      <c r="E69" s="452">
        <f t="shared" ref="E69:E100" si="43">V69/U69</f>
        <v>3.9743589743589741E-2</v>
      </c>
      <c r="F69" s="453">
        <f t="shared" ref="F69:F100" si="44">AR69/AQ69</f>
        <v>7.2156862745098041E-2</v>
      </c>
      <c r="G69" s="453">
        <f t="shared" ref="G69:G100" si="45">Z69/Y69</f>
        <v>4.4307692307692305E-2</v>
      </c>
      <c r="H69" s="453">
        <f t="shared" ref="H69:H100" si="46">AB69/AA69</f>
        <v>4.3662635464111824E-2</v>
      </c>
      <c r="I69" s="453">
        <f t="shared" ref="I69:I100" si="47">AD69/AC69</f>
        <v>4.5269423558897244E-2</v>
      </c>
      <c r="J69" s="453">
        <f t="shared" ref="J69:J100" si="48">AF69/AE69</f>
        <v>4.087659309916071E-2</v>
      </c>
      <c r="K69" s="453">
        <f t="shared" ref="K69:K100" si="49">AH69/AG69</f>
        <v>3.9107852123434157E-2</v>
      </c>
      <c r="L69" s="453">
        <f t="shared" ref="L69:L100" si="50">AJ69/AI69</f>
        <v>5.4873427315446414E-2</v>
      </c>
      <c r="M69" s="453">
        <f t="shared" ref="M69:M100" si="51">AL69/AK69</f>
        <v>8.3158210747523262E-2</v>
      </c>
      <c r="N69" s="453">
        <f t="shared" ref="N69:N100" si="52">AN69/AM69</f>
        <v>8.5674375291013502E-2</v>
      </c>
      <c r="O69" s="454">
        <f t="shared" ref="O69:O100" si="53">AP69/AO69</f>
        <v>7.9480439152620999E-2</v>
      </c>
      <c r="P69" s="455">
        <f t="shared" ref="P69:P100" si="54">AR69/AQ69</f>
        <v>7.2156862745098041E-2</v>
      </c>
      <c r="Q69" s="1069">
        <f t="shared" ref="Q69:Q100" si="55">AT69/AS69</f>
        <v>6.7989097516656577E-2</v>
      </c>
      <c r="R69" s="219"/>
      <c r="S69" s="456">
        <v>6135</v>
      </c>
      <c r="T69" s="457">
        <v>179</v>
      </c>
      <c r="U69" s="458">
        <v>6240</v>
      </c>
      <c r="V69" s="459">
        <v>248</v>
      </c>
      <c r="W69" s="458">
        <v>6383</v>
      </c>
      <c r="X69" s="459">
        <v>280</v>
      </c>
      <c r="Y69" s="458">
        <v>6500</v>
      </c>
      <c r="Z69" s="459">
        <v>288</v>
      </c>
      <c r="AA69" s="458">
        <v>6367</v>
      </c>
      <c r="AB69" s="459">
        <v>278</v>
      </c>
      <c r="AC69" s="458">
        <v>6384</v>
      </c>
      <c r="AD69" s="459">
        <v>289</v>
      </c>
      <c r="AE69" s="458">
        <v>6434</v>
      </c>
      <c r="AF69" s="459">
        <v>263</v>
      </c>
      <c r="AG69" s="458">
        <v>6546</v>
      </c>
      <c r="AH69" s="459">
        <v>256</v>
      </c>
      <c r="AI69" s="458">
        <v>6597</v>
      </c>
      <c r="AJ69" s="459">
        <v>362</v>
      </c>
      <c r="AK69" s="460">
        <v>6662</v>
      </c>
      <c r="AL69" s="459">
        <v>554</v>
      </c>
      <c r="AM69" s="458">
        <v>6443</v>
      </c>
      <c r="AN69" s="459">
        <v>552</v>
      </c>
      <c r="AO69" s="461">
        <v>6467</v>
      </c>
      <c r="AP69" s="462">
        <v>514</v>
      </c>
      <c r="AQ69" s="463">
        <v>6375</v>
      </c>
      <c r="AR69" s="464">
        <v>460</v>
      </c>
      <c r="AS69" s="463">
        <v>6604</v>
      </c>
      <c r="AT69" s="1072">
        <v>449</v>
      </c>
    </row>
    <row r="70" spans="1:46" ht="15" customHeight="1">
      <c r="A70" s="449" t="s">
        <v>170</v>
      </c>
      <c r="B70" s="465" t="s">
        <v>171</v>
      </c>
      <c r="C70" s="190" t="s">
        <v>267</v>
      </c>
      <c r="D70" s="451">
        <f t="shared" si="42"/>
        <v>2.0456520022115156E-2</v>
      </c>
      <c r="E70" s="452">
        <f t="shared" si="43"/>
        <v>2.6861268535051625E-2</v>
      </c>
      <c r="F70" s="453">
        <f t="shared" si="44"/>
        <v>6.8258940224484463E-2</v>
      </c>
      <c r="G70" s="453">
        <f t="shared" si="45"/>
        <v>3.9910829857615418E-2</v>
      </c>
      <c r="H70" s="453">
        <f t="shared" si="46"/>
        <v>3.3084386124101348E-2</v>
      </c>
      <c r="I70" s="453">
        <f t="shared" si="47"/>
        <v>3.1671753136656496E-2</v>
      </c>
      <c r="J70" s="453">
        <f t="shared" si="48"/>
        <v>3.014207940512548E-2</v>
      </c>
      <c r="K70" s="453">
        <f t="shared" si="49"/>
        <v>3.2243326153645321E-2</v>
      </c>
      <c r="L70" s="453">
        <f t="shared" si="50"/>
        <v>4.5871559633027525E-2</v>
      </c>
      <c r="M70" s="453">
        <f t="shared" si="51"/>
        <v>8.0060422960725075E-2</v>
      </c>
      <c r="N70" s="453">
        <f t="shared" si="52"/>
        <v>8.1804818815108329E-2</v>
      </c>
      <c r="O70" s="454">
        <f t="shared" si="53"/>
        <v>7.6596023024594451E-2</v>
      </c>
      <c r="P70" s="455">
        <f t="shared" si="54"/>
        <v>6.8258940224484463E-2</v>
      </c>
      <c r="Q70" s="1069">
        <f t="shared" si="55"/>
        <v>5.9647335922082885E-2</v>
      </c>
      <c r="R70" s="219"/>
      <c r="S70" s="456">
        <v>12661</v>
      </c>
      <c r="T70" s="457">
        <v>259</v>
      </c>
      <c r="U70" s="458">
        <v>12881</v>
      </c>
      <c r="V70" s="459">
        <v>346</v>
      </c>
      <c r="W70" s="458">
        <v>13352</v>
      </c>
      <c r="X70" s="459">
        <v>598</v>
      </c>
      <c r="Y70" s="458">
        <v>13906</v>
      </c>
      <c r="Z70" s="459">
        <v>555</v>
      </c>
      <c r="AA70" s="458">
        <v>14327</v>
      </c>
      <c r="AB70" s="459">
        <v>474</v>
      </c>
      <c r="AC70" s="458">
        <v>14745</v>
      </c>
      <c r="AD70" s="459">
        <v>467</v>
      </c>
      <c r="AE70" s="458">
        <v>15062</v>
      </c>
      <c r="AF70" s="459">
        <v>454</v>
      </c>
      <c r="AG70" s="458">
        <v>15321</v>
      </c>
      <c r="AH70" s="459">
        <v>494</v>
      </c>
      <c r="AI70" s="458">
        <v>15696</v>
      </c>
      <c r="AJ70" s="459">
        <v>720</v>
      </c>
      <c r="AK70" s="460">
        <v>15888</v>
      </c>
      <c r="AL70" s="459">
        <v>1272</v>
      </c>
      <c r="AM70" s="458">
        <v>15647</v>
      </c>
      <c r="AN70" s="459">
        <v>1280</v>
      </c>
      <c r="AO70" s="461">
        <v>15288</v>
      </c>
      <c r="AP70" s="462">
        <v>1171</v>
      </c>
      <c r="AQ70" s="463">
        <v>15324</v>
      </c>
      <c r="AR70" s="464">
        <v>1046</v>
      </c>
      <c r="AS70" s="463">
        <v>15709</v>
      </c>
      <c r="AT70" s="1072">
        <v>937</v>
      </c>
    </row>
    <row r="71" spans="1:46" ht="15" customHeight="1">
      <c r="A71" s="449" t="s">
        <v>172</v>
      </c>
      <c r="B71" s="465" t="s">
        <v>173</v>
      </c>
      <c r="C71" s="190" t="s">
        <v>267</v>
      </c>
      <c r="D71" s="451">
        <f t="shared" si="42"/>
        <v>2.5956284153005466E-2</v>
      </c>
      <c r="E71" s="452">
        <f t="shared" si="43"/>
        <v>3.3432392273402674E-2</v>
      </c>
      <c r="F71" s="453">
        <f t="shared" si="44"/>
        <v>0.1048835592631213</v>
      </c>
      <c r="G71" s="453">
        <f t="shared" si="45"/>
        <v>6.9630245118404654E-2</v>
      </c>
      <c r="H71" s="453">
        <f t="shared" si="46"/>
        <v>5.4213727193744572E-2</v>
      </c>
      <c r="I71" s="453">
        <f t="shared" si="47"/>
        <v>5.0856298356950359E-2</v>
      </c>
      <c r="J71" s="453">
        <f t="shared" si="48"/>
        <v>4.6474215747609258E-2</v>
      </c>
      <c r="K71" s="453">
        <f t="shared" si="49"/>
        <v>5.0913606528295192E-2</v>
      </c>
      <c r="L71" s="453">
        <f t="shared" si="50"/>
        <v>6.9012293344637557E-2</v>
      </c>
      <c r="M71" s="453">
        <f t="shared" si="51"/>
        <v>0.12177426003792563</v>
      </c>
      <c r="N71" s="453">
        <f t="shared" si="52"/>
        <v>0.11980749746707194</v>
      </c>
      <c r="O71" s="454">
        <f t="shared" si="53"/>
        <v>0.11279195411852713</v>
      </c>
      <c r="P71" s="455">
        <f t="shared" si="54"/>
        <v>0.1048835592631213</v>
      </c>
      <c r="Q71" s="1069">
        <f t="shared" si="55"/>
        <v>9.4080056803053161E-2</v>
      </c>
      <c r="R71" s="190"/>
      <c r="S71" s="466">
        <v>11712</v>
      </c>
      <c r="T71" s="467">
        <v>304</v>
      </c>
      <c r="U71" s="458">
        <v>12114</v>
      </c>
      <c r="V71" s="459">
        <v>405</v>
      </c>
      <c r="W71" s="458">
        <v>12351</v>
      </c>
      <c r="X71" s="459">
        <v>756</v>
      </c>
      <c r="Y71" s="458">
        <v>12035</v>
      </c>
      <c r="Z71" s="459">
        <v>838</v>
      </c>
      <c r="AA71" s="485">
        <v>11510</v>
      </c>
      <c r="AB71" s="462">
        <v>624</v>
      </c>
      <c r="AC71" s="485">
        <v>11503</v>
      </c>
      <c r="AD71" s="462">
        <v>585</v>
      </c>
      <c r="AE71" s="485">
        <v>11189</v>
      </c>
      <c r="AF71" s="462">
        <v>520</v>
      </c>
      <c r="AG71" s="485">
        <v>11274</v>
      </c>
      <c r="AH71" s="462">
        <v>574</v>
      </c>
      <c r="AI71" s="485">
        <v>11795</v>
      </c>
      <c r="AJ71" s="462">
        <v>814</v>
      </c>
      <c r="AK71" s="468">
        <v>12129</v>
      </c>
      <c r="AL71" s="462">
        <v>1477</v>
      </c>
      <c r="AM71" s="458">
        <v>11844</v>
      </c>
      <c r="AN71" s="459">
        <v>1419</v>
      </c>
      <c r="AO71" s="461">
        <v>12031</v>
      </c>
      <c r="AP71" s="462">
        <v>1357</v>
      </c>
      <c r="AQ71" s="463">
        <v>11508</v>
      </c>
      <c r="AR71" s="464">
        <v>1207</v>
      </c>
      <c r="AS71" s="463">
        <v>11267</v>
      </c>
      <c r="AT71" s="1072">
        <v>1060</v>
      </c>
    </row>
    <row r="72" spans="1:46" ht="15" customHeight="1">
      <c r="A72" s="449" t="s">
        <v>174</v>
      </c>
      <c r="B72" s="465" t="s">
        <v>175</v>
      </c>
      <c r="C72" s="190" t="s">
        <v>268</v>
      </c>
      <c r="D72" s="451">
        <f t="shared" si="42"/>
        <v>3.2804232804232801E-2</v>
      </c>
      <c r="E72" s="452">
        <f t="shared" si="43"/>
        <v>5.2559941367396085E-2</v>
      </c>
      <c r="F72" s="453">
        <f t="shared" si="44"/>
        <v>8.0185938407902377E-2</v>
      </c>
      <c r="G72" s="453">
        <f t="shared" si="45"/>
        <v>7.6378351036924627E-2</v>
      </c>
      <c r="H72" s="453">
        <f t="shared" si="46"/>
        <v>7.5663282017687516E-2</v>
      </c>
      <c r="I72" s="453">
        <f t="shared" si="47"/>
        <v>6.5458663646659115E-2</v>
      </c>
      <c r="J72" s="453">
        <f t="shared" si="48"/>
        <v>4.5933991153453556E-2</v>
      </c>
      <c r="K72" s="453">
        <f t="shared" si="49"/>
        <v>4.0861647790361978E-2</v>
      </c>
      <c r="L72" s="453">
        <f t="shared" si="50"/>
        <v>6.4896755162241887E-2</v>
      </c>
      <c r="M72" s="453">
        <f t="shared" si="51"/>
        <v>0.11533082302313072</v>
      </c>
      <c r="N72" s="453">
        <f t="shared" si="52"/>
        <v>0.11521596141197106</v>
      </c>
      <c r="O72" s="454">
        <f t="shared" si="53"/>
        <v>9.6082194874110877E-2</v>
      </c>
      <c r="P72" s="455">
        <f t="shared" si="54"/>
        <v>8.0185938407902377E-2</v>
      </c>
      <c r="Q72" s="1069">
        <f t="shared" si="55"/>
        <v>7.430488974113135E-2</v>
      </c>
      <c r="R72" s="219"/>
      <c r="S72" s="456">
        <v>9450</v>
      </c>
      <c r="T72" s="457">
        <v>310</v>
      </c>
      <c r="U72" s="458">
        <v>9551</v>
      </c>
      <c r="V72" s="459">
        <v>502</v>
      </c>
      <c r="W72" s="458">
        <v>9645</v>
      </c>
      <c r="X72" s="459">
        <v>809</v>
      </c>
      <c r="Y72" s="458">
        <v>9885</v>
      </c>
      <c r="Z72" s="459">
        <v>755</v>
      </c>
      <c r="AA72" s="458">
        <v>9159</v>
      </c>
      <c r="AB72" s="459">
        <v>693</v>
      </c>
      <c r="AC72" s="458">
        <v>8830</v>
      </c>
      <c r="AD72" s="459">
        <v>578</v>
      </c>
      <c r="AE72" s="458">
        <v>8817</v>
      </c>
      <c r="AF72" s="459">
        <v>405</v>
      </c>
      <c r="AG72" s="458">
        <v>9006</v>
      </c>
      <c r="AH72" s="459">
        <v>368</v>
      </c>
      <c r="AI72" s="458">
        <v>9153</v>
      </c>
      <c r="AJ72" s="459">
        <v>594</v>
      </c>
      <c r="AK72" s="460">
        <v>9295</v>
      </c>
      <c r="AL72" s="459">
        <v>1072</v>
      </c>
      <c r="AM72" s="458">
        <v>9122</v>
      </c>
      <c r="AN72" s="459">
        <v>1051</v>
      </c>
      <c r="AO72" s="461">
        <v>8857</v>
      </c>
      <c r="AP72" s="462">
        <v>851</v>
      </c>
      <c r="AQ72" s="463">
        <v>8605</v>
      </c>
      <c r="AR72" s="464">
        <v>690</v>
      </c>
      <c r="AS72" s="463">
        <v>8344</v>
      </c>
      <c r="AT72" s="1072">
        <v>620</v>
      </c>
    </row>
    <row r="73" spans="1:46" ht="15" customHeight="1">
      <c r="A73" s="449" t="s">
        <v>178</v>
      </c>
      <c r="B73" s="465" t="s">
        <v>179</v>
      </c>
      <c r="C73" s="190" t="s">
        <v>265</v>
      </c>
      <c r="D73" s="451">
        <f t="shared" si="42"/>
        <v>3.2901986713264698E-2</v>
      </c>
      <c r="E73" s="452">
        <f t="shared" si="43"/>
        <v>5.8485494485123739E-2</v>
      </c>
      <c r="F73" s="453">
        <f t="shared" si="44"/>
        <v>7.4528715475668569E-2</v>
      </c>
      <c r="G73" s="453">
        <f t="shared" si="45"/>
        <v>6.5173301044346904E-2</v>
      </c>
      <c r="H73" s="453">
        <f t="shared" si="46"/>
        <v>6.1639997509495052E-2</v>
      </c>
      <c r="I73" s="453">
        <f t="shared" si="47"/>
        <v>6.298473855391544E-2</v>
      </c>
      <c r="J73" s="453">
        <f t="shared" si="48"/>
        <v>5.423063306620321E-2</v>
      </c>
      <c r="K73" s="453">
        <f t="shared" si="49"/>
        <v>5.7580577104092957E-2</v>
      </c>
      <c r="L73" s="453">
        <f t="shared" si="50"/>
        <v>6.6670865744968985E-2</v>
      </c>
      <c r="M73" s="453">
        <f t="shared" si="51"/>
        <v>0.1097893122123783</v>
      </c>
      <c r="N73" s="453">
        <f t="shared" si="52"/>
        <v>0.10673005219985086</v>
      </c>
      <c r="O73" s="454">
        <f t="shared" si="53"/>
        <v>8.6870802784794532E-2</v>
      </c>
      <c r="P73" s="455">
        <f t="shared" si="54"/>
        <v>7.4528715475668569E-2</v>
      </c>
      <c r="Q73" s="1069">
        <f t="shared" si="55"/>
        <v>6.8663972723828764E-2</v>
      </c>
      <c r="R73" s="219"/>
      <c r="S73" s="456">
        <v>31761</v>
      </c>
      <c r="T73" s="457">
        <v>1045</v>
      </c>
      <c r="U73" s="458">
        <v>32367</v>
      </c>
      <c r="V73" s="459">
        <v>1893</v>
      </c>
      <c r="W73" s="458">
        <v>32993</v>
      </c>
      <c r="X73" s="459">
        <v>2310</v>
      </c>
      <c r="Y73" s="458">
        <v>33035</v>
      </c>
      <c r="Z73" s="459">
        <v>2153</v>
      </c>
      <c r="AA73" s="458">
        <v>32122</v>
      </c>
      <c r="AB73" s="459">
        <v>1980</v>
      </c>
      <c r="AC73" s="458">
        <v>31976</v>
      </c>
      <c r="AD73" s="459">
        <v>2014</v>
      </c>
      <c r="AE73" s="458">
        <v>31071</v>
      </c>
      <c r="AF73" s="459">
        <v>1685</v>
      </c>
      <c r="AG73" s="458">
        <v>30809</v>
      </c>
      <c r="AH73" s="459">
        <v>1774</v>
      </c>
      <c r="AI73" s="458">
        <v>31753</v>
      </c>
      <c r="AJ73" s="459">
        <v>2117</v>
      </c>
      <c r="AK73" s="460">
        <v>31943</v>
      </c>
      <c r="AL73" s="459">
        <v>3507</v>
      </c>
      <c r="AM73" s="458">
        <v>32184</v>
      </c>
      <c r="AN73" s="459">
        <v>3435</v>
      </c>
      <c r="AO73" s="461">
        <v>32462</v>
      </c>
      <c r="AP73" s="462">
        <v>2820</v>
      </c>
      <c r="AQ73" s="463">
        <v>31934</v>
      </c>
      <c r="AR73" s="464">
        <v>2380</v>
      </c>
      <c r="AS73" s="463">
        <v>31676</v>
      </c>
      <c r="AT73" s="1072">
        <v>2175</v>
      </c>
    </row>
    <row r="74" spans="1:46" ht="15" customHeight="1">
      <c r="A74" s="449" t="s">
        <v>182</v>
      </c>
      <c r="B74" s="465" t="s">
        <v>183</v>
      </c>
      <c r="C74" s="190" t="s">
        <v>266</v>
      </c>
      <c r="D74" s="451">
        <f t="shared" si="42"/>
        <v>1.8063131538943039E-2</v>
      </c>
      <c r="E74" s="452">
        <f t="shared" si="43"/>
        <v>2.5097698653929659E-2</v>
      </c>
      <c r="F74" s="453">
        <f t="shared" si="44"/>
        <v>5.4825332114992617E-2</v>
      </c>
      <c r="G74" s="453">
        <f t="shared" si="45"/>
        <v>3.150977753147019E-2</v>
      </c>
      <c r="H74" s="453">
        <f t="shared" si="46"/>
        <v>2.8658304827061953E-2</v>
      </c>
      <c r="I74" s="453">
        <f t="shared" si="47"/>
        <v>2.8247756363101367E-2</v>
      </c>
      <c r="J74" s="453">
        <f t="shared" si="48"/>
        <v>2.5709468951952797E-2</v>
      </c>
      <c r="K74" s="453">
        <f t="shared" si="49"/>
        <v>2.3774354645846523E-2</v>
      </c>
      <c r="L74" s="453">
        <f t="shared" si="50"/>
        <v>3.3653187114461962E-2</v>
      </c>
      <c r="M74" s="453">
        <f t="shared" si="51"/>
        <v>6.5338308807998305E-2</v>
      </c>
      <c r="N74" s="453">
        <f t="shared" si="52"/>
        <v>7.0073200198990826E-2</v>
      </c>
      <c r="O74" s="454">
        <f t="shared" si="53"/>
        <v>6.1175642379443861E-2</v>
      </c>
      <c r="P74" s="455">
        <f t="shared" si="54"/>
        <v>5.4825332114992617E-2</v>
      </c>
      <c r="Q74" s="1069">
        <f t="shared" si="55"/>
        <v>4.9085323278871669E-2</v>
      </c>
      <c r="R74" s="219"/>
      <c r="S74" s="456">
        <v>11183</v>
      </c>
      <c r="T74" s="457">
        <v>202</v>
      </c>
      <c r="U74" s="458">
        <v>11515</v>
      </c>
      <c r="V74" s="459">
        <v>289</v>
      </c>
      <c r="W74" s="458">
        <v>12174</v>
      </c>
      <c r="X74" s="459">
        <v>381</v>
      </c>
      <c r="Y74" s="458">
        <v>12631</v>
      </c>
      <c r="Z74" s="459">
        <v>398</v>
      </c>
      <c r="AA74" s="458">
        <v>13155</v>
      </c>
      <c r="AB74" s="459">
        <v>377</v>
      </c>
      <c r="AC74" s="458">
        <v>13594</v>
      </c>
      <c r="AD74" s="459">
        <v>384</v>
      </c>
      <c r="AE74" s="458">
        <v>14236</v>
      </c>
      <c r="AF74" s="459">
        <v>366</v>
      </c>
      <c r="AG74" s="458">
        <v>14217</v>
      </c>
      <c r="AH74" s="459">
        <v>338</v>
      </c>
      <c r="AI74" s="458">
        <v>14590</v>
      </c>
      <c r="AJ74" s="459">
        <v>491</v>
      </c>
      <c r="AK74" s="460">
        <v>14203</v>
      </c>
      <c r="AL74" s="459">
        <v>928</v>
      </c>
      <c r="AM74" s="458">
        <v>14071</v>
      </c>
      <c r="AN74" s="459">
        <v>986</v>
      </c>
      <c r="AO74" s="461">
        <v>14205</v>
      </c>
      <c r="AP74" s="462">
        <v>869</v>
      </c>
      <c r="AQ74" s="463">
        <v>14227</v>
      </c>
      <c r="AR74" s="464">
        <v>780</v>
      </c>
      <c r="AS74" s="463">
        <v>14322</v>
      </c>
      <c r="AT74" s="1072">
        <v>703</v>
      </c>
    </row>
    <row r="75" spans="1:46" ht="15" customHeight="1">
      <c r="A75" s="449" t="s">
        <v>184</v>
      </c>
      <c r="B75" s="465" t="s">
        <v>185</v>
      </c>
      <c r="C75" s="190" t="s">
        <v>266</v>
      </c>
      <c r="D75" s="451">
        <f t="shared" si="42"/>
        <v>3.3399307273626916E-2</v>
      </c>
      <c r="E75" s="452">
        <f t="shared" si="43"/>
        <v>4.1839473042205415E-2</v>
      </c>
      <c r="F75" s="453">
        <f t="shared" si="44"/>
        <v>9.0537994557253504E-2</v>
      </c>
      <c r="G75" s="453">
        <f t="shared" si="45"/>
        <v>5.6962764094782306E-2</v>
      </c>
      <c r="H75" s="453">
        <f t="shared" si="46"/>
        <v>5.5450011873664211E-2</v>
      </c>
      <c r="I75" s="453">
        <f t="shared" si="47"/>
        <v>5.673345759552656E-2</v>
      </c>
      <c r="J75" s="453">
        <f t="shared" si="48"/>
        <v>4.752808988764045E-2</v>
      </c>
      <c r="K75" s="453">
        <f t="shared" si="49"/>
        <v>4.6281908990011097E-2</v>
      </c>
      <c r="L75" s="453">
        <f t="shared" si="50"/>
        <v>5.5187409401532411E-2</v>
      </c>
      <c r="M75" s="453">
        <f t="shared" si="51"/>
        <v>9.2214136177848668E-2</v>
      </c>
      <c r="N75" s="453">
        <f t="shared" si="52"/>
        <v>0.10266856793644327</v>
      </c>
      <c r="O75" s="454">
        <f t="shared" si="53"/>
        <v>9.3684104829802189E-2</v>
      </c>
      <c r="P75" s="455">
        <f t="shared" si="54"/>
        <v>9.0537994557253504E-2</v>
      </c>
      <c r="Q75" s="1069">
        <f t="shared" si="55"/>
        <v>8.9957264957264957E-2</v>
      </c>
      <c r="R75" s="219"/>
      <c r="S75" s="456">
        <v>8084</v>
      </c>
      <c r="T75" s="457">
        <v>270</v>
      </c>
      <c r="U75" s="458">
        <v>8198</v>
      </c>
      <c r="V75" s="459">
        <v>343</v>
      </c>
      <c r="W75" s="458">
        <v>8304</v>
      </c>
      <c r="X75" s="459">
        <v>485</v>
      </c>
      <c r="Y75" s="458">
        <v>8567</v>
      </c>
      <c r="Z75" s="459">
        <v>488</v>
      </c>
      <c r="AA75" s="458">
        <v>8422</v>
      </c>
      <c r="AB75" s="459">
        <v>467</v>
      </c>
      <c r="AC75" s="458">
        <v>8584</v>
      </c>
      <c r="AD75" s="459">
        <v>487</v>
      </c>
      <c r="AE75" s="458">
        <v>8900</v>
      </c>
      <c r="AF75" s="459">
        <v>423</v>
      </c>
      <c r="AG75" s="458">
        <v>9010</v>
      </c>
      <c r="AH75" s="459">
        <v>417</v>
      </c>
      <c r="AI75" s="458">
        <v>9658</v>
      </c>
      <c r="AJ75" s="459">
        <v>533</v>
      </c>
      <c r="AK75" s="460">
        <v>10031</v>
      </c>
      <c r="AL75" s="459">
        <v>925</v>
      </c>
      <c r="AM75" s="458">
        <v>9818</v>
      </c>
      <c r="AN75" s="459">
        <v>1008</v>
      </c>
      <c r="AO75" s="461">
        <v>9959</v>
      </c>
      <c r="AP75" s="462">
        <v>933</v>
      </c>
      <c r="AQ75" s="463">
        <v>9554</v>
      </c>
      <c r="AR75" s="464">
        <v>865</v>
      </c>
      <c r="AS75" s="463">
        <v>9360</v>
      </c>
      <c r="AT75" s="1072">
        <v>842</v>
      </c>
    </row>
    <row r="76" spans="1:46" ht="15" customHeight="1">
      <c r="A76" s="449" t="s">
        <v>186</v>
      </c>
      <c r="B76" s="465" t="s">
        <v>187</v>
      </c>
      <c r="C76" s="190" t="s">
        <v>264</v>
      </c>
      <c r="D76" s="451">
        <f t="shared" si="42"/>
        <v>2.5486914181375532E-2</v>
      </c>
      <c r="E76" s="452">
        <f t="shared" si="43"/>
        <v>3.4864824937213768E-2</v>
      </c>
      <c r="F76" s="453">
        <f t="shared" si="44"/>
        <v>6.7486702127659573E-2</v>
      </c>
      <c r="G76" s="453">
        <f t="shared" si="45"/>
        <v>4.1530944625407164E-2</v>
      </c>
      <c r="H76" s="453">
        <f t="shared" si="46"/>
        <v>3.6058335563286061E-2</v>
      </c>
      <c r="I76" s="453">
        <f t="shared" si="47"/>
        <v>3.8224985120031744E-2</v>
      </c>
      <c r="J76" s="453">
        <f t="shared" si="48"/>
        <v>3.3418504572350724E-2</v>
      </c>
      <c r="K76" s="453">
        <f t="shared" si="49"/>
        <v>3.2487517953628343E-2</v>
      </c>
      <c r="L76" s="453">
        <f t="shared" si="50"/>
        <v>4.2663822411839213E-2</v>
      </c>
      <c r="M76" s="453">
        <f t="shared" si="51"/>
        <v>7.1934821487712797E-2</v>
      </c>
      <c r="N76" s="453">
        <f t="shared" si="52"/>
        <v>7.7079677079677084E-2</v>
      </c>
      <c r="O76" s="454">
        <f t="shared" si="53"/>
        <v>7.4306116949609272E-2</v>
      </c>
      <c r="P76" s="455">
        <f t="shared" si="54"/>
        <v>6.7486702127659573E-2</v>
      </c>
      <c r="Q76" s="1069">
        <f t="shared" si="55"/>
        <v>6.1699035539701415E-2</v>
      </c>
      <c r="R76" s="219"/>
      <c r="S76" s="456">
        <v>13144</v>
      </c>
      <c r="T76" s="457">
        <v>335</v>
      </c>
      <c r="U76" s="458">
        <v>13538</v>
      </c>
      <c r="V76" s="459">
        <v>472</v>
      </c>
      <c r="W76" s="458">
        <v>14184</v>
      </c>
      <c r="X76" s="459">
        <v>545</v>
      </c>
      <c r="Y76" s="458">
        <v>14736</v>
      </c>
      <c r="Z76" s="459">
        <v>612</v>
      </c>
      <c r="AA76" s="458">
        <v>14948</v>
      </c>
      <c r="AB76" s="459">
        <v>539</v>
      </c>
      <c r="AC76" s="458">
        <v>15121</v>
      </c>
      <c r="AD76" s="459">
        <v>578</v>
      </c>
      <c r="AE76" s="458">
        <v>14872</v>
      </c>
      <c r="AF76" s="459">
        <v>497</v>
      </c>
      <c r="AG76" s="458">
        <v>14621</v>
      </c>
      <c r="AH76" s="459">
        <v>475</v>
      </c>
      <c r="AI76" s="458">
        <v>15001</v>
      </c>
      <c r="AJ76" s="459">
        <v>640</v>
      </c>
      <c r="AK76" s="460">
        <v>15097</v>
      </c>
      <c r="AL76" s="459">
        <v>1086</v>
      </c>
      <c r="AM76" s="458">
        <v>14245</v>
      </c>
      <c r="AN76" s="459">
        <v>1098</v>
      </c>
      <c r="AO76" s="461">
        <v>14844</v>
      </c>
      <c r="AP76" s="462">
        <v>1103</v>
      </c>
      <c r="AQ76" s="463">
        <v>15040</v>
      </c>
      <c r="AR76" s="464">
        <v>1015</v>
      </c>
      <c r="AS76" s="463">
        <v>15138</v>
      </c>
      <c r="AT76" s="1072">
        <v>934</v>
      </c>
    </row>
    <row r="77" spans="1:46" ht="15" customHeight="1">
      <c r="A77" s="449" t="s">
        <v>188</v>
      </c>
      <c r="B77" s="465" t="s">
        <v>189</v>
      </c>
      <c r="C77" s="190" t="s">
        <v>267</v>
      </c>
      <c r="D77" s="451">
        <f t="shared" si="42"/>
        <v>1.7590621827826714E-2</v>
      </c>
      <c r="E77" s="452">
        <f t="shared" si="43"/>
        <v>2.4553752725591509E-2</v>
      </c>
      <c r="F77" s="453">
        <f t="shared" si="44"/>
        <v>4.9925292390128294E-2</v>
      </c>
      <c r="G77" s="453">
        <f t="shared" si="45"/>
        <v>3.3842542267039803E-2</v>
      </c>
      <c r="H77" s="453">
        <f t="shared" si="46"/>
        <v>2.8726171270536331E-2</v>
      </c>
      <c r="I77" s="453">
        <f t="shared" si="47"/>
        <v>2.6975062866722549E-2</v>
      </c>
      <c r="J77" s="453">
        <f t="shared" si="48"/>
        <v>2.3885527822535696E-2</v>
      </c>
      <c r="K77" s="453">
        <f t="shared" si="49"/>
        <v>2.4858774068611221E-2</v>
      </c>
      <c r="L77" s="453">
        <f t="shared" si="50"/>
        <v>3.3007139429718058E-2</v>
      </c>
      <c r="M77" s="453">
        <f t="shared" si="51"/>
        <v>5.659772249692456E-2</v>
      </c>
      <c r="N77" s="453">
        <f t="shared" si="52"/>
        <v>5.918444273886999E-2</v>
      </c>
      <c r="O77" s="454">
        <f t="shared" si="53"/>
        <v>5.3830209674252179E-2</v>
      </c>
      <c r="P77" s="455">
        <f t="shared" si="54"/>
        <v>4.9925292390128294E-2</v>
      </c>
      <c r="Q77" s="1069">
        <f t="shared" si="55"/>
        <v>4.8885197725675587E-2</v>
      </c>
      <c r="R77" s="219"/>
      <c r="S77" s="456">
        <v>152695</v>
      </c>
      <c r="T77" s="457">
        <v>2686</v>
      </c>
      <c r="U77" s="458">
        <v>160057</v>
      </c>
      <c r="V77" s="459">
        <v>3930</v>
      </c>
      <c r="W77" s="458">
        <v>166966</v>
      </c>
      <c r="X77" s="459">
        <v>5677</v>
      </c>
      <c r="Y77" s="458">
        <v>172948</v>
      </c>
      <c r="Z77" s="459">
        <v>5853</v>
      </c>
      <c r="AA77" s="458">
        <v>182238</v>
      </c>
      <c r="AB77" s="459">
        <v>5235</v>
      </c>
      <c r="AC77" s="458">
        <v>190880</v>
      </c>
      <c r="AD77" s="459">
        <v>5149</v>
      </c>
      <c r="AE77" s="458">
        <v>197358</v>
      </c>
      <c r="AF77" s="459">
        <v>4714</v>
      </c>
      <c r="AG77" s="458">
        <v>199326</v>
      </c>
      <c r="AH77" s="459">
        <v>4955</v>
      </c>
      <c r="AI77" s="458">
        <v>206319</v>
      </c>
      <c r="AJ77" s="459">
        <v>6810</v>
      </c>
      <c r="AK77" s="460">
        <v>208913</v>
      </c>
      <c r="AL77" s="459">
        <v>11824</v>
      </c>
      <c r="AM77" s="458">
        <v>220193</v>
      </c>
      <c r="AN77" s="459">
        <v>13032</v>
      </c>
      <c r="AO77" s="461">
        <v>229165</v>
      </c>
      <c r="AP77" s="462">
        <v>12336</v>
      </c>
      <c r="AQ77" s="463">
        <v>232908</v>
      </c>
      <c r="AR77" s="464">
        <v>11628</v>
      </c>
      <c r="AS77" s="463">
        <v>234795</v>
      </c>
      <c r="AT77" s="1072">
        <v>11478</v>
      </c>
    </row>
    <row r="78" spans="1:46" ht="15" customHeight="1">
      <c r="A78" s="449" t="s">
        <v>190</v>
      </c>
      <c r="B78" s="465" t="s">
        <v>191</v>
      </c>
      <c r="C78" s="190" t="s">
        <v>268</v>
      </c>
      <c r="D78" s="451">
        <f t="shared" si="42"/>
        <v>4.4944470152707083E-2</v>
      </c>
      <c r="E78" s="452">
        <f t="shared" si="43"/>
        <v>7.0724801812004537E-2</v>
      </c>
      <c r="F78" s="453">
        <f t="shared" si="44"/>
        <v>6.6468026587210641E-2</v>
      </c>
      <c r="G78" s="453">
        <f t="shared" si="45"/>
        <v>6.0844823812650474E-2</v>
      </c>
      <c r="H78" s="453">
        <f t="shared" si="46"/>
        <v>5.8065924470639602E-2</v>
      </c>
      <c r="I78" s="453">
        <f t="shared" si="47"/>
        <v>4.4623626221903134E-2</v>
      </c>
      <c r="J78" s="453">
        <f t="shared" si="48"/>
        <v>3.8603854862760259E-2</v>
      </c>
      <c r="K78" s="453">
        <f t="shared" si="49"/>
        <v>5.5498808307797069E-2</v>
      </c>
      <c r="L78" s="453">
        <f t="shared" si="50"/>
        <v>6.4013650374284456E-2</v>
      </c>
      <c r="M78" s="453">
        <f t="shared" si="51"/>
        <v>0.11312465678198792</v>
      </c>
      <c r="N78" s="453">
        <f t="shared" si="52"/>
        <v>9.9417565307652389E-2</v>
      </c>
      <c r="O78" s="454">
        <f t="shared" si="53"/>
        <v>7.4552798615118293E-2</v>
      </c>
      <c r="P78" s="455">
        <f t="shared" si="54"/>
        <v>6.6468026587210641E-2</v>
      </c>
      <c r="Q78" s="1069">
        <f t="shared" si="55"/>
        <v>7.1296865396435163E-2</v>
      </c>
      <c r="R78" s="219"/>
      <c r="S78" s="456">
        <v>17288</v>
      </c>
      <c r="T78" s="457">
        <v>777</v>
      </c>
      <c r="U78" s="458">
        <v>17660</v>
      </c>
      <c r="V78" s="459">
        <v>1249</v>
      </c>
      <c r="W78" s="458">
        <v>17648</v>
      </c>
      <c r="X78" s="459">
        <v>1111</v>
      </c>
      <c r="Y78" s="458">
        <v>18276</v>
      </c>
      <c r="Z78" s="459">
        <v>1112</v>
      </c>
      <c r="AA78" s="458">
        <v>18324</v>
      </c>
      <c r="AB78" s="459">
        <v>1064</v>
      </c>
      <c r="AC78" s="458">
        <v>18107</v>
      </c>
      <c r="AD78" s="459">
        <v>808</v>
      </c>
      <c r="AE78" s="458">
        <v>18107</v>
      </c>
      <c r="AF78" s="459">
        <v>699</v>
      </c>
      <c r="AG78" s="458">
        <v>17622</v>
      </c>
      <c r="AH78" s="459">
        <v>978</v>
      </c>
      <c r="AI78" s="458">
        <v>18168</v>
      </c>
      <c r="AJ78" s="459">
        <v>1163</v>
      </c>
      <c r="AK78" s="460">
        <v>18210</v>
      </c>
      <c r="AL78" s="459">
        <v>2060</v>
      </c>
      <c r="AM78" s="458">
        <v>17341</v>
      </c>
      <c r="AN78" s="459">
        <v>1724</v>
      </c>
      <c r="AO78" s="461">
        <v>17330</v>
      </c>
      <c r="AP78" s="462">
        <v>1292</v>
      </c>
      <c r="AQ78" s="463">
        <v>17452</v>
      </c>
      <c r="AR78" s="464">
        <v>1160</v>
      </c>
      <c r="AS78" s="463">
        <v>17897</v>
      </c>
      <c r="AT78" s="1072">
        <v>1276</v>
      </c>
    </row>
    <row r="79" spans="1:46" ht="15" customHeight="1">
      <c r="A79" s="449" t="s">
        <v>194</v>
      </c>
      <c r="B79" s="465" t="s">
        <v>195</v>
      </c>
      <c r="C79" s="190" t="s">
        <v>267</v>
      </c>
      <c r="D79" s="451">
        <f t="shared" si="42"/>
        <v>1.8493701420530688E-2</v>
      </c>
      <c r="E79" s="452">
        <f t="shared" si="43"/>
        <v>2.3624161073825502E-2</v>
      </c>
      <c r="F79" s="453">
        <f t="shared" si="44"/>
        <v>4.778156996587031E-2</v>
      </c>
      <c r="G79" s="453">
        <f t="shared" si="45"/>
        <v>3.0272704528396296E-2</v>
      </c>
      <c r="H79" s="453">
        <f t="shared" si="46"/>
        <v>2.5740650801359885E-2</v>
      </c>
      <c r="I79" s="453">
        <f t="shared" si="47"/>
        <v>2.5851654989127809E-2</v>
      </c>
      <c r="J79" s="453">
        <f t="shared" si="48"/>
        <v>2.3179583235776166E-2</v>
      </c>
      <c r="K79" s="453">
        <f t="shared" si="49"/>
        <v>2.5384257102934328E-2</v>
      </c>
      <c r="L79" s="453">
        <f t="shared" si="50"/>
        <v>3.4997666822211851E-2</v>
      </c>
      <c r="M79" s="453">
        <f t="shared" si="51"/>
        <v>6.0391601792875678E-2</v>
      </c>
      <c r="N79" s="453">
        <f t="shared" si="52"/>
        <v>6.0278578290105668E-2</v>
      </c>
      <c r="O79" s="454">
        <f t="shared" si="53"/>
        <v>5.2469135802469133E-2</v>
      </c>
      <c r="P79" s="455">
        <f t="shared" si="54"/>
        <v>4.778156996587031E-2</v>
      </c>
      <c r="Q79" s="1069">
        <f t="shared" si="55"/>
        <v>4.5296972498266697E-2</v>
      </c>
      <c r="R79" s="219"/>
      <c r="S79" s="456">
        <v>3731</v>
      </c>
      <c r="T79" s="457">
        <v>69</v>
      </c>
      <c r="U79" s="458">
        <v>3725</v>
      </c>
      <c r="V79" s="459">
        <v>88</v>
      </c>
      <c r="W79" s="458">
        <v>3747</v>
      </c>
      <c r="X79" s="459">
        <v>127</v>
      </c>
      <c r="Y79" s="458">
        <v>3997</v>
      </c>
      <c r="Z79" s="459">
        <v>121</v>
      </c>
      <c r="AA79" s="458">
        <v>4118</v>
      </c>
      <c r="AB79" s="459">
        <v>106</v>
      </c>
      <c r="AC79" s="458">
        <v>4139</v>
      </c>
      <c r="AD79" s="459">
        <v>107</v>
      </c>
      <c r="AE79" s="458">
        <v>4271</v>
      </c>
      <c r="AF79" s="459">
        <v>99</v>
      </c>
      <c r="AG79" s="458">
        <v>4294</v>
      </c>
      <c r="AH79" s="459">
        <v>109</v>
      </c>
      <c r="AI79" s="458">
        <v>4286</v>
      </c>
      <c r="AJ79" s="459">
        <v>150</v>
      </c>
      <c r="AK79" s="460">
        <v>4239</v>
      </c>
      <c r="AL79" s="459">
        <v>256</v>
      </c>
      <c r="AM79" s="458">
        <v>4164</v>
      </c>
      <c r="AN79" s="459">
        <v>251</v>
      </c>
      <c r="AO79" s="461">
        <v>4212</v>
      </c>
      <c r="AP79" s="462">
        <v>221</v>
      </c>
      <c r="AQ79" s="463">
        <v>4395</v>
      </c>
      <c r="AR79" s="464">
        <v>210</v>
      </c>
      <c r="AS79" s="463">
        <v>4327</v>
      </c>
      <c r="AT79" s="1072">
        <v>196</v>
      </c>
    </row>
    <row r="80" spans="1:46" ht="15" customHeight="1">
      <c r="A80" s="449" t="s">
        <v>198</v>
      </c>
      <c r="B80" s="465" t="s">
        <v>199</v>
      </c>
      <c r="C80" s="190" t="s">
        <v>266</v>
      </c>
      <c r="D80" s="451">
        <f t="shared" si="42"/>
        <v>4.2890716803760283E-2</v>
      </c>
      <c r="E80" s="452">
        <f t="shared" si="43"/>
        <v>4.1143857601400644E-2</v>
      </c>
      <c r="F80" s="453">
        <f t="shared" si="44"/>
        <v>8.2072176949941789E-2</v>
      </c>
      <c r="G80" s="453">
        <f t="shared" si="45"/>
        <v>6.2309609526446964E-2</v>
      </c>
      <c r="H80" s="453">
        <f t="shared" si="46"/>
        <v>5.1719238420005684E-2</v>
      </c>
      <c r="I80" s="453">
        <f t="shared" si="47"/>
        <v>4.6531544390522407E-2</v>
      </c>
      <c r="J80" s="453">
        <f t="shared" si="48"/>
        <v>4.7727922263503857E-2</v>
      </c>
      <c r="K80" s="453">
        <f t="shared" si="49"/>
        <v>4.3640539764570774E-2</v>
      </c>
      <c r="L80" s="453">
        <f t="shared" si="50"/>
        <v>5.0450450450450449E-2</v>
      </c>
      <c r="M80" s="453">
        <f t="shared" si="51"/>
        <v>7.9980492562789565E-2</v>
      </c>
      <c r="N80" s="453">
        <f t="shared" si="52"/>
        <v>8.4265473527218498E-2</v>
      </c>
      <c r="O80" s="454">
        <f t="shared" si="53"/>
        <v>7.9759217456734394E-2</v>
      </c>
      <c r="P80" s="455">
        <f t="shared" si="54"/>
        <v>8.2072176949941789E-2</v>
      </c>
      <c r="Q80" s="1069">
        <f t="shared" si="55"/>
        <v>8.5269038518082915E-2</v>
      </c>
      <c r="R80" s="219"/>
      <c r="S80" s="456">
        <v>3404</v>
      </c>
      <c r="T80" s="457">
        <v>146</v>
      </c>
      <c r="U80" s="458">
        <v>3427</v>
      </c>
      <c r="V80" s="459">
        <v>141</v>
      </c>
      <c r="W80" s="458">
        <v>3524</v>
      </c>
      <c r="X80" s="459">
        <v>199</v>
      </c>
      <c r="Y80" s="458">
        <v>3611</v>
      </c>
      <c r="Z80" s="459">
        <v>225</v>
      </c>
      <c r="AA80" s="458">
        <v>3519</v>
      </c>
      <c r="AB80" s="459">
        <v>182</v>
      </c>
      <c r="AC80" s="458">
        <v>3503</v>
      </c>
      <c r="AD80" s="459">
        <v>163</v>
      </c>
      <c r="AE80" s="458">
        <v>3499</v>
      </c>
      <c r="AF80" s="459">
        <v>167</v>
      </c>
      <c r="AG80" s="458">
        <v>3483</v>
      </c>
      <c r="AH80" s="459">
        <v>152</v>
      </c>
      <c r="AI80" s="458">
        <v>3885</v>
      </c>
      <c r="AJ80" s="459">
        <v>196</v>
      </c>
      <c r="AK80" s="460">
        <v>4101</v>
      </c>
      <c r="AL80" s="459">
        <v>328</v>
      </c>
      <c r="AM80" s="458">
        <v>4023</v>
      </c>
      <c r="AN80" s="459">
        <v>339</v>
      </c>
      <c r="AO80" s="461">
        <v>3987</v>
      </c>
      <c r="AP80" s="462">
        <v>318</v>
      </c>
      <c r="AQ80" s="463">
        <v>3436</v>
      </c>
      <c r="AR80" s="464">
        <v>282</v>
      </c>
      <c r="AS80" s="463">
        <v>3401</v>
      </c>
      <c r="AT80" s="1072">
        <v>290</v>
      </c>
    </row>
    <row r="81" spans="1:46" ht="15" customHeight="1">
      <c r="A81" s="449" t="s">
        <v>202</v>
      </c>
      <c r="B81" s="465" t="s">
        <v>203</v>
      </c>
      <c r="C81" s="190" t="s">
        <v>265</v>
      </c>
      <c r="D81" s="451">
        <f t="shared" si="42"/>
        <v>1.7720396363822419E-2</v>
      </c>
      <c r="E81" s="452">
        <f t="shared" si="43"/>
        <v>2.5326921454484098E-2</v>
      </c>
      <c r="F81" s="453">
        <f t="shared" si="44"/>
        <v>5.4506013954316611E-2</v>
      </c>
      <c r="G81" s="453">
        <f t="shared" si="45"/>
        <v>3.466009984253024E-2</v>
      </c>
      <c r="H81" s="453">
        <f t="shared" si="46"/>
        <v>3.2426583712319733E-2</v>
      </c>
      <c r="I81" s="453">
        <f t="shared" si="47"/>
        <v>2.9996652159357214E-2</v>
      </c>
      <c r="J81" s="453">
        <f t="shared" si="48"/>
        <v>2.6474769012082445E-2</v>
      </c>
      <c r="K81" s="453">
        <f t="shared" si="49"/>
        <v>2.6336997517810514E-2</v>
      </c>
      <c r="L81" s="453">
        <f t="shared" si="50"/>
        <v>3.2906130931763075E-2</v>
      </c>
      <c r="M81" s="453">
        <f t="shared" si="51"/>
        <v>6.2158017916229519E-2</v>
      </c>
      <c r="N81" s="453">
        <f t="shared" si="52"/>
        <v>6.7505364718987007E-2</v>
      </c>
      <c r="O81" s="454">
        <f t="shared" si="53"/>
        <v>5.9671845224637449E-2</v>
      </c>
      <c r="P81" s="455">
        <f t="shared" si="54"/>
        <v>5.4506013954316611E-2</v>
      </c>
      <c r="Q81" s="1069">
        <f t="shared" si="55"/>
        <v>5.301857585139319E-2</v>
      </c>
      <c r="R81" s="219"/>
      <c r="S81" s="466">
        <v>58633</v>
      </c>
      <c r="T81" s="467">
        <v>1039</v>
      </c>
      <c r="U81" s="1684">
        <v>59265</v>
      </c>
      <c r="V81" s="1685">
        <v>1501</v>
      </c>
      <c r="W81" s="1684">
        <v>60657</v>
      </c>
      <c r="X81" s="1685">
        <v>2044</v>
      </c>
      <c r="Y81" s="1684">
        <v>59694</v>
      </c>
      <c r="Z81" s="1685">
        <v>2069</v>
      </c>
      <c r="AA81" s="1684">
        <v>59149</v>
      </c>
      <c r="AB81" s="1685">
        <v>1918</v>
      </c>
      <c r="AC81" s="1684">
        <v>59740</v>
      </c>
      <c r="AD81" s="1685">
        <v>1792</v>
      </c>
      <c r="AE81" s="1684">
        <v>61908</v>
      </c>
      <c r="AF81" s="1685">
        <v>1639</v>
      </c>
      <c r="AG81" s="1684">
        <v>62042</v>
      </c>
      <c r="AH81" s="1685">
        <v>1634</v>
      </c>
      <c r="AI81" s="1684">
        <v>63514</v>
      </c>
      <c r="AJ81" s="1685">
        <v>2090</v>
      </c>
      <c r="AK81" s="1686">
        <v>61955</v>
      </c>
      <c r="AL81" s="1685">
        <v>3851</v>
      </c>
      <c r="AM81" s="1684">
        <v>61047</v>
      </c>
      <c r="AN81" s="1685">
        <v>4121</v>
      </c>
      <c r="AO81" s="461">
        <v>61922</v>
      </c>
      <c r="AP81" s="462">
        <v>3695</v>
      </c>
      <c r="AQ81" s="463">
        <v>61773</v>
      </c>
      <c r="AR81" s="464">
        <v>3367</v>
      </c>
      <c r="AS81" s="463">
        <v>62016</v>
      </c>
      <c r="AT81" s="1072">
        <v>3288</v>
      </c>
    </row>
    <row r="82" spans="1:46">
      <c r="A82" s="449" t="s">
        <v>204</v>
      </c>
      <c r="B82" s="469" t="s">
        <v>205</v>
      </c>
      <c r="C82" s="190" t="s">
        <v>265</v>
      </c>
      <c r="D82" s="451">
        <f t="shared" si="42"/>
        <v>2.3680438711285598E-2</v>
      </c>
      <c r="E82" s="452">
        <f t="shared" si="43"/>
        <v>3.1662911770078551E-2</v>
      </c>
      <c r="F82" s="453">
        <f t="shared" si="44"/>
        <v>6.4341517857142858E-2</v>
      </c>
      <c r="G82" s="453">
        <f t="shared" si="45"/>
        <v>4.1165479388064932E-2</v>
      </c>
      <c r="H82" s="453">
        <f t="shared" si="46"/>
        <v>3.6937742031575814E-2</v>
      </c>
      <c r="I82" s="453">
        <f t="shared" si="47"/>
        <v>3.484484073444008E-2</v>
      </c>
      <c r="J82" s="453">
        <f t="shared" si="48"/>
        <v>3.1052600507704115E-2</v>
      </c>
      <c r="K82" s="453">
        <f t="shared" si="49"/>
        <v>3.3134134074906813E-2</v>
      </c>
      <c r="L82" s="453">
        <f t="shared" si="50"/>
        <v>4.6557075525922517E-2</v>
      </c>
      <c r="M82" s="453">
        <f t="shared" si="51"/>
        <v>7.5846833578792336E-2</v>
      </c>
      <c r="N82" s="453">
        <f t="shared" si="52"/>
        <v>8.5301837270341213E-2</v>
      </c>
      <c r="O82" s="454">
        <f t="shared" si="53"/>
        <v>7.6588389557754197E-2</v>
      </c>
      <c r="P82" s="455">
        <f t="shared" si="54"/>
        <v>6.4341517857142858E-2</v>
      </c>
      <c r="Q82" s="1069">
        <f t="shared" si="55"/>
        <v>6.0816232947380491E-2</v>
      </c>
      <c r="R82" s="219"/>
      <c r="S82" s="466">
        <v>16047</v>
      </c>
      <c r="T82" s="467">
        <v>380</v>
      </c>
      <c r="U82" s="1684">
        <v>16423</v>
      </c>
      <c r="V82" s="1685">
        <v>520</v>
      </c>
      <c r="W82" s="1684">
        <v>16806</v>
      </c>
      <c r="X82" s="1685">
        <v>668</v>
      </c>
      <c r="Y82" s="1684">
        <v>17126</v>
      </c>
      <c r="Z82" s="1685">
        <v>705</v>
      </c>
      <c r="AA82" s="1684">
        <v>16785</v>
      </c>
      <c r="AB82" s="1685">
        <v>620</v>
      </c>
      <c r="AC82" s="1684">
        <v>17047</v>
      </c>
      <c r="AD82" s="1685">
        <v>594</v>
      </c>
      <c r="AE82" s="1684">
        <v>16939</v>
      </c>
      <c r="AF82" s="1685">
        <v>526</v>
      </c>
      <c r="AG82" s="1684">
        <v>16901</v>
      </c>
      <c r="AH82" s="1685">
        <v>560</v>
      </c>
      <c r="AI82" s="1684">
        <v>17398</v>
      </c>
      <c r="AJ82" s="1685">
        <v>810</v>
      </c>
      <c r="AK82" s="1686">
        <v>17654</v>
      </c>
      <c r="AL82" s="1685">
        <v>1339</v>
      </c>
      <c r="AM82" s="1684">
        <v>16764</v>
      </c>
      <c r="AN82" s="1685">
        <v>1430</v>
      </c>
      <c r="AO82" s="461">
        <v>16778</v>
      </c>
      <c r="AP82" s="462">
        <v>1285</v>
      </c>
      <c r="AQ82" s="463">
        <v>17920</v>
      </c>
      <c r="AR82" s="464">
        <v>1153</v>
      </c>
      <c r="AS82" s="463">
        <v>17446</v>
      </c>
      <c r="AT82" s="1072">
        <v>1061</v>
      </c>
    </row>
    <row r="83" spans="1:46">
      <c r="A83" s="449" t="s">
        <v>206</v>
      </c>
      <c r="B83" s="465" t="s">
        <v>207</v>
      </c>
      <c r="C83" s="190" t="s">
        <v>267</v>
      </c>
      <c r="D83" s="451">
        <f t="shared" si="42"/>
        <v>1.8901273310969233E-2</v>
      </c>
      <c r="E83" s="452">
        <f t="shared" si="43"/>
        <v>2.5413409102941955E-2</v>
      </c>
      <c r="F83" s="453">
        <f t="shared" si="44"/>
        <v>5.908467910136464E-2</v>
      </c>
      <c r="G83" s="453">
        <f t="shared" si="45"/>
        <v>3.4176214934808373E-2</v>
      </c>
      <c r="H83" s="453">
        <f t="shared" si="46"/>
        <v>3.2957066740084535E-2</v>
      </c>
      <c r="I83" s="453">
        <f t="shared" si="47"/>
        <v>3.2440331222601072E-2</v>
      </c>
      <c r="J83" s="453">
        <f t="shared" si="48"/>
        <v>2.5767389467755562E-2</v>
      </c>
      <c r="K83" s="453">
        <f t="shared" si="49"/>
        <v>2.657204933022805E-2</v>
      </c>
      <c r="L83" s="453">
        <f t="shared" si="50"/>
        <v>3.6388408370711695E-2</v>
      </c>
      <c r="M83" s="453">
        <f t="shared" si="51"/>
        <v>6.4100787013507063E-2</v>
      </c>
      <c r="N83" s="453">
        <f t="shared" si="52"/>
        <v>7.0191722458916611E-2</v>
      </c>
      <c r="O83" s="454">
        <f t="shared" si="53"/>
        <v>6.3634207092871542E-2</v>
      </c>
      <c r="P83" s="455">
        <f t="shared" si="54"/>
        <v>5.908467910136464E-2</v>
      </c>
      <c r="Q83" s="1069">
        <f t="shared" si="55"/>
        <v>5.369569446730818E-2</v>
      </c>
      <c r="R83" s="219"/>
      <c r="S83" s="466">
        <v>55446</v>
      </c>
      <c r="T83" s="467">
        <v>1048</v>
      </c>
      <c r="U83" s="1684">
        <v>56663</v>
      </c>
      <c r="V83" s="1685">
        <v>1440</v>
      </c>
      <c r="W83" s="1684">
        <v>58325</v>
      </c>
      <c r="X83" s="1685">
        <v>2068</v>
      </c>
      <c r="Y83" s="1684">
        <v>60744</v>
      </c>
      <c r="Z83" s="1685">
        <v>2076</v>
      </c>
      <c r="AA83" s="1684">
        <v>61747</v>
      </c>
      <c r="AB83" s="1685">
        <v>2035</v>
      </c>
      <c r="AC83" s="1684">
        <v>61590</v>
      </c>
      <c r="AD83" s="1685">
        <v>1998</v>
      </c>
      <c r="AE83" s="1684">
        <v>63918</v>
      </c>
      <c r="AF83" s="1685">
        <v>1647</v>
      </c>
      <c r="AG83" s="1684">
        <v>63977</v>
      </c>
      <c r="AH83" s="1685">
        <v>1700</v>
      </c>
      <c r="AI83" s="1684">
        <v>65323</v>
      </c>
      <c r="AJ83" s="1685">
        <v>2377</v>
      </c>
      <c r="AK83" s="1686">
        <v>64929</v>
      </c>
      <c r="AL83" s="1685">
        <v>4162</v>
      </c>
      <c r="AM83" s="1684">
        <v>65720</v>
      </c>
      <c r="AN83" s="1685">
        <v>4613</v>
      </c>
      <c r="AO83" s="461">
        <v>67448</v>
      </c>
      <c r="AP83" s="462">
        <v>4292</v>
      </c>
      <c r="AQ83" s="463">
        <v>67124</v>
      </c>
      <c r="AR83" s="464">
        <v>3966</v>
      </c>
      <c r="AS83" s="463">
        <v>66821</v>
      </c>
      <c r="AT83" s="1072">
        <v>3588</v>
      </c>
    </row>
    <row r="84" spans="1:46" ht="15" customHeight="1">
      <c r="A84" s="449" t="s">
        <v>208</v>
      </c>
      <c r="B84" s="465" t="s">
        <v>209</v>
      </c>
      <c r="C84" s="190" t="s">
        <v>268</v>
      </c>
      <c r="D84" s="451">
        <f t="shared" si="42"/>
        <v>5.1403851047586734E-2</v>
      </c>
      <c r="E84" s="452">
        <f t="shared" si="43"/>
        <v>6.3865688011473895E-2</v>
      </c>
      <c r="F84" s="453">
        <f t="shared" si="44"/>
        <v>8.8095656761033939E-2</v>
      </c>
      <c r="G84" s="453">
        <f t="shared" si="45"/>
        <v>6.1736334405144692E-2</v>
      </c>
      <c r="H84" s="453">
        <f t="shared" si="46"/>
        <v>5.7250277706570964E-2</v>
      </c>
      <c r="I84" s="453">
        <f t="shared" si="47"/>
        <v>5.6788891660430697E-2</v>
      </c>
      <c r="J84" s="453">
        <f t="shared" si="48"/>
        <v>5.9470433973437105E-2</v>
      </c>
      <c r="K84" s="453">
        <f t="shared" si="49"/>
        <v>5.1894844656879484E-2</v>
      </c>
      <c r="L84" s="453">
        <f t="shared" si="50"/>
        <v>5.7532172596517793E-2</v>
      </c>
      <c r="M84" s="453">
        <f t="shared" si="51"/>
        <v>0.10896972617040071</v>
      </c>
      <c r="N84" s="453">
        <f t="shared" si="52"/>
        <v>0.10420352118608374</v>
      </c>
      <c r="O84" s="454">
        <f t="shared" si="53"/>
        <v>9.5234042553191484E-2</v>
      </c>
      <c r="P84" s="455">
        <f t="shared" si="54"/>
        <v>8.8095656761033939E-2</v>
      </c>
      <c r="Q84" s="1069">
        <f t="shared" si="55"/>
        <v>8.7357954545454544E-2</v>
      </c>
      <c r="R84" s="219"/>
      <c r="S84" s="456">
        <v>11789</v>
      </c>
      <c r="T84" s="457">
        <v>606</v>
      </c>
      <c r="U84" s="458">
        <v>11853</v>
      </c>
      <c r="V84" s="459">
        <v>757</v>
      </c>
      <c r="W84" s="458">
        <v>12198</v>
      </c>
      <c r="X84" s="459">
        <v>770</v>
      </c>
      <c r="Y84" s="458">
        <v>12440</v>
      </c>
      <c r="Z84" s="459">
        <v>768</v>
      </c>
      <c r="AA84" s="458">
        <v>11703</v>
      </c>
      <c r="AB84" s="459">
        <v>670</v>
      </c>
      <c r="AC84" s="458">
        <v>12027</v>
      </c>
      <c r="AD84" s="459">
        <v>683</v>
      </c>
      <c r="AE84" s="458">
        <v>11821</v>
      </c>
      <c r="AF84" s="459">
        <v>703</v>
      </c>
      <c r="AG84" s="458">
        <v>11716</v>
      </c>
      <c r="AH84" s="459">
        <v>608</v>
      </c>
      <c r="AI84" s="458">
        <v>11889</v>
      </c>
      <c r="AJ84" s="459">
        <v>684</v>
      </c>
      <c r="AK84" s="460">
        <v>12453</v>
      </c>
      <c r="AL84" s="459">
        <v>1357</v>
      </c>
      <c r="AM84" s="458">
        <v>11871</v>
      </c>
      <c r="AN84" s="459">
        <v>1237</v>
      </c>
      <c r="AO84" s="461">
        <v>11750</v>
      </c>
      <c r="AP84" s="462">
        <v>1119</v>
      </c>
      <c r="AQ84" s="463">
        <v>11374</v>
      </c>
      <c r="AR84" s="464">
        <v>1002</v>
      </c>
      <c r="AS84" s="463">
        <v>11264</v>
      </c>
      <c r="AT84" s="1072">
        <v>984</v>
      </c>
    </row>
    <row r="85" spans="1:46" ht="15" customHeight="1">
      <c r="A85" s="449" t="s">
        <v>210</v>
      </c>
      <c r="B85" s="465" t="s">
        <v>211</v>
      </c>
      <c r="C85" s="190" t="s">
        <v>268</v>
      </c>
      <c r="D85" s="451">
        <f t="shared" si="42"/>
        <v>3.8105046343975282E-2</v>
      </c>
      <c r="E85" s="452">
        <f t="shared" si="43"/>
        <v>4.6062101583384744E-2</v>
      </c>
      <c r="F85" s="453">
        <f t="shared" si="44"/>
        <v>8.5585133098945249E-2</v>
      </c>
      <c r="G85" s="453">
        <f t="shared" si="45"/>
        <v>5.4459905896486131E-2</v>
      </c>
      <c r="H85" s="453">
        <f t="shared" si="46"/>
        <v>5.5223426892288985E-2</v>
      </c>
      <c r="I85" s="453">
        <f t="shared" si="47"/>
        <v>5.1694311590515928E-2</v>
      </c>
      <c r="J85" s="453">
        <f t="shared" si="48"/>
        <v>4.8620897926313668E-2</v>
      </c>
      <c r="K85" s="453">
        <f t="shared" si="49"/>
        <v>4.66331864302552E-2</v>
      </c>
      <c r="L85" s="453">
        <f t="shared" si="50"/>
        <v>5.4281194384022145E-2</v>
      </c>
      <c r="M85" s="453">
        <f t="shared" si="51"/>
        <v>9.8888888888888887E-2</v>
      </c>
      <c r="N85" s="453">
        <f t="shared" si="52"/>
        <v>9.7534081796311151E-2</v>
      </c>
      <c r="O85" s="454">
        <f t="shared" si="53"/>
        <v>8.2663491118388416E-2</v>
      </c>
      <c r="P85" s="455">
        <f t="shared" si="54"/>
        <v>8.5585133098945249E-2</v>
      </c>
      <c r="Q85" s="1069">
        <f t="shared" si="55"/>
        <v>7.3705583756345172E-2</v>
      </c>
      <c r="R85" s="219"/>
      <c r="S85" s="456">
        <v>9710</v>
      </c>
      <c r="T85" s="457">
        <v>370</v>
      </c>
      <c r="U85" s="458">
        <v>9726</v>
      </c>
      <c r="V85" s="459">
        <v>448</v>
      </c>
      <c r="W85" s="458">
        <v>9862</v>
      </c>
      <c r="X85" s="459">
        <v>522</v>
      </c>
      <c r="Y85" s="458">
        <v>9989</v>
      </c>
      <c r="Z85" s="459">
        <v>544</v>
      </c>
      <c r="AA85" s="458">
        <v>9869</v>
      </c>
      <c r="AB85" s="459">
        <v>545</v>
      </c>
      <c r="AC85" s="458">
        <v>9827</v>
      </c>
      <c r="AD85" s="459">
        <v>508</v>
      </c>
      <c r="AE85" s="458">
        <v>9934</v>
      </c>
      <c r="AF85" s="459">
        <v>483</v>
      </c>
      <c r="AG85" s="458">
        <v>9757</v>
      </c>
      <c r="AH85" s="459">
        <v>455</v>
      </c>
      <c r="AI85" s="458">
        <v>10114</v>
      </c>
      <c r="AJ85" s="459">
        <v>549</v>
      </c>
      <c r="AK85" s="460">
        <v>9900</v>
      </c>
      <c r="AL85" s="459">
        <v>979</v>
      </c>
      <c r="AM85" s="458">
        <v>9976</v>
      </c>
      <c r="AN85" s="459">
        <v>973</v>
      </c>
      <c r="AO85" s="461">
        <v>10077</v>
      </c>
      <c r="AP85" s="462">
        <v>833</v>
      </c>
      <c r="AQ85" s="463">
        <v>9955</v>
      </c>
      <c r="AR85" s="464">
        <v>852</v>
      </c>
      <c r="AS85" s="463">
        <v>9850</v>
      </c>
      <c r="AT85" s="1072">
        <v>726</v>
      </c>
    </row>
    <row r="86" spans="1:46" ht="15" customHeight="1">
      <c r="A86" s="449" t="s">
        <v>212</v>
      </c>
      <c r="B86" s="465" t="s">
        <v>213</v>
      </c>
      <c r="C86" s="190" t="s">
        <v>267</v>
      </c>
      <c r="D86" s="451">
        <f t="shared" si="42"/>
        <v>1.7770773327536547E-2</v>
      </c>
      <c r="E86" s="452">
        <f t="shared" si="43"/>
        <v>2.4315946985891408E-2</v>
      </c>
      <c r="F86" s="453">
        <f t="shared" si="44"/>
        <v>6.5834680679062244E-2</v>
      </c>
      <c r="G86" s="453">
        <f t="shared" si="45"/>
        <v>3.8794882377218322E-2</v>
      </c>
      <c r="H86" s="453">
        <f t="shared" si="46"/>
        <v>3.2581712867190735E-2</v>
      </c>
      <c r="I86" s="453">
        <f t="shared" si="47"/>
        <v>3.0235162374020158E-2</v>
      </c>
      <c r="J86" s="453">
        <f t="shared" si="48"/>
        <v>2.9779931354734505E-2</v>
      </c>
      <c r="K86" s="453">
        <f t="shared" si="49"/>
        <v>3.2089589715261387E-2</v>
      </c>
      <c r="L86" s="453">
        <f t="shared" si="50"/>
        <v>4.6618095894457028E-2</v>
      </c>
      <c r="M86" s="453">
        <f t="shared" si="51"/>
        <v>8.495862884160757E-2</v>
      </c>
      <c r="N86" s="453">
        <f t="shared" si="52"/>
        <v>8.5925330385407769E-2</v>
      </c>
      <c r="O86" s="454">
        <f t="shared" si="53"/>
        <v>7.2882534008539376E-2</v>
      </c>
      <c r="P86" s="455">
        <f t="shared" si="54"/>
        <v>6.5834680679062244E-2</v>
      </c>
      <c r="Q86" s="1069">
        <f t="shared" si="55"/>
        <v>5.9222858300825777E-2</v>
      </c>
      <c r="R86" s="219"/>
      <c r="S86" s="456">
        <v>18401</v>
      </c>
      <c r="T86" s="457">
        <v>327</v>
      </c>
      <c r="U86" s="458">
        <v>18712</v>
      </c>
      <c r="V86" s="459">
        <v>455</v>
      </c>
      <c r="W86" s="458">
        <v>19152</v>
      </c>
      <c r="X86" s="459">
        <v>596</v>
      </c>
      <c r="Y86" s="458">
        <v>19384</v>
      </c>
      <c r="Z86" s="459">
        <v>752</v>
      </c>
      <c r="AA86" s="458">
        <v>19336</v>
      </c>
      <c r="AB86" s="459">
        <v>630</v>
      </c>
      <c r="AC86" s="458">
        <v>19646</v>
      </c>
      <c r="AD86" s="459">
        <v>594</v>
      </c>
      <c r="AE86" s="458">
        <v>19812</v>
      </c>
      <c r="AF86" s="459">
        <v>590</v>
      </c>
      <c r="AG86" s="458">
        <v>19913</v>
      </c>
      <c r="AH86" s="459">
        <v>639</v>
      </c>
      <c r="AI86" s="458">
        <v>20314</v>
      </c>
      <c r="AJ86" s="459">
        <v>947</v>
      </c>
      <c r="AK86" s="460">
        <v>20304</v>
      </c>
      <c r="AL86" s="459">
        <v>1725</v>
      </c>
      <c r="AM86" s="458">
        <v>19901</v>
      </c>
      <c r="AN86" s="459">
        <v>1710</v>
      </c>
      <c r="AO86" s="461">
        <v>20142</v>
      </c>
      <c r="AP86" s="462">
        <v>1468</v>
      </c>
      <c r="AQ86" s="463">
        <v>19792</v>
      </c>
      <c r="AR86" s="464">
        <v>1303</v>
      </c>
      <c r="AS86" s="463">
        <v>19739</v>
      </c>
      <c r="AT86" s="1072">
        <v>1169</v>
      </c>
    </row>
    <row r="87" spans="1:46" ht="15" customHeight="1">
      <c r="A87" s="449" t="s">
        <v>214</v>
      </c>
      <c r="B87" s="465" t="s">
        <v>215</v>
      </c>
      <c r="C87" s="190" t="s">
        <v>268</v>
      </c>
      <c r="D87" s="451">
        <f t="shared" si="42"/>
        <v>4.3136259832529812E-2</v>
      </c>
      <c r="E87" s="452">
        <f t="shared" si="43"/>
        <v>6.3496160547202682E-2</v>
      </c>
      <c r="F87" s="453">
        <f t="shared" si="44"/>
        <v>8.82891770011274E-2</v>
      </c>
      <c r="G87" s="453">
        <f t="shared" si="45"/>
        <v>7.5430359937402186E-2</v>
      </c>
      <c r="H87" s="453">
        <f t="shared" si="46"/>
        <v>5.1024327784891167E-2</v>
      </c>
      <c r="I87" s="453">
        <f t="shared" si="47"/>
        <v>4.590080326405712E-2</v>
      </c>
      <c r="J87" s="453">
        <f t="shared" si="48"/>
        <v>4.6235998958061998E-2</v>
      </c>
      <c r="K87" s="453">
        <f t="shared" si="49"/>
        <v>5.4888622115512875E-2</v>
      </c>
      <c r="L87" s="453">
        <f t="shared" si="50"/>
        <v>6.094420600858369E-2</v>
      </c>
      <c r="M87" s="453">
        <f t="shared" si="51"/>
        <v>0.11512444999014908</v>
      </c>
      <c r="N87" s="453">
        <f t="shared" si="52"/>
        <v>0.11354935739677331</v>
      </c>
      <c r="O87" s="454">
        <f t="shared" si="53"/>
        <v>0.10046903677520223</v>
      </c>
      <c r="P87" s="455">
        <f t="shared" si="54"/>
        <v>8.82891770011274E-2</v>
      </c>
      <c r="Q87" s="1069">
        <f t="shared" si="55"/>
        <v>8.3687340696686485E-2</v>
      </c>
      <c r="R87" s="219"/>
      <c r="S87" s="456">
        <v>15764</v>
      </c>
      <c r="T87" s="457">
        <v>680</v>
      </c>
      <c r="U87" s="458">
        <v>15497</v>
      </c>
      <c r="V87" s="459">
        <v>984</v>
      </c>
      <c r="W87" s="458">
        <v>15545</v>
      </c>
      <c r="X87" s="459">
        <v>1248</v>
      </c>
      <c r="Y87" s="458">
        <v>15975</v>
      </c>
      <c r="Z87" s="459">
        <v>1205</v>
      </c>
      <c r="AA87" s="458">
        <v>15620</v>
      </c>
      <c r="AB87" s="459">
        <v>797</v>
      </c>
      <c r="AC87" s="458">
        <v>15686</v>
      </c>
      <c r="AD87" s="459">
        <v>720</v>
      </c>
      <c r="AE87" s="458">
        <v>15356</v>
      </c>
      <c r="AF87" s="459">
        <v>710</v>
      </c>
      <c r="AG87" s="458">
        <v>14994</v>
      </c>
      <c r="AH87" s="459">
        <v>823</v>
      </c>
      <c r="AI87" s="458">
        <v>15145</v>
      </c>
      <c r="AJ87" s="459">
        <v>923</v>
      </c>
      <c r="AK87" s="460">
        <v>15227</v>
      </c>
      <c r="AL87" s="459">
        <v>1753</v>
      </c>
      <c r="AM87" s="458">
        <v>14628</v>
      </c>
      <c r="AN87" s="459">
        <v>1661</v>
      </c>
      <c r="AO87" s="461">
        <v>14711</v>
      </c>
      <c r="AP87" s="462">
        <v>1478</v>
      </c>
      <c r="AQ87" s="463">
        <v>14192</v>
      </c>
      <c r="AR87" s="464">
        <v>1253</v>
      </c>
      <c r="AS87" s="463">
        <v>14124</v>
      </c>
      <c r="AT87" s="1072">
        <v>1182</v>
      </c>
    </row>
    <row r="88" spans="1:46" ht="15" customHeight="1">
      <c r="A88" s="449" t="s">
        <v>216</v>
      </c>
      <c r="B88" s="465" t="s">
        <v>217</v>
      </c>
      <c r="C88" s="190" t="s">
        <v>264</v>
      </c>
      <c r="D88" s="451">
        <f t="shared" si="42"/>
        <v>2.7408303103587262E-2</v>
      </c>
      <c r="E88" s="452">
        <f t="shared" si="43"/>
        <v>3.2240585207260905E-2</v>
      </c>
      <c r="F88" s="453">
        <f t="shared" si="44"/>
        <v>7.4524048096192383E-2</v>
      </c>
      <c r="G88" s="453">
        <f t="shared" si="45"/>
        <v>4.3705153294194388E-2</v>
      </c>
      <c r="H88" s="453">
        <f t="shared" si="46"/>
        <v>4.1904256729876674E-2</v>
      </c>
      <c r="I88" s="453">
        <f t="shared" si="47"/>
        <v>4.1347424042272124E-2</v>
      </c>
      <c r="J88" s="453">
        <f t="shared" si="48"/>
        <v>3.6203264876250661E-2</v>
      </c>
      <c r="K88" s="453">
        <f t="shared" si="49"/>
        <v>3.6149312377210217E-2</v>
      </c>
      <c r="L88" s="453">
        <f t="shared" si="50"/>
        <v>4.8146779953207736E-2</v>
      </c>
      <c r="M88" s="453">
        <f t="shared" si="51"/>
        <v>8.2615119428712136E-2</v>
      </c>
      <c r="N88" s="453">
        <f t="shared" si="52"/>
        <v>0.10273466371027347</v>
      </c>
      <c r="O88" s="454">
        <f t="shared" si="53"/>
        <v>9.1101168282376341E-2</v>
      </c>
      <c r="P88" s="455">
        <f t="shared" si="54"/>
        <v>7.4524048096192383E-2</v>
      </c>
      <c r="Q88" s="1069">
        <f t="shared" si="55"/>
        <v>7.0066975785677485E-2</v>
      </c>
      <c r="R88" s="219"/>
      <c r="S88" s="456">
        <v>7443</v>
      </c>
      <c r="T88" s="457">
        <v>204</v>
      </c>
      <c r="U88" s="458">
        <v>7382</v>
      </c>
      <c r="V88" s="459">
        <v>238</v>
      </c>
      <c r="W88" s="458">
        <v>7473</v>
      </c>
      <c r="X88" s="459">
        <v>312</v>
      </c>
      <c r="Y88" s="458">
        <v>7665</v>
      </c>
      <c r="Z88" s="459">
        <v>335</v>
      </c>
      <c r="AA88" s="458">
        <v>7541</v>
      </c>
      <c r="AB88" s="459">
        <v>316</v>
      </c>
      <c r="AC88" s="458">
        <v>7570</v>
      </c>
      <c r="AD88" s="459">
        <v>313</v>
      </c>
      <c r="AE88" s="458">
        <v>7596</v>
      </c>
      <c r="AF88" s="459">
        <v>275</v>
      </c>
      <c r="AG88" s="458">
        <v>7635</v>
      </c>
      <c r="AH88" s="459">
        <v>276</v>
      </c>
      <c r="AI88" s="458">
        <v>8121</v>
      </c>
      <c r="AJ88" s="459">
        <v>391</v>
      </c>
      <c r="AK88" s="460">
        <v>8122</v>
      </c>
      <c r="AL88" s="459">
        <v>671</v>
      </c>
      <c r="AM88" s="458">
        <v>8118</v>
      </c>
      <c r="AN88" s="459">
        <v>834</v>
      </c>
      <c r="AO88" s="461">
        <v>8046</v>
      </c>
      <c r="AP88" s="462">
        <v>733</v>
      </c>
      <c r="AQ88" s="463">
        <v>7984</v>
      </c>
      <c r="AR88" s="464">
        <v>595</v>
      </c>
      <c r="AS88" s="463">
        <v>7764</v>
      </c>
      <c r="AT88" s="1072">
        <v>544</v>
      </c>
    </row>
    <row r="89" spans="1:46" ht="15" customHeight="1">
      <c r="A89" s="449" t="s">
        <v>218</v>
      </c>
      <c r="B89" s="465" t="s">
        <v>219</v>
      </c>
      <c r="C89" s="190" t="s">
        <v>267</v>
      </c>
      <c r="D89" s="451">
        <f t="shared" si="42"/>
        <v>1.6980427931663628E-2</v>
      </c>
      <c r="E89" s="452">
        <f t="shared" si="43"/>
        <v>2.0994322662040689E-2</v>
      </c>
      <c r="F89" s="453">
        <f t="shared" si="44"/>
        <v>5.3909979369644763E-2</v>
      </c>
      <c r="G89" s="453">
        <f t="shared" si="45"/>
        <v>3.0428129114915121E-2</v>
      </c>
      <c r="H89" s="453">
        <f t="shared" si="46"/>
        <v>2.8156144774023249E-2</v>
      </c>
      <c r="I89" s="453">
        <f t="shared" si="47"/>
        <v>2.6717618535347858E-2</v>
      </c>
      <c r="J89" s="453">
        <f t="shared" si="48"/>
        <v>2.4145212881587528E-2</v>
      </c>
      <c r="K89" s="453">
        <f t="shared" si="49"/>
        <v>2.553184876691893E-2</v>
      </c>
      <c r="L89" s="453">
        <f t="shared" si="50"/>
        <v>3.4221163127413128E-2</v>
      </c>
      <c r="M89" s="453">
        <f t="shared" si="51"/>
        <v>5.8377896613190733E-2</v>
      </c>
      <c r="N89" s="453">
        <f t="shared" si="52"/>
        <v>6.5334896539123291E-2</v>
      </c>
      <c r="O89" s="454">
        <f t="shared" si="53"/>
        <v>6.1160794670187861E-2</v>
      </c>
      <c r="P89" s="455">
        <f t="shared" si="54"/>
        <v>5.3909979369644763E-2</v>
      </c>
      <c r="Q89" s="1069">
        <f t="shared" si="55"/>
        <v>5.1802778567049006E-2</v>
      </c>
      <c r="R89" s="219"/>
      <c r="S89" s="456">
        <v>48232</v>
      </c>
      <c r="T89" s="457">
        <v>819</v>
      </c>
      <c r="U89" s="458">
        <v>50728</v>
      </c>
      <c r="V89" s="459">
        <v>1065</v>
      </c>
      <c r="W89" s="458">
        <v>53586</v>
      </c>
      <c r="X89" s="459">
        <v>1541</v>
      </c>
      <c r="Y89" s="458">
        <v>56198</v>
      </c>
      <c r="Z89" s="459">
        <v>1710</v>
      </c>
      <c r="AA89" s="458">
        <v>59099</v>
      </c>
      <c r="AB89" s="459">
        <v>1664</v>
      </c>
      <c r="AC89" s="458">
        <v>62281</v>
      </c>
      <c r="AD89" s="459">
        <v>1664</v>
      </c>
      <c r="AE89" s="458">
        <v>64402</v>
      </c>
      <c r="AF89" s="459">
        <v>1555</v>
      </c>
      <c r="AG89" s="458">
        <v>64351</v>
      </c>
      <c r="AH89" s="459">
        <v>1643</v>
      </c>
      <c r="AI89" s="458">
        <v>66304</v>
      </c>
      <c r="AJ89" s="459">
        <v>2269</v>
      </c>
      <c r="AK89" s="460">
        <v>65076</v>
      </c>
      <c r="AL89" s="459">
        <v>3799</v>
      </c>
      <c r="AM89" s="458">
        <v>65677</v>
      </c>
      <c r="AN89" s="459">
        <v>4291</v>
      </c>
      <c r="AO89" s="461">
        <v>66644</v>
      </c>
      <c r="AP89" s="462">
        <v>4076</v>
      </c>
      <c r="AQ89" s="463">
        <v>66407</v>
      </c>
      <c r="AR89" s="464">
        <v>3580</v>
      </c>
      <c r="AS89" s="463">
        <v>66869</v>
      </c>
      <c r="AT89" s="1072">
        <v>3464</v>
      </c>
    </row>
    <row r="90" spans="1:46" ht="15" customHeight="1">
      <c r="A90" s="449" t="s">
        <v>220</v>
      </c>
      <c r="B90" s="465" t="s">
        <v>221</v>
      </c>
      <c r="C90" s="190" t="s">
        <v>267</v>
      </c>
      <c r="D90" s="451">
        <f t="shared" si="42"/>
        <v>1.6807246437029959E-2</v>
      </c>
      <c r="E90" s="452">
        <f t="shared" si="43"/>
        <v>2.2063042919049411E-2</v>
      </c>
      <c r="F90" s="453">
        <f t="shared" si="44"/>
        <v>5.1501101857416791E-2</v>
      </c>
      <c r="G90" s="453">
        <f t="shared" si="45"/>
        <v>3.0942911665566869E-2</v>
      </c>
      <c r="H90" s="453">
        <f t="shared" si="46"/>
        <v>2.7699759498141577E-2</v>
      </c>
      <c r="I90" s="453">
        <f t="shared" si="47"/>
        <v>2.6954177897574125E-2</v>
      </c>
      <c r="J90" s="453">
        <f t="shared" si="48"/>
        <v>2.4496649561382859E-2</v>
      </c>
      <c r="K90" s="453">
        <f t="shared" si="49"/>
        <v>2.63448984996962E-2</v>
      </c>
      <c r="L90" s="453">
        <f t="shared" si="50"/>
        <v>3.4499947132305184E-2</v>
      </c>
      <c r="M90" s="453">
        <f t="shared" si="51"/>
        <v>5.6831333373941646E-2</v>
      </c>
      <c r="N90" s="453">
        <f t="shared" si="52"/>
        <v>5.9401413125248922E-2</v>
      </c>
      <c r="O90" s="454">
        <f t="shared" si="53"/>
        <v>5.5870585187530582E-2</v>
      </c>
      <c r="P90" s="455">
        <f t="shared" si="54"/>
        <v>5.1501101857416791E-2</v>
      </c>
      <c r="Q90" s="1069">
        <f t="shared" si="55"/>
        <v>5.0866937200261073E-2</v>
      </c>
      <c r="R90" s="219"/>
      <c r="S90" s="456">
        <v>48134</v>
      </c>
      <c r="T90" s="457">
        <v>809</v>
      </c>
      <c r="U90" s="458">
        <v>50537</v>
      </c>
      <c r="V90" s="459">
        <v>1115</v>
      </c>
      <c r="W90" s="458">
        <v>53466</v>
      </c>
      <c r="X90" s="459">
        <v>1606</v>
      </c>
      <c r="Y90" s="458">
        <v>56071</v>
      </c>
      <c r="Z90" s="459">
        <v>1735</v>
      </c>
      <c r="AA90" s="458">
        <v>59459</v>
      </c>
      <c r="AB90" s="459">
        <v>1647</v>
      </c>
      <c r="AC90" s="458">
        <v>61957</v>
      </c>
      <c r="AD90" s="459">
        <v>1670</v>
      </c>
      <c r="AE90" s="458">
        <v>63723</v>
      </c>
      <c r="AF90" s="459">
        <v>1561</v>
      </c>
      <c r="AG90" s="458">
        <v>64187</v>
      </c>
      <c r="AH90" s="459">
        <v>1691</v>
      </c>
      <c r="AI90" s="458">
        <v>66203</v>
      </c>
      <c r="AJ90" s="459">
        <v>2284</v>
      </c>
      <c r="AK90" s="460">
        <v>65668</v>
      </c>
      <c r="AL90" s="459">
        <v>3732</v>
      </c>
      <c r="AM90" s="458">
        <v>67793</v>
      </c>
      <c r="AN90" s="459">
        <v>4027</v>
      </c>
      <c r="AO90" s="461">
        <v>69482</v>
      </c>
      <c r="AP90" s="462">
        <v>3882</v>
      </c>
      <c r="AQ90" s="463">
        <v>69882</v>
      </c>
      <c r="AR90" s="464">
        <v>3599</v>
      </c>
      <c r="AS90" s="463">
        <v>70478</v>
      </c>
      <c r="AT90" s="1072">
        <v>3585</v>
      </c>
    </row>
    <row r="91" spans="1:46" ht="15" customHeight="1">
      <c r="A91" s="449" t="s">
        <v>224</v>
      </c>
      <c r="B91" s="465" t="s">
        <v>225</v>
      </c>
      <c r="C91" s="190" t="s">
        <v>264</v>
      </c>
      <c r="D91" s="451">
        <f t="shared" si="42"/>
        <v>2.874074074074074E-2</v>
      </c>
      <c r="E91" s="452">
        <f t="shared" si="43"/>
        <v>3.3101045296167246E-2</v>
      </c>
      <c r="F91" s="453">
        <f t="shared" si="44"/>
        <v>7.6200993926007737E-2</v>
      </c>
      <c r="G91" s="453">
        <f t="shared" si="45"/>
        <v>4.5618915159944366E-2</v>
      </c>
      <c r="H91" s="453">
        <f t="shared" si="46"/>
        <v>4.1179744017807454E-2</v>
      </c>
      <c r="I91" s="453">
        <f t="shared" si="47"/>
        <v>4.7540983606557376E-2</v>
      </c>
      <c r="J91" s="453">
        <f t="shared" si="48"/>
        <v>3.3683643222850987E-2</v>
      </c>
      <c r="K91" s="453">
        <f t="shared" si="49"/>
        <v>3.4222581514416602E-2</v>
      </c>
      <c r="L91" s="453">
        <f t="shared" si="50"/>
        <v>4.476439790575916E-2</v>
      </c>
      <c r="M91" s="453">
        <f t="shared" si="51"/>
        <v>7.7706323687031079E-2</v>
      </c>
      <c r="N91" s="453">
        <f t="shared" si="52"/>
        <v>8.8368379025818469E-2</v>
      </c>
      <c r="O91" s="454">
        <f t="shared" si="53"/>
        <v>8.2387898433279302E-2</v>
      </c>
      <c r="P91" s="455">
        <f t="shared" si="54"/>
        <v>7.6200993926007737E-2</v>
      </c>
      <c r="Q91" s="1069">
        <f t="shared" si="55"/>
        <v>7.0170610897083111E-2</v>
      </c>
      <c r="R91" s="219"/>
      <c r="S91" s="456">
        <v>3375</v>
      </c>
      <c r="T91" s="457">
        <v>97</v>
      </c>
      <c r="U91" s="458">
        <v>3444</v>
      </c>
      <c r="V91" s="459">
        <v>114</v>
      </c>
      <c r="W91" s="458">
        <v>3576</v>
      </c>
      <c r="X91" s="459">
        <v>161</v>
      </c>
      <c r="Y91" s="458">
        <v>3595</v>
      </c>
      <c r="Z91" s="459">
        <v>164</v>
      </c>
      <c r="AA91" s="458">
        <v>3594</v>
      </c>
      <c r="AB91" s="459">
        <v>148</v>
      </c>
      <c r="AC91" s="458">
        <v>3660</v>
      </c>
      <c r="AD91" s="459">
        <v>174</v>
      </c>
      <c r="AE91" s="458">
        <v>3711</v>
      </c>
      <c r="AF91" s="459">
        <v>125</v>
      </c>
      <c r="AG91" s="458">
        <v>3711</v>
      </c>
      <c r="AH91" s="459">
        <v>127</v>
      </c>
      <c r="AI91" s="458">
        <v>3820</v>
      </c>
      <c r="AJ91" s="459">
        <v>171</v>
      </c>
      <c r="AK91" s="460">
        <v>3732</v>
      </c>
      <c r="AL91" s="459">
        <v>290</v>
      </c>
      <c r="AM91" s="458">
        <v>3757</v>
      </c>
      <c r="AN91" s="459">
        <v>332</v>
      </c>
      <c r="AO91" s="461">
        <v>3702</v>
      </c>
      <c r="AP91" s="462">
        <v>305</v>
      </c>
      <c r="AQ91" s="463">
        <v>3622</v>
      </c>
      <c r="AR91" s="464">
        <v>276</v>
      </c>
      <c r="AS91" s="463">
        <v>3634</v>
      </c>
      <c r="AT91" s="1072">
        <v>255</v>
      </c>
    </row>
    <row r="92" spans="1:46" ht="15" customHeight="1">
      <c r="A92" s="449" t="s">
        <v>226</v>
      </c>
      <c r="B92" s="465" t="s">
        <v>227</v>
      </c>
      <c r="C92" s="190" t="s">
        <v>264</v>
      </c>
      <c r="D92" s="451">
        <f t="shared" si="42"/>
        <v>3.6634103019538192E-2</v>
      </c>
      <c r="E92" s="452">
        <f t="shared" si="43"/>
        <v>4.7159218504379069E-2</v>
      </c>
      <c r="F92" s="453">
        <f t="shared" si="44"/>
        <v>8.612329716000923E-2</v>
      </c>
      <c r="G92" s="453">
        <f t="shared" si="45"/>
        <v>6.9079673361288896E-2</v>
      </c>
      <c r="H92" s="453">
        <f t="shared" si="46"/>
        <v>5.8521331248603974E-2</v>
      </c>
      <c r="I92" s="453">
        <f t="shared" si="47"/>
        <v>5.7961208840775824E-2</v>
      </c>
      <c r="J92" s="453">
        <f t="shared" si="48"/>
        <v>4.4642857142857144E-2</v>
      </c>
      <c r="K92" s="453">
        <f t="shared" si="49"/>
        <v>4.5024763619990998E-2</v>
      </c>
      <c r="L92" s="453">
        <f t="shared" si="50"/>
        <v>5.8327788866711021E-2</v>
      </c>
      <c r="M92" s="453">
        <f t="shared" si="51"/>
        <v>0.10515695067264574</v>
      </c>
      <c r="N92" s="453">
        <f t="shared" si="52"/>
        <v>0.10669408270504913</v>
      </c>
      <c r="O92" s="454">
        <f t="shared" si="53"/>
        <v>9.4739239353222496E-2</v>
      </c>
      <c r="P92" s="455">
        <f t="shared" si="54"/>
        <v>8.612329716000923E-2</v>
      </c>
      <c r="Q92" s="1069">
        <f t="shared" si="55"/>
        <v>7.862068965517241E-2</v>
      </c>
      <c r="R92" s="219"/>
      <c r="S92" s="456">
        <v>4504</v>
      </c>
      <c r="T92" s="457">
        <v>165</v>
      </c>
      <c r="U92" s="458">
        <v>4453</v>
      </c>
      <c r="V92" s="459">
        <v>210</v>
      </c>
      <c r="W92" s="458">
        <v>4406</v>
      </c>
      <c r="X92" s="459">
        <v>254</v>
      </c>
      <c r="Y92" s="458">
        <v>4531</v>
      </c>
      <c r="Z92" s="459">
        <v>313</v>
      </c>
      <c r="AA92" s="458">
        <v>4477</v>
      </c>
      <c r="AB92" s="459">
        <v>262</v>
      </c>
      <c r="AC92" s="458">
        <v>4434</v>
      </c>
      <c r="AD92" s="459">
        <v>257</v>
      </c>
      <c r="AE92" s="458">
        <v>4480</v>
      </c>
      <c r="AF92" s="459">
        <v>200</v>
      </c>
      <c r="AG92" s="458">
        <v>4442</v>
      </c>
      <c r="AH92" s="459">
        <v>200</v>
      </c>
      <c r="AI92" s="458">
        <v>4509</v>
      </c>
      <c r="AJ92" s="459">
        <v>263</v>
      </c>
      <c r="AK92" s="460">
        <v>4460</v>
      </c>
      <c r="AL92" s="459">
        <v>469</v>
      </c>
      <c r="AM92" s="458">
        <v>4377</v>
      </c>
      <c r="AN92" s="459">
        <v>467</v>
      </c>
      <c r="AO92" s="461">
        <v>4391</v>
      </c>
      <c r="AP92" s="462">
        <v>416</v>
      </c>
      <c r="AQ92" s="463">
        <v>4331</v>
      </c>
      <c r="AR92" s="464">
        <v>373</v>
      </c>
      <c r="AS92" s="463">
        <v>4350</v>
      </c>
      <c r="AT92" s="1072">
        <v>342</v>
      </c>
    </row>
    <row r="93" spans="1:46" ht="15" customHeight="1">
      <c r="A93" s="449" t="s">
        <v>228</v>
      </c>
      <c r="B93" s="465" t="s">
        <v>229</v>
      </c>
      <c r="C93" s="190" t="s">
        <v>268</v>
      </c>
      <c r="D93" s="451">
        <f t="shared" si="42"/>
        <v>5.0802563966732002E-2</v>
      </c>
      <c r="E93" s="452">
        <f t="shared" si="43"/>
        <v>4.9108992954828012E-2</v>
      </c>
      <c r="F93" s="453">
        <f t="shared" si="44"/>
        <v>7.1064497157420109E-2</v>
      </c>
      <c r="G93" s="453">
        <f t="shared" si="45"/>
        <v>5.3863703997619285E-2</v>
      </c>
      <c r="H93" s="453">
        <f t="shared" si="46"/>
        <v>4.6371482559624123E-2</v>
      </c>
      <c r="I93" s="453">
        <f t="shared" si="47"/>
        <v>4.4977052524222336E-2</v>
      </c>
      <c r="J93" s="453">
        <f t="shared" si="48"/>
        <v>3.9336232318688456E-2</v>
      </c>
      <c r="K93" s="453">
        <f t="shared" si="49"/>
        <v>4.5391545391545392E-2</v>
      </c>
      <c r="L93" s="453">
        <f t="shared" si="50"/>
        <v>4.3951282915322777E-2</v>
      </c>
      <c r="M93" s="453">
        <f t="shared" si="51"/>
        <v>7.8268534842720602E-2</v>
      </c>
      <c r="N93" s="453">
        <f t="shared" si="52"/>
        <v>7.1626927128219858E-2</v>
      </c>
      <c r="O93" s="454">
        <f t="shared" si="53"/>
        <v>6.7583157085175927E-2</v>
      </c>
      <c r="P93" s="455">
        <f t="shared" si="54"/>
        <v>7.1064497157420109E-2</v>
      </c>
      <c r="Q93" s="1069">
        <f t="shared" si="55"/>
        <v>7.0360773370540169E-2</v>
      </c>
      <c r="R93" s="219"/>
      <c r="S93" s="456">
        <v>18877</v>
      </c>
      <c r="T93" s="457">
        <v>959</v>
      </c>
      <c r="U93" s="458">
        <v>19304</v>
      </c>
      <c r="V93" s="459">
        <v>948</v>
      </c>
      <c r="W93" s="458">
        <v>20196</v>
      </c>
      <c r="X93" s="459">
        <v>1162</v>
      </c>
      <c r="Y93" s="458">
        <v>20162</v>
      </c>
      <c r="Z93" s="459">
        <v>1086</v>
      </c>
      <c r="AA93" s="458">
        <v>19581</v>
      </c>
      <c r="AB93" s="459">
        <v>908</v>
      </c>
      <c r="AC93" s="458">
        <v>19610</v>
      </c>
      <c r="AD93" s="459">
        <v>882</v>
      </c>
      <c r="AE93" s="458">
        <v>20007</v>
      </c>
      <c r="AF93" s="459">
        <v>787</v>
      </c>
      <c r="AG93" s="458">
        <v>20202</v>
      </c>
      <c r="AH93" s="459">
        <v>917</v>
      </c>
      <c r="AI93" s="458">
        <v>20773</v>
      </c>
      <c r="AJ93" s="459">
        <v>913</v>
      </c>
      <c r="AK93" s="460">
        <v>21554</v>
      </c>
      <c r="AL93" s="459">
        <v>1687</v>
      </c>
      <c r="AM93" s="458">
        <v>20886</v>
      </c>
      <c r="AN93" s="459">
        <v>1496</v>
      </c>
      <c r="AO93" s="461">
        <v>20804</v>
      </c>
      <c r="AP93" s="462">
        <v>1406</v>
      </c>
      <c r="AQ93" s="463">
        <v>20404</v>
      </c>
      <c r="AR93" s="464">
        <v>1450</v>
      </c>
      <c r="AS93" s="463">
        <v>20068</v>
      </c>
      <c r="AT93" s="1072">
        <v>1412</v>
      </c>
    </row>
    <row r="94" spans="1:46" ht="15" customHeight="1">
      <c r="A94" s="449" t="s">
        <v>232</v>
      </c>
      <c r="B94" s="465" t="s">
        <v>233</v>
      </c>
      <c r="C94" s="190" t="s">
        <v>267</v>
      </c>
      <c r="D94" s="451">
        <f t="shared" si="42"/>
        <v>2.0141964448219377E-2</v>
      </c>
      <c r="E94" s="452">
        <f t="shared" si="43"/>
        <v>2.7968684635152095E-2</v>
      </c>
      <c r="F94" s="453">
        <f t="shared" si="44"/>
        <v>6.0107640460741414E-2</v>
      </c>
      <c r="G94" s="453">
        <f t="shared" si="45"/>
        <v>3.9977188480182495E-2</v>
      </c>
      <c r="H94" s="453">
        <f t="shared" si="46"/>
        <v>3.3168509361631203E-2</v>
      </c>
      <c r="I94" s="453">
        <f t="shared" si="47"/>
        <v>3.012176885280923E-2</v>
      </c>
      <c r="J94" s="453">
        <f t="shared" si="48"/>
        <v>2.7903823084545976E-2</v>
      </c>
      <c r="K94" s="453">
        <f t="shared" si="49"/>
        <v>3.0657085250478208E-2</v>
      </c>
      <c r="L94" s="453">
        <f t="shared" si="50"/>
        <v>4.4142530108490098E-2</v>
      </c>
      <c r="M94" s="453">
        <f t="shared" si="51"/>
        <v>7.8289838978345364E-2</v>
      </c>
      <c r="N94" s="453">
        <f t="shared" si="52"/>
        <v>7.4005504128096075E-2</v>
      </c>
      <c r="O94" s="454">
        <f t="shared" si="53"/>
        <v>6.7536492701459713E-2</v>
      </c>
      <c r="P94" s="455">
        <f t="shared" si="54"/>
        <v>6.0107640460741414E-2</v>
      </c>
      <c r="Q94" s="1069">
        <f t="shared" si="55"/>
        <v>5.6250625563006709E-2</v>
      </c>
      <c r="R94" s="219"/>
      <c r="S94" s="456">
        <v>16483</v>
      </c>
      <c r="T94" s="457">
        <v>332</v>
      </c>
      <c r="U94" s="458">
        <v>16733</v>
      </c>
      <c r="V94" s="459">
        <v>468</v>
      </c>
      <c r="W94" s="458">
        <v>17166</v>
      </c>
      <c r="X94" s="459">
        <v>681</v>
      </c>
      <c r="Y94" s="458">
        <v>17535</v>
      </c>
      <c r="Z94" s="459">
        <v>701</v>
      </c>
      <c r="AA94" s="458">
        <v>17999</v>
      </c>
      <c r="AB94" s="459">
        <v>597</v>
      </c>
      <c r="AC94" s="458">
        <v>18724</v>
      </c>
      <c r="AD94" s="459">
        <v>564</v>
      </c>
      <c r="AE94" s="458">
        <v>19173</v>
      </c>
      <c r="AF94" s="459">
        <v>535</v>
      </c>
      <c r="AG94" s="458">
        <v>19343</v>
      </c>
      <c r="AH94" s="459">
        <v>593</v>
      </c>
      <c r="AI94" s="458">
        <v>20094</v>
      </c>
      <c r="AJ94" s="459">
        <v>887</v>
      </c>
      <c r="AK94" s="460">
        <v>19811</v>
      </c>
      <c r="AL94" s="459">
        <v>1551</v>
      </c>
      <c r="AM94" s="458">
        <v>19985</v>
      </c>
      <c r="AN94" s="459">
        <v>1479</v>
      </c>
      <c r="AO94" s="461">
        <v>20004</v>
      </c>
      <c r="AP94" s="462">
        <v>1351</v>
      </c>
      <c r="AQ94" s="463">
        <v>19881</v>
      </c>
      <c r="AR94" s="464">
        <v>1195</v>
      </c>
      <c r="AS94" s="463">
        <v>19982</v>
      </c>
      <c r="AT94" s="1072">
        <v>1124</v>
      </c>
    </row>
    <row r="95" spans="1:46" ht="15" customHeight="1">
      <c r="A95" s="449" t="s">
        <v>234</v>
      </c>
      <c r="B95" s="465" t="s">
        <v>235</v>
      </c>
      <c r="C95" s="190" t="s">
        <v>268</v>
      </c>
      <c r="D95" s="451">
        <f t="shared" si="42"/>
        <v>3.5575653287446475E-2</v>
      </c>
      <c r="E95" s="452">
        <f t="shared" si="43"/>
        <v>5.0377536573855596E-2</v>
      </c>
      <c r="F95" s="453">
        <f t="shared" si="44"/>
        <v>7.06378115848868E-2</v>
      </c>
      <c r="G95" s="453">
        <f t="shared" si="45"/>
        <v>5.3925666945352287E-2</v>
      </c>
      <c r="H95" s="453">
        <f t="shared" si="46"/>
        <v>4.7437673130193904E-2</v>
      </c>
      <c r="I95" s="453">
        <f t="shared" si="47"/>
        <v>4.4569632865792901E-2</v>
      </c>
      <c r="J95" s="453">
        <f t="shared" si="48"/>
        <v>4.1013406044080894E-2</v>
      </c>
      <c r="K95" s="453">
        <f t="shared" si="49"/>
        <v>4.5732967569801962E-2</v>
      </c>
      <c r="L95" s="453">
        <f t="shared" si="50"/>
        <v>4.9266627940749347E-2</v>
      </c>
      <c r="M95" s="453">
        <f t="shared" si="51"/>
        <v>8.8177758092496214E-2</v>
      </c>
      <c r="N95" s="453">
        <f t="shared" si="52"/>
        <v>8.7819210679048174E-2</v>
      </c>
      <c r="O95" s="454">
        <f t="shared" si="53"/>
        <v>7.9765082754938599E-2</v>
      </c>
      <c r="P95" s="455">
        <f t="shared" si="54"/>
        <v>7.06378115848868E-2</v>
      </c>
      <c r="Q95" s="1069">
        <f t="shared" si="55"/>
        <v>6.9060280523930193E-2</v>
      </c>
      <c r="R95" s="219"/>
      <c r="S95" s="456">
        <v>24989</v>
      </c>
      <c r="T95" s="457">
        <v>889</v>
      </c>
      <c r="U95" s="458">
        <v>25428</v>
      </c>
      <c r="V95" s="459">
        <v>1281</v>
      </c>
      <c r="W95" s="458">
        <v>26054</v>
      </c>
      <c r="X95" s="459">
        <v>1576</v>
      </c>
      <c r="Y95" s="458">
        <v>26314</v>
      </c>
      <c r="Z95" s="459">
        <v>1419</v>
      </c>
      <c r="AA95" s="458">
        <v>25992</v>
      </c>
      <c r="AB95" s="459">
        <v>1233</v>
      </c>
      <c r="AC95" s="458">
        <v>26094</v>
      </c>
      <c r="AD95" s="459">
        <v>1163</v>
      </c>
      <c r="AE95" s="458">
        <v>26406</v>
      </c>
      <c r="AF95" s="459">
        <v>1083</v>
      </c>
      <c r="AG95" s="458">
        <v>26611</v>
      </c>
      <c r="AH95" s="459">
        <v>1217</v>
      </c>
      <c r="AI95" s="458">
        <v>27544</v>
      </c>
      <c r="AJ95" s="459">
        <v>1357</v>
      </c>
      <c r="AK95" s="460">
        <v>27093</v>
      </c>
      <c r="AL95" s="459">
        <v>2389</v>
      </c>
      <c r="AM95" s="458">
        <v>27568</v>
      </c>
      <c r="AN95" s="459">
        <v>2421</v>
      </c>
      <c r="AO95" s="461">
        <v>28095</v>
      </c>
      <c r="AP95" s="462">
        <v>2241</v>
      </c>
      <c r="AQ95" s="463">
        <v>28002</v>
      </c>
      <c r="AR95" s="464">
        <v>1978</v>
      </c>
      <c r="AS95" s="463">
        <v>28019</v>
      </c>
      <c r="AT95" s="1072">
        <v>1935</v>
      </c>
    </row>
    <row r="96" spans="1:46" ht="15" customHeight="1">
      <c r="A96" s="449" t="s">
        <v>236</v>
      </c>
      <c r="B96" s="465" t="s">
        <v>237</v>
      </c>
      <c r="C96" s="190" t="s">
        <v>266</v>
      </c>
      <c r="D96" s="451">
        <f t="shared" si="42"/>
        <v>3.52232552049234E-2</v>
      </c>
      <c r="E96" s="452">
        <f t="shared" si="43"/>
        <v>4.0816326530612242E-2</v>
      </c>
      <c r="F96" s="453">
        <f t="shared" si="44"/>
        <v>7.4484030900495796E-2</v>
      </c>
      <c r="G96" s="453">
        <f t="shared" si="45"/>
        <v>4.8003918687239772E-2</v>
      </c>
      <c r="H96" s="453">
        <f t="shared" si="46"/>
        <v>4.5836996106994848E-2</v>
      </c>
      <c r="I96" s="453">
        <f t="shared" si="47"/>
        <v>4.5075943165115137E-2</v>
      </c>
      <c r="J96" s="453">
        <f t="shared" si="48"/>
        <v>3.8819687991292783E-2</v>
      </c>
      <c r="K96" s="453">
        <f t="shared" si="49"/>
        <v>4.2306297594584791E-2</v>
      </c>
      <c r="L96" s="453">
        <f t="shared" si="50"/>
        <v>5.0528921899617378E-2</v>
      </c>
      <c r="M96" s="453">
        <f t="shared" si="51"/>
        <v>7.8912901113294034E-2</v>
      </c>
      <c r="N96" s="453">
        <f t="shared" si="52"/>
        <v>8.2327971403038422E-2</v>
      </c>
      <c r="O96" s="454">
        <f t="shared" si="53"/>
        <v>7.5953529153879873E-2</v>
      </c>
      <c r="P96" s="455">
        <f t="shared" si="54"/>
        <v>7.4484030900495796E-2</v>
      </c>
      <c r="Q96" s="1069">
        <f t="shared" si="55"/>
        <v>7.0226014760147601E-2</v>
      </c>
      <c r="R96" s="219"/>
      <c r="S96" s="456">
        <v>7637</v>
      </c>
      <c r="T96" s="457">
        <v>269</v>
      </c>
      <c r="U96" s="458">
        <v>7644</v>
      </c>
      <c r="V96" s="459">
        <v>312</v>
      </c>
      <c r="W96" s="458">
        <v>7913</v>
      </c>
      <c r="X96" s="459">
        <v>374</v>
      </c>
      <c r="Y96" s="458">
        <v>8166</v>
      </c>
      <c r="Z96" s="459">
        <v>392</v>
      </c>
      <c r="AA96" s="458">
        <v>7963</v>
      </c>
      <c r="AB96" s="459">
        <v>365</v>
      </c>
      <c r="AC96" s="458">
        <v>8164</v>
      </c>
      <c r="AD96" s="459">
        <v>368</v>
      </c>
      <c r="AE96" s="458">
        <v>8269</v>
      </c>
      <c r="AF96" s="459">
        <v>321</v>
      </c>
      <c r="AG96" s="458">
        <v>8273</v>
      </c>
      <c r="AH96" s="459">
        <v>350</v>
      </c>
      <c r="AI96" s="458">
        <v>8886</v>
      </c>
      <c r="AJ96" s="459">
        <v>449</v>
      </c>
      <c r="AK96" s="460">
        <v>9162</v>
      </c>
      <c r="AL96" s="459">
        <v>723</v>
      </c>
      <c r="AM96" s="458">
        <v>8952</v>
      </c>
      <c r="AN96" s="459">
        <v>737</v>
      </c>
      <c r="AO96" s="461">
        <v>9124</v>
      </c>
      <c r="AP96" s="462">
        <v>693</v>
      </c>
      <c r="AQ96" s="463">
        <v>8673</v>
      </c>
      <c r="AR96" s="464">
        <v>646</v>
      </c>
      <c r="AS96" s="463">
        <v>8672</v>
      </c>
      <c r="AT96" s="1072">
        <v>609</v>
      </c>
    </row>
    <row r="97" spans="1:46" ht="15" customHeight="1">
      <c r="A97" s="449" t="s">
        <v>242</v>
      </c>
      <c r="B97" s="465" t="s">
        <v>243</v>
      </c>
      <c r="C97" s="190" t="s">
        <v>268</v>
      </c>
      <c r="D97" s="451">
        <f t="shared" si="42"/>
        <v>4.1928851784935516E-2</v>
      </c>
      <c r="E97" s="452">
        <f t="shared" si="43"/>
        <v>4.6936274509803921E-2</v>
      </c>
      <c r="F97" s="453">
        <f t="shared" si="44"/>
        <v>7.8970718722271516E-2</v>
      </c>
      <c r="G97" s="453">
        <f t="shared" si="45"/>
        <v>5.7373298249628189E-2</v>
      </c>
      <c r="H97" s="453">
        <f t="shared" si="46"/>
        <v>5.1327019759148836E-2</v>
      </c>
      <c r="I97" s="453">
        <f t="shared" si="47"/>
        <v>4.710562730627306E-2</v>
      </c>
      <c r="J97" s="453">
        <f t="shared" si="48"/>
        <v>4.4518963922294173E-2</v>
      </c>
      <c r="K97" s="453">
        <f t="shared" si="49"/>
        <v>3.9661524291964081E-2</v>
      </c>
      <c r="L97" s="453">
        <f t="shared" si="50"/>
        <v>4.6119048932531582E-2</v>
      </c>
      <c r="M97" s="453">
        <f t="shared" si="51"/>
        <v>6.8625436613930557E-2</v>
      </c>
      <c r="N97" s="453">
        <f t="shared" si="52"/>
        <v>7.5056900475894889E-2</v>
      </c>
      <c r="O97" s="454">
        <f t="shared" si="53"/>
        <v>6.7557950386335913E-2</v>
      </c>
      <c r="P97" s="455">
        <f t="shared" si="54"/>
        <v>7.8970718722271516E-2</v>
      </c>
      <c r="Q97" s="1069">
        <f t="shared" si="55"/>
        <v>8.7724278900749492E-2</v>
      </c>
      <c r="R97" s="219"/>
      <c r="S97" s="456">
        <v>16051</v>
      </c>
      <c r="T97" s="457">
        <v>673</v>
      </c>
      <c r="U97" s="458">
        <v>16320</v>
      </c>
      <c r="V97" s="459">
        <v>766</v>
      </c>
      <c r="W97" s="458">
        <v>16998</v>
      </c>
      <c r="X97" s="459">
        <v>1000</v>
      </c>
      <c r="Y97" s="458">
        <v>17482</v>
      </c>
      <c r="Z97" s="459">
        <v>1003</v>
      </c>
      <c r="AA97" s="458">
        <v>17106</v>
      </c>
      <c r="AB97" s="459">
        <v>878</v>
      </c>
      <c r="AC97" s="458">
        <v>17344</v>
      </c>
      <c r="AD97" s="459">
        <v>817</v>
      </c>
      <c r="AE97" s="458">
        <v>17296</v>
      </c>
      <c r="AF97" s="459">
        <v>770</v>
      </c>
      <c r="AG97" s="458">
        <v>17372</v>
      </c>
      <c r="AH97" s="459">
        <v>689</v>
      </c>
      <c r="AI97" s="458">
        <v>18127</v>
      </c>
      <c r="AJ97" s="459">
        <v>836</v>
      </c>
      <c r="AK97" s="460">
        <v>19468</v>
      </c>
      <c r="AL97" s="459">
        <v>1336</v>
      </c>
      <c r="AM97" s="458">
        <v>19332</v>
      </c>
      <c r="AN97" s="459">
        <v>1451</v>
      </c>
      <c r="AO97" s="461">
        <v>19672</v>
      </c>
      <c r="AP97" s="462">
        <v>1329</v>
      </c>
      <c r="AQ97" s="463">
        <v>18032</v>
      </c>
      <c r="AR97" s="464">
        <v>1424</v>
      </c>
      <c r="AS97" s="463">
        <v>17612</v>
      </c>
      <c r="AT97" s="1072">
        <v>1545</v>
      </c>
    </row>
    <row r="98" spans="1:46" ht="15" customHeight="1">
      <c r="A98" s="449" t="s">
        <v>244</v>
      </c>
      <c r="B98" s="465" t="s">
        <v>245</v>
      </c>
      <c r="C98" s="190" t="s">
        <v>268</v>
      </c>
      <c r="D98" s="451">
        <f t="shared" si="42"/>
        <v>4.3058121358533465E-2</v>
      </c>
      <c r="E98" s="452">
        <f t="shared" si="43"/>
        <v>6.7896471908536163E-2</v>
      </c>
      <c r="F98" s="453">
        <f t="shared" si="44"/>
        <v>6.9371035940803377E-2</v>
      </c>
      <c r="G98" s="453">
        <f t="shared" si="45"/>
        <v>5.2613941018766756E-2</v>
      </c>
      <c r="H98" s="453">
        <f t="shared" si="46"/>
        <v>4.7149942251511652E-2</v>
      </c>
      <c r="I98" s="453">
        <f t="shared" si="47"/>
        <v>4.2900783636605128E-2</v>
      </c>
      <c r="J98" s="453">
        <f t="shared" si="48"/>
        <v>4.0599999999999997E-2</v>
      </c>
      <c r="K98" s="453">
        <f t="shared" si="49"/>
        <v>4.4997078111810924E-2</v>
      </c>
      <c r="L98" s="453">
        <f t="shared" si="50"/>
        <v>5.359347987157323E-2</v>
      </c>
      <c r="M98" s="453">
        <f t="shared" si="51"/>
        <v>0.10856102003642987</v>
      </c>
      <c r="N98" s="453">
        <f t="shared" si="52"/>
        <v>0.10053380782918149</v>
      </c>
      <c r="O98" s="454">
        <f t="shared" si="53"/>
        <v>8.143569040560146E-2</v>
      </c>
      <c r="P98" s="455">
        <f t="shared" si="54"/>
        <v>6.9371035940803377E-2</v>
      </c>
      <c r="Q98" s="1069">
        <f t="shared" si="55"/>
        <v>7.0217276099629036E-2</v>
      </c>
      <c r="R98" s="219"/>
      <c r="S98" s="456">
        <v>14074</v>
      </c>
      <c r="T98" s="457">
        <v>606</v>
      </c>
      <c r="U98" s="458">
        <v>14257</v>
      </c>
      <c r="V98" s="459">
        <v>968</v>
      </c>
      <c r="W98" s="458">
        <v>14401</v>
      </c>
      <c r="X98" s="459">
        <v>899</v>
      </c>
      <c r="Y98" s="458">
        <v>14920</v>
      </c>
      <c r="Z98" s="459">
        <v>785</v>
      </c>
      <c r="AA98" s="458">
        <v>14719</v>
      </c>
      <c r="AB98" s="459">
        <v>694</v>
      </c>
      <c r="AC98" s="458">
        <v>15058</v>
      </c>
      <c r="AD98" s="459">
        <v>646</v>
      </c>
      <c r="AE98" s="458">
        <v>15000</v>
      </c>
      <c r="AF98" s="459">
        <v>609</v>
      </c>
      <c r="AG98" s="458">
        <v>15401</v>
      </c>
      <c r="AH98" s="459">
        <v>693</v>
      </c>
      <c r="AI98" s="458">
        <v>16196</v>
      </c>
      <c r="AJ98" s="459">
        <v>868</v>
      </c>
      <c r="AK98" s="460">
        <v>16470</v>
      </c>
      <c r="AL98" s="459">
        <v>1788</v>
      </c>
      <c r="AM98" s="458">
        <v>15736</v>
      </c>
      <c r="AN98" s="459">
        <v>1582</v>
      </c>
      <c r="AO98" s="461">
        <v>15853</v>
      </c>
      <c r="AP98" s="462">
        <v>1291</v>
      </c>
      <c r="AQ98" s="463">
        <v>15136</v>
      </c>
      <c r="AR98" s="464">
        <v>1050</v>
      </c>
      <c r="AS98" s="463">
        <v>15096</v>
      </c>
      <c r="AT98" s="1072">
        <v>1060</v>
      </c>
    </row>
    <row r="99" spans="1:46" ht="15" customHeight="1">
      <c r="A99" s="449" t="s">
        <v>246</v>
      </c>
      <c r="B99" s="465" t="s">
        <v>247</v>
      </c>
      <c r="C99" s="190" t="s">
        <v>264</v>
      </c>
      <c r="D99" s="451">
        <f t="shared" si="42"/>
        <v>1.9172770357604479E-2</v>
      </c>
      <c r="E99" s="452">
        <f t="shared" si="43"/>
        <v>2.455807331830585E-2</v>
      </c>
      <c r="F99" s="453">
        <f t="shared" si="44"/>
        <v>5.4214443773888552E-2</v>
      </c>
      <c r="G99" s="453">
        <f t="shared" si="45"/>
        <v>3.1530520646319567E-2</v>
      </c>
      <c r="H99" s="453">
        <f t="shared" si="46"/>
        <v>2.9931821961088633E-2</v>
      </c>
      <c r="I99" s="453">
        <f t="shared" si="47"/>
        <v>2.9768348127300281E-2</v>
      </c>
      <c r="J99" s="453">
        <f t="shared" si="48"/>
        <v>2.600213789417424E-2</v>
      </c>
      <c r="K99" s="453">
        <f t="shared" si="49"/>
        <v>2.4632531093522855E-2</v>
      </c>
      <c r="L99" s="453">
        <f t="shared" si="50"/>
        <v>3.2568115021050122E-2</v>
      </c>
      <c r="M99" s="453">
        <f t="shared" si="51"/>
        <v>5.4853469876892907E-2</v>
      </c>
      <c r="N99" s="453">
        <f t="shared" si="52"/>
        <v>5.9112048590815522E-2</v>
      </c>
      <c r="O99" s="454">
        <f t="shared" si="53"/>
        <v>5.9293870717873114E-2</v>
      </c>
      <c r="P99" s="484">
        <f t="shared" si="54"/>
        <v>5.4214443773888552E-2</v>
      </c>
      <c r="Q99" s="1069">
        <f t="shared" si="55"/>
        <v>5.058482455263421E-2</v>
      </c>
      <c r="R99" s="219"/>
      <c r="S99" s="466">
        <v>32494</v>
      </c>
      <c r="T99" s="467">
        <v>623</v>
      </c>
      <c r="U99" s="1684">
        <v>33716</v>
      </c>
      <c r="V99" s="1685">
        <v>828</v>
      </c>
      <c r="W99" s="1684">
        <v>35072</v>
      </c>
      <c r="X99" s="1685">
        <v>1056</v>
      </c>
      <c r="Y99" s="1684">
        <v>35648</v>
      </c>
      <c r="Z99" s="1685">
        <v>1124</v>
      </c>
      <c r="AA99" s="1684">
        <v>36082</v>
      </c>
      <c r="AB99" s="1685">
        <v>1080</v>
      </c>
      <c r="AC99" s="1684">
        <v>36952</v>
      </c>
      <c r="AD99" s="1685">
        <v>1100</v>
      </c>
      <c r="AE99" s="1684">
        <v>37420</v>
      </c>
      <c r="AF99" s="1685">
        <v>973</v>
      </c>
      <c r="AG99" s="1684">
        <v>37146</v>
      </c>
      <c r="AH99" s="1685">
        <v>915</v>
      </c>
      <c r="AI99" s="1684">
        <v>37767</v>
      </c>
      <c r="AJ99" s="1685">
        <v>1230</v>
      </c>
      <c r="AK99" s="1686">
        <v>36716</v>
      </c>
      <c r="AL99" s="1685">
        <v>2014</v>
      </c>
      <c r="AM99" s="1684">
        <v>39349</v>
      </c>
      <c r="AN99" s="1685">
        <v>2326</v>
      </c>
      <c r="AO99" s="461">
        <v>40021</v>
      </c>
      <c r="AP99" s="462">
        <v>2373</v>
      </c>
      <c r="AQ99" s="463">
        <v>39768</v>
      </c>
      <c r="AR99" s="464">
        <v>2156</v>
      </c>
      <c r="AS99" s="463">
        <v>40012</v>
      </c>
      <c r="AT99" s="1072">
        <v>2024</v>
      </c>
    </row>
    <row r="100" spans="1:46" ht="15" customHeight="1">
      <c r="A100" s="449" t="s">
        <v>14</v>
      </c>
      <c r="B100" s="465" t="s">
        <v>15</v>
      </c>
      <c r="C100" s="190" t="s">
        <v>267</v>
      </c>
      <c r="D100" s="451">
        <f t="shared" si="42"/>
        <v>1.7673817395411271E-2</v>
      </c>
      <c r="E100" s="452">
        <f t="shared" si="43"/>
        <v>2.697317442160806E-2</v>
      </c>
      <c r="F100" s="453">
        <f t="shared" si="44"/>
        <v>4.2135702889558591E-2</v>
      </c>
      <c r="G100" s="453">
        <f t="shared" si="45"/>
        <v>2.986396104284569E-2</v>
      </c>
      <c r="H100" s="453">
        <f t="shared" si="46"/>
        <v>2.6632393159383545E-2</v>
      </c>
      <c r="I100" s="453">
        <f t="shared" si="47"/>
        <v>2.5650945497602551E-2</v>
      </c>
      <c r="J100" s="453">
        <f t="shared" si="48"/>
        <v>2.1999884997987464E-2</v>
      </c>
      <c r="K100" s="453">
        <f t="shared" si="49"/>
        <v>2.244061324198349E-2</v>
      </c>
      <c r="L100" s="453">
        <f t="shared" si="50"/>
        <v>2.7634610233056522E-2</v>
      </c>
      <c r="M100" s="453">
        <f t="shared" si="51"/>
        <v>4.9902245706737118E-2</v>
      </c>
      <c r="N100" s="453">
        <f t="shared" si="52"/>
        <v>5.1356855207761301E-2</v>
      </c>
      <c r="O100" s="454">
        <f t="shared" si="53"/>
        <v>4.6206160821442861E-2</v>
      </c>
      <c r="P100" s="455">
        <f t="shared" si="54"/>
        <v>4.2135702889558591E-2</v>
      </c>
      <c r="Q100" s="1069">
        <f t="shared" si="55"/>
        <v>4.1020004396570678E-2</v>
      </c>
      <c r="R100" s="219"/>
      <c r="S100" s="456">
        <v>80458</v>
      </c>
      <c r="T100" s="457">
        <v>1422</v>
      </c>
      <c r="U100" s="458">
        <v>81303</v>
      </c>
      <c r="V100" s="459">
        <v>2193</v>
      </c>
      <c r="W100" s="458">
        <v>83557</v>
      </c>
      <c r="X100" s="459">
        <v>2858</v>
      </c>
      <c r="Y100" s="458">
        <v>83579</v>
      </c>
      <c r="Z100" s="459">
        <v>2496</v>
      </c>
      <c r="AA100" s="458">
        <v>85197</v>
      </c>
      <c r="AB100" s="459">
        <v>2269</v>
      </c>
      <c r="AC100" s="458">
        <v>85299</v>
      </c>
      <c r="AD100" s="459">
        <v>2188</v>
      </c>
      <c r="AE100" s="458">
        <v>86955</v>
      </c>
      <c r="AF100" s="459">
        <v>1913</v>
      </c>
      <c r="AG100" s="458">
        <v>89035</v>
      </c>
      <c r="AH100" s="459">
        <v>1998</v>
      </c>
      <c r="AI100" s="458">
        <v>93325</v>
      </c>
      <c r="AJ100" s="459">
        <v>2579</v>
      </c>
      <c r="AK100" s="460">
        <v>94625</v>
      </c>
      <c r="AL100" s="459">
        <v>4722</v>
      </c>
      <c r="AM100" s="458">
        <v>87408</v>
      </c>
      <c r="AN100" s="459">
        <v>4489</v>
      </c>
      <c r="AO100" s="461">
        <v>89988</v>
      </c>
      <c r="AP100" s="462">
        <v>4158</v>
      </c>
      <c r="AQ100" s="463">
        <v>90256</v>
      </c>
      <c r="AR100" s="464">
        <v>3803</v>
      </c>
      <c r="AS100" s="463">
        <v>90980</v>
      </c>
      <c r="AT100" s="1072">
        <v>3732</v>
      </c>
    </row>
    <row r="101" spans="1:46" ht="15" customHeight="1">
      <c r="A101" s="449" t="s">
        <v>34</v>
      </c>
      <c r="B101" s="465" t="s">
        <v>35</v>
      </c>
      <c r="C101" s="190" t="s">
        <v>268</v>
      </c>
      <c r="D101" s="451">
        <f t="shared" ref="D101:D124" si="56">T101/S101</f>
        <v>3.1735404392072841E-2</v>
      </c>
      <c r="E101" s="452">
        <f t="shared" ref="E101:E124" si="57">V101/U101</f>
        <v>4.1694242223692918E-2</v>
      </c>
      <c r="F101" s="453">
        <f t="shared" ref="F101:F124" si="58">AR101/AQ101</f>
        <v>7.7998252839136403E-2</v>
      </c>
      <c r="G101" s="453">
        <f t="shared" ref="G101:G124" si="59">Z101/Y101</f>
        <v>6.1846580173825418E-2</v>
      </c>
      <c r="H101" s="453">
        <f t="shared" ref="H101:H124" si="60">AB101/AA101</f>
        <v>6.0633137605310188E-2</v>
      </c>
      <c r="I101" s="453">
        <f t="shared" ref="I101:I124" si="61">AD101/AC101</f>
        <v>5.4085303186022608E-2</v>
      </c>
      <c r="J101" s="453">
        <f t="shared" ref="J101:J124" si="62">AF101/AE101</f>
        <v>4.7960725075528704E-2</v>
      </c>
      <c r="K101" s="453">
        <f t="shared" ref="K101:K124" si="63">AH101/AG101</f>
        <v>5.1715438950554998E-2</v>
      </c>
      <c r="L101" s="453">
        <f t="shared" ref="L101:L124" si="64">AJ101/AI101</f>
        <v>5.777064559930873E-2</v>
      </c>
      <c r="M101" s="453">
        <f t="shared" ref="M101:M124" si="65">AL101/AK101</f>
        <v>0.1033214854761613</v>
      </c>
      <c r="N101" s="453">
        <f t="shared" ref="N101:N124" si="66">AN101/AM101</f>
        <v>9.9006211180124218E-2</v>
      </c>
      <c r="O101" s="454">
        <f t="shared" ref="O101:O124" si="67">AP101/AO101</f>
        <v>9.6801653897604284E-2</v>
      </c>
      <c r="P101" s="455">
        <f t="shared" ref="P101:P124" si="68">AR101/AQ101</f>
        <v>7.7998252839136403E-2</v>
      </c>
      <c r="Q101" s="1069">
        <f t="shared" ref="Q101:Q124" si="69">AT101/AS101</f>
        <v>7.8177517739325283E-2</v>
      </c>
      <c r="R101" s="219"/>
      <c r="S101" s="456">
        <v>7468</v>
      </c>
      <c r="T101" s="457">
        <v>237</v>
      </c>
      <c r="U101" s="458">
        <v>7555</v>
      </c>
      <c r="V101" s="459">
        <v>315</v>
      </c>
      <c r="W101" s="458">
        <v>7609</v>
      </c>
      <c r="X101" s="459">
        <v>377</v>
      </c>
      <c r="Y101" s="458">
        <v>7939</v>
      </c>
      <c r="Z101" s="459">
        <v>491</v>
      </c>
      <c r="AA101" s="458">
        <v>7834</v>
      </c>
      <c r="AB101" s="459">
        <v>475</v>
      </c>
      <c r="AC101" s="458">
        <v>7784</v>
      </c>
      <c r="AD101" s="459">
        <v>421</v>
      </c>
      <c r="AE101" s="458">
        <v>7944</v>
      </c>
      <c r="AF101" s="459">
        <v>381</v>
      </c>
      <c r="AG101" s="458">
        <v>7928</v>
      </c>
      <c r="AH101" s="459">
        <v>410</v>
      </c>
      <c r="AI101" s="458">
        <v>8101</v>
      </c>
      <c r="AJ101" s="459">
        <v>468</v>
      </c>
      <c r="AK101" s="460">
        <v>8159</v>
      </c>
      <c r="AL101" s="459">
        <v>843</v>
      </c>
      <c r="AM101" s="458">
        <v>8050</v>
      </c>
      <c r="AN101" s="459">
        <v>797</v>
      </c>
      <c r="AO101" s="461">
        <v>8223</v>
      </c>
      <c r="AP101" s="462">
        <v>796</v>
      </c>
      <c r="AQ101" s="463">
        <v>8013</v>
      </c>
      <c r="AR101" s="464">
        <v>625</v>
      </c>
      <c r="AS101" s="463">
        <v>8033</v>
      </c>
      <c r="AT101" s="1072">
        <v>628</v>
      </c>
    </row>
    <row r="102" spans="1:46" ht="15" customHeight="1">
      <c r="A102" s="449" t="s">
        <v>52</v>
      </c>
      <c r="B102" s="465" t="s">
        <v>53</v>
      </c>
      <c r="C102" s="190" t="s">
        <v>265</v>
      </c>
      <c r="D102" s="451">
        <f t="shared" si="56"/>
        <v>2.9387331256490134E-2</v>
      </c>
      <c r="E102" s="452">
        <f t="shared" si="57"/>
        <v>3.5909568874868562E-2</v>
      </c>
      <c r="F102" s="453">
        <f t="shared" si="58"/>
        <v>5.2534354584365846E-2</v>
      </c>
      <c r="G102" s="453">
        <f t="shared" si="59"/>
        <v>4.1420720537349888E-2</v>
      </c>
      <c r="H102" s="453">
        <f t="shared" si="60"/>
        <v>4.0241145440844006E-2</v>
      </c>
      <c r="I102" s="453">
        <f t="shared" si="61"/>
        <v>3.764682260817187E-2</v>
      </c>
      <c r="J102" s="453">
        <f t="shared" si="62"/>
        <v>3.195967110415035E-2</v>
      </c>
      <c r="K102" s="453">
        <f t="shared" si="63"/>
        <v>3.0791788856304986E-2</v>
      </c>
      <c r="L102" s="453">
        <f t="shared" si="64"/>
        <v>3.8981336765652297E-2</v>
      </c>
      <c r="M102" s="453">
        <f t="shared" si="65"/>
        <v>6.7033976124885222E-2</v>
      </c>
      <c r="N102" s="453">
        <f t="shared" si="66"/>
        <v>6.4296174263225328E-2</v>
      </c>
      <c r="O102" s="454">
        <f t="shared" si="67"/>
        <v>6.0120149961606216E-2</v>
      </c>
      <c r="P102" s="455">
        <f t="shared" si="68"/>
        <v>5.2534354584365846E-2</v>
      </c>
      <c r="Q102" s="1069">
        <f t="shared" si="69"/>
        <v>4.8701880035810205E-2</v>
      </c>
      <c r="R102" s="219"/>
      <c r="S102" s="456">
        <v>19260</v>
      </c>
      <c r="T102" s="457">
        <v>566</v>
      </c>
      <c r="U102" s="458">
        <v>19020</v>
      </c>
      <c r="V102" s="459">
        <v>683</v>
      </c>
      <c r="W102" s="458">
        <v>19740</v>
      </c>
      <c r="X102" s="459">
        <v>763</v>
      </c>
      <c r="Y102" s="458">
        <v>19652</v>
      </c>
      <c r="Z102" s="459">
        <v>814</v>
      </c>
      <c r="AA102" s="458">
        <v>19905</v>
      </c>
      <c r="AB102" s="459">
        <v>801</v>
      </c>
      <c r="AC102" s="458">
        <v>19922</v>
      </c>
      <c r="AD102" s="459">
        <v>750</v>
      </c>
      <c r="AE102" s="458">
        <v>20432</v>
      </c>
      <c r="AF102" s="459">
        <v>653</v>
      </c>
      <c r="AG102" s="458">
        <v>21142</v>
      </c>
      <c r="AH102" s="459">
        <v>651</v>
      </c>
      <c r="AI102" s="458">
        <v>21754</v>
      </c>
      <c r="AJ102" s="459">
        <v>848</v>
      </c>
      <c r="AK102" s="460">
        <v>21780</v>
      </c>
      <c r="AL102" s="459">
        <v>1460</v>
      </c>
      <c r="AM102" s="458">
        <v>21852</v>
      </c>
      <c r="AN102" s="459">
        <v>1405</v>
      </c>
      <c r="AO102" s="461">
        <v>22139</v>
      </c>
      <c r="AP102" s="462">
        <v>1331</v>
      </c>
      <c r="AQ102" s="463">
        <v>22195</v>
      </c>
      <c r="AR102" s="464">
        <v>1166</v>
      </c>
      <c r="AS102" s="463">
        <v>22340</v>
      </c>
      <c r="AT102" s="1072">
        <v>1088</v>
      </c>
    </row>
    <row r="103" spans="1:46" ht="15" customHeight="1">
      <c r="A103" s="449" t="s">
        <v>54</v>
      </c>
      <c r="B103" s="465" t="s">
        <v>55</v>
      </c>
      <c r="C103" s="190" t="s">
        <v>264</v>
      </c>
      <c r="D103" s="451">
        <f t="shared" si="56"/>
        <v>2.2726805923552487E-2</v>
      </c>
      <c r="E103" s="452">
        <f t="shared" si="57"/>
        <v>2.9324465180920235E-2</v>
      </c>
      <c r="F103" s="453">
        <f t="shared" si="58"/>
        <v>6.0685793317478788E-2</v>
      </c>
      <c r="G103" s="453">
        <f t="shared" si="59"/>
        <v>3.8424699983097638E-2</v>
      </c>
      <c r="H103" s="453">
        <f t="shared" si="60"/>
        <v>3.6383087670531437E-2</v>
      </c>
      <c r="I103" s="453">
        <f t="shared" si="61"/>
        <v>3.5573825921378109E-2</v>
      </c>
      <c r="J103" s="453">
        <f t="shared" si="62"/>
        <v>3.2200232625254704E-2</v>
      </c>
      <c r="K103" s="453">
        <f t="shared" si="63"/>
        <v>3.0347506635495947E-2</v>
      </c>
      <c r="L103" s="453">
        <f t="shared" si="64"/>
        <v>3.8573913341501655E-2</v>
      </c>
      <c r="M103" s="453">
        <f t="shared" si="65"/>
        <v>6.6089959393329401E-2</v>
      </c>
      <c r="N103" s="453">
        <f t="shared" si="66"/>
        <v>7.0252260828177052E-2</v>
      </c>
      <c r="O103" s="454">
        <f t="shared" si="67"/>
        <v>6.6218190466483196E-2</v>
      </c>
      <c r="P103" s="455">
        <f t="shared" si="68"/>
        <v>6.0685793317478788E-2</v>
      </c>
      <c r="Q103" s="1069">
        <f t="shared" si="69"/>
        <v>5.6573077052094863E-2</v>
      </c>
      <c r="R103" s="219"/>
      <c r="S103" s="456">
        <v>97374</v>
      </c>
      <c r="T103" s="457">
        <v>2213</v>
      </c>
      <c r="U103" s="458">
        <v>100735</v>
      </c>
      <c r="V103" s="459">
        <v>2954</v>
      </c>
      <c r="W103" s="458">
        <v>103859</v>
      </c>
      <c r="X103" s="459">
        <v>3817</v>
      </c>
      <c r="Y103" s="458">
        <v>106494</v>
      </c>
      <c r="Z103" s="459">
        <v>4092</v>
      </c>
      <c r="AA103" s="458">
        <v>109364</v>
      </c>
      <c r="AB103" s="459">
        <v>3979</v>
      </c>
      <c r="AC103" s="458">
        <v>112386</v>
      </c>
      <c r="AD103" s="459">
        <v>3998</v>
      </c>
      <c r="AE103" s="458">
        <v>114347</v>
      </c>
      <c r="AF103" s="459">
        <v>3682</v>
      </c>
      <c r="AG103" s="458">
        <v>113782</v>
      </c>
      <c r="AH103" s="459">
        <v>3453</v>
      </c>
      <c r="AI103" s="458">
        <v>116711</v>
      </c>
      <c r="AJ103" s="459">
        <v>4502</v>
      </c>
      <c r="AK103" s="460">
        <v>115252</v>
      </c>
      <c r="AL103" s="459">
        <v>7617</v>
      </c>
      <c r="AM103" s="458">
        <v>115555</v>
      </c>
      <c r="AN103" s="459">
        <v>8118</v>
      </c>
      <c r="AO103" s="461">
        <v>117732</v>
      </c>
      <c r="AP103" s="462">
        <v>7796</v>
      </c>
      <c r="AQ103" s="463">
        <v>118578</v>
      </c>
      <c r="AR103" s="464">
        <v>7196</v>
      </c>
      <c r="AS103" s="463">
        <v>119244</v>
      </c>
      <c r="AT103" s="1072">
        <v>6746</v>
      </c>
    </row>
    <row r="104" spans="1:46" ht="15" customHeight="1">
      <c r="A104" s="449" t="s">
        <v>66</v>
      </c>
      <c r="B104" s="465" t="s">
        <v>67</v>
      </c>
      <c r="C104" s="190" t="s">
        <v>265</v>
      </c>
      <c r="D104" s="451">
        <f t="shared" si="56"/>
        <v>4.3566219713008704E-2</v>
      </c>
      <c r="E104" s="452">
        <f t="shared" si="57"/>
        <v>6.9532237673830599E-2</v>
      </c>
      <c r="F104" s="453">
        <f t="shared" si="58"/>
        <v>0.10283855396400651</v>
      </c>
      <c r="G104" s="453">
        <f t="shared" si="59"/>
        <v>9.4343049123762832E-2</v>
      </c>
      <c r="H104" s="453">
        <f t="shared" si="60"/>
        <v>9.1992621671475192E-2</v>
      </c>
      <c r="I104" s="453">
        <f t="shared" si="61"/>
        <v>0.10009986209520186</v>
      </c>
      <c r="J104" s="453">
        <f t="shared" si="62"/>
        <v>8.6327370038158477E-2</v>
      </c>
      <c r="K104" s="453">
        <f t="shared" si="63"/>
        <v>7.447621960544426E-2</v>
      </c>
      <c r="L104" s="453">
        <f t="shared" si="64"/>
        <v>9.2485262792886505E-2</v>
      </c>
      <c r="M104" s="453">
        <f t="shared" si="65"/>
        <v>0.13978335064549635</v>
      </c>
      <c r="N104" s="453">
        <f t="shared" si="66"/>
        <v>0.13678528379015775</v>
      </c>
      <c r="O104" s="454">
        <f t="shared" si="67"/>
        <v>0.11826957823550668</v>
      </c>
      <c r="P104" s="455">
        <f t="shared" si="68"/>
        <v>0.10283855396400651</v>
      </c>
      <c r="Q104" s="1069">
        <f t="shared" si="69"/>
        <v>9.5351672231939369E-2</v>
      </c>
      <c r="R104" s="219"/>
      <c r="S104" s="456">
        <v>21255</v>
      </c>
      <c r="T104" s="457">
        <v>926</v>
      </c>
      <c r="U104" s="458">
        <v>21357</v>
      </c>
      <c r="V104" s="459">
        <v>1485</v>
      </c>
      <c r="W104" s="458">
        <v>21787</v>
      </c>
      <c r="X104" s="459">
        <v>1873</v>
      </c>
      <c r="Y104" s="458">
        <v>22026</v>
      </c>
      <c r="Z104" s="459">
        <v>2078</v>
      </c>
      <c r="AA104" s="458">
        <v>21143</v>
      </c>
      <c r="AB104" s="459">
        <v>1945</v>
      </c>
      <c r="AC104" s="458">
        <v>21029</v>
      </c>
      <c r="AD104" s="459">
        <v>2105</v>
      </c>
      <c r="AE104" s="458">
        <v>20179</v>
      </c>
      <c r="AF104" s="459">
        <v>1742</v>
      </c>
      <c r="AG104" s="458">
        <v>19617</v>
      </c>
      <c r="AH104" s="459">
        <v>1461</v>
      </c>
      <c r="AI104" s="458">
        <v>20187</v>
      </c>
      <c r="AJ104" s="459">
        <v>1867</v>
      </c>
      <c r="AK104" s="460">
        <v>20217</v>
      </c>
      <c r="AL104" s="459">
        <v>2826</v>
      </c>
      <c r="AM104" s="458">
        <v>19081</v>
      </c>
      <c r="AN104" s="459">
        <v>2610</v>
      </c>
      <c r="AO104" s="461">
        <v>19371</v>
      </c>
      <c r="AP104" s="462">
        <v>2291</v>
      </c>
      <c r="AQ104" s="463">
        <v>19059</v>
      </c>
      <c r="AR104" s="464">
        <v>1960</v>
      </c>
      <c r="AS104" s="463">
        <v>18867</v>
      </c>
      <c r="AT104" s="1072">
        <v>1799</v>
      </c>
    </row>
    <row r="105" spans="1:46" ht="15" customHeight="1">
      <c r="A105" s="449" t="s">
        <v>82</v>
      </c>
      <c r="B105" s="465" t="s">
        <v>311</v>
      </c>
      <c r="C105" s="190" t="s">
        <v>264</v>
      </c>
      <c r="D105" s="451">
        <f t="shared" si="56"/>
        <v>3.1567080045095827E-2</v>
      </c>
      <c r="E105" s="452">
        <f t="shared" si="57"/>
        <v>4.3576683644595361E-2</v>
      </c>
      <c r="F105" s="453">
        <f t="shared" si="58"/>
        <v>9.5124536301006896E-2</v>
      </c>
      <c r="G105" s="453">
        <f t="shared" si="59"/>
        <v>4.8734518039849219E-2</v>
      </c>
      <c r="H105" s="453">
        <f t="shared" si="60"/>
        <v>4.9175898405836263E-2</v>
      </c>
      <c r="I105" s="453">
        <f t="shared" si="61"/>
        <v>5.1240992794235385E-2</v>
      </c>
      <c r="J105" s="453">
        <f t="shared" si="62"/>
        <v>4.6829781636411473E-2</v>
      </c>
      <c r="K105" s="453">
        <f t="shared" si="63"/>
        <v>4.6350832266325227E-2</v>
      </c>
      <c r="L105" s="453">
        <f t="shared" si="64"/>
        <v>6.2689585439838214E-2</v>
      </c>
      <c r="M105" s="453">
        <f t="shared" si="65"/>
        <v>0.10474507824331146</v>
      </c>
      <c r="N105" s="453">
        <f t="shared" si="66"/>
        <v>0.11448166710630441</v>
      </c>
      <c r="O105" s="454">
        <f t="shared" si="67"/>
        <v>0.10585763068032572</v>
      </c>
      <c r="P105" s="455">
        <f t="shared" si="68"/>
        <v>9.5124536301006896E-2</v>
      </c>
      <c r="Q105" s="1069">
        <f t="shared" si="69"/>
        <v>8.6254107338444685E-2</v>
      </c>
      <c r="R105" s="219"/>
      <c r="S105" s="456">
        <v>3548</v>
      </c>
      <c r="T105" s="457">
        <v>112</v>
      </c>
      <c r="U105" s="458">
        <v>3534</v>
      </c>
      <c r="V105" s="459">
        <v>154</v>
      </c>
      <c r="W105" s="458">
        <v>3551</v>
      </c>
      <c r="X105" s="459">
        <v>170</v>
      </c>
      <c r="Y105" s="458">
        <v>3714</v>
      </c>
      <c r="Z105" s="459">
        <v>181</v>
      </c>
      <c r="AA105" s="458">
        <v>3701</v>
      </c>
      <c r="AB105" s="459">
        <v>182</v>
      </c>
      <c r="AC105" s="458">
        <v>3747</v>
      </c>
      <c r="AD105" s="459">
        <v>192</v>
      </c>
      <c r="AE105" s="458">
        <v>3801</v>
      </c>
      <c r="AF105" s="459">
        <v>178</v>
      </c>
      <c r="AG105" s="458">
        <v>3905</v>
      </c>
      <c r="AH105" s="459">
        <v>181</v>
      </c>
      <c r="AI105" s="458">
        <v>3956</v>
      </c>
      <c r="AJ105" s="459">
        <v>248</v>
      </c>
      <c r="AK105" s="460">
        <v>3962</v>
      </c>
      <c r="AL105" s="459">
        <v>415</v>
      </c>
      <c r="AM105" s="458">
        <v>3791</v>
      </c>
      <c r="AN105" s="459">
        <v>434</v>
      </c>
      <c r="AO105" s="461">
        <v>3807</v>
      </c>
      <c r="AP105" s="462">
        <v>403</v>
      </c>
      <c r="AQ105" s="463">
        <v>3774</v>
      </c>
      <c r="AR105" s="464">
        <v>359</v>
      </c>
      <c r="AS105" s="463">
        <v>3652</v>
      </c>
      <c r="AT105" s="1072">
        <v>315</v>
      </c>
    </row>
    <row r="106" spans="1:46" ht="15" customHeight="1">
      <c r="A106" s="449" t="s">
        <v>88</v>
      </c>
      <c r="B106" s="465" t="s">
        <v>89</v>
      </c>
      <c r="C106" s="190" t="s">
        <v>267</v>
      </c>
      <c r="D106" s="451">
        <f t="shared" si="56"/>
        <v>2.2900019489378289E-2</v>
      </c>
      <c r="E106" s="452">
        <f t="shared" si="57"/>
        <v>3.5592255125284737E-2</v>
      </c>
      <c r="F106" s="453">
        <f t="shared" si="58"/>
        <v>5.8394662631542749E-2</v>
      </c>
      <c r="G106" s="453">
        <f t="shared" si="59"/>
        <v>5.225409836065574E-2</v>
      </c>
      <c r="H106" s="453">
        <f t="shared" si="60"/>
        <v>4.7491757996970509E-2</v>
      </c>
      <c r="I106" s="453">
        <f t="shared" si="61"/>
        <v>4.409420931468036E-2</v>
      </c>
      <c r="J106" s="453">
        <f t="shared" si="62"/>
        <v>3.9286326985760851E-2</v>
      </c>
      <c r="K106" s="453">
        <f t="shared" si="63"/>
        <v>4.5189975747776882E-2</v>
      </c>
      <c r="L106" s="453">
        <f t="shared" si="64"/>
        <v>6.0472998998536323E-2</v>
      </c>
      <c r="M106" s="453">
        <f t="shared" si="65"/>
        <v>9.7046413502109699E-2</v>
      </c>
      <c r="N106" s="453">
        <f t="shared" si="66"/>
        <v>7.2269929325936622E-2</v>
      </c>
      <c r="O106" s="454">
        <f t="shared" si="67"/>
        <v>6.5869126549437884E-2</v>
      </c>
      <c r="P106" s="455">
        <f t="shared" si="68"/>
        <v>5.8394662631542749E-2</v>
      </c>
      <c r="Q106" s="1069">
        <f t="shared" si="69"/>
        <v>5.5574543714539612E-2</v>
      </c>
      <c r="R106" s="219"/>
      <c r="S106" s="456">
        <v>10262</v>
      </c>
      <c r="T106" s="457">
        <v>235</v>
      </c>
      <c r="U106" s="458">
        <v>10536</v>
      </c>
      <c r="V106" s="459">
        <v>375</v>
      </c>
      <c r="W106" s="458">
        <v>10762</v>
      </c>
      <c r="X106" s="459">
        <v>583</v>
      </c>
      <c r="Y106" s="458">
        <v>10736</v>
      </c>
      <c r="Z106" s="459">
        <v>561</v>
      </c>
      <c r="AA106" s="458">
        <v>11223</v>
      </c>
      <c r="AB106" s="459">
        <v>533</v>
      </c>
      <c r="AC106" s="458">
        <v>11294</v>
      </c>
      <c r="AD106" s="459">
        <v>498</v>
      </c>
      <c r="AE106" s="458">
        <v>11658</v>
      </c>
      <c r="AF106" s="459">
        <v>458</v>
      </c>
      <c r="AG106" s="458">
        <v>12370</v>
      </c>
      <c r="AH106" s="459">
        <v>559</v>
      </c>
      <c r="AI106" s="458">
        <v>12981</v>
      </c>
      <c r="AJ106" s="459">
        <v>785</v>
      </c>
      <c r="AK106" s="460">
        <v>13035</v>
      </c>
      <c r="AL106" s="459">
        <v>1265</v>
      </c>
      <c r="AM106" s="458">
        <v>13159</v>
      </c>
      <c r="AN106" s="459">
        <v>951</v>
      </c>
      <c r="AO106" s="461">
        <v>13876</v>
      </c>
      <c r="AP106" s="462">
        <v>914</v>
      </c>
      <c r="AQ106" s="463">
        <v>14539</v>
      </c>
      <c r="AR106" s="464">
        <v>849</v>
      </c>
      <c r="AS106" s="463">
        <v>14629</v>
      </c>
      <c r="AT106" s="1072">
        <v>813</v>
      </c>
    </row>
    <row r="107" spans="1:46" ht="15" customHeight="1">
      <c r="A107" s="449" t="s">
        <v>90</v>
      </c>
      <c r="B107" s="465" t="s">
        <v>91</v>
      </c>
      <c r="C107" s="190" t="s">
        <v>268</v>
      </c>
      <c r="D107" s="451">
        <f t="shared" si="56"/>
        <v>3.4703196347031964E-2</v>
      </c>
      <c r="E107" s="452">
        <f t="shared" si="57"/>
        <v>6.019539867633155E-2</v>
      </c>
      <c r="F107" s="453">
        <f t="shared" si="58"/>
        <v>8.7131367292225204E-2</v>
      </c>
      <c r="G107" s="453">
        <f t="shared" si="59"/>
        <v>6.3804052010886E-2</v>
      </c>
      <c r="H107" s="453">
        <f t="shared" si="60"/>
        <v>5.520702634880803E-2</v>
      </c>
      <c r="I107" s="453">
        <f t="shared" si="61"/>
        <v>5.0814956855225309E-2</v>
      </c>
      <c r="J107" s="453">
        <f t="shared" si="62"/>
        <v>6.025683240039513E-2</v>
      </c>
      <c r="K107" s="453">
        <f t="shared" si="63"/>
        <v>5.6913183279742763E-2</v>
      </c>
      <c r="L107" s="453">
        <f t="shared" si="64"/>
        <v>6.1263560944479899E-2</v>
      </c>
      <c r="M107" s="453">
        <f t="shared" si="65"/>
        <v>0.10040036957191253</v>
      </c>
      <c r="N107" s="453">
        <f t="shared" si="66"/>
        <v>0.11121524523586379</v>
      </c>
      <c r="O107" s="454">
        <f t="shared" si="67"/>
        <v>0.10094936708860759</v>
      </c>
      <c r="P107" s="455">
        <f t="shared" si="68"/>
        <v>8.7131367292225204E-2</v>
      </c>
      <c r="Q107" s="1069">
        <f t="shared" si="69"/>
        <v>8.5438829787234036E-2</v>
      </c>
      <c r="R107" s="219"/>
      <c r="S107" s="456">
        <v>3285</v>
      </c>
      <c r="T107" s="457">
        <v>114</v>
      </c>
      <c r="U107" s="458">
        <v>3173</v>
      </c>
      <c r="V107" s="459">
        <v>191</v>
      </c>
      <c r="W107" s="458">
        <v>3284</v>
      </c>
      <c r="X107" s="459">
        <v>263</v>
      </c>
      <c r="Y107" s="458">
        <v>3307</v>
      </c>
      <c r="Z107" s="459">
        <v>211</v>
      </c>
      <c r="AA107" s="458">
        <v>3188</v>
      </c>
      <c r="AB107" s="459">
        <v>176</v>
      </c>
      <c r="AC107" s="458">
        <v>3129</v>
      </c>
      <c r="AD107" s="459">
        <v>159</v>
      </c>
      <c r="AE107" s="458">
        <v>3037</v>
      </c>
      <c r="AF107" s="459">
        <v>183</v>
      </c>
      <c r="AG107" s="458">
        <v>3110</v>
      </c>
      <c r="AH107" s="459">
        <v>177</v>
      </c>
      <c r="AI107" s="458">
        <v>3134</v>
      </c>
      <c r="AJ107" s="459">
        <v>192</v>
      </c>
      <c r="AK107" s="460">
        <v>3247</v>
      </c>
      <c r="AL107" s="459">
        <v>326</v>
      </c>
      <c r="AM107" s="458">
        <v>3201</v>
      </c>
      <c r="AN107" s="459">
        <v>356</v>
      </c>
      <c r="AO107" s="461">
        <v>3160</v>
      </c>
      <c r="AP107" s="462">
        <v>319</v>
      </c>
      <c r="AQ107" s="463">
        <v>2984</v>
      </c>
      <c r="AR107" s="464">
        <v>260</v>
      </c>
      <c r="AS107" s="463">
        <v>3008</v>
      </c>
      <c r="AT107" s="1072">
        <v>257</v>
      </c>
    </row>
    <row r="108" spans="1:46" ht="15" customHeight="1">
      <c r="A108" s="449" t="s">
        <v>106</v>
      </c>
      <c r="B108" s="465" t="s">
        <v>107</v>
      </c>
      <c r="C108" s="190" t="s">
        <v>264</v>
      </c>
      <c r="D108" s="451">
        <f t="shared" si="56"/>
        <v>2.6882897535343425E-2</v>
      </c>
      <c r="E108" s="452">
        <f t="shared" si="57"/>
        <v>3.4860542378119447E-2</v>
      </c>
      <c r="F108" s="453">
        <f t="shared" si="58"/>
        <v>7.730294099203612E-2</v>
      </c>
      <c r="G108" s="453">
        <f t="shared" si="59"/>
        <v>4.8798437969360169E-2</v>
      </c>
      <c r="H108" s="453">
        <f t="shared" si="60"/>
        <v>4.6526670477451189E-2</v>
      </c>
      <c r="I108" s="453">
        <f t="shared" si="61"/>
        <v>4.445039895200667E-2</v>
      </c>
      <c r="J108" s="453">
        <f t="shared" si="62"/>
        <v>3.666627000654489E-2</v>
      </c>
      <c r="K108" s="453">
        <f t="shared" si="63"/>
        <v>3.5885097268272645E-2</v>
      </c>
      <c r="L108" s="453">
        <f t="shared" si="64"/>
        <v>4.750299237125593E-2</v>
      </c>
      <c r="M108" s="453">
        <f t="shared" si="65"/>
        <v>8.1161523425931414E-2</v>
      </c>
      <c r="N108" s="453">
        <f t="shared" si="66"/>
        <v>8.8086844434781264E-2</v>
      </c>
      <c r="O108" s="454">
        <f t="shared" si="67"/>
        <v>8.5893767881577307E-2</v>
      </c>
      <c r="P108" s="455">
        <f t="shared" si="68"/>
        <v>7.730294099203612E-2</v>
      </c>
      <c r="Q108" s="1069">
        <f t="shared" si="69"/>
        <v>6.9600738735072706E-2</v>
      </c>
      <c r="R108" s="219"/>
      <c r="S108" s="456">
        <v>63944</v>
      </c>
      <c r="T108" s="457">
        <v>1719</v>
      </c>
      <c r="U108" s="458">
        <v>64715</v>
      </c>
      <c r="V108" s="459">
        <v>2256</v>
      </c>
      <c r="W108" s="458">
        <v>66173</v>
      </c>
      <c r="X108" s="459">
        <v>3200</v>
      </c>
      <c r="Y108" s="458">
        <v>66580</v>
      </c>
      <c r="Z108" s="459">
        <v>3249</v>
      </c>
      <c r="AA108" s="458">
        <v>66478</v>
      </c>
      <c r="AB108" s="459">
        <v>3093</v>
      </c>
      <c r="AC108" s="458">
        <v>67176</v>
      </c>
      <c r="AD108" s="459">
        <v>2986</v>
      </c>
      <c r="AE108" s="458">
        <v>67228</v>
      </c>
      <c r="AF108" s="459">
        <v>2465</v>
      </c>
      <c r="AG108" s="458">
        <v>68162</v>
      </c>
      <c r="AH108" s="459">
        <v>2446</v>
      </c>
      <c r="AI108" s="458">
        <v>69343</v>
      </c>
      <c r="AJ108" s="459">
        <v>3294</v>
      </c>
      <c r="AK108" s="460">
        <v>67532</v>
      </c>
      <c r="AL108" s="459">
        <v>5481</v>
      </c>
      <c r="AM108" s="458">
        <v>64391</v>
      </c>
      <c r="AN108" s="459">
        <v>5672</v>
      </c>
      <c r="AO108" s="461">
        <v>64312</v>
      </c>
      <c r="AP108" s="462">
        <v>5524</v>
      </c>
      <c r="AQ108" s="463">
        <v>63788</v>
      </c>
      <c r="AR108" s="464">
        <v>4931</v>
      </c>
      <c r="AS108" s="463">
        <v>63893</v>
      </c>
      <c r="AT108" s="1072">
        <v>4447</v>
      </c>
    </row>
    <row r="109" spans="1:46" ht="15" customHeight="1">
      <c r="A109" s="449" t="s">
        <v>116</v>
      </c>
      <c r="B109" s="465" t="s">
        <v>117</v>
      </c>
      <c r="C109" s="190" t="s">
        <v>266</v>
      </c>
      <c r="D109" s="451">
        <f t="shared" si="56"/>
        <v>2.8329766636094975E-2</v>
      </c>
      <c r="E109" s="452">
        <f t="shared" si="57"/>
        <v>4.6310278868418403E-2</v>
      </c>
      <c r="F109" s="453">
        <f t="shared" si="58"/>
        <v>8.3732057416267949E-2</v>
      </c>
      <c r="G109" s="453">
        <f t="shared" si="59"/>
        <v>6.3152709359605916E-2</v>
      </c>
      <c r="H109" s="453">
        <f t="shared" si="60"/>
        <v>5.4840294840294838E-2</v>
      </c>
      <c r="I109" s="453">
        <f t="shared" si="61"/>
        <v>5.6780808667053588E-2</v>
      </c>
      <c r="J109" s="453">
        <f t="shared" si="62"/>
        <v>4.619565217391304E-2</v>
      </c>
      <c r="K109" s="453">
        <f t="shared" si="63"/>
        <v>4.6981804178299801E-2</v>
      </c>
      <c r="L109" s="453">
        <f t="shared" si="64"/>
        <v>5.9793814432989693E-2</v>
      </c>
      <c r="M109" s="453">
        <f t="shared" si="65"/>
        <v>0.10801886792452831</v>
      </c>
      <c r="N109" s="453">
        <f t="shared" si="66"/>
        <v>0.10805230557467309</v>
      </c>
      <c r="O109" s="454">
        <f t="shared" si="67"/>
        <v>0.10347174948944861</v>
      </c>
      <c r="P109" s="455">
        <f t="shared" si="68"/>
        <v>8.3732057416267949E-2</v>
      </c>
      <c r="Q109" s="1069">
        <f t="shared" si="69"/>
        <v>8.5102201257861637E-2</v>
      </c>
      <c r="R109" s="219"/>
      <c r="S109" s="456">
        <v>9813</v>
      </c>
      <c r="T109" s="457">
        <v>278</v>
      </c>
      <c r="U109" s="458">
        <v>9933</v>
      </c>
      <c r="V109" s="459">
        <v>460</v>
      </c>
      <c r="W109" s="458">
        <v>10155</v>
      </c>
      <c r="X109" s="459">
        <v>625</v>
      </c>
      <c r="Y109" s="458">
        <v>10150</v>
      </c>
      <c r="Z109" s="459">
        <v>641</v>
      </c>
      <c r="AA109" s="458">
        <v>10175</v>
      </c>
      <c r="AB109" s="459">
        <v>558</v>
      </c>
      <c r="AC109" s="458">
        <v>10338</v>
      </c>
      <c r="AD109" s="459">
        <v>587</v>
      </c>
      <c r="AE109" s="458">
        <v>10304</v>
      </c>
      <c r="AF109" s="459">
        <v>476</v>
      </c>
      <c r="AG109" s="458">
        <v>10387</v>
      </c>
      <c r="AH109" s="459">
        <v>488</v>
      </c>
      <c r="AI109" s="458">
        <v>10670</v>
      </c>
      <c r="AJ109" s="459">
        <v>638</v>
      </c>
      <c r="AK109" s="460">
        <v>10600</v>
      </c>
      <c r="AL109" s="459">
        <v>1145</v>
      </c>
      <c r="AM109" s="458">
        <v>10171</v>
      </c>
      <c r="AN109" s="459">
        <v>1099</v>
      </c>
      <c r="AO109" s="461">
        <v>10283</v>
      </c>
      <c r="AP109" s="462">
        <v>1064</v>
      </c>
      <c r="AQ109" s="463">
        <v>10032</v>
      </c>
      <c r="AR109" s="464">
        <v>840</v>
      </c>
      <c r="AS109" s="463">
        <v>10176</v>
      </c>
      <c r="AT109" s="1072">
        <v>866</v>
      </c>
    </row>
    <row r="110" spans="1:46" ht="15" customHeight="1">
      <c r="A110" s="449" t="s">
        <v>138</v>
      </c>
      <c r="B110" s="465" t="s">
        <v>139</v>
      </c>
      <c r="C110" s="190" t="s">
        <v>265</v>
      </c>
      <c r="D110" s="451">
        <f t="shared" si="56"/>
        <v>2.4182216267442241E-2</v>
      </c>
      <c r="E110" s="452">
        <f t="shared" si="57"/>
        <v>4.1346089516290895E-2</v>
      </c>
      <c r="F110" s="453">
        <f t="shared" si="58"/>
        <v>7.4948989855447304E-2</v>
      </c>
      <c r="G110" s="453">
        <f t="shared" si="59"/>
        <v>5.5768179332968834E-2</v>
      </c>
      <c r="H110" s="453">
        <f t="shared" si="60"/>
        <v>5.013676588897828E-2</v>
      </c>
      <c r="I110" s="453">
        <f t="shared" si="61"/>
        <v>4.5067107690350487E-2</v>
      </c>
      <c r="J110" s="453">
        <f t="shared" si="62"/>
        <v>3.6199236593454726E-2</v>
      </c>
      <c r="K110" s="453">
        <f t="shared" si="63"/>
        <v>3.7760105237981345E-2</v>
      </c>
      <c r="L110" s="453">
        <f t="shared" si="64"/>
        <v>4.7854644715516509E-2</v>
      </c>
      <c r="M110" s="453">
        <f t="shared" si="65"/>
        <v>8.356689355373792E-2</v>
      </c>
      <c r="N110" s="453">
        <f t="shared" si="66"/>
        <v>8.5977658444131758E-2</v>
      </c>
      <c r="O110" s="454">
        <f t="shared" si="67"/>
        <v>8.1041720209029389E-2</v>
      </c>
      <c r="P110" s="455">
        <f t="shared" si="68"/>
        <v>7.4948989855447304E-2</v>
      </c>
      <c r="Q110" s="1069">
        <f t="shared" si="69"/>
        <v>7.1050968223869443E-2</v>
      </c>
      <c r="R110" s="219"/>
      <c r="S110" s="456">
        <v>30601</v>
      </c>
      <c r="T110" s="457">
        <v>740</v>
      </c>
      <c r="U110" s="458">
        <v>29894</v>
      </c>
      <c r="V110" s="459">
        <v>1236</v>
      </c>
      <c r="W110" s="458">
        <v>30473</v>
      </c>
      <c r="X110" s="459">
        <v>1785</v>
      </c>
      <c r="Y110" s="458">
        <v>31093</v>
      </c>
      <c r="Z110" s="459">
        <v>1734</v>
      </c>
      <c r="AA110" s="458">
        <v>31075</v>
      </c>
      <c r="AB110" s="459">
        <v>1558</v>
      </c>
      <c r="AC110" s="458">
        <v>31442</v>
      </c>
      <c r="AD110" s="459">
        <v>1417</v>
      </c>
      <c r="AE110" s="458">
        <v>31962</v>
      </c>
      <c r="AF110" s="459">
        <v>1157</v>
      </c>
      <c r="AG110" s="458">
        <v>33448</v>
      </c>
      <c r="AH110" s="459">
        <v>1263</v>
      </c>
      <c r="AI110" s="458">
        <v>35169</v>
      </c>
      <c r="AJ110" s="459">
        <v>1683</v>
      </c>
      <c r="AK110" s="460">
        <v>34966</v>
      </c>
      <c r="AL110" s="459">
        <v>2922</v>
      </c>
      <c r="AM110" s="458">
        <v>34823</v>
      </c>
      <c r="AN110" s="459">
        <v>2994</v>
      </c>
      <c r="AO110" s="461">
        <v>35019</v>
      </c>
      <c r="AP110" s="462">
        <v>2838</v>
      </c>
      <c r="AQ110" s="463">
        <v>34797</v>
      </c>
      <c r="AR110" s="464">
        <v>2608</v>
      </c>
      <c r="AS110" s="463">
        <v>34806</v>
      </c>
      <c r="AT110" s="1072">
        <v>2473</v>
      </c>
    </row>
    <row r="111" spans="1:46" ht="15" customHeight="1">
      <c r="A111" s="449" t="s">
        <v>142</v>
      </c>
      <c r="B111" s="465" t="s">
        <v>143</v>
      </c>
      <c r="C111" s="190" t="s">
        <v>267</v>
      </c>
      <c r="D111" s="451">
        <f t="shared" si="56"/>
        <v>1.6701461377870562E-2</v>
      </c>
      <c r="E111" s="452">
        <f t="shared" si="57"/>
        <v>3.1484794275491952E-2</v>
      </c>
      <c r="F111" s="453">
        <f t="shared" si="58"/>
        <v>5.1706120223544913E-2</v>
      </c>
      <c r="G111" s="453">
        <f t="shared" si="59"/>
        <v>3.4189743077076874E-2</v>
      </c>
      <c r="H111" s="453">
        <f t="shared" si="60"/>
        <v>3.0415466484401698E-2</v>
      </c>
      <c r="I111" s="453">
        <f t="shared" si="61"/>
        <v>2.8420644911397307E-2</v>
      </c>
      <c r="J111" s="453">
        <f t="shared" si="62"/>
        <v>2.5968266482704248E-2</v>
      </c>
      <c r="K111" s="453">
        <f t="shared" si="63"/>
        <v>2.9320595558717414E-2</v>
      </c>
      <c r="L111" s="453">
        <f t="shared" si="64"/>
        <v>4.2238805970149257E-2</v>
      </c>
      <c r="M111" s="453">
        <f t="shared" si="65"/>
        <v>7.5832846288720043E-2</v>
      </c>
      <c r="N111" s="453">
        <f t="shared" si="66"/>
        <v>6.3923868114966836E-2</v>
      </c>
      <c r="O111" s="454">
        <f t="shared" si="67"/>
        <v>5.5534901013105306E-2</v>
      </c>
      <c r="P111" s="455">
        <f t="shared" si="68"/>
        <v>5.1706120223544913E-2</v>
      </c>
      <c r="Q111" s="1069">
        <f t="shared" si="69"/>
        <v>5.0660296570063552E-2</v>
      </c>
      <c r="R111" s="219"/>
      <c r="S111" s="456">
        <v>19160</v>
      </c>
      <c r="T111" s="457">
        <v>320</v>
      </c>
      <c r="U111" s="458">
        <v>19565</v>
      </c>
      <c r="V111" s="459">
        <v>616</v>
      </c>
      <c r="W111" s="458">
        <v>19960</v>
      </c>
      <c r="X111" s="459">
        <v>859</v>
      </c>
      <c r="Y111" s="458">
        <v>20006</v>
      </c>
      <c r="Z111" s="459">
        <v>684</v>
      </c>
      <c r="AA111" s="458">
        <v>20483</v>
      </c>
      <c r="AB111" s="459">
        <v>623</v>
      </c>
      <c r="AC111" s="458">
        <v>20654</v>
      </c>
      <c r="AD111" s="459">
        <v>587</v>
      </c>
      <c r="AE111" s="458">
        <v>20294</v>
      </c>
      <c r="AF111" s="459">
        <v>527</v>
      </c>
      <c r="AG111" s="458">
        <v>19679</v>
      </c>
      <c r="AH111" s="459">
        <v>577</v>
      </c>
      <c r="AI111" s="458">
        <v>20100</v>
      </c>
      <c r="AJ111" s="459">
        <v>849</v>
      </c>
      <c r="AK111" s="460">
        <v>20532</v>
      </c>
      <c r="AL111" s="459">
        <v>1557</v>
      </c>
      <c r="AM111" s="458">
        <v>20806</v>
      </c>
      <c r="AN111" s="459">
        <v>1330</v>
      </c>
      <c r="AO111" s="461">
        <v>21518</v>
      </c>
      <c r="AP111" s="462">
        <v>1195</v>
      </c>
      <c r="AQ111" s="463">
        <v>22009</v>
      </c>
      <c r="AR111" s="464">
        <v>1138</v>
      </c>
      <c r="AS111" s="463">
        <v>22187</v>
      </c>
      <c r="AT111" s="1072">
        <v>1124</v>
      </c>
    </row>
    <row r="112" spans="1:46" ht="15" customHeight="1">
      <c r="A112" s="449" t="s">
        <v>144</v>
      </c>
      <c r="B112" s="465" t="s">
        <v>145</v>
      </c>
      <c r="C112" s="190" t="s">
        <v>267</v>
      </c>
      <c r="D112" s="451">
        <f t="shared" si="56"/>
        <v>1.3898540653231411E-2</v>
      </c>
      <c r="E112" s="452">
        <f t="shared" si="57"/>
        <v>1.8087422542287724E-2</v>
      </c>
      <c r="F112" s="453">
        <f t="shared" si="58"/>
        <v>5.031803725579282E-2</v>
      </c>
      <c r="G112" s="453">
        <f t="shared" si="59"/>
        <v>2.6459401356044319E-2</v>
      </c>
      <c r="H112" s="453">
        <f t="shared" si="60"/>
        <v>2.6980661260137241E-2</v>
      </c>
      <c r="I112" s="453">
        <f t="shared" si="61"/>
        <v>2.4839987808594942E-2</v>
      </c>
      <c r="J112" s="453">
        <f t="shared" si="62"/>
        <v>2.2922636103151862E-2</v>
      </c>
      <c r="K112" s="453">
        <f t="shared" si="63"/>
        <v>2.5578189615561343E-2</v>
      </c>
      <c r="L112" s="453">
        <f t="shared" si="64"/>
        <v>3.7505648441030277E-2</v>
      </c>
      <c r="M112" s="453">
        <f t="shared" si="65"/>
        <v>6.2717770034843204E-2</v>
      </c>
      <c r="N112" s="453">
        <f t="shared" si="66"/>
        <v>6.1075322101090186E-2</v>
      </c>
      <c r="O112" s="454">
        <f t="shared" si="67"/>
        <v>5.451388888888889E-2</v>
      </c>
      <c r="P112" s="455">
        <f t="shared" si="68"/>
        <v>5.031803725579282E-2</v>
      </c>
      <c r="Q112" s="1069">
        <f t="shared" si="69"/>
        <v>4.7092038396386225E-2</v>
      </c>
      <c r="R112" s="219"/>
      <c r="S112" s="456">
        <v>5756</v>
      </c>
      <c r="T112" s="457">
        <v>80</v>
      </c>
      <c r="U112" s="458">
        <v>5971</v>
      </c>
      <c r="V112" s="459">
        <v>108</v>
      </c>
      <c r="W112" s="458">
        <v>6046</v>
      </c>
      <c r="X112" s="459">
        <v>167</v>
      </c>
      <c r="Y112" s="458">
        <v>6047</v>
      </c>
      <c r="Z112" s="459">
        <v>160</v>
      </c>
      <c r="AA112" s="458">
        <v>6412</v>
      </c>
      <c r="AB112" s="459">
        <v>173</v>
      </c>
      <c r="AC112" s="458">
        <v>6562</v>
      </c>
      <c r="AD112" s="459">
        <v>163</v>
      </c>
      <c r="AE112" s="458">
        <v>6631</v>
      </c>
      <c r="AF112" s="459">
        <v>152</v>
      </c>
      <c r="AG112" s="458">
        <v>6529</v>
      </c>
      <c r="AH112" s="459">
        <v>167</v>
      </c>
      <c r="AI112" s="458">
        <v>6639</v>
      </c>
      <c r="AJ112" s="459">
        <v>249</v>
      </c>
      <c r="AK112" s="460">
        <v>6888</v>
      </c>
      <c r="AL112" s="459">
        <v>432</v>
      </c>
      <c r="AM112" s="458">
        <v>8072</v>
      </c>
      <c r="AN112" s="459">
        <v>493</v>
      </c>
      <c r="AO112" s="461">
        <v>8640</v>
      </c>
      <c r="AP112" s="462">
        <v>471</v>
      </c>
      <c r="AQ112" s="463">
        <v>8804</v>
      </c>
      <c r="AR112" s="464">
        <v>443</v>
      </c>
      <c r="AS112" s="463">
        <v>8855</v>
      </c>
      <c r="AT112" s="1072">
        <v>417</v>
      </c>
    </row>
    <row r="113" spans="1:46" ht="15" customHeight="1">
      <c r="A113" s="449" t="s">
        <v>158</v>
      </c>
      <c r="B113" s="465" t="s">
        <v>159</v>
      </c>
      <c r="C113" s="190" t="s">
        <v>264</v>
      </c>
      <c r="D113" s="451">
        <f t="shared" si="56"/>
        <v>2.5916484583636806E-2</v>
      </c>
      <c r="E113" s="452">
        <f t="shared" si="57"/>
        <v>3.5431802727175117E-2</v>
      </c>
      <c r="F113" s="453">
        <f t="shared" si="58"/>
        <v>7.1901640457833774E-2</v>
      </c>
      <c r="G113" s="453">
        <f t="shared" si="59"/>
        <v>4.7292310530928548E-2</v>
      </c>
      <c r="H113" s="453">
        <f t="shared" si="60"/>
        <v>4.4352386307563434E-2</v>
      </c>
      <c r="I113" s="453">
        <f t="shared" si="61"/>
        <v>4.4458265666931576E-2</v>
      </c>
      <c r="J113" s="453">
        <f t="shared" si="62"/>
        <v>3.5483422534232291E-2</v>
      </c>
      <c r="K113" s="453">
        <f t="shared" si="63"/>
        <v>3.594546205756783E-2</v>
      </c>
      <c r="L113" s="453">
        <f t="shared" si="64"/>
        <v>4.6416710463048898E-2</v>
      </c>
      <c r="M113" s="453">
        <f t="shared" si="65"/>
        <v>7.6946626129549875E-2</v>
      </c>
      <c r="N113" s="453">
        <f t="shared" si="66"/>
        <v>8.2847772430659647E-2</v>
      </c>
      <c r="O113" s="454">
        <f t="shared" si="67"/>
        <v>8.0012621709340065E-2</v>
      </c>
      <c r="P113" s="455">
        <f t="shared" si="68"/>
        <v>7.1901640457833774E-2</v>
      </c>
      <c r="Q113" s="1069">
        <f t="shared" si="69"/>
        <v>6.5863399444933329E-2</v>
      </c>
      <c r="R113" s="219"/>
      <c r="S113" s="456">
        <v>82380</v>
      </c>
      <c r="T113" s="457">
        <v>2135</v>
      </c>
      <c r="U113" s="458">
        <v>83823</v>
      </c>
      <c r="V113" s="459">
        <v>2970</v>
      </c>
      <c r="W113" s="458">
        <v>85660</v>
      </c>
      <c r="X113" s="459">
        <v>3903</v>
      </c>
      <c r="Y113" s="458">
        <v>86716</v>
      </c>
      <c r="Z113" s="459">
        <v>4101</v>
      </c>
      <c r="AA113" s="458">
        <v>87143</v>
      </c>
      <c r="AB113" s="459">
        <v>3865</v>
      </c>
      <c r="AC113" s="458">
        <v>86823</v>
      </c>
      <c r="AD113" s="459">
        <v>3860</v>
      </c>
      <c r="AE113" s="458">
        <v>86322</v>
      </c>
      <c r="AF113" s="459">
        <v>3063</v>
      </c>
      <c r="AG113" s="458">
        <v>87132</v>
      </c>
      <c r="AH113" s="459">
        <v>3132</v>
      </c>
      <c r="AI113" s="458">
        <v>89429</v>
      </c>
      <c r="AJ113" s="459">
        <v>4151</v>
      </c>
      <c r="AK113" s="460">
        <v>94728</v>
      </c>
      <c r="AL113" s="459">
        <v>7289</v>
      </c>
      <c r="AM113" s="458">
        <v>88729</v>
      </c>
      <c r="AN113" s="459">
        <v>7351</v>
      </c>
      <c r="AO113" s="461">
        <v>88736</v>
      </c>
      <c r="AP113" s="462">
        <v>7100</v>
      </c>
      <c r="AQ113" s="463">
        <v>88329</v>
      </c>
      <c r="AR113" s="464">
        <v>6351</v>
      </c>
      <c r="AS113" s="463">
        <v>88638</v>
      </c>
      <c r="AT113" s="1072">
        <v>5838</v>
      </c>
    </row>
    <row r="114" spans="1:46" ht="15" customHeight="1">
      <c r="A114" s="449" t="s">
        <v>160</v>
      </c>
      <c r="B114" s="465" t="s">
        <v>161</v>
      </c>
      <c r="C114" s="190" t="s">
        <v>264</v>
      </c>
      <c r="D114" s="451">
        <f t="shared" si="56"/>
        <v>3.2619985285844116E-2</v>
      </c>
      <c r="E114" s="452">
        <f t="shared" si="57"/>
        <v>4.2973053131090587E-2</v>
      </c>
      <c r="F114" s="453">
        <f t="shared" si="58"/>
        <v>7.660364360073485E-2</v>
      </c>
      <c r="G114" s="453">
        <f t="shared" si="59"/>
        <v>5.2688226633497488E-2</v>
      </c>
      <c r="H114" s="453">
        <f t="shared" si="60"/>
        <v>5.0721549047068139E-2</v>
      </c>
      <c r="I114" s="453">
        <f t="shared" si="61"/>
        <v>5.0125650226997734E-2</v>
      </c>
      <c r="J114" s="453">
        <f t="shared" si="62"/>
        <v>4.2270279296956537E-2</v>
      </c>
      <c r="K114" s="453">
        <f t="shared" si="63"/>
        <v>4.1273359190046842E-2</v>
      </c>
      <c r="L114" s="453">
        <f t="shared" si="64"/>
        <v>5.2790570989947008E-2</v>
      </c>
      <c r="M114" s="453">
        <f t="shared" si="65"/>
        <v>8.856825749167592E-2</v>
      </c>
      <c r="N114" s="453">
        <f t="shared" si="66"/>
        <v>9.0795361593610166E-2</v>
      </c>
      <c r="O114" s="454">
        <f t="shared" si="67"/>
        <v>8.3368591099657677E-2</v>
      </c>
      <c r="P114" s="455">
        <f t="shared" si="68"/>
        <v>7.660364360073485E-2</v>
      </c>
      <c r="Q114" s="1069">
        <f t="shared" si="69"/>
        <v>6.9851993930892337E-2</v>
      </c>
      <c r="R114" s="219"/>
      <c r="S114" s="456">
        <v>92428</v>
      </c>
      <c r="T114" s="457">
        <v>3015</v>
      </c>
      <c r="U114" s="458">
        <v>94408</v>
      </c>
      <c r="V114" s="459">
        <v>4057</v>
      </c>
      <c r="W114" s="458">
        <v>98547</v>
      </c>
      <c r="X114" s="459">
        <v>5054</v>
      </c>
      <c r="Y114" s="458">
        <v>98485</v>
      </c>
      <c r="Z114" s="459">
        <v>5189</v>
      </c>
      <c r="AA114" s="458">
        <v>98538</v>
      </c>
      <c r="AB114" s="459">
        <v>4998</v>
      </c>
      <c r="AC114" s="458">
        <v>96697</v>
      </c>
      <c r="AD114" s="459">
        <v>4847</v>
      </c>
      <c r="AE114" s="458">
        <v>95812</v>
      </c>
      <c r="AF114" s="459">
        <v>4050</v>
      </c>
      <c r="AG114" s="458">
        <v>99265</v>
      </c>
      <c r="AH114" s="459">
        <v>4097</v>
      </c>
      <c r="AI114" s="458">
        <v>100965</v>
      </c>
      <c r="AJ114" s="459">
        <v>5330</v>
      </c>
      <c r="AK114" s="460">
        <v>99110</v>
      </c>
      <c r="AL114" s="459">
        <v>8778</v>
      </c>
      <c r="AM114" s="458">
        <v>103915</v>
      </c>
      <c r="AN114" s="459">
        <v>9435</v>
      </c>
      <c r="AO114" s="461">
        <v>103996</v>
      </c>
      <c r="AP114" s="462">
        <v>8670</v>
      </c>
      <c r="AQ114" s="463">
        <v>104512</v>
      </c>
      <c r="AR114" s="464">
        <v>8006</v>
      </c>
      <c r="AS114" s="463">
        <v>104793</v>
      </c>
      <c r="AT114" s="1072">
        <v>7320</v>
      </c>
    </row>
    <row r="115" spans="1:46" ht="15" customHeight="1">
      <c r="A115" s="449" t="s">
        <v>166</v>
      </c>
      <c r="B115" s="465" t="s">
        <v>167</v>
      </c>
      <c r="C115" s="190" t="s">
        <v>268</v>
      </c>
      <c r="D115" s="451">
        <f t="shared" si="56"/>
        <v>4.1244083840432724E-2</v>
      </c>
      <c r="E115" s="452">
        <f t="shared" si="57"/>
        <v>4.5454545454545456E-2</v>
      </c>
      <c r="F115" s="453">
        <f t="shared" si="58"/>
        <v>8.0510827318156578E-2</v>
      </c>
      <c r="G115" s="453">
        <f t="shared" si="59"/>
        <v>5.3954629061925198E-2</v>
      </c>
      <c r="H115" s="453">
        <f t="shared" si="60"/>
        <v>5.3846153846153849E-2</v>
      </c>
      <c r="I115" s="453">
        <f t="shared" si="61"/>
        <v>5.4794520547945202E-2</v>
      </c>
      <c r="J115" s="453">
        <f t="shared" si="62"/>
        <v>5.1451187335092345E-2</v>
      </c>
      <c r="K115" s="453">
        <f t="shared" si="63"/>
        <v>4.1104688503532431E-2</v>
      </c>
      <c r="L115" s="453">
        <f t="shared" si="64"/>
        <v>5.2372150338878619E-2</v>
      </c>
      <c r="M115" s="453">
        <f t="shared" si="65"/>
        <v>6.5934065934065936E-2</v>
      </c>
      <c r="N115" s="453">
        <f t="shared" si="66"/>
        <v>8.5515766969535015E-2</v>
      </c>
      <c r="O115" s="454">
        <f t="shared" si="67"/>
        <v>7.5695159629248193E-2</v>
      </c>
      <c r="P115" s="455">
        <f t="shared" si="68"/>
        <v>8.0510827318156578E-2</v>
      </c>
      <c r="Q115" s="1069">
        <f t="shared" si="69"/>
        <v>8.7179487179487175E-2</v>
      </c>
      <c r="R115" s="219"/>
      <c r="S115" s="456">
        <v>1479</v>
      </c>
      <c r="T115" s="457">
        <v>61</v>
      </c>
      <c r="U115" s="458">
        <v>1518</v>
      </c>
      <c r="V115" s="459">
        <v>69</v>
      </c>
      <c r="W115" s="458">
        <v>1589</v>
      </c>
      <c r="X115" s="459">
        <v>78</v>
      </c>
      <c r="Y115" s="458">
        <v>1631</v>
      </c>
      <c r="Z115" s="459">
        <v>88</v>
      </c>
      <c r="AA115" s="458">
        <v>1560</v>
      </c>
      <c r="AB115" s="459">
        <v>84</v>
      </c>
      <c r="AC115" s="458">
        <v>1533</v>
      </c>
      <c r="AD115" s="459">
        <v>84</v>
      </c>
      <c r="AE115" s="458">
        <v>1516</v>
      </c>
      <c r="AF115" s="459">
        <v>78</v>
      </c>
      <c r="AG115" s="458">
        <v>1557</v>
      </c>
      <c r="AH115" s="459">
        <v>64</v>
      </c>
      <c r="AI115" s="458">
        <v>1623</v>
      </c>
      <c r="AJ115" s="459">
        <v>85</v>
      </c>
      <c r="AK115" s="460">
        <v>1729</v>
      </c>
      <c r="AL115" s="459">
        <v>114</v>
      </c>
      <c r="AM115" s="458">
        <v>1871</v>
      </c>
      <c r="AN115" s="459">
        <v>160</v>
      </c>
      <c r="AO115" s="461">
        <v>1942</v>
      </c>
      <c r="AP115" s="462">
        <v>147</v>
      </c>
      <c r="AQ115" s="463">
        <v>1801</v>
      </c>
      <c r="AR115" s="464">
        <v>145</v>
      </c>
      <c r="AS115" s="463">
        <v>1755</v>
      </c>
      <c r="AT115" s="1072">
        <v>153</v>
      </c>
    </row>
    <row r="116" spans="1:46" ht="15" customHeight="1">
      <c r="A116" s="449" t="s">
        <v>176</v>
      </c>
      <c r="B116" s="465" t="s">
        <v>177</v>
      </c>
      <c r="C116" s="190" t="s">
        <v>266</v>
      </c>
      <c r="D116" s="451">
        <f t="shared" si="56"/>
        <v>3.3979178716020825E-2</v>
      </c>
      <c r="E116" s="452">
        <f t="shared" si="57"/>
        <v>5.5018267784225229E-2</v>
      </c>
      <c r="F116" s="453">
        <f t="shared" si="58"/>
        <v>0.10411320478040913</v>
      </c>
      <c r="G116" s="453">
        <f t="shared" si="59"/>
        <v>8.612975391498881E-2</v>
      </c>
      <c r="H116" s="453">
        <f t="shared" si="60"/>
        <v>7.6287349014621739E-2</v>
      </c>
      <c r="I116" s="453">
        <f t="shared" si="61"/>
        <v>7.2913699800626605E-2</v>
      </c>
      <c r="J116" s="453">
        <f t="shared" si="62"/>
        <v>6.2095265505828175E-2</v>
      </c>
      <c r="K116" s="453">
        <f t="shared" si="63"/>
        <v>6.2976963126738464E-2</v>
      </c>
      <c r="L116" s="453">
        <f t="shared" si="64"/>
        <v>7.311617503145533E-2</v>
      </c>
      <c r="M116" s="453">
        <f t="shared" si="65"/>
        <v>0.13796423658872076</v>
      </c>
      <c r="N116" s="453">
        <f t="shared" si="66"/>
        <v>0.12453867863087054</v>
      </c>
      <c r="O116" s="454">
        <f t="shared" si="67"/>
        <v>0.11324848134220422</v>
      </c>
      <c r="P116" s="455">
        <f t="shared" si="68"/>
        <v>0.10411320478040913</v>
      </c>
      <c r="Q116" s="1069">
        <f t="shared" si="69"/>
        <v>0.1001890359168242</v>
      </c>
      <c r="R116" s="219"/>
      <c r="S116" s="456">
        <v>13832</v>
      </c>
      <c r="T116" s="457">
        <v>470</v>
      </c>
      <c r="U116" s="458">
        <v>13959</v>
      </c>
      <c r="V116" s="459">
        <v>768</v>
      </c>
      <c r="W116" s="458">
        <v>14141</v>
      </c>
      <c r="X116" s="459">
        <v>1052</v>
      </c>
      <c r="Y116" s="458">
        <v>14304</v>
      </c>
      <c r="Z116" s="459">
        <v>1232</v>
      </c>
      <c r="AA116" s="458">
        <v>14157</v>
      </c>
      <c r="AB116" s="459">
        <v>1080</v>
      </c>
      <c r="AC116" s="458">
        <v>14044</v>
      </c>
      <c r="AD116" s="459">
        <v>1024</v>
      </c>
      <c r="AE116" s="458">
        <v>13898</v>
      </c>
      <c r="AF116" s="459">
        <v>863</v>
      </c>
      <c r="AG116" s="458">
        <v>14021</v>
      </c>
      <c r="AH116" s="459">
        <v>883</v>
      </c>
      <c r="AI116" s="458">
        <v>14306</v>
      </c>
      <c r="AJ116" s="459">
        <v>1046</v>
      </c>
      <c r="AK116" s="460">
        <v>14540</v>
      </c>
      <c r="AL116" s="459">
        <v>2006</v>
      </c>
      <c r="AM116" s="458">
        <v>13819</v>
      </c>
      <c r="AN116" s="459">
        <v>1721</v>
      </c>
      <c r="AO116" s="461">
        <v>13828</v>
      </c>
      <c r="AP116" s="462">
        <v>1566</v>
      </c>
      <c r="AQ116" s="463">
        <v>13639</v>
      </c>
      <c r="AR116" s="464">
        <v>1420</v>
      </c>
      <c r="AS116" s="463">
        <v>13754</v>
      </c>
      <c r="AT116" s="1072">
        <v>1378</v>
      </c>
    </row>
    <row r="117" spans="1:46" ht="15" customHeight="1">
      <c r="A117" s="449" t="s">
        <v>180</v>
      </c>
      <c r="B117" s="465" t="s">
        <v>181</v>
      </c>
      <c r="C117" s="190" t="s">
        <v>264</v>
      </c>
      <c r="D117" s="451">
        <f t="shared" si="56"/>
        <v>3.3869721031550837E-2</v>
      </c>
      <c r="E117" s="452">
        <f t="shared" si="57"/>
        <v>4.3849329919498074E-2</v>
      </c>
      <c r="F117" s="453">
        <f t="shared" si="58"/>
        <v>8.17794777223778E-2</v>
      </c>
      <c r="G117" s="453">
        <f t="shared" si="59"/>
        <v>5.3983002832861192E-2</v>
      </c>
      <c r="H117" s="453">
        <f t="shared" si="60"/>
        <v>5.3727106845982295E-2</v>
      </c>
      <c r="I117" s="453">
        <f t="shared" si="61"/>
        <v>5.3070457519238876E-2</v>
      </c>
      <c r="J117" s="453">
        <f t="shared" si="62"/>
        <v>4.3771411115232715E-2</v>
      </c>
      <c r="K117" s="453">
        <f t="shared" si="63"/>
        <v>4.2223039799164627E-2</v>
      </c>
      <c r="L117" s="453">
        <f t="shared" si="64"/>
        <v>5.1592671349098951E-2</v>
      </c>
      <c r="M117" s="453">
        <f t="shared" si="65"/>
        <v>8.8199607315405146E-2</v>
      </c>
      <c r="N117" s="453">
        <f t="shared" si="66"/>
        <v>9.4393527300985075E-2</v>
      </c>
      <c r="O117" s="454">
        <f t="shared" si="67"/>
        <v>8.8535625753337427E-2</v>
      </c>
      <c r="P117" s="455">
        <f t="shared" si="68"/>
        <v>8.17794777223778E-2</v>
      </c>
      <c r="Q117" s="1069">
        <f t="shared" si="69"/>
        <v>7.4709249500272579E-2</v>
      </c>
      <c r="R117" s="219"/>
      <c r="S117" s="456">
        <v>42693</v>
      </c>
      <c r="T117" s="457">
        <v>1446</v>
      </c>
      <c r="U117" s="458">
        <v>43353</v>
      </c>
      <c r="V117" s="459">
        <v>1901</v>
      </c>
      <c r="W117" s="458">
        <v>44094</v>
      </c>
      <c r="X117" s="459">
        <v>2326</v>
      </c>
      <c r="Y117" s="458">
        <v>44125</v>
      </c>
      <c r="Z117" s="459">
        <v>2382</v>
      </c>
      <c r="AA117" s="458">
        <v>44391</v>
      </c>
      <c r="AB117" s="459">
        <v>2385</v>
      </c>
      <c r="AC117" s="458">
        <v>45091</v>
      </c>
      <c r="AD117" s="459">
        <v>2393</v>
      </c>
      <c r="AE117" s="458">
        <v>45829</v>
      </c>
      <c r="AF117" s="459">
        <v>2006</v>
      </c>
      <c r="AG117" s="458">
        <v>46207</v>
      </c>
      <c r="AH117" s="459">
        <v>1951</v>
      </c>
      <c r="AI117" s="458">
        <v>46557</v>
      </c>
      <c r="AJ117" s="459">
        <v>2402</v>
      </c>
      <c r="AK117" s="460">
        <v>45329</v>
      </c>
      <c r="AL117" s="459">
        <v>3998</v>
      </c>
      <c r="AM117" s="458">
        <v>43753</v>
      </c>
      <c r="AN117" s="459">
        <v>4130</v>
      </c>
      <c r="AO117" s="461">
        <v>43971</v>
      </c>
      <c r="AP117" s="462">
        <v>3893</v>
      </c>
      <c r="AQ117" s="463">
        <v>43923</v>
      </c>
      <c r="AR117" s="464">
        <v>3592</v>
      </c>
      <c r="AS117" s="463">
        <v>44024</v>
      </c>
      <c r="AT117" s="1072">
        <v>3289</v>
      </c>
    </row>
    <row r="118" spans="1:46" ht="15" customHeight="1">
      <c r="A118" s="449" t="s">
        <v>192</v>
      </c>
      <c r="B118" s="465" t="s">
        <v>193</v>
      </c>
      <c r="C118" s="190" t="s">
        <v>268</v>
      </c>
      <c r="D118" s="451">
        <f t="shared" si="56"/>
        <v>3.206250841977637E-2</v>
      </c>
      <c r="E118" s="452">
        <f t="shared" si="57"/>
        <v>4.1301120259144286E-2</v>
      </c>
      <c r="F118" s="453">
        <f t="shared" si="58"/>
        <v>7.4363992172211346E-2</v>
      </c>
      <c r="G118" s="453">
        <f t="shared" si="59"/>
        <v>5.2177430227854926E-2</v>
      </c>
      <c r="H118" s="453">
        <f t="shared" si="60"/>
        <v>5.1564625850340134E-2</v>
      </c>
      <c r="I118" s="453">
        <f t="shared" si="61"/>
        <v>4.4691969196919694E-2</v>
      </c>
      <c r="J118" s="453">
        <f t="shared" si="62"/>
        <v>3.7808748447633503E-2</v>
      </c>
      <c r="K118" s="453">
        <f t="shared" si="63"/>
        <v>4.0678844409897656E-2</v>
      </c>
      <c r="L118" s="453">
        <f t="shared" si="64"/>
        <v>5.3105085592902661E-2</v>
      </c>
      <c r="M118" s="453">
        <f t="shared" si="65"/>
        <v>9.2555331991951706E-2</v>
      </c>
      <c r="N118" s="453">
        <f t="shared" si="66"/>
        <v>9.1884984025559099E-2</v>
      </c>
      <c r="O118" s="454">
        <f t="shared" si="67"/>
        <v>8.0824484697064339E-2</v>
      </c>
      <c r="P118" s="455">
        <f t="shared" si="68"/>
        <v>7.4363992172211346E-2</v>
      </c>
      <c r="Q118" s="1069">
        <f t="shared" si="69"/>
        <v>7.1428571428571425E-2</v>
      </c>
      <c r="R118" s="219"/>
      <c r="S118" s="456">
        <v>7423</v>
      </c>
      <c r="T118" s="457">
        <v>238</v>
      </c>
      <c r="U118" s="458">
        <v>7409</v>
      </c>
      <c r="V118" s="459">
        <v>306</v>
      </c>
      <c r="W118" s="458">
        <v>7393</v>
      </c>
      <c r="X118" s="459">
        <v>385</v>
      </c>
      <c r="Y118" s="458">
        <v>7417</v>
      </c>
      <c r="Z118" s="459">
        <v>387</v>
      </c>
      <c r="AA118" s="458">
        <v>7350</v>
      </c>
      <c r="AB118" s="459">
        <v>379</v>
      </c>
      <c r="AC118" s="458">
        <v>7272</v>
      </c>
      <c r="AD118" s="459">
        <v>325</v>
      </c>
      <c r="AE118" s="458">
        <v>7247</v>
      </c>
      <c r="AF118" s="459">
        <v>274</v>
      </c>
      <c r="AG118" s="458">
        <v>7719</v>
      </c>
      <c r="AH118" s="459">
        <v>314</v>
      </c>
      <c r="AI118" s="458">
        <v>8003</v>
      </c>
      <c r="AJ118" s="459">
        <v>425</v>
      </c>
      <c r="AK118" s="460">
        <v>7952</v>
      </c>
      <c r="AL118" s="459">
        <v>736</v>
      </c>
      <c r="AM118" s="458">
        <v>7825</v>
      </c>
      <c r="AN118" s="459">
        <v>719</v>
      </c>
      <c r="AO118" s="461">
        <v>8005</v>
      </c>
      <c r="AP118" s="462">
        <v>647</v>
      </c>
      <c r="AQ118" s="463">
        <v>8176</v>
      </c>
      <c r="AR118" s="464">
        <v>608</v>
      </c>
      <c r="AS118" s="463">
        <v>8316</v>
      </c>
      <c r="AT118" s="1072">
        <v>594</v>
      </c>
    </row>
    <row r="119" spans="1:46" ht="15" customHeight="1">
      <c r="A119" s="449" t="s">
        <v>196</v>
      </c>
      <c r="B119" s="465" t="s">
        <v>312</v>
      </c>
      <c r="C119" s="190" t="s">
        <v>266</v>
      </c>
      <c r="D119" s="451">
        <f t="shared" si="56"/>
        <v>2.6336598171831014E-2</v>
      </c>
      <c r="E119" s="452">
        <f t="shared" si="57"/>
        <v>4.1526679326391355E-2</v>
      </c>
      <c r="F119" s="453">
        <f t="shared" si="58"/>
        <v>7.4512677707753189E-2</v>
      </c>
      <c r="G119" s="453">
        <f t="shared" si="59"/>
        <v>5.7610005401587235E-2</v>
      </c>
      <c r="H119" s="453">
        <f t="shared" si="60"/>
        <v>5.5918015952867474E-2</v>
      </c>
      <c r="I119" s="453">
        <f t="shared" si="61"/>
        <v>5.2757020045377905E-2</v>
      </c>
      <c r="J119" s="453">
        <f t="shared" si="62"/>
        <v>4.590507090899576E-2</v>
      </c>
      <c r="K119" s="453">
        <f t="shared" si="63"/>
        <v>4.4093736026990772E-2</v>
      </c>
      <c r="L119" s="453">
        <f t="shared" si="64"/>
        <v>5.7819280309366602E-2</v>
      </c>
      <c r="M119" s="453">
        <f t="shared" si="65"/>
        <v>9.9282815147574574E-2</v>
      </c>
      <c r="N119" s="453">
        <f t="shared" si="66"/>
        <v>9.5871499541501662E-2</v>
      </c>
      <c r="O119" s="454">
        <f t="shared" si="67"/>
        <v>8.3600323382339733E-2</v>
      </c>
      <c r="P119" s="455">
        <f t="shared" si="68"/>
        <v>7.4512677707753189E-2</v>
      </c>
      <c r="Q119" s="1069">
        <f t="shared" si="69"/>
        <v>6.9001659533583726E-2</v>
      </c>
      <c r="R119" s="219"/>
      <c r="S119" s="456">
        <v>94849</v>
      </c>
      <c r="T119" s="457">
        <v>2498</v>
      </c>
      <c r="U119" s="458">
        <v>95842</v>
      </c>
      <c r="V119" s="459">
        <v>3980</v>
      </c>
      <c r="W119" s="458">
        <v>96755</v>
      </c>
      <c r="X119" s="459">
        <v>5525</v>
      </c>
      <c r="Y119" s="458">
        <v>96268</v>
      </c>
      <c r="Z119" s="459">
        <v>5546</v>
      </c>
      <c r="AA119" s="458">
        <v>96409</v>
      </c>
      <c r="AB119" s="459">
        <v>5391</v>
      </c>
      <c r="AC119" s="458">
        <v>96082</v>
      </c>
      <c r="AD119" s="459">
        <v>5069</v>
      </c>
      <c r="AE119" s="458">
        <v>95545</v>
      </c>
      <c r="AF119" s="459">
        <v>4386</v>
      </c>
      <c r="AG119" s="458">
        <v>98404</v>
      </c>
      <c r="AH119" s="459">
        <v>4339</v>
      </c>
      <c r="AI119" s="458">
        <v>101627</v>
      </c>
      <c r="AJ119" s="459">
        <v>5876</v>
      </c>
      <c r="AK119" s="460">
        <v>101508</v>
      </c>
      <c r="AL119" s="459">
        <v>10078</v>
      </c>
      <c r="AM119" s="458">
        <v>99237</v>
      </c>
      <c r="AN119" s="459">
        <v>9514</v>
      </c>
      <c r="AO119" s="461">
        <v>100191</v>
      </c>
      <c r="AP119" s="462">
        <v>8376</v>
      </c>
      <c r="AQ119" s="463">
        <v>102345</v>
      </c>
      <c r="AR119" s="464">
        <v>7626</v>
      </c>
      <c r="AS119" s="463">
        <v>103041</v>
      </c>
      <c r="AT119" s="1072">
        <v>7110</v>
      </c>
    </row>
    <row r="120" spans="1:46" ht="15" customHeight="1">
      <c r="A120" s="449" t="s">
        <v>200</v>
      </c>
      <c r="B120" s="465" t="s">
        <v>313</v>
      </c>
      <c r="C120" s="190" t="s">
        <v>265</v>
      </c>
      <c r="D120" s="451">
        <f t="shared" si="56"/>
        <v>2.4406005643754173E-2</v>
      </c>
      <c r="E120" s="452">
        <f t="shared" si="57"/>
        <v>3.5177806660558669E-2</v>
      </c>
      <c r="F120" s="453">
        <f t="shared" si="58"/>
        <v>7.0823015906324754E-2</v>
      </c>
      <c r="G120" s="453">
        <f t="shared" si="59"/>
        <v>5.1631610837012031E-2</v>
      </c>
      <c r="H120" s="453">
        <f t="shared" si="60"/>
        <v>4.4974011100343582E-2</v>
      </c>
      <c r="I120" s="453">
        <f t="shared" si="61"/>
        <v>4.1597081831765845E-2</v>
      </c>
      <c r="J120" s="453">
        <f t="shared" si="62"/>
        <v>3.7224930820925026E-2</v>
      </c>
      <c r="K120" s="453">
        <f t="shared" si="63"/>
        <v>3.7902963204168021E-2</v>
      </c>
      <c r="L120" s="453">
        <f t="shared" si="64"/>
        <v>4.5452616390103125E-2</v>
      </c>
      <c r="M120" s="453">
        <f t="shared" si="65"/>
        <v>8.9335778578806466E-2</v>
      </c>
      <c r="N120" s="453">
        <f t="shared" si="66"/>
        <v>8.7592627778833365E-2</v>
      </c>
      <c r="O120" s="454">
        <f t="shared" si="67"/>
        <v>8.0580244843199728E-2</v>
      </c>
      <c r="P120" s="455">
        <f t="shared" si="68"/>
        <v>7.0823015906324754E-2</v>
      </c>
      <c r="Q120" s="1069">
        <f t="shared" si="69"/>
        <v>6.7190446260213699E-2</v>
      </c>
      <c r="R120" s="219"/>
      <c r="S120" s="456">
        <v>46423</v>
      </c>
      <c r="T120" s="457">
        <v>1133</v>
      </c>
      <c r="U120" s="458">
        <v>46933</v>
      </c>
      <c r="V120" s="459">
        <v>1651</v>
      </c>
      <c r="W120" s="458">
        <v>47343</v>
      </c>
      <c r="X120" s="459">
        <v>2341</v>
      </c>
      <c r="Y120" s="458">
        <v>46212</v>
      </c>
      <c r="Z120" s="459">
        <v>2386</v>
      </c>
      <c r="AA120" s="458">
        <v>45404</v>
      </c>
      <c r="AB120" s="459">
        <v>2042</v>
      </c>
      <c r="AC120" s="458">
        <v>45508</v>
      </c>
      <c r="AD120" s="459">
        <v>1893</v>
      </c>
      <c r="AE120" s="458">
        <v>45534</v>
      </c>
      <c r="AF120" s="459">
        <v>1695</v>
      </c>
      <c r="AG120" s="458">
        <v>46065</v>
      </c>
      <c r="AH120" s="459">
        <v>1746</v>
      </c>
      <c r="AI120" s="458">
        <v>47126</v>
      </c>
      <c r="AJ120" s="459">
        <v>2142</v>
      </c>
      <c r="AK120" s="460">
        <v>47439</v>
      </c>
      <c r="AL120" s="459">
        <v>4238</v>
      </c>
      <c r="AM120" s="458">
        <v>47367</v>
      </c>
      <c r="AN120" s="459">
        <v>4149</v>
      </c>
      <c r="AO120" s="461">
        <v>47704</v>
      </c>
      <c r="AP120" s="462">
        <v>3844</v>
      </c>
      <c r="AQ120" s="463">
        <v>47654</v>
      </c>
      <c r="AR120" s="464">
        <v>3375</v>
      </c>
      <c r="AS120" s="463">
        <v>47730</v>
      </c>
      <c r="AT120" s="1072">
        <v>3207</v>
      </c>
    </row>
    <row r="121" spans="1:46" ht="15" customHeight="1">
      <c r="A121" s="449" t="s">
        <v>222</v>
      </c>
      <c r="B121" s="465" t="s">
        <v>223</v>
      </c>
      <c r="C121" s="190" t="s">
        <v>264</v>
      </c>
      <c r="D121" s="451">
        <f t="shared" si="56"/>
        <v>2.4975127791690966E-2</v>
      </c>
      <c r="E121" s="452">
        <f t="shared" si="57"/>
        <v>3.1067961165048542E-2</v>
      </c>
      <c r="F121" s="453">
        <f t="shared" si="58"/>
        <v>6.7942285069502797E-2</v>
      </c>
      <c r="G121" s="453">
        <f t="shared" si="59"/>
        <v>4.2953902432053957E-2</v>
      </c>
      <c r="H121" s="453">
        <f t="shared" si="60"/>
        <v>4.0826929913314554E-2</v>
      </c>
      <c r="I121" s="453">
        <f t="shared" si="61"/>
        <v>3.9233216755633855E-2</v>
      </c>
      <c r="J121" s="453">
        <f t="shared" si="62"/>
        <v>3.4628957323110512E-2</v>
      </c>
      <c r="K121" s="453">
        <f t="shared" si="63"/>
        <v>3.3079972727961413E-2</v>
      </c>
      <c r="L121" s="453">
        <f t="shared" si="64"/>
        <v>4.0936530048635039E-2</v>
      </c>
      <c r="M121" s="453">
        <f t="shared" si="65"/>
        <v>6.9641716223521902E-2</v>
      </c>
      <c r="N121" s="453">
        <f t="shared" si="66"/>
        <v>7.8086977472593661E-2</v>
      </c>
      <c r="O121" s="454">
        <f t="shared" si="67"/>
        <v>7.3254036495652999E-2</v>
      </c>
      <c r="P121" s="1069">
        <f t="shared" si="68"/>
        <v>6.7942285069502797E-2</v>
      </c>
      <c r="Q121" s="1069">
        <f t="shared" si="69"/>
        <v>6.1285071339653358E-2</v>
      </c>
      <c r="R121" s="219"/>
      <c r="S121" s="456">
        <v>29149</v>
      </c>
      <c r="T121" s="457">
        <v>728</v>
      </c>
      <c r="U121" s="458">
        <v>30900</v>
      </c>
      <c r="V121" s="459">
        <v>960</v>
      </c>
      <c r="W121" s="458">
        <v>33162</v>
      </c>
      <c r="X121" s="459">
        <v>1424</v>
      </c>
      <c r="Y121" s="458">
        <v>34991</v>
      </c>
      <c r="Z121" s="459">
        <v>1503</v>
      </c>
      <c r="AA121" s="458">
        <v>36569</v>
      </c>
      <c r="AB121" s="459">
        <v>1493</v>
      </c>
      <c r="AC121" s="458">
        <v>38029</v>
      </c>
      <c r="AD121" s="459">
        <v>1492</v>
      </c>
      <c r="AE121" s="458">
        <v>39389</v>
      </c>
      <c r="AF121" s="459">
        <v>1364</v>
      </c>
      <c r="AG121" s="458">
        <v>39601</v>
      </c>
      <c r="AH121" s="459">
        <v>1310</v>
      </c>
      <c r="AI121" s="458">
        <v>40917</v>
      </c>
      <c r="AJ121" s="459">
        <v>1675</v>
      </c>
      <c r="AK121" s="460">
        <v>40694</v>
      </c>
      <c r="AL121" s="459">
        <v>2834</v>
      </c>
      <c r="AM121" s="458">
        <v>41505</v>
      </c>
      <c r="AN121" s="459">
        <v>3241</v>
      </c>
      <c r="AO121" s="461">
        <v>41868</v>
      </c>
      <c r="AP121" s="462">
        <v>3067</v>
      </c>
      <c r="AQ121" s="463">
        <v>41653</v>
      </c>
      <c r="AR121" s="464">
        <v>2830</v>
      </c>
      <c r="AS121" s="463">
        <v>41772</v>
      </c>
      <c r="AT121" s="1072">
        <v>2560</v>
      </c>
    </row>
    <row r="122" spans="1:46" ht="15" customHeight="1">
      <c r="A122" s="449" t="s">
        <v>230</v>
      </c>
      <c r="B122" s="465" t="s">
        <v>231</v>
      </c>
      <c r="C122" s="190" t="s">
        <v>264</v>
      </c>
      <c r="D122" s="451">
        <f t="shared" si="56"/>
        <v>2.2129169069001572E-2</v>
      </c>
      <c r="E122" s="452">
        <f t="shared" si="57"/>
        <v>2.8993111870098648E-2</v>
      </c>
      <c r="F122" s="453">
        <f t="shared" si="58"/>
        <v>5.6694924178601516E-2</v>
      </c>
      <c r="G122" s="453">
        <f t="shared" si="59"/>
        <v>3.6399811124405754E-2</v>
      </c>
      <c r="H122" s="453">
        <f t="shared" si="60"/>
        <v>3.4220118106840849E-2</v>
      </c>
      <c r="I122" s="453">
        <f t="shared" si="61"/>
        <v>3.307046782833347E-2</v>
      </c>
      <c r="J122" s="453">
        <f t="shared" si="62"/>
        <v>2.9016730367058485E-2</v>
      </c>
      <c r="K122" s="453">
        <f t="shared" si="63"/>
        <v>2.7671493404359839E-2</v>
      </c>
      <c r="L122" s="453">
        <f t="shared" si="64"/>
        <v>3.6363153891060908E-2</v>
      </c>
      <c r="M122" s="453">
        <f t="shared" si="65"/>
        <v>6.2157868458081793E-2</v>
      </c>
      <c r="N122" s="453">
        <f t="shared" si="66"/>
        <v>6.483418521621101E-2</v>
      </c>
      <c r="O122" s="454">
        <f t="shared" si="67"/>
        <v>6.1095824069386045E-2</v>
      </c>
      <c r="P122" s="455">
        <f t="shared" si="68"/>
        <v>5.6694924178601516E-2</v>
      </c>
      <c r="Q122" s="1069">
        <f t="shared" si="69"/>
        <v>5.3369953788473277E-2</v>
      </c>
      <c r="R122" s="219"/>
      <c r="S122" s="456">
        <v>204662</v>
      </c>
      <c r="T122" s="457">
        <v>4529</v>
      </c>
      <c r="U122" s="458">
        <v>209636</v>
      </c>
      <c r="V122" s="459">
        <v>6078</v>
      </c>
      <c r="W122" s="458">
        <v>214898</v>
      </c>
      <c r="X122" s="459">
        <v>7622</v>
      </c>
      <c r="Y122" s="458">
        <v>218133</v>
      </c>
      <c r="Z122" s="459">
        <v>7940</v>
      </c>
      <c r="AA122" s="458">
        <v>220309</v>
      </c>
      <c r="AB122" s="459">
        <v>7539</v>
      </c>
      <c r="AC122" s="458">
        <v>221406</v>
      </c>
      <c r="AD122" s="459">
        <v>7322</v>
      </c>
      <c r="AE122" s="458">
        <v>221872</v>
      </c>
      <c r="AF122" s="459">
        <v>6438</v>
      </c>
      <c r="AG122" s="458">
        <v>221889</v>
      </c>
      <c r="AH122" s="459">
        <v>6140</v>
      </c>
      <c r="AI122" s="458">
        <v>226108</v>
      </c>
      <c r="AJ122" s="459">
        <v>8222</v>
      </c>
      <c r="AK122" s="460">
        <v>220310</v>
      </c>
      <c r="AL122" s="459">
        <v>13694</v>
      </c>
      <c r="AM122" s="458">
        <v>223231</v>
      </c>
      <c r="AN122" s="459">
        <v>14473</v>
      </c>
      <c r="AO122" s="461">
        <v>227135</v>
      </c>
      <c r="AP122" s="462">
        <v>13877</v>
      </c>
      <c r="AQ122" s="463">
        <v>227904</v>
      </c>
      <c r="AR122" s="464">
        <v>12921</v>
      </c>
      <c r="AS122" s="463">
        <v>229380</v>
      </c>
      <c r="AT122" s="1072">
        <v>12242</v>
      </c>
    </row>
    <row r="123" spans="1:46" ht="15" customHeight="1">
      <c r="A123" s="449" t="s">
        <v>238</v>
      </c>
      <c r="B123" s="465" t="s">
        <v>239</v>
      </c>
      <c r="C123" s="190" t="s">
        <v>264</v>
      </c>
      <c r="D123" s="451">
        <f t="shared" si="56"/>
        <v>4.3259777146602577E-2</v>
      </c>
      <c r="E123" s="452">
        <f t="shared" si="57"/>
        <v>5.6737588652482268E-2</v>
      </c>
      <c r="F123" s="453">
        <f t="shared" si="58"/>
        <v>8.8910287273310865E-2</v>
      </c>
      <c r="G123" s="453">
        <f t="shared" si="59"/>
        <v>7.9836453625995271E-2</v>
      </c>
      <c r="H123" s="453">
        <f t="shared" si="60"/>
        <v>7.4962518740629688E-2</v>
      </c>
      <c r="I123" s="453">
        <f t="shared" si="61"/>
        <v>7.1458333333333332E-2</v>
      </c>
      <c r="J123" s="453">
        <f t="shared" si="62"/>
        <v>5.8566978193146414E-2</v>
      </c>
      <c r="K123" s="453">
        <f t="shared" si="63"/>
        <v>5.6418321210929823E-2</v>
      </c>
      <c r="L123" s="453">
        <f t="shared" si="64"/>
        <v>8.598726114649681E-2</v>
      </c>
      <c r="M123" s="453">
        <f t="shared" si="65"/>
        <v>0.15346002151308713</v>
      </c>
      <c r="N123" s="453">
        <f t="shared" si="66"/>
        <v>0.10226882090065315</v>
      </c>
      <c r="O123" s="454">
        <f t="shared" si="67"/>
        <v>9.8084929225645295E-2</v>
      </c>
      <c r="P123" s="455">
        <f t="shared" si="68"/>
        <v>8.8910287273310865E-2</v>
      </c>
      <c r="Q123" s="1069">
        <f t="shared" si="69"/>
        <v>8.2866741321388576E-2</v>
      </c>
      <c r="R123" s="219"/>
      <c r="S123" s="456">
        <v>4577</v>
      </c>
      <c r="T123" s="457">
        <v>198</v>
      </c>
      <c r="U123" s="458">
        <v>4653</v>
      </c>
      <c r="V123" s="459">
        <v>264</v>
      </c>
      <c r="W123" s="458">
        <v>4656</v>
      </c>
      <c r="X123" s="459">
        <v>336</v>
      </c>
      <c r="Y123" s="458">
        <v>4647</v>
      </c>
      <c r="Z123" s="459">
        <v>371</v>
      </c>
      <c r="AA123" s="458">
        <v>4669</v>
      </c>
      <c r="AB123" s="459">
        <v>350</v>
      </c>
      <c r="AC123" s="458">
        <v>4800</v>
      </c>
      <c r="AD123" s="459">
        <v>343</v>
      </c>
      <c r="AE123" s="458">
        <v>4815</v>
      </c>
      <c r="AF123" s="459">
        <v>282</v>
      </c>
      <c r="AG123" s="458">
        <v>5087</v>
      </c>
      <c r="AH123" s="459">
        <v>287</v>
      </c>
      <c r="AI123" s="458">
        <v>5338</v>
      </c>
      <c r="AJ123" s="459">
        <v>459</v>
      </c>
      <c r="AK123" s="460">
        <v>5578</v>
      </c>
      <c r="AL123" s="459">
        <v>856</v>
      </c>
      <c r="AM123" s="458">
        <v>5818</v>
      </c>
      <c r="AN123" s="459">
        <v>595</v>
      </c>
      <c r="AO123" s="461">
        <v>6005</v>
      </c>
      <c r="AP123" s="462">
        <v>589</v>
      </c>
      <c r="AQ123" s="463">
        <v>6231</v>
      </c>
      <c r="AR123" s="464">
        <v>554</v>
      </c>
      <c r="AS123" s="463">
        <v>6251</v>
      </c>
      <c r="AT123" s="1072">
        <v>518</v>
      </c>
    </row>
    <row r="124" spans="1:46" ht="15" customHeight="1">
      <c r="A124" s="470" t="s">
        <v>240</v>
      </c>
      <c r="B124" s="471" t="s">
        <v>241</v>
      </c>
      <c r="C124" s="472" t="s">
        <v>267</v>
      </c>
      <c r="D124" s="473">
        <f t="shared" si="56"/>
        <v>2.2126996493961822E-2</v>
      </c>
      <c r="E124" s="474">
        <f t="shared" si="57"/>
        <v>3.1923873839306269E-2</v>
      </c>
      <c r="F124" s="475">
        <f t="shared" si="58"/>
        <v>6.2098501070663809E-2</v>
      </c>
      <c r="G124" s="475">
        <f t="shared" si="59"/>
        <v>3.6653091447611995E-2</v>
      </c>
      <c r="H124" s="475">
        <f t="shared" si="60"/>
        <v>3.2050354507307192E-2</v>
      </c>
      <c r="I124" s="475">
        <f t="shared" si="61"/>
        <v>3.0664641643161929E-2</v>
      </c>
      <c r="J124" s="475">
        <f t="shared" si="62"/>
        <v>2.9091420139132879E-2</v>
      </c>
      <c r="K124" s="475">
        <f t="shared" si="63"/>
        <v>3.2332725487445646E-2</v>
      </c>
      <c r="L124" s="475">
        <f t="shared" si="64"/>
        <v>4.564748451743094E-2</v>
      </c>
      <c r="M124" s="475">
        <f t="shared" si="65"/>
        <v>8.4034202410989634E-2</v>
      </c>
      <c r="N124" s="475">
        <f t="shared" si="66"/>
        <v>7.6411960132890366E-2</v>
      </c>
      <c r="O124" s="476">
        <f t="shared" si="67"/>
        <v>7.2586818846127082E-2</v>
      </c>
      <c r="P124" s="477">
        <f t="shared" si="68"/>
        <v>6.2098501070663809E-2</v>
      </c>
      <c r="Q124" s="1069">
        <f t="shared" si="69"/>
        <v>5.3840387105568051E-2</v>
      </c>
      <c r="R124" s="219"/>
      <c r="S124" s="456">
        <v>12835</v>
      </c>
      <c r="T124" s="457">
        <v>284</v>
      </c>
      <c r="U124" s="458">
        <v>13031</v>
      </c>
      <c r="V124" s="459">
        <v>416</v>
      </c>
      <c r="W124" s="458">
        <v>13313</v>
      </c>
      <c r="X124" s="459">
        <v>525</v>
      </c>
      <c r="Y124" s="458">
        <v>13505</v>
      </c>
      <c r="Z124" s="459">
        <v>495</v>
      </c>
      <c r="AA124" s="458">
        <v>13822</v>
      </c>
      <c r="AB124" s="459">
        <v>443</v>
      </c>
      <c r="AC124" s="458">
        <v>13827</v>
      </c>
      <c r="AD124" s="459">
        <v>424</v>
      </c>
      <c r="AE124" s="458">
        <v>14231</v>
      </c>
      <c r="AF124" s="459">
        <v>414</v>
      </c>
      <c r="AG124" s="458">
        <v>14258</v>
      </c>
      <c r="AH124" s="459">
        <v>461</v>
      </c>
      <c r="AI124" s="458">
        <v>14371</v>
      </c>
      <c r="AJ124" s="459">
        <v>656</v>
      </c>
      <c r="AK124" s="460">
        <v>14268</v>
      </c>
      <c r="AL124" s="459">
        <v>1199</v>
      </c>
      <c r="AM124" s="458">
        <v>13846</v>
      </c>
      <c r="AN124" s="459">
        <v>1058</v>
      </c>
      <c r="AO124" s="461">
        <v>14369</v>
      </c>
      <c r="AP124" s="462">
        <v>1043</v>
      </c>
      <c r="AQ124" s="463">
        <v>14477</v>
      </c>
      <c r="AR124" s="464">
        <v>899</v>
      </c>
      <c r="AS124" s="463">
        <v>14673</v>
      </c>
      <c r="AT124" s="1072">
        <v>790</v>
      </c>
    </row>
    <row r="125" spans="1:46" ht="15" customHeight="1">
      <c r="A125" s="449"/>
      <c r="B125" s="478"/>
      <c r="C125" s="190"/>
      <c r="D125" s="190"/>
      <c r="E125" s="479"/>
      <c r="F125" s="479"/>
      <c r="G125" s="479"/>
      <c r="H125" s="479"/>
      <c r="I125" s="479"/>
      <c r="J125" s="479"/>
      <c r="K125" s="479"/>
      <c r="L125" s="479"/>
      <c r="M125" s="479"/>
      <c r="N125" s="479"/>
      <c r="O125" s="187"/>
      <c r="P125" s="187"/>
      <c r="Q125" s="187"/>
      <c r="R125" s="190"/>
      <c r="S125" s="190"/>
      <c r="T125" s="190"/>
      <c r="U125" s="480"/>
      <c r="V125" s="480"/>
      <c r="W125" s="480"/>
      <c r="X125" s="480"/>
      <c r="Y125" s="480"/>
      <c r="Z125" s="480"/>
      <c r="AA125" s="480"/>
      <c r="AB125" s="480"/>
      <c r="AC125" s="480"/>
      <c r="AD125" s="480"/>
      <c r="AE125" s="480"/>
      <c r="AF125" s="480"/>
      <c r="AG125" s="480"/>
      <c r="AH125" s="480"/>
      <c r="AI125" s="480"/>
      <c r="AJ125" s="480"/>
      <c r="AK125" s="480"/>
      <c r="AL125" s="480"/>
      <c r="AM125" s="480"/>
      <c r="AN125" s="480"/>
      <c r="AO125" s="481"/>
      <c r="AP125" s="481"/>
    </row>
    <row r="126" spans="1:46" ht="15" customHeight="1">
      <c r="A126" s="658" t="s">
        <v>266</v>
      </c>
      <c r="B126" s="478"/>
      <c r="C126" s="190"/>
      <c r="D126" s="483">
        <f t="shared" ref="D126:D130" si="70">T126/S126</f>
        <v>2.1679057609396746E-2</v>
      </c>
      <c r="E126" s="453">
        <f t="shared" ref="E126:E130" si="71">V126/U126</f>
        <v>3.2030303940112692E-2</v>
      </c>
      <c r="F126" s="453">
        <f t="shared" ref="F126:F130" si="72">AR126/AQ126</f>
        <v>6.4290460055545062E-2</v>
      </c>
      <c r="G126" s="453">
        <f t="shared" ref="G126:G130" si="73">Z126/Y126</f>
        <v>4.2394399201353336E-2</v>
      </c>
      <c r="H126" s="453">
        <f t="shared" ref="H126:H130" si="74">AB126/AA126</f>
        <v>3.9432360308648967E-2</v>
      </c>
      <c r="I126" s="453">
        <f t="shared" ref="I126:I130" si="75">AD126/AC126</f>
        <v>3.8119653356368605E-2</v>
      </c>
      <c r="J126" s="453">
        <f t="shared" ref="J126:J130" si="76">AF126/AE126</f>
        <v>3.2701218361270601E-2</v>
      </c>
      <c r="K126" s="453">
        <f t="shared" ref="K126:K130" si="77">AH126/AG126</f>
        <v>3.2068094393999685E-2</v>
      </c>
      <c r="L126" s="453">
        <f t="shared" ref="L126:L130" si="78">AJ126/AI126</f>
        <v>4.2602168327453109E-2</v>
      </c>
      <c r="M126" s="453">
        <f t="shared" ref="M126:M130" si="79">AL126/AK126</f>
        <v>7.8390419471700112E-2</v>
      </c>
      <c r="N126" s="453">
        <f t="shared" ref="N126:N130" si="80">AN126/AM126</f>
        <v>7.9888358666195355E-2</v>
      </c>
      <c r="O126" s="454">
        <f t="shared" ref="O126:O130" si="81">AP126/AO126</f>
        <v>7.1869259021356616E-2</v>
      </c>
      <c r="P126" s="484">
        <f t="shared" ref="P126:P130" si="82">AR126/AQ126</f>
        <v>6.4290460055545062E-2</v>
      </c>
      <c r="Q126" s="1069">
        <f t="shared" ref="Q126:Q130" si="83">AT126/AS126</f>
        <v>5.9735844084419898E-2</v>
      </c>
      <c r="R126" s="190"/>
      <c r="S126" s="485">
        <v>589140</v>
      </c>
      <c r="T126" s="462">
        <v>12772</v>
      </c>
      <c r="U126" s="485">
        <v>599526</v>
      </c>
      <c r="V126" s="462">
        <v>19203</v>
      </c>
      <c r="W126" s="485">
        <v>612786</v>
      </c>
      <c r="X126" s="462">
        <v>25482</v>
      </c>
      <c r="Y126" s="485">
        <v>623054</v>
      </c>
      <c r="Z126" s="462">
        <v>26414</v>
      </c>
      <c r="AA126" s="485">
        <v>635544</v>
      </c>
      <c r="AB126" s="462">
        <v>25061</v>
      </c>
      <c r="AC126" s="485">
        <v>645966</v>
      </c>
      <c r="AD126" s="462">
        <v>24624</v>
      </c>
      <c r="AE126" s="485">
        <v>656948</v>
      </c>
      <c r="AF126" s="462">
        <v>21483</v>
      </c>
      <c r="AG126" s="485">
        <v>663432</v>
      </c>
      <c r="AH126" s="462">
        <v>21275</v>
      </c>
      <c r="AI126" s="485">
        <v>684214</v>
      </c>
      <c r="AJ126" s="462">
        <v>29149</v>
      </c>
      <c r="AK126" s="485">
        <v>679879</v>
      </c>
      <c r="AL126" s="462">
        <v>53296</v>
      </c>
      <c r="AM126" s="485">
        <v>678960</v>
      </c>
      <c r="AN126" s="462">
        <v>54241</v>
      </c>
      <c r="AO126" s="485">
        <v>689669</v>
      </c>
      <c r="AP126" s="462">
        <v>49566</v>
      </c>
      <c r="AQ126" s="485">
        <v>693851</v>
      </c>
      <c r="AR126" s="462">
        <v>44608</v>
      </c>
      <c r="AS126" s="485">
        <v>698224</v>
      </c>
      <c r="AT126" s="462">
        <v>41709</v>
      </c>
    </row>
    <row r="127" spans="1:46" ht="15" customHeight="1">
      <c r="A127" s="658" t="s">
        <v>264</v>
      </c>
      <c r="B127" s="478"/>
      <c r="C127" s="190"/>
      <c r="D127" s="483">
        <f t="shared" si="70"/>
        <v>2.5429563703006187E-2</v>
      </c>
      <c r="E127" s="453">
        <f t="shared" si="71"/>
        <v>3.321706618825393E-2</v>
      </c>
      <c r="F127" s="453">
        <f t="shared" si="72"/>
        <v>6.6414075961871114E-2</v>
      </c>
      <c r="G127" s="453">
        <f t="shared" si="73"/>
        <v>4.2791271264473518E-2</v>
      </c>
      <c r="H127" s="453">
        <f t="shared" si="74"/>
        <v>4.0761272067991045E-2</v>
      </c>
      <c r="I127" s="453">
        <f t="shared" si="75"/>
        <v>3.9893832142007021E-2</v>
      </c>
      <c r="J127" s="453">
        <f t="shared" si="76"/>
        <v>3.4054139645035592E-2</v>
      </c>
      <c r="K127" s="453">
        <f t="shared" si="77"/>
        <v>3.3091630916195276E-2</v>
      </c>
      <c r="L127" s="453">
        <f t="shared" si="78"/>
        <v>4.2744274872914149E-2</v>
      </c>
      <c r="M127" s="453">
        <f t="shared" si="79"/>
        <v>7.2502585768335376E-2</v>
      </c>
      <c r="N127" s="453">
        <f t="shared" si="80"/>
        <v>7.6663536748089484E-2</v>
      </c>
      <c r="O127" s="454">
        <f t="shared" si="81"/>
        <v>7.2411265556543009E-2</v>
      </c>
      <c r="P127" s="484">
        <f t="shared" si="82"/>
        <v>6.6414075961871114E-2</v>
      </c>
      <c r="Q127" s="1069">
        <f t="shared" si="83"/>
        <v>6.1377424762512969E-2</v>
      </c>
      <c r="R127" s="190"/>
      <c r="S127" s="485">
        <v>790104</v>
      </c>
      <c r="T127" s="462">
        <v>20092</v>
      </c>
      <c r="U127" s="485">
        <v>809343</v>
      </c>
      <c r="V127" s="462">
        <v>26884</v>
      </c>
      <c r="W127" s="485">
        <v>834322</v>
      </c>
      <c r="X127" s="462">
        <v>34653</v>
      </c>
      <c r="Y127" s="485">
        <v>848187</v>
      </c>
      <c r="Z127" s="462">
        <v>36295</v>
      </c>
      <c r="AA127" s="485">
        <v>857407</v>
      </c>
      <c r="AB127" s="462">
        <v>34949</v>
      </c>
      <c r="AC127" s="485">
        <v>865422</v>
      </c>
      <c r="AD127" s="462">
        <v>34525</v>
      </c>
      <c r="AE127" s="485">
        <v>871524</v>
      </c>
      <c r="AF127" s="462">
        <v>29679</v>
      </c>
      <c r="AG127" s="485">
        <v>878077</v>
      </c>
      <c r="AH127" s="462">
        <v>29057</v>
      </c>
      <c r="AI127" s="485">
        <v>898015</v>
      </c>
      <c r="AJ127" s="462">
        <v>38385</v>
      </c>
      <c r="AK127" s="485">
        <v>890451</v>
      </c>
      <c r="AL127" s="462">
        <v>64560</v>
      </c>
      <c r="AM127" s="485">
        <v>890332</v>
      </c>
      <c r="AN127" s="462">
        <v>68256</v>
      </c>
      <c r="AO127" s="485">
        <v>899059</v>
      </c>
      <c r="AP127" s="462">
        <v>65102</v>
      </c>
      <c r="AQ127" s="485">
        <v>898951</v>
      </c>
      <c r="AR127" s="462">
        <v>59703</v>
      </c>
      <c r="AS127" s="485">
        <v>901944</v>
      </c>
      <c r="AT127" s="462">
        <v>55359</v>
      </c>
    </row>
    <row r="128" spans="1:46" ht="15" customHeight="1">
      <c r="A128" s="658" t="s">
        <v>267</v>
      </c>
      <c r="B128" s="478"/>
      <c r="C128" s="190"/>
      <c r="D128" s="483">
        <f t="shared" si="70"/>
        <v>1.6879580584418224E-2</v>
      </c>
      <c r="E128" s="453">
        <f t="shared" si="71"/>
        <v>2.5097361051548011E-2</v>
      </c>
      <c r="F128" s="453">
        <f t="shared" si="72"/>
        <v>4.7615979164822256E-2</v>
      </c>
      <c r="G128" s="453">
        <f t="shared" si="73"/>
        <v>3.2218112314505103E-2</v>
      </c>
      <c r="H128" s="453">
        <f t="shared" si="74"/>
        <v>2.8120733230688783E-2</v>
      </c>
      <c r="I128" s="453">
        <f t="shared" si="75"/>
        <v>2.6636652355762697E-2</v>
      </c>
      <c r="J128" s="453">
        <f t="shared" si="76"/>
        <v>2.3449638566046073E-2</v>
      </c>
      <c r="K128" s="453">
        <f t="shared" si="77"/>
        <v>2.4120898620760063E-2</v>
      </c>
      <c r="L128" s="453">
        <f t="shared" si="78"/>
        <v>3.1947445790692676E-2</v>
      </c>
      <c r="M128" s="453">
        <f t="shared" si="79"/>
        <v>5.5781156472135565E-2</v>
      </c>
      <c r="N128" s="453">
        <f t="shared" si="80"/>
        <v>5.647942135360267E-2</v>
      </c>
      <c r="O128" s="454">
        <f t="shared" si="81"/>
        <v>5.1413270937415316E-2</v>
      </c>
      <c r="P128" s="484">
        <f t="shared" si="82"/>
        <v>4.7615979164822256E-2</v>
      </c>
      <c r="Q128" s="1069">
        <f t="shared" si="83"/>
        <v>4.5670222416519413E-2</v>
      </c>
      <c r="R128" s="190"/>
      <c r="S128" s="485">
        <v>1402523</v>
      </c>
      <c r="T128" s="462">
        <v>23674</v>
      </c>
      <c r="U128" s="485">
        <v>1438717</v>
      </c>
      <c r="V128" s="462">
        <v>36108</v>
      </c>
      <c r="W128" s="485">
        <v>1474609</v>
      </c>
      <c r="X128" s="462">
        <v>50369</v>
      </c>
      <c r="Y128" s="485">
        <v>1502602</v>
      </c>
      <c r="Z128" s="462">
        <v>48411</v>
      </c>
      <c r="AA128" s="485">
        <v>1549035</v>
      </c>
      <c r="AB128" s="462">
        <v>43560</v>
      </c>
      <c r="AC128" s="485">
        <v>1589464</v>
      </c>
      <c r="AD128" s="462">
        <v>42338</v>
      </c>
      <c r="AE128" s="485">
        <v>1629620</v>
      </c>
      <c r="AF128" s="462">
        <v>38214</v>
      </c>
      <c r="AG128" s="485">
        <v>1645544</v>
      </c>
      <c r="AH128" s="462">
        <v>39692</v>
      </c>
      <c r="AI128" s="485">
        <v>1702014</v>
      </c>
      <c r="AJ128" s="462">
        <v>54375</v>
      </c>
      <c r="AK128" s="485">
        <v>1702367</v>
      </c>
      <c r="AL128" s="462">
        <v>94960</v>
      </c>
      <c r="AM128" s="485">
        <v>1723194</v>
      </c>
      <c r="AN128" s="462">
        <v>97325</v>
      </c>
      <c r="AO128" s="485">
        <v>1767637</v>
      </c>
      <c r="AP128" s="462">
        <v>90880</v>
      </c>
      <c r="AQ128" s="485">
        <v>1784674</v>
      </c>
      <c r="AR128" s="462">
        <v>84979</v>
      </c>
      <c r="AS128" s="485">
        <v>1797933</v>
      </c>
      <c r="AT128" s="462">
        <v>82112</v>
      </c>
    </row>
    <row r="129" spans="1:46" ht="15" customHeight="1">
      <c r="A129" s="658" t="s">
        <v>265</v>
      </c>
      <c r="B129" s="478"/>
      <c r="C129" s="190"/>
      <c r="D129" s="483">
        <f t="shared" si="70"/>
        <v>2.6854844076996457E-2</v>
      </c>
      <c r="E129" s="453">
        <f t="shared" si="71"/>
        <v>3.9423327904591389E-2</v>
      </c>
      <c r="F129" s="453">
        <f t="shared" si="72"/>
        <v>6.7452757868989105E-2</v>
      </c>
      <c r="G129" s="453">
        <f t="shared" si="73"/>
        <v>5.2694301547261999E-2</v>
      </c>
      <c r="H129" s="453">
        <f t="shared" si="74"/>
        <v>4.7009844629719737E-2</v>
      </c>
      <c r="I129" s="453">
        <f t="shared" si="75"/>
        <v>4.3417369487565104E-2</v>
      </c>
      <c r="J129" s="453">
        <f t="shared" si="76"/>
        <v>3.6775540716354825E-2</v>
      </c>
      <c r="K129" s="453">
        <f t="shared" si="77"/>
        <v>3.7330460247607104E-2</v>
      </c>
      <c r="L129" s="453">
        <f t="shared" si="78"/>
        <v>4.7130381241770838E-2</v>
      </c>
      <c r="M129" s="453">
        <f t="shared" si="79"/>
        <v>8.4040551839464878E-2</v>
      </c>
      <c r="N129" s="453">
        <f t="shared" si="80"/>
        <v>8.5694305483139097E-2</v>
      </c>
      <c r="O129" s="454">
        <f t="shared" si="81"/>
        <v>7.5830646291882797E-2</v>
      </c>
      <c r="P129" s="484">
        <f t="shared" si="82"/>
        <v>6.7452757868989105E-2</v>
      </c>
      <c r="Q129" s="1069">
        <f t="shared" si="83"/>
        <v>6.2925050088890142E-2</v>
      </c>
      <c r="R129" s="190"/>
      <c r="S129" s="485">
        <v>540908</v>
      </c>
      <c r="T129" s="462">
        <v>14526</v>
      </c>
      <c r="U129" s="485">
        <v>544018</v>
      </c>
      <c r="V129" s="462">
        <v>21447</v>
      </c>
      <c r="W129" s="485">
        <v>553934</v>
      </c>
      <c r="X129" s="462">
        <v>30022</v>
      </c>
      <c r="Y129" s="485">
        <v>553817</v>
      </c>
      <c r="Z129" s="462">
        <v>29183</v>
      </c>
      <c r="AA129" s="485">
        <v>546694</v>
      </c>
      <c r="AB129" s="462">
        <v>25700</v>
      </c>
      <c r="AC129" s="485">
        <v>551231</v>
      </c>
      <c r="AD129" s="462">
        <v>23933</v>
      </c>
      <c r="AE129" s="485">
        <v>556484</v>
      </c>
      <c r="AF129" s="462">
        <v>20465</v>
      </c>
      <c r="AG129" s="485">
        <v>559677</v>
      </c>
      <c r="AH129" s="462">
        <v>20893</v>
      </c>
      <c r="AI129" s="485">
        <v>574937</v>
      </c>
      <c r="AJ129" s="462">
        <v>27097</v>
      </c>
      <c r="AK129" s="485">
        <v>574080</v>
      </c>
      <c r="AL129" s="462">
        <v>48246</v>
      </c>
      <c r="AM129" s="485">
        <v>567704</v>
      </c>
      <c r="AN129" s="462">
        <v>48649</v>
      </c>
      <c r="AO129" s="485">
        <v>570640</v>
      </c>
      <c r="AP129" s="462">
        <v>43272</v>
      </c>
      <c r="AQ129" s="485">
        <v>567449</v>
      </c>
      <c r="AR129" s="462">
        <v>38276</v>
      </c>
      <c r="AS129" s="485">
        <v>566992</v>
      </c>
      <c r="AT129" s="462">
        <v>35678</v>
      </c>
    </row>
    <row r="130" spans="1:46" ht="15" customHeight="1">
      <c r="A130" s="658" t="s">
        <v>268</v>
      </c>
      <c r="B130" s="478"/>
      <c r="C130" s="190"/>
      <c r="D130" s="483">
        <f t="shared" si="70"/>
        <v>3.9992807186691764E-2</v>
      </c>
      <c r="E130" s="453">
        <f t="shared" si="71"/>
        <v>5.3137166447425783E-2</v>
      </c>
      <c r="F130" s="453">
        <f t="shared" si="72"/>
        <v>7.4349172729448798E-2</v>
      </c>
      <c r="G130" s="453">
        <f t="shared" si="73"/>
        <v>5.6062505678204776E-2</v>
      </c>
      <c r="H130" s="453">
        <f t="shared" si="74"/>
        <v>4.9803733701727221E-2</v>
      </c>
      <c r="I130" s="453">
        <f t="shared" si="75"/>
        <v>4.6585865926137393E-2</v>
      </c>
      <c r="J130" s="453">
        <f t="shared" si="76"/>
        <v>4.2236984855915705E-2</v>
      </c>
      <c r="K130" s="453">
        <f t="shared" si="77"/>
        <v>4.4953707811991601E-2</v>
      </c>
      <c r="L130" s="453">
        <f t="shared" si="78"/>
        <v>5.2288495169289871E-2</v>
      </c>
      <c r="M130" s="453">
        <f t="shared" si="79"/>
        <v>9.1706631941871258E-2</v>
      </c>
      <c r="N130" s="453">
        <f t="shared" si="80"/>
        <v>9.1026399268777897E-2</v>
      </c>
      <c r="O130" s="454">
        <f t="shared" si="81"/>
        <v>7.946351107255116E-2</v>
      </c>
      <c r="P130" s="484">
        <f t="shared" si="82"/>
        <v>7.4349172729448798E-2</v>
      </c>
      <c r="Q130" s="1069">
        <f t="shared" si="83"/>
        <v>7.3725547232928512E-2</v>
      </c>
      <c r="R130" s="190"/>
      <c r="S130" s="485">
        <v>261372</v>
      </c>
      <c r="T130" s="462">
        <v>10453</v>
      </c>
      <c r="U130" s="485">
        <v>263789</v>
      </c>
      <c r="V130" s="462">
        <v>14017</v>
      </c>
      <c r="W130" s="485">
        <v>269002</v>
      </c>
      <c r="X130" s="462">
        <v>16039</v>
      </c>
      <c r="Y130" s="485">
        <v>275175</v>
      </c>
      <c r="Z130" s="462">
        <v>15427</v>
      </c>
      <c r="AA130" s="485">
        <v>269277</v>
      </c>
      <c r="AB130" s="462">
        <v>13411</v>
      </c>
      <c r="AC130" s="485">
        <v>269717</v>
      </c>
      <c r="AD130" s="462">
        <v>12565</v>
      </c>
      <c r="AE130" s="485">
        <v>269148</v>
      </c>
      <c r="AF130" s="462">
        <v>11368</v>
      </c>
      <c r="AG130" s="485">
        <v>270456</v>
      </c>
      <c r="AH130" s="462">
        <v>12158</v>
      </c>
      <c r="AI130" s="485">
        <v>279048</v>
      </c>
      <c r="AJ130" s="462">
        <v>14591</v>
      </c>
      <c r="AK130" s="485">
        <v>283371</v>
      </c>
      <c r="AL130" s="462">
        <v>25987</v>
      </c>
      <c r="AM130" s="485">
        <v>278985</v>
      </c>
      <c r="AN130" s="462">
        <v>25395</v>
      </c>
      <c r="AO130" s="485">
        <v>281236</v>
      </c>
      <c r="AP130" s="462">
        <v>22348</v>
      </c>
      <c r="AQ130" s="485">
        <v>275726</v>
      </c>
      <c r="AR130" s="462">
        <v>20500</v>
      </c>
      <c r="AS130" s="485">
        <v>275020</v>
      </c>
      <c r="AT130" s="462">
        <v>20276</v>
      </c>
    </row>
    <row r="131" spans="1:46" ht="15" customHeight="1">
      <c r="A131" s="482"/>
      <c r="B131" s="478"/>
      <c r="C131" s="190"/>
      <c r="D131" s="190"/>
      <c r="E131" s="479"/>
      <c r="F131" s="479"/>
      <c r="G131" s="479"/>
      <c r="H131" s="479"/>
      <c r="I131" s="479"/>
      <c r="J131" s="479"/>
      <c r="K131" s="479"/>
      <c r="L131" s="479"/>
      <c r="M131" s="479"/>
      <c r="N131" s="479"/>
      <c r="O131" s="187"/>
      <c r="P131" s="187"/>
      <c r="Q131" s="187"/>
      <c r="R131" s="190"/>
      <c r="S131" s="190"/>
      <c r="T131" s="190"/>
      <c r="U131" s="480"/>
      <c r="V131" s="480"/>
      <c r="W131" s="480"/>
      <c r="X131" s="480"/>
      <c r="Y131" s="480"/>
      <c r="Z131" s="480"/>
      <c r="AA131" s="480"/>
      <c r="AB131" s="480"/>
      <c r="AC131" s="480"/>
      <c r="AD131" s="480"/>
      <c r="AE131" s="480"/>
      <c r="AF131" s="480"/>
      <c r="AG131" s="480"/>
      <c r="AH131" s="480"/>
      <c r="AI131" s="480"/>
      <c r="AJ131" s="480"/>
      <c r="AK131" s="480"/>
      <c r="AL131" s="480"/>
      <c r="AM131" s="480"/>
      <c r="AN131" s="480"/>
      <c r="AO131" s="481"/>
      <c r="AP131" s="481"/>
    </row>
    <row r="132" spans="1:46" ht="16.5" customHeight="1">
      <c r="A132" s="1897" t="s">
        <v>872</v>
      </c>
      <c r="B132" s="1898"/>
      <c r="C132" s="1898"/>
      <c r="D132" s="1898"/>
      <c r="E132" s="1898"/>
      <c r="F132" s="1898"/>
      <c r="G132" s="1898"/>
      <c r="H132" s="1898"/>
      <c r="I132" s="1898"/>
      <c r="J132" s="1898"/>
      <c r="K132" s="1898"/>
      <c r="L132" s="1898"/>
      <c r="M132" s="1898"/>
      <c r="N132" s="1898"/>
      <c r="O132" s="1898"/>
      <c r="P132" s="634"/>
      <c r="Q132" s="634"/>
    </row>
    <row r="133" spans="1:46" ht="16.5" customHeight="1">
      <c r="A133" s="1898"/>
      <c r="B133" s="1898"/>
      <c r="C133" s="1898"/>
      <c r="D133" s="1898"/>
      <c r="E133" s="1898"/>
      <c r="F133" s="1898"/>
      <c r="G133" s="1898"/>
      <c r="H133" s="1898"/>
      <c r="I133" s="1898"/>
      <c r="J133" s="1898"/>
      <c r="K133" s="1898"/>
      <c r="L133" s="1898"/>
      <c r="M133" s="1898"/>
      <c r="N133" s="1898"/>
      <c r="O133" s="1898"/>
      <c r="P133" s="531"/>
      <c r="Q133" s="531"/>
    </row>
    <row r="134" spans="1:46" ht="16.5" customHeight="1">
      <c r="A134" s="530"/>
      <c r="B134" s="530"/>
      <c r="C134" s="530"/>
      <c r="D134" s="530"/>
      <c r="E134" s="530"/>
      <c r="F134" s="530"/>
      <c r="G134" s="530"/>
      <c r="H134" s="530"/>
      <c r="I134" s="530"/>
      <c r="J134" s="530"/>
      <c r="K134" s="530"/>
      <c r="L134" s="530"/>
      <c r="M134" s="530"/>
      <c r="N134" s="530"/>
      <c r="O134" s="530"/>
      <c r="P134" s="531"/>
      <c r="Q134" s="531"/>
    </row>
    <row r="135" spans="1:46">
      <c r="A135" s="428" t="s">
        <v>248</v>
      </c>
    </row>
    <row r="136" spans="1:46">
      <c r="A136" s="429" t="s">
        <v>249</v>
      </c>
      <c r="B136" s="430" t="s">
        <v>250</v>
      </c>
    </row>
    <row r="137" spans="1:46">
      <c r="U137" s="486"/>
      <c r="V137" s="486"/>
      <c r="W137" s="486"/>
      <c r="X137" s="486"/>
      <c r="Y137" s="486"/>
      <c r="Z137" s="486"/>
      <c r="AA137" s="486"/>
      <c r="AB137" s="486"/>
      <c r="AC137" s="486"/>
      <c r="AD137" s="486"/>
      <c r="AE137" s="486"/>
      <c r="AF137" s="486"/>
      <c r="AG137" s="486"/>
      <c r="AH137" s="486"/>
      <c r="AI137" s="486"/>
      <c r="AJ137" s="486"/>
      <c r="AK137" s="486"/>
      <c r="AL137" s="486"/>
      <c r="AM137" s="486"/>
      <c r="AN137" s="486"/>
    </row>
  </sheetData>
  <autoFilter ref="A3:C124"/>
  <sortState ref="A5:AT124">
    <sortCondition ref="A5:A124"/>
  </sortState>
  <mergeCells count="1">
    <mergeCell ref="A132:O133"/>
  </mergeCells>
  <hyperlinks>
    <hyperlink ref="B136" r:id="rId1"/>
  </hyperlinks>
  <pageMargins left="0.7" right="0.7" top="0.75" bottom="0.75" header="0.3" footer="0.3"/>
  <pageSetup orientation="portrait" r:id="rId2"/>
  <headerFooter>
    <oddHeader>&amp;C&amp;"Courier New,Bold"&amp;12Unemployment Rate 2004-2010</oddHeader>
    <oddFooter>&amp;C&amp;"Courier New,Regular"&amp;P of &amp;N</oddFooter>
  </headerFooter>
</worksheet>
</file>

<file path=xl/worksheets/sheet13.xml><?xml version="1.0" encoding="utf-8"?>
<worksheet xmlns="http://schemas.openxmlformats.org/spreadsheetml/2006/main" xmlns:r="http://schemas.openxmlformats.org/officeDocument/2006/relationships">
  <dimension ref="A1:O136"/>
  <sheetViews>
    <sheetView workbookViewId="0">
      <pane ySplit="6" topLeftCell="A7" activePane="bottomLeft" state="frozen"/>
      <selection pane="bottomLeft" activeCell="A7" sqref="A7:XFD126"/>
    </sheetView>
  </sheetViews>
  <sheetFormatPr defaultRowHeight="15.75"/>
  <cols>
    <col min="1" max="1" width="7.75" style="134" customWidth="1"/>
    <col min="2" max="2" width="28.625" style="158" customWidth="1"/>
    <col min="3" max="3" width="10" style="158" customWidth="1"/>
    <col min="4" max="4" width="8.375" style="158" customWidth="1"/>
    <col min="5" max="7" width="8.375" style="157" customWidth="1"/>
    <col min="8" max="11" width="6.875" style="134" customWidth="1"/>
    <col min="12" max="15" width="6.875" style="135" customWidth="1"/>
    <col min="16" max="16384" width="9" style="134"/>
  </cols>
  <sheetData>
    <row r="1" spans="1:15">
      <c r="A1" s="314" t="s">
        <v>935</v>
      </c>
      <c r="B1" s="314"/>
      <c r="C1" s="314"/>
      <c r="D1" s="314"/>
      <c r="E1" s="314"/>
      <c r="F1" s="314"/>
      <c r="G1" s="314"/>
      <c r="H1" s="314"/>
      <c r="I1" s="315"/>
      <c r="J1" s="315"/>
      <c r="K1" s="315"/>
      <c r="L1" s="315"/>
      <c r="M1" s="315"/>
      <c r="N1" s="315"/>
      <c r="O1" s="315"/>
    </row>
    <row r="2" spans="1:15">
      <c r="A2" s="96"/>
      <c r="B2" s="136"/>
      <c r="C2" s="136"/>
      <c r="D2" s="136"/>
      <c r="E2" s="1903"/>
      <c r="F2" s="1903"/>
      <c r="G2" s="1903"/>
    </row>
    <row r="3" spans="1:15" s="142" customFormat="1" ht="15.75" customHeight="1">
      <c r="A3" s="137"/>
      <c r="B3" s="138"/>
      <c r="C3" s="138"/>
      <c r="D3" s="139" t="s">
        <v>640</v>
      </c>
      <c r="E3" s="140"/>
      <c r="F3" s="140"/>
      <c r="G3" s="141"/>
      <c r="H3" s="1900" t="s">
        <v>641</v>
      </c>
      <c r="I3" s="1901"/>
      <c r="J3" s="1901"/>
      <c r="K3" s="1901"/>
      <c r="L3" s="1901"/>
      <c r="M3" s="1901"/>
      <c r="N3" s="1901"/>
      <c r="O3" s="1901"/>
    </row>
    <row r="4" spans="1:15" s="142" customFormat="1" ht="24.75" customHeight="1">
      <c r="A4" s="1904" t="s">
        <v>4</v>
      </c>
      <c r="B4" s="1906" t="s">
        <v>5</v>
      </c>
      <c r="C4" s="1906" t="s">
        <v>251</v>
      </c>
      <c r="D4" s="1900" t="s">
        <v>642</v>
      </c>
      <c r="E4" s="1901"/>
      <c r="F4" s="1901"/>
      <c r="G4" s="1902"/>
      <c r="H4" s="1900" t="s">
        <v>643</v>
      </c>
      <c r="I4" s="1901"/>
      <c r="J4" s="1901"/>
      <c r="K4" s="1902"/>
      <c r="L4" s="1900" t="s">
        <v>644</v>
      </c>
      <c r="M4" s="1901"/>
      <c r="N4" s="1901"/>
      <c r="O4" s="1902"/>
    </row>
    <row r="5" spans="1:15" s="142" customFormat="1" ht="15" customHeight="1">
      <c r="A5" s="1905"/>
      <c r="B5" s="1907"/>
      <c r="C5" s="1907"/>
      <c r="D5" s="143" t="s">
        <v>645</v>
      </c>
      <c r="E5" s="144" t="s">
        <v>568</v>
      </c>
      <c r="F5" s="144" t="s">
        <v>569</v>
      </c>
      <c r="G5" s="298" t="s">
        <v>646</v>
      </c>
      <c r="H5" s="143" t="s">
        <v>645</v>
      </c>
      <c r="I5" s="144" t="s">
        <v>568</v>
      </c>
      <c r="J5" s="144" t="s">
        <v>569</v>
      </c>
      <c r="K5" s="298" t="s">
        <v>646</v>
      </c>
      <c r="L5" s="143" t="s">
        <v>645</v>
      </c>
      <c r="M5" s="144" t="s">
        <v>568</v>
      </c>
      <c r="N5" s="144" t="s">
        <v>569</v>
      </c>
      <c r="O5" s="145" t="s">
        <v>646</v>
      </c>
    </row>
    <row r="6" spans="1:15" s="142" customFormat="1" ht="15.75" customHeight="1">
      <c r="A6" s="146" t="s">
        <v>8</v>
      </c>
      <c r="B6" s="147" t="s">
        <v>9</v>
      </c>
      <c r="C6" s="148"/>
      <c r="D6" s="299">
        <v>102811</v>
      </c>
      <c r="E6" s="300">
        <v>66841</v>
      </c>
      <c r="F6" s="300">
        <v>21845</v>
      </c>
      <c r="G6" s="301">
        <v>14125</v>
      </c>
      <c r="H6" s="299">
        <v>36271</v>
      </c>
      <c r="I6" s="300">
        <v>17777</v>
      </c>
      <c r="J6" s="300">
        <v>14686</v>
      </c>
      <c r="K6" s="301">
        <v>3808</v>
      </c>
      <c r="L6" s="288">
        <f>(H6/D6)</f>
        <v>0.35279298907704426</v>
      </c>
      <c r="M6" s="288">
        <f>(I6/E6)</f>
        <v>0.26595951586601041</v>
      </c>
      <c r="N6" s="288">
        <f>(J6/F6)</f>
        <v>0.672281986724651</v>
      </c>
      <c r="O6" s="288">
        <f>(K6/G6)</f>
        <v>0.2695929203539823</v>
      </c>
    </row>
    <row r="7" spans="1:15" s="142" customFormat="1" ht="15.75" customHeight="1">
      <c r="A7" s="149" t="s">
        <v>10</v>
      </c>
      <c r="B7" s="188" t="s">
        <v>11</v>
      </c>
      <c r="C7" s="150" t="s">
        <v>264</v>
      </c>
      <c r="D7" s="1359">
        <v>396</v>
      </c>
      <c r="E7" s="1360">
        <v>228</v>
      </c>
      <c r="F7" s="1361">
        <v>137</v>
      </c>
      <c r="G7" s="1358">
        <v>31</v>
      </c>
      <c r="H7" s="1359">
        <v>222</v>
      </c>
      <c r="I7" s="1360">
        <v>93</v>
      </c>
      <c r="J7" s="1361">
        <v>113</v>
      </c>
      <c r="K7" s="1358">
        <v>16</v>
      </c>
      <c r="L7" s="289">
        <f t="shared" ref="L7:L38" si="0">IF(D7=0,"NA",(H7/D7))</f>
        <v>0.56060606060606055</v>
      </c>
      <c r="M7" s="290">
        <f t="shared" ref="M7:M38" si="1">IF(E7=0,"NA",(I7/E7))</f>
        <v>0.40789473684210525</v>
      </c>
      <c r="N7" s="290">
        <f t="shared" ref="N7:N38" si="2">IF(F7=0,"NA",(J7/F7))</f>
        <v>0.82481751824817517</v>
      </c>
      <c r="O7" s="291">
        <f t="shared" ref="O7:O38" si="3">IF(G7=0,"NA",(K7/G7))</f>
        <v>0.5161290322580645</v>
      </c>
    </row>
    <row r="8" spans="1:15" s="142" customFormat="1" ht="15.75" customHeight="1">
      <c r="A8" s="149" t="s">
        <v>12</v>
      </c>
      <c r="B8" s="189" t="s">
        <v>13</v>
      </c>
      <c r="C8" s="150" t="s">
        <v>265</v>
      </c>
      <c r="D8" s="1359">
        <v>1053</v>
      </c>
      <c r="E8" s="1360">
        <v>794</v>
      </c>
      <c r="F8" s="1361">
        <v>130</v>
      </c>
      <c r="G8" s="1358">
        <v>129</v>
      </c>
      <c r="H8" s="1359">
        <v>271</v>
      </c>
      <c r="I8" s="1360">
        <v>164</v>
      </c>
      <c r="J8" s="1361">
        <v>82</v>
      </c>
      <c r="K8" s="1358">
        <v>25</v>
      </c>
      <c r="L8" s="289">
        <f t="shared" si="0"/>
        <v>0.25735992402659069</v>
      </c>
      <c r="M8" s="290">
        <f t="shared" si="1"/>
        <v>0.20654911838790932</v>
      </c>
      <c r="N8" s="290">
        <f t="shared" si="2"/>
        <v>0.63076923076923075</v>
      </c>
      <c r="O8" s="291">
        <f t="shared" si="3"/>
        <v>0.19379844961240311</v>
      </c>
    </row>
    <row r="9" spans="1:15" s="142" customFormat="1" ht="15.75" customHeight="1">
      <c r="A9" s="149" t="s">
        <v>16</v>
      </c>
      <c r="B9" s="189" t="s">
        <v>297</v>
      </c>
      <c r="C9" s="150" t="s">
        <v>265</v>
      </c>
      <c r="D9" s="1359">
        <v>210</v>
      </c>
      <c r="E9" s="1360">
        <v>194</v>
      </c>
      <c r="F9" s="1361">
        <v>14</v>
      </c>
      <c r="G9" s="1358">
        <v>2</v>
      </c>
      <c r="H9" s="1359">
        <v>88</v>
      </c>
      <c r="I9" s="1360">
        <v>78</v>
      </c>
      <c r="J9" s="1361">
        <v>10</v>
      </c>
      <c r="K9" s="1358">
        <v>0</v>
      </c>
      <c r="L9" s="289">
        <f t="shared" si="0"/>
        <v>0.41904761904761906</v>
      </c>
      <c r="M9" s="290">
        <f t="shared" si="1"/>
        <v>0.40206185567010311</v>
      </c>
      <c r="N9" s="290">
        <f t="shared" si="2"/>
        <v>0.7142857142857143</v>
      </c>
      <c r="O9" s="291">
        <f t="shared" si="3"/>
        <v>0</v>
      </c>
    </row>
    <row r="10" spans="1:15" s="142" customFormat="1" ht="15.75" customHeight="1">
      <c r="A10" s="149" t="s">
        <v>18</v>
      </c>
      <c r="B10" s="189" t="s">
        <v>19</v>
      </c>
      <c r="C10" s="150" t="s">
        <v>266</v>
      </c>
      <c r="D10" s="1359">
        <v>146</v>
      </c>
      <c r="E10" s="1360">
        <v>120</v>
      </c>
      <c r="F10" s="1361">
        <v>25</v>
      </c>
      <c r="G10" s="1358">
        <v>1</v>
      </c>
      <c r="H10" s="1359">
        <v>67</v>
      </c>
      <c r="I10" s="1360">
        <v>48</v>
      </c>
      <c r="J10" s="1361">
        <v>18</v>
      </c>
      <c r="K10" s="1358">
        <v>1</v>
      </c>
      <c r="L10" s="289">
        <f t="shared" si="0"/>
        <v>0.4589041095890411</v>
      </c>
      <c r="M10" s="290">
        <f t="shared" si="1"/>
        <v>0.4</v>
      </c>
      <c r="N10" s="290">
        <f t="shared" si="2"/>
        <v>0.72</v>
      </c>
      <c r="O10" s="291">
        <f t="shared" si="3"/>
        <v>1</v>
      </c>
    </row>
    <row r="11" spans="1:15" s="142" customFormat="1" ht="15.75" customHeight="1">
      <c r="A11" s="149" t="s">
        <v>20</v>
      </c>
      <c r="B11" s="189" t="s">
        <v>21</v>
      </c>
      <c r="C11" s="150" t="s">
        <v>265</v>
      </c>
      <c r="D11" s="1359">
        <v>320</v>
      </c>
      <c r="E11" s="1360">
        <v>253</v>
      </c>
      <c r="F11" s="1361">
        <v>61</v>
      </c>
      <c r="G11" s="1358">
        <v>6</v>
      </c>
      <c r="H11" s="1359">
        <v>149</v>
      </c>
      <c r="I11" s="1360">
        <v>96</v>
      </c>
      <c r="J11" s="1361">
        <v>49</v>
      </c>
      <c r="K11" s="1358">
        <v>4</v>
      </c>
      <c r="L11" s="289">
        <f t="shared" si="0"/>
        <v>0.46562500000000001</v>
      </c>
      <c r="M11" s="290">
        <f t="shared" si="1"/>
        <v>0.37944664031620551</v>
      </c>
      <c r="N11" s="290">
        <f t="shared" si="2"/>
        <v>0.80327868852459017</v>
      </c>
      <c r="O11" s="291">
        <f t="shared" si="3"/>
        <v>0.66666666666666663</v>
      </c>
    </row>
    <row r="12" spans="1:15" s="142" customFormat="1" ht="15.75" customHeight="1">
      <c r="A12" s="149" t="s">
        <v>22</v>
      </c>
      <c r="B12" s="189" t="s">
        <v>23</v>
      </c>
      <c r="C12" s="150" t="s">
        <v>265</v>
      </c>
      <c r="D12" s="1359">
        <v>180</v>
      </c>
      <c r="E12" s="1360">
        <v>140</v>
      </c>
      <c r="F12" s="1361">
        <v>39</v>
      </c>
      <c r="G12" s="1358">
        <v>1</v>
      </c>
      <c r="H12" s="1359">
        <v>76</v>
      </c>
      <c r="I12" s="1360">
        <v>43</v>
      </c>
      <c r="J12" s="1361">
        <v>32</v>
      </c>
      <c r="K12" s="1358">
        <v>1</v>
      </c>
      <c r="L12" s="289">
        <f t="shared" si="0"/>
        <v>0.42222222222222222</v>
      </c>
      <c r="M12" s="290">
        <f t="shared" si="1"/>
        <v>0.30714285714285716</v>
      </c>
      <c r="N12" s="290">
        <f t="shared" si="2"/>
        <v>0.82051282051282048</v>
      </c>
      <c r="O12" s="291">
        <f t="shared" si="3"/>
        <v>1</v>
      </c>
    </row>
    <row r="13" spans="1:15" s="142" customFormat="1" ht="15.75" customHeight="1">
      <c r="A13" s="149" t="s">
        <v>24</v>
      </c>
      <c r="B13" s="189" t="s">
        <v>25</v>
      </c>
      <c r="C13" s="150" t="s">
        <v>267</v>
      </c>
      <c r="D13" s="1359">
        <v>3193</v>
      </c>
      <c r="E13" s="1360">
        <v>2337</v>
      </c>
      <c r="F13" s="1361">
        <v>215</v>
      </c>
      <c r="G13" s="1358">
        <v>641</v>
      </c>
      <c r="H13" s="1359">
        <v>527</v>
      </c>
      <c r="I13" s="1360">
        <v>298</v>
      </c>
      <c r="J13" s="1361">
        <v>98</v>
      </c>
      <c r="K13" s="1358">
        <v>131</v>
      </c>
      <c r="L13" s="289">
        <f t="shared" si="0"/>
        <v>0.1650485436893204</v>
      </c>
      <c r="M13" s="290">
        <f t="shared" si="1"/>
        <v>0.12751390671801455</v>
      </c>
      <c r="N13" s="290">
        <f t="shared" si="2"/>
        <v>0.45581395348837211</v>
      </c>
      <c r="O13" s="291">
        <f t="shared" si="3"/>
        <v>0.20436817472698907</v>
      </c>
    </row>
    <row r="14" spans="1:15" s="142" customFormat="1" ht="15.75" customHeight="1">
      <c r="A14" s="149" t="s">
        <v>26</v>
      </c>
      <c r="B14" s="189" t="s">
        <v>298</v>
      </c>
      <c r="C14" s="150" t="s">
        <v>265</v>
      </c>
      <c r="D14" s="1359">
        <v>1205</v>
      </c>
      <c r="E14" s="1360">
        <v>1099</v>
      </c>
      <c r="F14" s="1361">
        <v>77</v>
      </c>
      <c r="G14" s="1358">
        <v>29</v>
      </c>
      <c r="H14" s="1359">
        <v>480</v>
      </c>
      <c r="I14" s="1360">
        <v>416</v>
      </c>
      <c r="J14" s="1361">
        <v>59</v>
      </c>
      <c r="K14" s="1358">
        <v>5</v>
      </c>
      <c r="L14" s="289">
        <f t="shared" si="0"/>
        <v>0.39834024896265557</v>
      </c>
      <c r="M14" s="290">
        <f t="shared" si="1"/>
        <v>0.37852593266606005</v>
      </c>
      <c r="N14" s="290">
        <f t="shared" si="2"/>
        <v>0.76623376623376627</v>
      </c>
      <c r="O14" s="291">
        <f t="shared" si="3"/>
        <v>0.17241379310344829</v>
      </c>
    </row>
    <row r="15" spans="1:15" s="142" customFormat="1" ht="15.75" customHeight="1">
      <c r="A15" s="149" t="s">
        <v>27</v>
      </c>
      <c r="B15" s="189" t="s">
        <v>28</v>
      </c>
      <c r="C15" s="150" t="s">
        <v>265</v>
      </c>
      <c r="D15" s="1359">
        <v>40</v>
      </c>
      <c r="E15" s="1360">
        <v>38</v>
      </c>
      <c r="F15" s="1361">
        <v>2</v>
      </c>
      <c r="G15" s="1358">
        <v>0</v>
      </c>
      <c r="H15" s="1359">
        <v>23</v>
      </c>
      <c r="I15" s="1360">
        <v>23</v>
      </c>
      <c r="J15" s="1361">
        <v>0</v>
      </c>
      <c r="K15" s="1358">
        <v>0</v>
      </c>
      <c r="L15" s="289">
        <f t="shared" si="0"/>
        <v>0.57499999999999996</v>
      </c>
      <c r="M15" s="290">
        <f t="shared" si="1"/>
        <v>0.60526315789473684</v>
      </c>
      <c r="N15" s="290">
        <f t="shared" si="2"/>
        <v>0</v>
      </c>
      <c r="O15" s="291" t="str">
        <f t="shared" si="3"/>
        <v>NA</v>
      </c>
    </row>
    <row r="16" spans="1:15" s="142" customFormat="1" ht="15.75" customHeight="1">
      <c r="A16" s="149" t="s">
        <v>29</v>
      </c>
      <c r="B16" s="189" t="s">
        <v>1012</v>
      </c>
      <c r="C16" s="150" t="s">
        <v>265</v>
      </c>
      <c r="D16" s="1359">
        <v>620</v>
      </c>
      <c r="E16" s="1360">
        <v>550</v>
      </c>
      <c r="F16" s="1361">
        <v>54</v>
      </c>
      <c r="G16" s="1358">
        <v>16</v>
      </c>
      <c r="H16" s="1359">
        <v>215</v>
      </c>
      <c r="I16" s="1360">
        <v>166</v>
      </c>
      <c r="J16" s="1361">
        <v>45</v>
      </c>
      <c r="K16" s="1358">
        <v>4</v>
      </c>
      <c r="L16" s="289">
        <f t="shared" si="0"/>
        <v>0.34677419354838712</v>
      </c>
      <c r="M16" s="290">
        <f t="shared" si="1"/>
        <v>0.30181818181818182</v>
      </c>
      <c r="N16" s="290">
        <f t="shared" si="2"/>
        <v>0.83333333333333337</v>
      </c>
      <c r="O16" s="291">
        <f t="shared" si="3"/>
        <v>0.25</v>
      </c>
    </row>
    <row r="17" spans="1:15" s="142" customFormat="1" ht="15.75" customHeight="1">
      <c r="A17" s="149" t="s">
        <v>30</v>
      </c>
      <c r="B17" s="189" t="s">
        <v>31</v>
      </c>
      <c r="C17" s="150" t="s">
        <v>268</v>
      </c>
      <c r="D17" s="1359">
        <v>55</v>
      </c>
      <c r="E17" s="1360">
        <v>53</v>
      </c>
      <c r="F17" s="1361">
        <v>2</v>
      </c>
      <c r="G17" s="1358">
        <v>0</v>
      </c>
      <c r="H17" s="1359">
        <v>20</v>
      </c>
      <c r="I17" s="1360">
        <v>19</v>
      </c>
      <c r="J17" s="1361">
        <v>1</v>
      </c>
      <c r="K17" s="1358">
        <v>0</v>
      </c>
      <c r="L17" s="289">
        <f t="shared" si="0"/>
        <v>0.36363636363636365</v>
      </c>
      <c r="M17" s="290">
        <f t="shared" si="1"/>
        <v>0.35849056603773582</v>
      </c>
      <c r="N17" s="290">
        <f t="shared" si="2"/>
        <v>0.5</v>
      </c>
      <c r="O17" s="291" t="str">
        <f t="shared" si="3"/>
        <v>NA</v>
      </c>
    </row>
    <row r="18" spans="1:15" s="142" customFormat="1" ht="15.75" customHeight="1">
      <c r="A18" s="149" t="s">
        <v>32</v>
      </c>
      <c r="B18" s="189" t="s">
        <v>33</v>
      </c>
      <c r="C18" s="150" t="s">
        <v>265</v>
      </c>
      <c r="D18" s="1359">
        <v>224</v>
      </c>
      <c r="E18" s="1360">
        <v>218</v>
      </c>
      <c r="F18" s="1361">
        <v>3</v>
      </c>
      <c r="G18" s="1358">
        <v>3</v>
      </c>
      <c r="H18" s="1359">
        <v>54</v>
      </c>
      <c r="I18" s="1360">
        <v>51</v>
      </c>
      <c r="J18" s="1361">
        <v>3</v>
      </c>
      <c r="K18" s="1358">
        <v>0</v>
      </c>
      <c r="L18" s="289">
        <f t="shared" si="0"/>
        <v>0.24107142857142858</v>
      </c>
      <c r="M18" s="290">
        <f t="shared" si="1"/>
        <v>0.23394495412844038</v>
      </c>
      <c r="N18" s="290">
        <f t="shared" si="2"/>
        <v>1</v>
      </c>
      <c r="O18" s="291">
        <f t="shared" si="3"/>
        <v>0</v>
      </c>
    </row>
    <row r="19" spans="1:15" s="142" customFormat="1" ht="15.75" customHeight="1">
      <c r="A19" s="149" t="s">
        <v>36</v>
      </c>
      <c r="B19" s="189" t="s">
        <v>37</v>
      </c>
      <c r="C19" s="150" t="s">
        <v>264</v>
      </c>
      <c r="D19" s="1359">
        <v>159</v>
      </c>
      <c r="E19" s="1360">
        <v>61</v>
      </c>
      <c r="F19" s="1361">
        <v>96</v>
      </c>
      <c r="G19" s="1358">
        <v>2</v>
      </c>
      <c r="H19" s="1359">
        <v>100</v>
      </c>
      <c r="I19" s="1360">
        <v>22</v>
      </c>
      <c r="J19" s="1361">
        <v>78</v>
      </c>
      <c r="K19" s="1358">
        <v>0</v>
      </c>
      <c r="L19" s="289">
        <f t="shared" si="0"/>
        <v>0.62893081761006286</v>
      </c>
      <c r="M19" s="290">
        <f t="shared" si="1"/>
        <v>0.36065573770491804</v>
      </c>
      <c r="N19" s="290">
        <f t="shared" si="2"/>
        <v>0.8125</v>
      </c>
      <c r="O19" s="291">
        <f t="shared" si="3"/>
        <v>0</v>
      </c>
    </row>
    <row r="20" spans="1:15" s="142" customFormat="1" ht="15.75" customHeight="1">
      <c r="A20" s="149" t="s">
        <v>38</v>
      </c>
      <c r="B20" s="189" t="s">
        <v>39</v>
      </c>
      <c r="C20" s="150" t="s">
        <v>268</v>
      </c>
      <c r="D20" s="1359">
        <v>209</v>
      </c>
      <c r="E20" s="1360">
        <v>208</v>
      </c>
      <c r="F20" s="1361">
        <v>0</v>
      </c>
      <c r="G20" s="1358">
        <v>1</v>
      </c>
      <c r="H20" s="1359">
        <v>67</v>
      </c>
      <c r="I20" s="1360">
        <v>66</v>
      </c>
      <c r="J20" s="1361">
        <v>0</v>
      </c>
      <c r="K20" s="1358">
        <v>1</v>
      </c>
      <c r="L20" s="289">
        <f t="shared" si="0"/>
        <v>0.32057416267942584</v>
      </c>
      <c r="M20" s="290">
        <f t="shared" si="1"/>
        <v>0.31730769230769229</v>
      </c>
      <c r="N20" s="290" t="str">
        <f t="shared" si="2"/>
        <v>NA</v>
      </c>
      <c r="O20" s="291">
        <f t="shared" si="3"/>
        <v>1</v>
      </c>
    </row>
    <row r="21" spans="1:15" s="142" customFormat="1" ht="15.75" customHeight="1">
      <c r="A21" s="149" t="s">
        <v>40</v>
      </c>
      <c r="B21" s="189" t="s">
        <v>41</v>
      </c>
      <c r="C21" s="150" t="s">
        <v>266</v>
      </c>
      <c r="D21" s="1359">
        <v>177</v>
      </c>
      <c r="E21" s="1360">
        <v>122</v>
      </c>
      <c r="F21" s="1361">
        <v>51</v>
      </c>
      <c r="G21" s="1358">
        <v>4</v>
      </c>
      <c r="H21" s="1359">
        <v>93</v>
      </c>
      <c r="I21" s="1360">
        <v>43</v>
      </c>
      <c r="J21" s="1361">
        <v>47</v>
      </c>
      <c r="K21" s="1358">
        <v>3</v>
      </c>
      <c r="L21" s="289">
        <f t="shared" si="0"/>
        <v>0.52542372881355937</v>
      </c>
      <c r="M21" s="290">
        <f t="shared" si="1"/>
        <v>0.35245901639344263</v>
      </c>
      <c r="N21" s="290">
        <f t="shared" si="2"/>
        <v>0.92156862745098034</v>
      </c>
      <c r="O21" s="291">
        <f t="shared" si="3"/>
        <v>0.75</v>
      </c>
    </row>
    <row r="22" spans="1:15" s="142" customFormat="1" ht="15.75" customHeight="1">
      <c r="A22" s="149" t="s">
        <v>42</v>
      </c>
      <c r="B22" s="189" t="s">
        <v>43</v>
      </c>
      <c r="C22" s="150" t="s">
        <v>265</v>
      </c>
      <c r="D22" s="1359">
        <v>480</v>
      </c>
      <c r="E22" s="1360">
        <v>419</v>
      </c>
      <c r="F22" s="1361">
        <v>55</v>
      </c>
      <c r="G22" s="1358">
        <v>6</v>
      </c>
      <c r="H22" s="1359">
        <v>164</v>
      </c>
      <c r="I22" s="1360">
        <v>122</v>
      </c>
      <c r="J22" s="1361">
        <v>41</v>
      </c>
      <c r="K22" s="1358">
        <v>1</v>
      </c>
      <c r="L22" s="289">
        <f t="shared" si="0"/>
        <v>0.34166666666666667</v>
      </c>
      <c r="M22" s="290">
        <f t="shared" si="1"/>
        <v>0.29116945107398567</v>
      </c>
      <c r="N22" s="290">
        <f t="shared" si="2"/>
        <v>0.74545454545454548</v>
      </c>
      <c r="O22" s="291">
        <f t="shared" si="3"/>
        <v>0.16666666666666666</v>
      </c>
    </row>
    <row r="23" spans="1:15" s="142" customFormat="1" ht="15.75" customHeight="1">
      <c r="A23" s="149" t="s">
        <v>44</v>
      </c>
      <c r="B23" s="189" t="s">
        <v>45</v>
      </c>
      <c r="C23" s="150" t="s">
        <v>266</v>
      </c>
      <c r="D23" s="1359">
        <v>389</v>
      </c>
      <c r="E23" s="1360">
        <v>282</v>
      </c>
      <c r="F23" s="1361">
        <v>95</v>
      </c>
      <c r="G23" s="1358">
        <v>12</v>
      </c>
      <c r="H23" s="1359">
        <v>178</v>
      </c>
      <c r="I23" s="1360">
        <v>99</v>
      </c>
      <c r="J23" s="1361">
        <v>76</v>
      </c>
      <c r="K23" s="1358">
        <v>3</v>
      </c>
      <c r="L23" s="289">
        <f t="shared" si="0"/>
        <v>0.45758354755784064</v>
      </c>
      <c r="M23" s="290">
        <f t="shared" si="1"/>
        <v>0.35106382978723405</v>
      </c>
      <c r="N23" s="290">
        <f t="shared" si="2"/>
        <v>0.8</v>
      </c>
      <c r="O23" s="291">
        <f t="shared" si="3"/>
        <v>0.25</v>
      </c>
    </row>
    <row r="24" spans="1:15" s="142" customFormat="1" ht="15.75" customHeight="1">
      <c r="A24" s="149" t="s">
        <v>46</v>
      </c>
      <c r="B24" s="189" t="s">
        <v>47</v>
      </c>
      <c r="C24" s="150" t="s">
        <v>268</v>
      </c>
      <c r="D24" s="1359">
        <v>279</v>
      </c>
      <c r="E24" s="1360">
        <v>272</v>
      </c>
      <c r="F24" s="1361">
        <v>1</v>
      </c>
      <c r="G24" s="1358">
        <v>6</v>
      </c>
      <c r="H24" s="1359">
        <v>111</v>
      </c>
      <c r="I24" s="1360">
        <v>107</v>
      </c>
      <c r="J24" s="1361">
        <v>1</v>
      </c>
      <c r="K24" s="1358">
        <v>3</v>
      </c>
      <c r="L24" s="289">
        <f t="shared" si="0"/>
        <v>0.39784946236559138</v>
      </c>
      <c r="M24" s="290">
        <f t="shared" si="1"/>
        <v>0.39338235294117646</v>
      </c>
      <c r="N24" s="290">
        <f t="shared" si="2"/>
        <v>1</v>
      </c>
      <c r="O24" s="291">
        <f t="shared" si="3"/>
        <v>0.5</v>
      </c>
    </row>
    <row r="25" spans="1:15" s="142" customFormat="1" ht="15.75" customHeight="1">
      <c r="A25" s="149" t="s">
        <v>48</v>
      </c>
      <c r="B25" s="189" t="s">
        <v>269</v>
      </c>
      <c r="C25" s="150" t="s">
        <v>266</v>
      </c>
      <c r="D25" s="1359">
        <v>53</v>
      </c>
      <c r="E25" s="1360">
        <v>32</v>
      </c>
      <c r="F25" s="1361">
        <v>19</v>
      </c>
      <c r="G25" s="1358">
        <v>2</v>
      </c>
      <c r="H25" s="1359">
        <v>30</v>
      </c>
      <c r="I25" s="1360">
        <v>15</v>
      </c>
      <c r="J25" s="1361">
        <v>15</v>
      </c>
      <c r="K25" s="1358">
        <v>0</v>
      </c>
      <c r="L25" s="289">
        <f t="shared" si="0"/>
        <v>0.56603773584905659</v>
      </c>
      <c r="M25" s="290">
        <f t="shared" si="1"/>
        <v>0.46875</v>
      </c>
      <c r="N25" s="290">
        <f t="shared" si="2"/>
        <v>0.78947368421052633</v>
      </c>
      <c r="O25" s="291">
        <f t="shared" si="3"/>
        <v>0</v>
      </c>
    </row>
    <row r="26" spans="1:15" s="142" customFormat="1" ht="15.75" customHeight="1">
      <c r="A26" s="149" t="s">
        <v>50</v>
      </c>
      <c r="B26" s="189" t="s">
        <v>51</v>
      </c>
      <c r="C26" s="150" t="s">
        <v>265</v>
      </c>
      <c r="D26" s="1359">
        <v>143</v>
      </c>
      <c r="E26" s="1360">
        <v>113</v>
      </c>
      <c r="F26" s="1361">
        <v>30</v>
      </c>
      <c r="G26" s="1358">
        <v>0</v>
      </c>
      <c r="H26" s="1359">
        <v>54</v>
      </c>
      <c r="I26" s="1360">
        <v>35</v>
      </c>
      <c r="J26" s="1361">
        <v>19</v>
      </c>
      <c r="K26" s="1358">
        <v>0</v>
      </c>
      <c r="L26" s="289">
        <f t="shared" si="0"/>
        <v>0.3776223776223776</v>
      </c>
      <c r="M26" s="290">
        <f t="shared" si="1"/>
        <v>0.30973451327433627</v>
      </c>
      <c r="N26" s="290">
        <f t="shared" si="2"/>
        <v>0.6333333333333333</v>
      </c>
      <c r="O26" s="291" t="str">
        <f t="shared" si="3"/>
        <v>NA</v>
      </c>
    </row>
    <row r="27" spans="1:15" s="142" customFormat="1" ht="15.75" customHeight="1">
      <c r="A27" s="149" t="s">
        <v>56</v>
      </c>
      <c r="B27" s="189" t="s">
        <v>295</v>
      </c>
      <c r="C27" s="150" t="s">
        <v>266</v>
      </c>
      <c r="D27" s="1359">
        <v>3919</v>
      </c>
      <c r="E27" s="1360">
        <v>2580</v>
      </c>
      <c r="F27" s="1361">
        <v>920</v>
      </c>
      <c r="G27" s="1358">
        <v>419</v>
      </c>
      <c r="H27" s="1359">
        <v>1437</v>
      </c>
      <c r="I27" s="1360">
        <v>651</v>
      </c>
      <c r="J27" s="1361">
        <v>583</v>
      </c>
      <c r="K27" s="1358">
        <v>203</v>
      </c>
      <c r="L27" s="289">
        <f t="shared" si="0"/>
        <v>0.36667517223781576</v>
      </c>
      <c r="M27" s="290">
        <f t="shared" si="1"/>
        <v>0.25232558139534883</v>
      </c>
      <c r="N27" s="290">
        <f t="shared" si="2"/>
        <v>0.63369565217391299</v>
      </c>
      <c r="O27" s="291">
        <f t="shared" si="3"/>
        <v>0.48448687350835323</v>
      </c>
    </row>
    <row r="28" spans="1:15" s="142" customFormat="1" ht="15.75" customHeight="1">
      <c r="A28" s="149" t="s">
        <v>58</v>
      </c>
      <c r="B28" s="189" t="s">
        <v>59</v>
      </c>
      <c r="C28" s="150" t="s">
        <v>267</v>
      </c>
      <c r="D28" s="1359">
        <v>140</v>
      </c>
      <c r="E28" s="1360">
        <v>132</v>
      </c>
      <c r="F28" s="1361">
        <v>5</v>
      </c>
      <c r="G28" s="1358">
        <v>3</v>
      </c>
      <c r="H28" s="1359">
        <v>46</v>
      </c>
      <c r="I28" s="1360">
        <v>43</v>
      </c>
      <c r="J28" s="1361">
        <v>3</v>
      </c>
      <c r="K28" s="1358">
        <v>0</v>
      </c>
      <c r="L28" s="289">
        <f t="shared" si="0"/>
        <v>0.32857142857142857</v>
      </c>
      <c r="M28" s="290">
        <f t="shared" si="1"/>
        <v>0.32575757575757575</v>
      </c>
      <c r="N28" s="290">
        <f t="shared" si="2"/>
        <v>0.6</v>
      </c>
      <c r="O28" s="291">
        <f t="shared" si="3"/>
        <v>0</v>
      </c>
    </row>
    <row r="29" spans="1:15" s="142" customFormat="1" ht="15.75" customHeight="1">
      <c r="A29" s="149" t="s">
        <v>60</v>
      </c>
      <c r="B29" s="189" t="s">
        <v>61</v>
      </c>
      <c r="C29" s="150" t="s">
        <v>265</v>
      </c>
      <c r="D29" s="1359">
        <v>36</v>
      </c>
      <c r="E29" s="1360">
        <v>36</v>
      </c>
      <c r="F29" s="1361">
        <v>0</v>
      </c>
      <c r="G29" s="1358">
        <v>0</v>
      </c>
      <c r="H29" s="1359">
        <v>14</v>
      </c>
      <c r="I29" s="1360">
        <v>14</v>
      </c>
      <c r="J29" s="1361">
        <v>0</v>
      </c>
      <c r="K29" s="1358">
        <v>0</v>
      </c>
      <c r="L29" s="289">
        <f t="shared" si="0"/>
        <v>0.3888888888888889</v>
      </c>
      <c r="M29" s="290">
        <f t="shared" si="1"/>
        <v>0.3888888888888889</v>
      </c>
      <c r="N29" s="290" t="str">
        <f t="shared" si="2"/>
        <v>NA</v>
      </c>
      <c r="O29" s="291" t="str">
        <f t="shared" si="3"/>
        <v>NA</v>
      </c>
    </row>
    <row r="30" spans="1:15" s="142" customFormat="1" ht="15.75" customHeight="1">
      <c r="A30" s="149" t="s">
        <v>62</v>
      </c>
      <c r="B30" s="189" t="s">
        <v>63</v>
      </c>
      <c r="C30" s="150" t="s">
        <v>267</v>
      </c>
      <c r="D30" s="1359">
        <v>654</v>
      </c>
      <c r="E30" s="1360">
        <v>516</v>
      </c>
      <c r="F30" s="1361">
        <v>90</v>
      </c>
      <c r="G30" s="1358">
        <v>48</v>
      </c>
      <c r="H30" s="1359">
        <v>270</v>
      </c>
      <c r="I30" s="1360">
        <v>177</v>
      </c>
      <c r="J30" s="1361">
        <v>73</v>
      </c>
      <c r="K30" s="1358">
        <v>20</v>
      </c>
      <c r="L30" s="289">
        <f t="shared" si="0"/>
        <v>0.41284403669724773</v>
      </c>
      <c r="M30" s="290">
        <f t="shared" si="1"/>
        <v>0.34302325581395349</v>
      </c>
      <c r="N30" s="290">
        <f t="shared" si="2"/>
        <v>0.81111111111111112</v>
      </c>
      <c r="O30" s="291">
        <f t="shared" si="3"/>
        <v>0.41666666666666669</v>
      </c>
    </row>
    <row r="31" spans="1:15" s="142" customFormat="1" ht="15.75" customHeight="1">
      <c r="A31" s="149" t="s">
        <v>64</v>
      </c>
      <c r="B31" s="189" t="s">
        <v>65</v>
      </c>
      <c r="C31" s="150" t="s">
        <v>266</v>
      </c>
      <c r="D31" s="1359">
        <v>94</v>
      </c>
      <c r="E31" s="1360">
        <v>64</v>
      </c>
      <c r="F31" s="1361">
        <v>29</v>
      </c>
      <c r="G31" s="1358">
        <v>1</v>
      </c>
      <c r="H31" s="1359">
        <v>47</v>
      </c>
      <c r="I31" s="1360">
        <v>22</v>
      </c>
      <c r="J31" s="1361">
        <v>25</v>
      </c>
      <c r="K31" s="1358">
        <v>0</v>
      </c>
      <c r="L31" s="289">
        <f t="shared" si="0"/>
        <v>0.5</v>
      </c>
      <c r="M31" s="290">
        <f t="shared" si="1"/>
        <v>0.34375</v>
      </c>
      <c r="N31" s="290">
        <f t="shared" si="2"/>
        <v>0.86206896551724133</v>
      </c>
      <c r="O31" s="291">
        <f t="shared" si="3"/>
        <v>0</v>
      </c>
    </row>
    <row r="32" spans="1:15" s="142" customFormat="1" ht="15.75" customHeight="1">
      <c r="A32" s="149" t="s">
        <v>68</v>
      </c>
      <c r="B32" s="189" t="s">
        <v>69</v>
      </c>
      <c r="C32" s="150" t="s">
        <v>268</v>
      </c>
      <c r="D32" s="1359">
        <v>162</v>
      </c>
      <c r="E32" s="1360">
        <v>161</v>
      </c>
      <c r="F32" s="1361">
        <v>0</v>
      </c>
      <c r="G32" s="1358">
        <v>1</v>
      </c>
      <c r="H32" s="1359">
        <v>50</v>
      </c>
      <c r="I32" s="1360">
        <v>49</v>
      </c>
      <c r="J32" s="1361">
        <v>0</v>
      </c>
      <c r="K32" s="1358">
        <v>1</v>
      </c>
      <c r="L32" s="289">
        <f t="shared" si="0"/>
        <v>0.30864197530864196</v>
      </c>
      <c r="M32" s="290">
        <f t="shared" si="1"/>
        <v>0.30434782608695654</v>
      </c>
      <c r="N32" s="290" t="str">
        <f t="shared" si="2"/>
        <v>NA</v>
      </c>
      <c r="O32" s="291">
        <f t="shared" si="3"/>
        <v>1</v>
      </c>
    </row>
    <row r="33" spans="1:15" s="142" customFormat="1" ht="15.75" customHeight="1">
      <c r="A33" s="149" t="s">
        <v>70</v>
      </c>
      <c r="B33" s="189" t="s">
        <v>71</v>
      </c>
      <c r="C33" s="150" t="s">
        <v>264</v>
      </c>
      <c r="D33" s="1359">
        <v>258</v>
      </c>
      <c r="E33" s="1360">
        <v>166</v>
      </c>
      <c r="F33" s="1361">
        <v>83</v>
      </c>
      <c r="G33" s="1358">
        <v>9</v>
      </c>
      <c r="H33" s="1359">
        <v>113</v>
      </c>
      <c r="I33" s="1360">
        <v>49</v>
      </c>
      <c r="J33" s="1361">
        <v>59</v>
      </c>
      <c r="K33" s="1358">
        <v>5</v>
      </c>
      <c r="L33" s="289">
        <f t="shared" si="0"/>
        <v>0.43798449612403101</v>
      </c>
      <c r="M33" s="290">
        <f t="shared" si="1"/>
        <v>0.29518072289156627</v>
      </c>
      <c r="N33" s="290">
        <f t="shared" si="2"/>
        <v>0.71084337349397586</v>
      </c>
      <c r="O33" s="291">
        <f t="shared" si="3"/>
        <v>0.55555555555555558</v>
      </c>
    </row>
    <row r="34" spans="1:15" s="142" customFormat="1" ht="15.75" customHeight="1">
      <c r="A34" s="149" t="s">
        <v>72</v>
      </c>
      <c r="B34" s="189" t="s">
        <v>73</v>
      </c>
      <c r="C34" s="150" t="s">
        <v>266</v>
      </c>
      <c r="D34" s="1359">
        <v>127</v>
      </c>
      <c r="E34" s="1360">
        <v>65</v>
      </c>
      <c r="F34" s="1361">
        <v>58</v>
      </c>
      <c r="G34" s="1358">
        <v>4</v>
      </c>
      <c r="H34" s="1359">
        <v>78</v>
      </c>
      <c r="I34" s="1360">
        <v>25</v>
      </c>
      <c r="J34" s="1361">
        <v>50</v>
      </c>
      <c r="K34" s="1358">
        <v>3</v>
      </c>
      <c r="L34" s="289">
        <f t="shared" si="0"/>
        <v>0.61417322834645671</v>
      </c>
      <c r="M34" s="290">
        <f t="shared" si="1"/>
        <v>0.38461538461538464</v>
      </c>
      <c r="N34" s="290">
        <f t="shared" si="2"/>
        <v>0.86206896551724133</v>
      </c>
      <c r="O34" s="291">
        <f t="shared" si="3"/>
        <v>0.75</v>
      </c>
    </row>
    <row r="35" spans="1:15" s="142" customFormat="1" ht="15.75" customHeight="1">
      <c r="A35" s="149" t="s">
        <v>74</v>
      </c>
      <c r="B35" s="189" t="s">
        <v>618</v>
      </c>
      <c r="C35" s="150" t="s">
        <v>267</v>
      </c>
      <c r="D35" s="1359">
        <v>15736</v>
      </c>
      <c r="E35" s="1360">
        <v>9185</v>
      </c>
      <c r="F35" s="1361">
        <v>1582</v>
      </c>
      <c r="G35" s="1358">
        <v>4969</v>
      </c>
      <c r="H35" s="1359">
        <v>3375</v>
      </c>
      <c r="I35" s="1360">
        <v>1607</v>
      </c>
      <c r="J35" s="1361">
        <v>645</v>
      </c>
      <c r="K35" s="1358">
        <v>1123</v>
      </c>
      <c r="L35" s="289">
        <f t="shared" si="0"/>
        <v>0.21447635993899339</v>
      </c>
      <c r="M35" s="290">
        <f t="shared" si="1"/>
        <v>0.17495917256396298</v>
      </c>
      <c r="N35" s="290">
        <f t="shared" si="2"/>
        <v>0.40771175726927938</v>
      </c>
      <c r="O35" s="291">
        <f t="shared" si="3"/>
        <v>0.22600120748641578</v>
      </c>
    </row>
    <row r="36" spans="1:15" s="142" customFormat="1" ht="15.75" customHeight="1">
      <c r="A36" s="149" t="s">
        <v>76</v>
      </c>
      <c r="B36" s="189" t="s">
        <v>77</v>
      </c>
      <c r="C36" s="150" t="s">
        <v>267</v>
      </c>
      <c r="D36" s="1359">
        <v>675</v>
      </c>
      <c r="E36" s="1360">
        <v>576</v>
      </c>
      <c r="F36" s="1361">
        <v>50</v>
      </c>
      <c r="G36" s="1358">
        <v>49</v>
      </c>
      <c r="H36" s="1359">
        <v>208</v>
      </c>
      <c r="I36" s="1360">
        <v>157</v>
      </c>
      <c r="J36" s="1361">
        <v>29</v>
      </c>
      <c r="K36" s="1358">
        <v>22</v>
      </c>
      <c r="L36" s="289">
        <f t="shared" si="0"/>
        <v>0.30814814814814817</v>
      </c>
      <c r="M36" s="290">
        <f t="shared" si="1"/>
        <v>0.27256944444444442</v>
      </c>
      <c r="N36" s="290">
        <f t="shared" si="2"/>
        <v>0.57999999999999996</v>
      </c>
      <c r="O36" s="291">
        <f t="shared" si="3"/>
        <v>0.44897959183673469</v>
      </c>
    </row>
    <row r="37" spans="1:15" s="142" customFormat="1" ht="15.75" customHeight="1">
      <c r="A37" s="149" t="s">
        <v>78</v>
      </c>
      <c r="B37" s="189" t="s">
        <v>79</v>
      </c>
      <c r="C37" s="150" t="s">
        <v>268</v>
      </c>
      <c r="D37" s="1359">
        <v>141</v>
      </c>
      <c r="E37" s="1360">
        <v>140</v>
      </c>
      <c r="F37" s="1361">
        <v>0</v>
      </c>
      <c r="G37" s="1358">
        <v>1</v>
      </c>
      <c r="H37" s="1359">
        <v>49</v>
      </c>
      <c r="I37" s="1360">
        <v>48</v>
      </c>
      <c r="J37" s="1361">
        <v>0</v>
      </c>
      <c r="K37" s="1358">
        <v>1</v>
      </c>
      <c r="L37" s="289">
        <f t="shared" si="0"/>
        <v>0.3475177304964539</v>
      </c>
      <c r="M37" s="290">
        <f t="shared" si="1"/>
        <v>0.34285714285714286</v>
      </c>
      <c r="N37" s="290" t="str">
        <f t="shared" si="2"/>
        <v>NA</v>
      </c>
      <c r="O37" s="291">
        <f t="shared" si="3"/>
        <v>1</v>
      </c>
    </row>
    <row r="38" spans="1:15" s="142" customFormat="1" ht="15.75" customHeight="1">
      <c r="A38" s="149" t="s">
        <v>80</v>
      </c>
      <c r="B38" s="189" t="s">
        <v>81</v>
      </c>
      <c r="C38" s="150" t="s">
        <v>266</v>
      </c>
      <c r="D38" s="1359">
        <v>258</v>
      </c>
      <c r="E38" s="1360">
        <v>211</v>
      </c>
      <c r="F38" s="1361">
        <v>38</v>
      </c>
      <c r="G38" s="1358">
        <v>9</v>
      </c>
      <c r="H38" s="1359">
        <v>87</v>
      </c>
      <c r="I38" s="1360">
        <v>60</v>
      </c>
      <c r="J38" s="1361">
        <v>25</v>
      </c>
      <c r="K38" s="1358">
        <v>2</v>
      </c>
      <c r="L38" s="289">
        <f t="shared" si="0"/>
        <v>0.33720930232558138</v>
      </c>
      <c r="M38" s="290">
        <f t="shared" si="1"/>
        <v>0.28436018957345971</v>
      </c>
      <c r="N38" s="290">
        <f t="shared" si="2"/>
        <v>0.65789473684210531</v>
      </c>
      <c r="O38" s="291">
        <f t="shared" si="3"/>
        <v>0.22222222222222221</v>
      </c>
    </row>
    <row r="39" spans="1:15" s="142" customFormat="1" ht="15.75" customHeight="1">
      <c r="A39" s="149" t="s">
        <v>84</v>
      </c>
      <c r="B39" s="189" t="s">
        <v>85</v>
      </c>
      <c r="C39" s="150" t="s">
        <v>265</v>
      </c>
      <c r="D39" s="1359">
        <v>533</v>
      </c>
      <c r="E39" s="1360">
        <v>488</v>
      </c>
      <c r="F39" s="1361">
        <v>38</v>
      </c>
      <c r="G39" s="1358">
        <v>7</v>
      </c>
      <c r="H39" s="1359">
        <v>239</v>
      </c>
      <c r="I39" s="1360">
        <v>205</v>
      </c>
      <c r="J39" s="1361">
        <v>31</v>
      </c>
      <c r="K39" s="1358">
        <v>3</v>
      </c>
      <c r="L39" s="289">
        <f t="shared" ref="L39:L70" si="4">IF(D39=0,"NA",(H39/D39))</f>
        <v>0.44840525328330205</v>
      </c>
      <c r="M39" s="290">
        <f t="shared" ref="M39:M70" si="5">IF(E39=0,"NA",(I39/E39))</f>
        <v>0.42008196721311475</v>
      </c>
      <c r="N39" s="290">
        <f t="shared" ref="N39:N70" si="6">IF(F39=0,"NA",(J39/F39))</f>
        <v>0.81578947368421051</v>
      </c>
      <c r="O39" s="291">
        <f t="shared" ref="O39:O70" si="7">IF(G39=0,"NA",(K39/G39))</f>
        <v>0.42857142857142855</v>
      </c>
    </row>
    <row r="40" spans="1:15" s="142" customFormat="1" ht="15.75" customHeight="1">
      <c r="A40" s="149" t="s">
        <v>86</v>
      </c>
      <c r="B40" s="189" t="s">
        <v>87</v>
      </c>
      <c r="C40" s="150" t="s">
        <v>267</v>
      </c>
      <c r="D40" s="1359">
        <v>921</v>
      </c>
      <c r="E40" s="1360">
        <v>833</v>
      </c>
      <c r="F40" s="1361">
        <v>34</v>
      </c>
      <c r="G40" s="1358">
        <v>54</v>
      </c>
      <c r="H40" s="1359">
        <v>341</v>
      </c>
      <c r="I40" s="1360">
        <v>296</v>
      </c>
      <c r="J40" s="1361">
        <v>22</v>
      </c>
      <c r="K40" s="1358">
        <v>23</v>
      </c>
      <c r="L40" s="289">
        <f t="shared" si="4"/>
        <v>0.37024972855591748</v>
      </c>
      <c r="M40" s="290">
        <f t="shared" si="5"/>
        <v>0.35534213685474192</v>
      </c>
      <c r="N40" s="290">
        <f t="shared" si="6"/>
        <v>0.6470588235294118</v>
      </c>
      <c r="O40" s="291">
        <f t="shared" si="7"/>
        <v>0.42592592592592593</v>
      </c>
    </row>
    <row r="41" spans="1:15" s="142" customFormat="1" ht="15.75" customHeight="1">
      <c r="A41" s="149" t="s">
        <v>92</v>
      </c>
      <c r="B41" s="189" t="s">
        <v>93</v>
      </c>
      <c r="C41" s="150" t="s">
        <v>268</v>
      </c>
      <c r="D41" s="1359">
        <v>189</v>
      </c>
      <c r="E41" s="1360">
        <v>189</v>
      </c>
      <c r="F41" s="1361">
        <v>0</v>
      </c>
      <c r="G41" s="1358">
        <v>0</v>
      </c>
      <c r="H41" s="1359">
        <v>75</v>
      </c>
      <c r="I41" s="1360">
        <v>75</v>
      </c>
      <c r="J41" s="1361">
        <v>0</v>
      </c>
      <c r="K41" s="1358">
        <v>0</v>
      </c>
      <c r="L41" s="289">
        <f t="shared" si="4"/>
        <v>0.3968253968253968</v>
      </c>
      <c r="M41" s="290">
        <f t="shared" si="5"/>
        <v>0.3968253968253968</v>
      </c>
      <c r="N41" s="290" t="str">
        <f t="shared" si="6"/>
        <v>NA</v>
      </c>
      <c r="O41" s="291" t="str">
        <f t="shared" si="7"/>
        <v>NA</v>
      </c>
    </row>
    <row r="42" spans="1:15" s="142" customFormat="1" ht="15.75" customHeight="1">
      <c r="A42" s="149" t="s">
        <v>94</v>
      </c>
      <c r="B42" s="189" t="s">
        <v>95</v>
      </c>
      <c r="C42" s="150" t="s">
        <v>264</v>
      </c>
      <c r="D42" s="1359">
        <v>355</v>
      </c>
      <c r="E42" s="1360">
        <v>323</v>
      </c>
      <c r="F42" s="1361">
        <v>18</v>
      </c>
      <c r="G42" s="1358">
        <v>14</v>
      </c>
      <c r="H42" s="1359">
        <v>152</v>
      </c>
      <c r="I42" s="1360">
        <v>132</v>
      </c>
      <c r="J42" s="1361">
        <v>15</v>
      </c>
      <c r="K42" s="1358">
        <v>5</v>
      </c>
      <c r="L42" s="289">
        <f t="shared" si="4"/>
        <v>0.42816901408450703</v>
      </c>
      <c r="M42" s="290">
        <f t="shared" si="5"/>
        <v>0.4086687306501548</v>
      </c>
      <c r="N42" s="290">
        <f t="shared" si="6"/>
        <v>0.83333333333333337</v>
      </c>
      <c r="O42" s="291">
        <f t="shared" si="7"/>
        <v>0.35714285714285715</v>
      </c>
    </row>
    <row r="43" spans="1:15" s="142" customFormat="1" ht="15.75" customHeight="1">
      <c r="A43" s="149" t="s">
        <v>96</v>
      </c>
      <c r="B43" s="189" t="s">
        <v>97</v>
      </c>
      <c r="C43" s="150" t="s">
        <v>266</v>
      </c>
      <c r="D43" s="1359">
        <v>165</v>
      </c>
      <c r="E43" s="1360">
        <v>138</v>
      </c>
      <c r="F43" s="1361">
        <v>23</v>
      </c>
      <c r="G43" s="1358">
        <v>4</v>
      </c>
      <c r="H43" s="1359">
        <v>36</v>
      </c>
      <c r="I43" s="1360">
        <v>21</v>
      </c>
      <c r="J43" s="1361">
        <v>13</v>
      </c>
      <c r="K43" s="1358">
        <v>2</v>
      </c>
      <c r="L43" s="289">
        <f t="shared" si="4"/>
        <v>0.21818181818181817</v>
      </c>
      <c r="M43" s="290">
        <f t="shared" si="5"/>
        <v>0.15217391304347827</v>
      </c>
      <c r="N43" s="290">
        <f t="shared" si="6"/>
        <v>0.56521739130434778</v>
      </c>
      <c r="O43" s="291">
        <f t="shared" si="7"/>
        <v>0.5</v>
      </c>
    </row>
    <row r="44" spans="1:15" s="142" customFormat="1" ht="15.75" customHeight="1">
      <c r="A44" s="149" t="s">
        <v>98</v>
      </c>
      <c r="B44" s="189" t="s">
        <v>99</v>
      </c>
      <c r="C44" s="150" t="s">
        <v>268</v>
      </c>
      <c r="D44" s="1359">
        <v>142</v>
      </c>
      <c r="E44" s="1360">
        <v>132</v>
      </c>
      <c r="F44" s="1361">
        <v>2</v>
      </c>
      <c r="G44" s="1358">
        <v>8</v>
      </c>
      <c r="H44" s="1359">
        <v>58</v>
      </c>
      <c r="I44" s="1360">
        <v>54</v>
      </c>
      <c r="J44" s="1361">
        <v>2</v>
      </c>
      <c r="K44" s="1358">
        <v>2</v>
      </c>
      <c r="L44" s="289">
        <f t="shared" si="4"/>
        <v>0.40845070422535212</v>
      </c>
      <c r="M44" s="290">
        <f t="shared" si="5"/>
        <v>0.40909090909090912</v>
      </c>
      <c r="N44" s="290">
        <f t="shared" si="6"/>
        <v>1</v>
      </c>
      <c r="O44" s="291">
        <f t="shared" si="7"/>
        <v>0.25</v>
      </c>
    </row>
    <row r="45" spans="1:15" s="142" customFormat="1" ht="15.75" customHeight="1">
      <c r="A45" s="149" t="s">
        <v>100</v>
      </c>
      <c r="B45" s="189" t="s">
        <v>101</v>
      </c>
      <c r="C45" s="150" t="s">
        <v>267</v>
      </c>
      <c r="D45" s="1359">
        <v>236</v>
      </c>
      <c r="E45" s="1360">
        <v>205</v>
      </c>
      <c r="F45" s="1361">
        <v>23</v>
      </c>
      <c r="G45" s="1358">
        <v>8</v>
      </c>
      <c r="H45" s="1359">
        <v>87</v>
      </c>
      <c r="I45" s="1360">
        <v>71</v>
      </c>
      <c r="J45" s="1361">
        <v>13</v>
      </c>
      <c r="K45" s="1358">
        <v>3</v>
      </c>
      <c r="L45" s="289">
        <f t="shared" si="4"/>
        <v>0.36864406779661019</v>
      </c>
      <c r="M45" s="290">
        <f t="shared" si="5"/>
        <v>0.34634146341463412</v>
      </c>
      <c r="N45" s="290">
        <f t="shared" si="6"/>
        <v>0.56521739130434778</v>
      </c>
      <c r="O45" s="291">
        <f t="shared" si="7"/>
        <v>0.375</v>
      </c>
    </row>
    <row r="46" spans="1:15" s="142" customFormat="1" ht="15.75" customHeight="1">
      <c r="A46" s="149" t="s">
        <v>102</v>
      </c>
      <c r="B46" s="189" t="s">
        <v>282</v>
      </c>
      <c r="C46" s="150" t="s">
        <v>264</v>
      </c>
      <c r="D46" s="1359">
        <v>162</v>
      </c>
      <c r="E46" s="1360">
        <v>43</v>
      </c>
      <c r="F46" s="1361">
        <v>111</v>
      </c>
      <c r="G46" s="1358">
        <v>8</v>
      </c>
      <c r="H46" s="1359">
        <v>116</v>
      </c>
      <c r="I46" s="1360">
        <v>19</v>
      </c>
      <c r="J46" s="1361">
        <v>92</v>
      </c>
      <c r="K46" s="1358">
        <v>5</v>
      </c>
      <c r="L46" s="289">
        <f t="shared" si="4"/>
        <v>0.71604938271604934</v>
      </c>
      <c r="M46" s="290">
        <f t="shared" si="5"/>
        <v>0.44186046511627908</v>
      </c>
      <c r="N46" s="290">
        <f t="shared" si="6"/>
        <v>0.8288288288288288</v>
      </c>
      <c r="O46" s="291">
        <f t="shared" si="7"/>
        <v>0.625</v>
      </c>
    </row>
    <row r="47" spans="1:15" s="142" customFormat="1" ht="15.75" customHeight="1">
      <c r="A47" s="149" t="s">
        <v>104</v>
      </c>
      <c r="B47" s="189" t="s">
        <v>105</v>
      </c>
      <c r="C47" s="150" t="s">
        <v>265</v>
      </c>
      <c r="D47" s="1359">
        <v>341</v>
      </c>
      <c r="E47" s="1360">
        <v>201</v>
      </c>
      <c r="F47" s="1361">
        <v>135</v>
      </c>
      <c r="G47" s="1358">
        <v>5</v>
      </c>
      <c r="H47" s="1359">
        <v>173</v>
      </c>
      <c r="I47" s="1360">
        <v>63</v>
      </c>
      <c r="J47" s="1361">
        <v>110</v>
      </c>
      <c r="K47" s="1358">
        <v>0</v>
      </c>
      <c r="L47" s="289">
        <f t="shared" si="4"/>
        <v>0.50733137829912023</v>
      </c>
      <c r="M47" s="290">
        <f t="shared" si="5"/>
        <v>0.31343283582089554</v>
      </c>
      <c r="N47" s="290">
        <f t="shared" si="6"/>
        <v>0.81481481481481477</v>
      </c>
      <c r="O47" s="291">
        <f t="shared" si="7"/>
        <v>0</v>
      </c>
    </row>
    <row r="48" spans="1:15" s="142" customFormat="1" ht="15.75" customHeight="1">
      <c r="A48" s="149" t="s">
        <v>108</v>
      </c>
      <c r="B48" s="189" t="s">
        <v>109</v>
      </c>
      <c r="C48" s="150" t="s">
        <v>266</v>
      </c>
      <c r="D48" s="1359">
        <v>861</v>
      </c>
      <c r="E48" s="1360">
        <v>746</v>
      </c>
      <c r="F48" s="1361">
        <v>85</v>
      </c>
      <c r="G48" s="1358">
        <v>30</v>
      </c>
      <c r="H48" s="1359">
        <v>228</v>
      </c>
      <c r="I48" s="1360">
        <v>163</v>
      </c>
      <c r="J48" s="1361">
        <v>58</v>
      </c>
      <c r="K48" s="1358">
        <v>7</v>
      </c>
      <c r="L48" s="289">
        <f t="shared" si="4"/>
        <v>0.26480836236933797</v>
      </c>
      <c r="M48" s="290">
        <f t="shared" si="5"/>
        <v>0.21849865951742628</v>
      </c>
      <c r="N48" s="290">
        <f t="shared" si="6"/>
        <v>0.68235294117647061</v>
      </c>
      <c r="O48" s="291">
        <f t="shared" si="7"/>
        <v>0.23333333333333334</v>
      </c>
    </row>
    <row r="49" spans="1:15" s="142" customFormat="1" ht="15.75" customHeight="1">
      <c r="A49" s="149" t="s">
        <v>110</v>
      </c>
      <c r="B49" s="189" t="s">
        <v>111</v>
      </c>
      <c r="C49" s="150" t="s">
        <v>266</v>
      </c>
      <c r="D49" s="1359">
        <v>3969</v>
      </c>
      <c r="E49" s="1360">
        <v>2174</v>
      </c>
      <c r="F49" s="1361">
        <v>1159</v>
      </c>
      <c r="G49" s="1358">
        <v>636</v>
      </c>
      <c r="H49" s="1359">
        <v>1389</v>
      </c>
      <c r="I49" s="1360">
        <v>499</v>
      </c>
      <c r="J49" s="1361">
        <v>782</v>
      </c>
      <c r="K49" s="1358">
        <v>108</v>
      </c>
      <c r="L49" s="289">
        <f t="shared" si="4"/>
        <v>0.34996220710506426</v>
      </c>
      <c r="M49" s="290">
        <f t="shared" si="5"/>
        <v>0.22953081876724932</v>
      </c>
      <c r="N49" s="290">
        <f t="shared" si="6"/>
        <v>0.67471958584987057</v>
      </c>
      <c r="O49" s="291">
        <f t="shared" si="7"/>
        <v>0.16981132075471697</v>
      </c>
    </row>
    <row r="50" spans="1:15" s="142" customFormat="1" ht="15.75" customHeight="1">
      <c r="A50" s="149" t="s">
        <v>112</v>
      </c>
      <c r="B50" s="189" t="s">
        <v>300</v>
      </c>
      <c r="C50" s="150" t="s">
        <v>265</v>
      </c>
      <c r="D50" s="1359">
        <v>683</v>
      </c>
      <c r="E50" s="1360">
        <v>448</v>
      </c>
      <c r="F50" s="1361">
        <v>198</v>
      </c>
      <c r="G50" s="1358">
        <v>37</v>
      </c>
      <c r="H50" s="1359">
        <v>374</v>
      </c>
      <c r="I50" s="1360">
        <v>194</v>
      </c>
      <c r="J50" s="1361">
        <v>165</v>
      </c>
      <c r="K50" s="1358">
        <v>15</v>
      </c>
      <c r="L50" s="289">
        <f t="shared" si="4"/>
        <v>0.54758418740849191</v>
      </c>
      <c r="M50" s="290">
        <f t="shared" si="5"/>
        <v>0.4330357142857143</v>
      </c>
      <c r="N50" s="290">
        <f t="shared" si="6"/>
        <v>0.83333333333333337</v>
      </c>
      <c r="O50" s="291">
        <f t="shared" si="7"/>
        <v>0.40540540540540543</v>
      </c>
    </row>
    <row r="51" spans="1:15" s="142" customFormat="1" ht="15.75" customHeight="1">
      <c r="A51" s="149" t="s">
        <v>114</v>
      </c>
      <c r="B51" s="189" t="s">
        <v>115</v>
      </c>
      <c r="C51" s="150" t="s">
        <v>265</v>
      </c>
      <c r="D51" s="1359">
        <v>12</v>
      </c>
      <c r="E51" s="1360">
        <v>12</v>
      </c>
      <c r="F51" s="1361">
        <v>0</v>
      </c>
      <c r="G51" s="1358">
        <v>0</v>
      </c>
      <c r="H51" s="1359">
        <v>0</v>
      </c>
      <c r="I51" s="1360">
        <v>0</v>
      </c>
      <c r="J51" s="1361">
        <v>0</v>
      </c>
      <c r="K51" s="1358">
        <v>0</v>
      </c>
      <c r="L51" s="289">
        <f t="shared" si="4"/>
        <v>0</v>
      </c>
      <c r="M51" s="290">
        <f t="shared" si="5"/>
        <v>0</v>
      </c>
      <c r="N51" s="290" t="str">
        <f t="shared" si="6"/>
        <v>NA</v>
      </c>
      <c r="O51" s="291" t="str">
        <f t="shared" si="7"/>
        <v>NA</v>
      </c>
    </row>
    <row r="52" spans="1:15" s="142" customFormat="1" ht="15.75" customHeight="1">
      <c r="A52" s="149" t="s">
        <v>118</v>
      </c>
      <c r="B52" s="189" t="s">
        <v>270</v>
      </c>
      <c r="C52" s="150" t="s">
        <v>264</v>
      </c>
      <c r="D52" s="1359">
        <v>300</v>
      </c>
      <c r="E52" s="1360">
        <v>212</v>
      </c>
      <c r="F52" s="1361">
        <v>74</v>
      </c>
      <c r="G52" s="1358">
        <v>14</v>
      </c>
      <c r="H52" s="1359">
        <v>107</v>
      </c>
      <c r="I52" s="1360">
        <v>50</v>
      </c>
      <c r="J52" s="1361">
        <v>53</v>
      </c>
      <c r="K52" s="1358">
        <v>4</v>
      </c>
      <c r="L52" s="289">
        <f t="shared" si="4"/>
        <v>0.35666666666666669</v>
      </c>
      <c r="M52" s="290">
        <f t="shared" si="5"/>
        <v>0.23584905660377359</v>
      </c>
      <c r="N52" s="290">
        <f t="shared" si="6"/>
        <v>0.71621621621621623</v>
      </c>
      <c r="O52" s="291">
        <f t="shared" si="7"/>
        <v>0.2857142857142857</v>
      </c>
    </row>
    <row r="53" spans="1:15" s="142" customFormat="1" ht="15.75" customHeight="1">
      <c r="A53" s="149" t="s">
        <v>120</v>
      </c>
      <c r="B53" s="189" t="s">
        <v>121</v>
      </c>
      <c r="C53" s="150" t="s">
        <v>264</v>
      </c>
      <c r="D53" s="1359">
        <v>691</v>
      </c>
      <c r="E53" s="1360">
        <v>462</v>
      </c>
      <c r="F53" s="1361">
        <v>127</v>
      </c>
      <c r="G53" s="1358">
        <v>102</v>
      </c>
      <c r="H53" s="1359">
        <v>239</v>
      </c>
      <c r="I53" s="1360">
        <v>97</v>
      </c>
      <c r="J53" s="1361">
        <v>90</v>
      </c>
      <c r="K53" s="1358">
        <v>52</v>
      </c>
      <c r="L53" s="289">
        <f t="shared" si="4"/>
        <v>0.34587554269175108</v>
      </c>
      <c r="M53" s="290">
        <f t="shared" si="5"/>
        <v>0.20995670995670995</v>
      </c>
      <c r="N53" s="290">
        <f t="shared" si="6"/>
        <v>0.70866141732283461</v>
      </c>
      <c r="O53" s="291">
        <f t="shared" si="7"/>
        <v>0.50980392156862742</v>
      </c>
    </row>
    <row r="54" spans="1:15" s="142" customFormat="1" ht="15.75" customHeight="1">
      <c r="A54" s="149" t="s">
        <v>122</v>
      </c>
      <c r="B54" s="189" t="s">
        <v>271</v>
      </c>
      <c r="C54" s="150" t="s">
        <v>266</v>
      </c>
      <c r="D54" s="1359">
        <v>62</v>
      </c>
      <c r="E54" s="1360">
        <v>41</v>
      </c>
      <c r="F54" s="1361">
        <v>21</v>
      </c>
      <c r="G54" s="1358">
        <v>0</v>
      </c>
      <c r="H54" s="1359">
        <v>31</v>
      </c>
      <c r="I54" s="1360">
        <v>14</v>
      </c>
      <c r="J54" s="1361">
        <v>17</v>
      </c>
      <c r="K54" s="1358">
        <v>0</v>
      </c>
      <c r="L54" s="289">
        <f t="shared" si="4"/>
        <v>0.5</v>
      </c>
      <c r="M54" s="290">
        <f t="shared" si="5"/>
        <v>0.34146341463414637</v>
      </c>
      <c r="N54" s="290">
        <f t="shared" si="6"/>
        <v>0.80952380952380953</v>
      </c>
      <c r="O54" s="291" t="str">
        <f t="shared" si="7"/>
        <v>NA</v>
      </c>
    </row>
    <row r="55" spans="1:15" s="142" customFormat="1" ht="15.75" customHeight="1">
      <c r="A55" s="149" t="s">
        <v>124</v>
      </c>
      <c r="B55" s="189" t="s">
        <v>125</v>
      </c>
      <c r="C55" s="150" t="s">
        <v>267</v>
      </c>
      <c r="D55" s="1359">
        <v>325</v>
      </c>
      <c r="E55" s="1360">
        <v>259</v>
      </c>
      <c r="F55" s="1361">
        <v>57</v>
      </c>
      <c r="G55" s="1358">
        <v>9</v>
      </c>
      <c r="H55" s="1359">
        <v>108</v>
      </c>
      <c r="I55" s="1360">
        <v>69</v>
      </c>
      <c r="J55" s="1361">
        <v>36</v>
      </c>
      <c r="K55" s="1358">
        <v>3</v>
      </c>
      <c r="L55" s="289">
        <f t="shared" si="4"/>
        <v>0.3323076923076923</v>
      </c>
      <c r="M55" s="290">
        <f t="shared" si="5"/>
        <v>0.26640926640926643</v>
      </c>
      <c r="N55" s="290">
        <f t="shared" si="6"/>
        <v>0.63157894736842102</v>
      </c>
      <c r="O55" s="291">
        <f t="shared" si="7"/>
        <v>0.33333333333333331</v>
      </c>
    </row>
    <row r="56" spans="1:15" s="142" customFormat="1" ht="15.75" customHeight="1">
      <c r="A56" s="149" t="s">
        <v>126</v>
      </c>
      <c r="B56" s="189" t="s">
        <v>127</v>
      </c>
      <c r="C56" s="150" t="s">
        <v>266</v>
      </c>
      <c r="D56" s="1359">
        <v>189</v>
      </c>
      <c r="E56" s="1360">
        <v>158</v>
      </c>
      <c r="F56" s="1361">
        <v>22</v>
      </c>
      <c r="G56" s="1358">
        <v>9</v>
      </c>
      <c r="H56" s="1359">
        <v>64</v>
      </c>
      <c r="I56" s="1360">
        <v>45</v>
      </c>
      <c r="J56" s="1361">
        <v>14</v>
      </c>
      <c r="K56" s="1358">
        <v>5</v>
      </c>
      <c r="L56" s="289">
        <f t="shared" si="4"/>
        <v>0.33862433862433861</v>
      </c>
      <c r="M56" s="290">
        <f t="shared" si="5"/>
        <v>0.2848101265822785</v>
      </c>
      <c r="N56" s="290">
        <f t="shared" si="6"/>
        <v>0.63636363636363635</v>
      </c>
      <c r="O56" s="291">
        <f t="shared" si="7"/>
        <v>0.55555555555555558</v>
      </c>
    </row>
    <row r="57" spans="1:15" s="142" customFormat="1" ht="15.75" customHeight="1">
      <c r="A57" s="149" t="s">
        <v>128</v>
      </c>
      <c r="B57" s="189" t="s">
        <v>129</v>
      </c>
      <c r="C57" s="150" t="s">
        <v>266</v>
      </c>
      <c r="D57" s="1359">
        <v>84</v>
      </c>
      <c r="E57" s="1360">
        <v>43</v>
      </c>
      <c r="F57" s="1361">
        <v>39</v>
      </c>
      <c r="G57" s="1358">
        <v>2</v>
      </c>
      <c r="H57" s="1359">
        <v>52</v>
      </c>
      <c r="I57" s="1360">
        <v>16</v>
      </c>
      <c r="J57" s="1361">
        <v>36</v>
      </c>
      <c r="K57" s="1358">
        <v>0</v>
      </c>
      <c r="L57" s="289">
        <f t="shared" si="4"/>
        <v>0.61904761904761907</v>
      </c>
      <c r="M57" s="290">
        <f t="shared" si="5"/>
        <v>0.37209302325581395</v>
      </c>
      <c r="N57" s="290">
        <f t="shared" si="6"/>
        <v>0.92307692307692313</v>
      </c>
      <c r="O57" s="291">
        <f t="shared" si="7"/>
        <v>0</v>
      </c>
    </row>
    <row r="58" spans="1:15" s="142" customFormat="1" ht="15.75" customHeight="1">
      <c r="A58" s="149" t="s">
        <v>130</v>
      </c>
      <c r="B58" s="189" t="s">
        <v>131</v>
      </c>
      <c r="C58" s="150" t="s">
        <v>268</v>
      </c>
      <c r="D58" s="1359">
        <v>267</v>
      </c>
      <c r="E58" s="1360">
        <v>264</v>
      </c>
      <c r="F58" s="1361">
        <v>2</v>
      </c>
      <c r="G58" s="1358">
        <v>1</v>
      </c>
      <c r="H58" s="1359">
        <v>104</v>
      </c>
      <c r="I58" s="1360">
        <v>103</v>
      </c>
      <c r="J58" s="1361">
        <v>1</v>
      </c>
      <c r="K58" s="1358">
        <v>0</v>
      </c>
      <c r="L58" s="289">
        <f t="shared" si="4"/>
        <v>0.38951310861423222</v>
      </c>
      <c r="M58" s="290">
        <f t="shared" si="5"/>
        <v>0.39015151515151514</v>
      </c>
      <c r="N58" s="290">
        <f t="shared" si="6"/>
        <v>0.5</v>
      </c>
      <c r="O58" s="291">
        <f t="shared" si="7"/>
        <v>0</v>
      </c>
    </row>
    <row r="59" spans="1:15" s="142" customFormat="1" ht="15.75" customHeight="1">
      <c r="A59" s="149" t="s">
        <v>132</v>
      </c>
      <c r="B59" s="189" t="s">
        <v>133</v>
      </c>
      <c r="C59" s="150" t="s">
        <v>267</v>
      </c>
      <c r="D59" s="1359">
        <v>4902</v>
      </c>
      <c r="E59" s="1360">
        <v>3265</v>
      </c>
      <c r="F59" s="1361">
        <v>308</v>
      </c>
      <c r="G59" s="1358">
        <v>1329</v>
      </c>
      <c r="H59" s="1359">
        <v>757</v>
      </c>
      <c r="I59" s="1360">
        <v>469</v>
      </c>
      <c r="J59" s="1361">
        <v>113</v>
      </c>
      <c r="K59" s="1358">
        <v>175</v>
      </c>
      <c r="L59" s="289">
        <f t="shared" si="4"/>
        <v>0.15442676458588331</v>
      </c>
      <c r="M59" s="290">
        <f t="shared" si="5"/>
        <v>0.14364471669218989</v>
      </c>
      <c r="N59" s="290">
        <f t="shared" si="6"/>
        <v>0.36688311688311687</v>
      </c>
      <c r="O59" s="291">
        <f t="shared" si="7"/>
        <v>0.13167795334838225</v>
      </c>
    </row>
    <row r="60" spans="1:15" s="142" customFormat="1" ht="15.75" customHeight="1">
      <c r="A60" s="149" t="s">
        <v>134</v>
      </c>
      <c r="B60" s="189" t="s">
        <v>135</v>
      </c>
      <c r="C60" s="150" t="s">
        <v>267</v>
      </c>
      <c r="D60" s="1359">
        <v>382</v>
      </c>
      <c r="E60" s="1360">
        <v>313</v>
      </c>
      <c r="F60" s="1361">
        <v>52</v>
      </c>
      <c r="G60" s="1358">
        <v>17</v>
      </c>
      <c r="H60" s="1359">
        <v>162</v>
      </c>
      <c r="I60" s="1360">
        <v>113</v>
      </c>
      <c r="J60" s="1361">
        <v>40</v>
      </c>
      <c r="K60" s="1358">
        <v>9</v>
      </c>
      <c r="L60" s="289">
        <f t="shared" si="4"/>
        <v>0.42408376963350786</v>
      </c>
      <c r="M60" s="290">
        <f t="shared" si="5"/>
        <v>0.36102236421725242</v>
      </c>
      <c r="N60" s="290">
        <f t="shared" si="6"/>
        <v>0.76923076923076927</v>
      </c>
      <c r="O60" s="291">
        <f t="shared" si="7"/>
        <v>0.52941176470588236</v>
      </c>
    </row>
    <row r="61" spans="1:15" s="142" customFormat="1" ht="15.75" customHeight="1">
      <c r="A61" s="149" t="s">
        <v>136</v>
      </c>
      <c r="B61" s="189" t="s">
        <v>137</v>
      </c>
      <c r="C61" s="150" t="s">
        <v>266</v>
      </c>
      <c r="D61" s="1359">
        <v>118</v>
      </c>
      <c r="E61" s="1360">
        <v>66</v>
      </c>
      <c r="F61" s="1361">
        <v>46</v>
      </c>
      <c r="G61" s="1358">
        <v>6</v>
      </c>
      <c r="H61" s="1359">
        <v>80</v>
      </c>
      <c r="I61" s="1360">
        <v>39</v>
      </c>
      <c r="J61" s="1361">
        <v>36</v>
      </c>
      <c r="K61" s="1358">
        <v>5</v>
      </c>
      <c r="L61" s="289">
        <f t="shared" si="4"/>
        <v>0.67796610169491522</v>
      </c>
      <c r="M61" s="290">
        <f t="shared" si="5"/>
        <v>0.59090909090909094</v>
      </c>
      <c r="N61" s="290">
        <f t="shared" si="6"/>
        <v>0.78260869565217395</v>
      </c>
      <c r="O61" s="291">
        <f t="shared" si="7"/>
        <v>0.83333333333333337</v>
      </c>
    </row>
    <row r="62" spans="1:15" s="142" customFormat="1" ht="15.75" customHeight="1">
      <c r="A62" s="149" t="s">
        <v>140</v>
      </c>
      <c r="B62" s="189" t="s">
        <v>141</v>
      </c>
      <c r="C62" s="150" t="s">
        <v>267</v>
      </c>
      <c r="D62" s="1359">
        <v>121</v>
      </c>
      <c r="E62" s="1360">
        <v>109</v>
      </c>
      <c r="F62" s="1361">
        <v>10</v>
      </c>
      <c r="G62" s="1358">
        <v>2</v>
      </c>
      <c r="H62" s="1359">
        <v>44</v>
      </c>
      <c r="I62" s="1360">
        <v>33</v>
      </c>
      <c r="J62" s="1361">
        <v>9</v>
      </c>
      <c r="K62" s="1358">
        <v>2</v>
      </c>
      <c r="L62" s="289">
        <f t="shared" si="4"/>
        <v>0.36363636363636365</v>
      </c>
      <c r="M62" s="290">
        <f t="shared" si="5"/>
        <v>0.30275229357798167</v>
      </c>
      <c r="N62" s="290">
        <f t="shared" si="6"/>
        <v>0.9</v>
      </c>
      <c r="O62" s="291">
        <f t="shared" si="7"/>
        <v>1</v>
      </c>
    </row>
    <row r="63" spans="1:15" s="142" customFormat="1" ht="15.75" customHeight="1">
      <c r="A63" s="149" t="s">
        <v>146</v>
      </c>
      <c r="B63" s="189" t="s">
        <v>147</v>
      </c>
      <c r="C63" s="150" t="s">
        <v>264</v>
      </c>
      <c r="D63" s="1359">
        <v>71</v>
      </c>
      <c r="E63" s="1360">
        <v>58</v>
      </c>
      <c r="F63" s="1361">
        <v>7</v>
      </c>
      <c r="G63" s="1358">
        <v>6</v>
      </c>
      <c r="H63" s="1359">
        <v>24</v>
      </c>
      <c r="I63" s="1360">
        <v>20</v>
      </c>
      <c r="J63" s="1361">
        <v>2</v>
      </c>
      <c r="K63" s="1358">
        <v>2</v>
      </c>
      <c r="L63" s="289">
        <f t="shared" si="4"/>
        <v>0.3380281690140845</v>
      </c>
      <c r="M63" s="290">
        <f t="shared" si="5"/>
        <v>0.34482758620689657</v>
      </c>
      <c r="N63" s="290">
        <f t="shared" si="6"/>
        <v>0.2857142857142857</v>
      </c>
      <c r="O63" s="291">
        <f t="shared" si="7"/>
        <v>0.33333333333333331</v>
      </c>
    </row>
    <row r="64" spans="1:15" s="142" customFormat="1" ht="15.75" customHeight="1">
      <c r="A64" s="149" t="s">
        <v>148</v>
      </c>
      <c r="B64" s="189" t="s">
        <v>149</v>
      </c>
      <c r="C64" s="150" t="s">
        <v>265</v>
      </c>
      <c r="D64" s="1359">
        <v>293</v>
      </c>
      <c r="E64" s="1360">
        <v>167</v>
      </c>
      <c r="F64" s="1361">
        <v>118</v>
      </c>
      <c r="G64" s="1358">
        <v>8</v>
      </c>
      <c r="H64" s="1359">
        <v>168</v>
      </c>
      <c r="I64" s="1360">
        <v>61</v>
      </c>
      <c r="J64" s="1361">
        <v>102</v>
      </c>
      <c r="K64" s="1358">
        <v>5</v>
      </c>
      <c r="L64" s="289">
        <f t="shared" si="4"/>
        <v>0.57337883959044367</v>
      </c>
      <c r="M64" s="290">
        <f t="shared" si="5"/>
        <v>0.3652694610778443</v>
      </c>
      <c r="N64" s="290">
        <f t="shared" si="6"/>
        <v>0.86440677966101698</v>
      </c>
      <c r="O64" s="291">
        <f t="shared" si="7"/>
        <v>0.625</v>
      </c>
    </row>
    <row r="65" spans="1:15" s="142" customFormat="1" ht="15.75" customHeight="1">
      <c r="A65" s="149" t="s">
        <v>150</v>
      </c>
      <c r="B65" s="189" t="s">
        <v>151</v>
      </c>
      <c r="C65" s="150" t="s">
        <v>266</v>
      </c>
      <c r="D65" s="1359">
        <v>99</v>
      </c>
      <c r="E65" s="1360">
        <v>71</v>
      </c>
      <c r="F65" s="1361">
        <v>25</v>
      </c>
      <c r="G65" s="1358">
        <v>3</v>
      </c>
      <c r="H65" s="1359">
        <v>46</v>
      </c>
      <c r="I65" s="1360">
        <v>26</v>
      </c>
      <c r="J65" s="1361">
        <v>19</v>
      </c>
      <c r="K65" s="1358">
        <v>1</v>
      </c>
      <c r="L65" s="289">
        <f t="shared" si="4"/>
        <v>0.46464646464646464</v>
      </c>
      <c r="M65" s="290">
        <f t="shared" si="5"/>
        <v>0.36619718309859156</v>
      </c>
      <c r="N65" s="290">
        <f t="shared" si="6"/>
        <v>0.76</v>
      </c>
      <c r="O65" s="291">
        <f t="shared" si="7"/>
        <v>0.33333333333333331</v>
      </c>
    </row>
    <row r="66" spans="1:15" s="142" customFormat="1" ht="15.75" customHeight="1">
      <c r="A66" s="149" t="s">
        <v>152</v>
      </c>
      <c r="B66" s="189" t="s">
        <v>153</v>
      </c>
      <c r="C66" s="150" t="s">
        <v>268</v>
      </c>
      <c r="D66" s="1359">
        <v>961</v>
      </c>
      <c r="E66" s="1360">
        <v>847</v>
      </c>
      <c r="F66" s="1361">
        <v>20</v>
      </c>
      <c r="G66" s="1358">
        <v>94</v>
      </c>
      <c r="H66" s="1359">
        <v>240</v>
      </c>
      <c r="I66" s="1360">
        <v>218</v>
      </c>
      <c r="J66" s="1361">
        <v>13</v>
      </c>
      <c r="K66" s="1358">
        <v>9</v>
      </c>
      <c r="L66" s="289">
        <f t="shared" si="4"/>
        <v>0.2497398543184183</v>
      </c>
      <c r="M66" s="290">
        <f t="shared" si="5"/>
        <v>0.25737898465171194</v>
      </c>
      <c r="N66" s="290">
        <f t="shared" si="6"/>
        <v>0.65</v>
      </c>
      <c r="O66" s="291">
        <f t="shared" si="7"/>
        <v>9.5744680851063829E-2</v>
      </c>
    </row>
    <row r="67" spans="1:15" s="142" customFormat="1" ht="15.75" customHeight="1">
      <c r="A67" s="149" t="s">
        <v>154</v>
      </c>
      <c r="B67" s="189" t="s">
        <v>155</v>
      </c>
      <c r="C67" s="150" t="s">
        <v>265</v>
      </c>
      <c r="D67" s="1359">
        <v>137</v>
      </c>
      <c r="E67" s="1360">
        <v>115</v>
      </c>
      <c r="F67" s="1361">
        <v>20</v>
      </c>
      <c r="G67" s="1358">
        <v>2</v>
      </c>
      <c r="H67" s="1359">
        <v>52</v>
      </c>
      <c r="I67" s="1360">
        <v>35</v>
      </c>
      <c r="J67" s="1361">
        <v>15</v>
      </c>
      <c r="K67" s="1358">
        <v>2</v>
      </c>
      <c r="L67" s="289">
        <f t="shared" si="4"/>
        <v>0.37956204379562042</v>
      </c>
      <c r="M67" s="290">
        <f t="shared" si="5"/>
        <v>0.30434782608695654</v>
      </c>
      <c r="N67" s="290">
        <f t="shared" si="6"/>
        <v>0.75</v>
      </c>
      <c r="O67" s="291">
        <f t="shared" si="7"/>
        <v>1</v>
      </c>
    </row>
    <row r="68" spans="1:15" s="142" customFormat="1" ht="15.75" customHeight="1">
      <c r="A68" s="149" t="s">
        <v>156</v>
      </c>
      <c r="B68" s="189" t="s">
        <v>157</v>
      </c>
      <c r="C68" s="150" t="s">
        <v>266</v>
      </c>
      <c r="D68" s="1359">
        <v>190</v>
      </c>
      <c r="E68" s="1360">
        <v>174</v>
      </c>
      <c r="F68" s="1361">
        <v>12</v>
      </c>
      <c r="G68" s="1358">
        <v>4</v>
      </c>
      <c r="H68" s="1359">
        <v>49</v>
      </c>
      <c r="I68" s="1360">
        <v>39</v>
      </c>
      <c r="J68" s="1361">
        <v>7</v>
      </c>
      <c r="K68" s="1358">
        <v>3</v>
      </c>
      <c r="L68" s="289">
        <f t="shared" si="4"/>
        <v>0.25789473684210529</v>
      </c>
      <c r="M68" s="290">
        <f t="shared" si="5"/>
        <v>0.22413793103448276</v>
      </c>
      <c r="N68" s="290">
        <f t="shared" si="6"/>
        <v>0.58333333333333337</v>
      </c>
      <c r="O68" s="291">
        <f t="shared" si="7"/>
        <v>0.75</v>
      </c>
    </row>
    <row r="69" spans="1:15" s="142" customFormat="1" ht="15.75" customHeight="1">
      <c r="A69" s="149" t="s">
        <v>162</v>
      </c>
      <c r="B69" s="189" t="s">
        <v>163</v>
      </c>
      <c r="C69" s="150" t="s">
        <v>264</v>
      </c>
      <c r="D69" s="1359">
        <v>118</v>
      </c>
      <c r="E69" s="1360">
        <v>66</v>
      </c>
      <c r="F69" s="1361">
        <v>48</v>
      </c>
      <c r="G69" s="1358">
        <v>4</v>
      </c>
      <c r="H69" s="1359">
        <v>69</v>
      </c>
      <c r="I69" s="1360">
        <v>27</v>
      </c>
      <c r="J69" s="1361">
        <v>40</v>
      </c>
      <c r="K69" s="1358">
        <v>2</v>
      </c>
      <c r="L69" s="289">
        <f t="shared" si="4"/>
        <v>0.5847457627118644</v>
      </c>
      <c r="M69" s="290">
        <f t="shared" si="5"/>
        <v>0.40909090909090912</v>
      </c>
      <c r="N69" s="290">
        <f t="shared" si="6"/>
        <v>0.83333333333333337</v>
      </c>
      <c r="O69" s="291">
        <f t="shared" si="7"/>
        <v>0.5</v>
      </c>
    </row>
    <row r="70" spans="1:15" s="142" customFormat="1" ht="15.75" customHeight="1">
      <c r="A70" s="149" t="s">
        <v>164</v>
      </c>
      <c r="B70" s="189" t="s">
        <v>165</v>
      </c>
      <c r="C70" s="150" t="s">
        <v>266</v>
      </c>
      <c r="D70" s="1359">
        <v>96</v>
      </c>
      <c r="E70" s="1360">
        <v>58</v>
      </c>
      <c r="F70" s="1361">
        <v>34</v>
      </c>
      <c r="G70" s="1358">
        <v>4</v>
      </c>
      <c r="H70" s="1359">
        <v>55</v>
      </c>
      <c r="I70" s="1360">
        <v>29</v>
      </c>
      <c r="J70" s="1361">
        <v>23</v>
      </c>
      <c r="K70" s="1358">
        <v>3</v>
      </c>
      <c r="L70" s="289">
        <f t="shared" si="4"/>
        <v>0.57291666666666663</v>
      </c>
      <c r="M70" s="290">
        <f t="shared" si="5"/>
        <v>0.5</v>
      </c>
      <c r="N70" s="290">
        <f t="shared" si="6"/>
        <v>0.67647058823529416</v>
      </c>
      <c r="O70" s="291">
        <f t="shared" si="7"/>
        <v>0.75</v>
      </c>
    </row>
    <row r="71" spans="1:15" s="142" customFormat="1" ht="15.75" customHeight="1">
      <c r="A71" s="149" t="s">
        <v>168</v>
      </c>
      <c r="B71" s="189" t="s">
        <v>169</v>
      </c>
      <c r="C71" s="150" t="s">
        <v>266</v>
      </c>
      <c r="D71" s="1359">
        <v>187</v>
      </c>
      <c r="E71" s="1360">
        <v>112</v>
      </c>
      <c r="F71" s="1361">
        <v>71</v>
      </c>
      <c r="G71" s="1358">
        <v>4</v>
      </c>
      <c r="H71" s="1359">
        <v>112</v>
      </c>
      <c r="I71" s="1360">
        <v>55</v>
      </c>
      <c r="J71" s="1361">
        <v>55</v>
      </c>
      <c r="K71" s="1358">
        <v>2</v>
      </c>
      <c r="L71" s="289">
        <f t="shared" ref="L71:L102" si="8">IF(D71=0,"NA",(H71/D71))</f>
        <v>0.59893048128342241</v>
      </c>
      <c r="M71" s="290">
        <f t="shared" ref="M71:M102" si="9">IF(E71=0,"NA",(I71/E71))</f>
        <v>0.49107142857142855</v>
      </c>
      <c r="N71" s="290">
        <f t="shared" ref="N71:N102" si="10">IF(F71=0,"NA",(J71/F71))</f>
        <v>0.77464788732394363</v>
      </c>
      <c r="O71" s="291">
        <f t="shared" ref="O71:O102" si="11">IF(G71=0,"NA",(K71/G71))</f>
        <v>0.5</v>
      </c>
    </row>
    <row r="72" spans="1:15" s="142" customFormat="1" ht="15.75" customHeight="1">
      <c r="A72" s="149" t="s">
        <v>170</v>
      </c>
      <c r="B72" s="189" t="s">
        <v>171</v>
      </c>
      <c r="C72" s="150" t="s">
        <v>267</v>
      </c>
      <c r="D72" s="1359">
        <v>369</v>
      </c>
      <c r="E72" s="1360">
        <v>307</v>
      </c>
      <c r="F72" s="1361">
        <v>42</v>
      </c>
      <c r="G72" s="1358">
        <v>20</v>
      </c>
      <c r="H72" s="1359">
        <v>135</v>
      </c>
      <c r="I72" s="1360">
        <v>103</v>
      </c>
      <c r="J72" s="1361">
        <v>23</v>
      </c>
      <c r="K72" s="1358">
        <v>9</v>
      </c>
      <c r="L72" s="289">
        <f t="shared" si="8"/>
        <v>0.36585365853658536</v>
      </c>
      <c r="M72" s="290">
        <f t="shared" si="9"/>
        <v>0.33550488599348532</v>
      </c>
      <c r="N72" s="290">
        <f t="shared" si="10"/>
        <v>0.54761904761904767</v>
      </c>
      <c r="O72" s="291">
        <f t="shared" si="11"/>
        <v>0.45</v>
      </c>
    </row>
    <row r="73" spans="1:15" s="142" customFormat="1" ht="15.75" customHeight="1">
      <c r="A73" s="149" t="s">
        <v>172</v>
      </c>
      <c r="B73" s="189" t="s">
        <v>173</v>
      </c>
      <c r="C73" s="150" t="s">
        <v>267</v>
      </c>
      <c r="D73" s="1359">
        <v>232</v>
      </c>
      <c r="E73" s="1360">
        <v>227</v>
      </c>
      <c r="F73" s="1361">
        <v>2</v>
      </c>
      <c r="G73" s="1358">
        <v>3</v>
      </c>
      <c r="H73" s="1359">
        <v>123</v>
      </c>
      <c r="I73" s="1360">
        <v>119</v>
      </c>
      <c r="J73" s="1361">
        <v>2</v>
      </c>
      <c r="K73" s="1358">
        <v>2</v>
      </c>
      <c r="L73" s="289">
        <f t="shared" si="8"/>
        <v>0.53017241379310343</v>
      </c>
      <c r="M73" s="290">
        <f t="shared" si="9"/>
        <v>0.52422907488986781</v>
      </c>
      <c r="N73" s="290">
        <f t="shared" si="10"/>
        <v>1</v>
      </c>
      <c r="O73" s="291">
        <f t="shared" si="11"/>
        <v>0.66666666666666663</v>
      </c>
    </row>
    <row r="74" spans="1:15" s="142" customFormat="1" ht="15.75" customHeight="1">
      <c r="A74" s="149" t="s">
        <v>174</v>
      </c>
      <c r="B74" s="189" t="s">
        <v>175</v>
      </c>
      <c r="C74" s="150" t="s">
        <v>268</v>
      </c>
      <c r="D74" s="1359">
        <v>156</v>
      </c>
      <c r="E74" s="1360">
        <v>148</v>
      </c>
      <c r="F74" s="1361">
        <v>5</v>
      </c>
      <c r="G74" s="1358">
        <v>3</v>
      </c>
      <c r="H74" s="1359">
        <v>58</v>
      </c>
      <c r="I74" s="1360">
        <v>53</v>
      </c>
      <c r="J74" s="1361">
        <v>4</v>
      </c>
      <c r="K74" s="1358">
        <v>1</v>
      </c>
      <c r="L74" s="289">
        <f t="shared" si="8"/>
        <v>0.37179487179487181</v>
      </c>
      <c r="M74" s="290">
        <f t="shared" si="9"/>
        <v>0.35810810810810811</v>
      </c>
      <c r="N74" s="290">
        <f t="shared" si="10"/>
        <v>0.8</v>
      </c>
      <c r="O74" s="291">
        <f t="shared" si="11"/>
        <v>0.33333333333333331</v>
      </c>
    </row>
    <row r="75" spans="1:15" s="142" customFormat="1" ht="15.75" customHeight="1">
      <c r="A75" s="149" t="s">
        <v>178</v>
      </c>
      <c r="B75" s="189" t="s">
        <v>179</v>
      </c>
      <c r="C75" s="150" t="s">
        <v>265</v>
      </c>
      <c r="D75" s="1359">
        <v>540</v>
      </c>
      <c r="E75" s="1360">
        <v>401</v>
      </c>
      <c r="F75" s="1361">
        <v>117</v>
      </c>
      <c r="G75" s="1358">
        <v>22</v>
      </c>
      <c r="H75" s="1359">
        <v>244</v>
      </c>
      <c r="I75" s="1360">
        <v>142</v>
      </c>
      <c r="J75" s="1361">
        <v>93</v>
      </c>
      <c r="K75" s="1358">
        <v>9</v>
      </c>
      <c r="L75" s="289">
        <f t="shared" si="8"/>
        <v>0.45185185185185184</v>
      </c>
      <c r="M75" s="290">
        <f t="shared" si="9"/>
        <v>0.35411471321695759</v>
      </c>
      <c r="N75" s="290">
        <f t="shared" si="10"/>
        <v>0.79487179487179482</v>
      </c>
      <c r="O75" s="291">
        <f t="shared" si="11"/>
        <v>0.40909090909090912</v>
      </c>
    </row>
    <row r="76" spans="1:15" s="142" customFormat="1" ht="15.75" customHeight="1">
      <c r="A76" s="149" t="s">
        <v>182</v>
      </c>
      <c r="B76" s="189" t="s">
        <v>183</v>
      </c>
      <c r="C76" s="150" t="s">
        <v>266</v>
      </c>
      <c r="D76" s="1359">
        <v>245</v>
      </c>
      <c r="E76" s="1360">
        <v>226</v>
      </c>
      <c r="F76" s="1361">
        <v>14</v>
      </c>
      <c r="G76" s="1358">
        <v>5</v>
      </c>
      <c r="H76" s="1359">
        <v>67</v>
      </c>
      <c r="I76" s="1360">
        <v>52</v>
      </c>
      <c r="J76" s="1361">
        <v>13</v>
      </c>
      <c r="K76" s="1358">
        <v>2</v>
      </c>
      <c r="L76" s="289">
        <f t="shared" si="8"/>
        <v>0.27346938775510204</v>
      </c>
      <c r="M76" s="290">
        <f t="shared" si="9"/>
        <v>0.23008849557522124</v>
      </c>
      <c r="N76" s="290">
        <f t="shared" si="10"/>
        <v>0.9285714285714286</v>
      </c>
      <c r="O76" s="291">
        <f t="shared" si="11"/>
        <v>0.4</v>
      </c>
    </row>
    <row r="77" spans="1:15" s="142" customFormat="1" ht="15.75" customHeight="1">
      <c r="A77" s="149" t="s">
        <v>184</v>
      </c>
      <c r="B77" s="189" t="s">
        <v>185</v>
      </c>
      <c r="C77" s="150" t="s">
        <v>266</v>
      </c>
      <c r="D77" s="1359">
        <v>204</v>
      </c>
      <c r="E77" s="1360">
        <v>105</v>
      </c>
      <c r="F77" s="1361">
        <v>94</v>
      </c>
      <c r="G77" s="1358">
        <v>5</v>
      </c>
      <c r="H77" s="1359">
        <v>118</v>
      </c>
      <c r="I77" s="1360">
        <v>37</v>
      </c>
      <c r="J77" s="1361">
        <v>79</v>
      </c>
      <c r="K77" s="1358">
        <v>2</v>
      </c>
      <c r="L77" s="289">
        <f t="shared" si="8"/>
        <v>0.57843137254901966</v>
      </c>
      <c r="M77" s="290">
        <f t="shared" si="9"/>
        <v>0.35238095238095241</v>
      </c>
      <c r="N77" s="290">
        <f t="shared" si="10"/>
        <v>0.84042553191489366</v>
      </c>
      <c r="O77" s="291">
        <f t="shared" si="11"/>
        <v>0.4</v>
      </c>
    </row>
    <row r="78" spans="1:15" s="142" customFormat="1" ht="15.75" customHeight="1">
      <c r="A78" s="149" t="s">
        <v>186</v>
      </c>
      <c r="B78" s="189" t="s">
        <v>187</v>
      </c>
      <c r="C78" s="150" t="s">
        <v>264</v>
      </c>
      <c r="D78" s="1359">
        <v>344</v>
      </c>
      <c r="E78" s="1360">
        <v>218</v>
      </c>
      <c r="F78" s="1361">
        <v>97</v>
      </c>
      <c r="G78" s="1358">
        <v>29</v>
      </c>
      <c r="H78" s="1359">
        <v>115</v>
      </c>
      <c r="I78" s="1360">
        <v>63</v>
      </c>
      <c r="J78" s="1361">
        <v>47</v>
      </c>
      <c r="K78" s="1358">
        <v>5</v>
      </c>
      <c r="L78" s="289">
        <f t="shared" si="8"/>
        <v>0.33430232558139533</v>
      </c>
      <c r="M78" s="290">
        <f t="shared" si="9"/>
        <v>0.28899082568807338</v>
      </c>
      <c r="N78" s="290">
        <f t="shared" si="10"/>
        <v>0.4845360824742268</v>
      </c>
      <c r="O78" s="291">
        <f t="shared" si="11"/>
        <v>0.17241379310344829</v>
      </c>
    </row>
    <row r="79" spans="1:15" s="142" customFormat="1" ht="15.75" customHeight="1">
      <c r="A79" s="149" t="s">
        <v>188</v>
      </c>
      <c r="B79" s="189" t="s">
        <v>189</v>
      </c>
      <c r="C79" s="150" t="s">
        <v>267</v>
      </c>
      <c r="D79" s="1359">
        <v>6873</v>
      </c>
      <c r="E79" s="1360">
        <v>4332</v>
      </c>
      <c r="F79" s="1361">
        <v>1359</v>
      </c>
      <c r="G79" s="1358">
        <v>1182</v>
      </c>
      <c r="H79" s="1359">
        <v>2043</v>
      </c>
      <c r="I79" s="1360">
        <v>1095</v>
      </c>
      <c r="J79" s="1361">
        <v>652</v>
      </c>
      <c r="K79" s="1358">
        <v>296</v>
      </c>
      <c r="L79" s="289">
        <f t="shared" si="8"/>
        <v>0.29725010912265387</v>
      </c>
      <c r="M79" s="290">
        <f t="shared" si="9"/>
        <v>0.25277008310249305</v>
      </c>
      <c r="N79" s="290">
        <f t="shared" si="10"/>
        <v>0.47976453274466518</v>
      </c>
      <c r="O79" s="291">
        <f t="shared" si="11"/>
        <v>0.25042301184433163</v>
      </c>
    </row>
    <row r="80" spans="1:15" s="142" customFormat="1" ht="15.75" customHeight="1">
      <c r="A80" s="149" t="s">
        <v>190</v>
      </c>
      <c r="B80" s="189" t="s">
        <v>191</v>
      </c>
      <c r="C80" s="150" t="s">
        <v>268</v>
      </c>
      <c r="D80" s="1359">
        <v>348</v>
      </c>
      <c r="E80" s="1360">
        <v>330</v>
      </c>
      <c r="F80" s="1361">
        <v>14</v>
      </c>
      <c r="G80" s="1358">
        <v>4</v>
      </c>
      <c r="H80" s="1359">
        <v>147</v>
      </c>
      <c r="I80" s="1360">
        <v>137</v>
      </c>
      <c r="J80" s="1361">
        <v>10</v>
      </c>
      <c r="K80" s="1358">
        <v>0</v>
      </c>
      <c r="L80" s="289">
        <f t="shared" si="8"/>
        <v>0.42241379310344829</v>
      </c>
      <c r="M80" s="290">
        <f t="shared" si="9"/>
        <v>0.41515151515151516</v>
      </c>
      <c r="N80" s="290">
        <f t="shared" si="10"/>
        <v>0.7142857142857143</v>
      </c>
      <c r="O80" s="291">
        <f t="shared" si="11"/>
        <v>0</v>
      </c>
    </row>
    <row r="81" spans="1:15" s="142" customFormat="1" ht="15.75" customHeight="1">
      <c r="A81" s="149" t="s">
        <v>194</v>
      </c>
      <c r="B81" s="189" t="s">
        <v>195</v>
      </c>
      <c r="C81" s="150" t="s">
        <v>267</v>
      </c>
      <c r="D81" s="1359">
        <v>56</v>
      </c>
      <c r="E81" s="1360">
        <v>54</v>
      </c>
      <c r="F81" s="1361">
        <v>1</v>
      </c>
      <c r="G81" s="1358">
        <v>1</v>
      </c>
      <c r="H81" s="1359">
        <v>17</v>
      </c>
      <c r="I81" s="1360">
        <v>16</v>
      </c>
      <c r="J81" s="1361">
        <v>1</v>
      </c>
      <c r="K81" s="1358">
        <v>0</v>
      </c>
      <c r="L81" s="289">
        <f t="shared" si="8"/>
        <v>0.30357142857142855</v>
      </c>
      <c r="M81" s="290">
        <f t="shared" si="9"/>
        <v>0.29629629629629628</v>
      </c>
      <c r="N81" s="290">
        <f t="shared" si="10"/>
        <v>1</v>
      </c>
      <c r="O81" s="291">
        <f t="shared" si="11"/>
        <v>0</v>
      </c>
    </row>
    <row r="82" spans="1:15" s="142" customFormat="1" ht="15.75" customHeight="1">
      <c r="A82" s="149" t="s">
        <v>198</v>
      </c>
      <c r="B82" s="189" t="s">
        <v>272</v>
      </c>
      <c r="C82" s="150" t="s">
        <v>266</v>
      </c>
      <c r="D82" s="1359">
        <v>72</v>
      </c>
      <c r="E82" s="1360">
        <v>44</v>
      </c>
      <c r="F82" s="1361">
        <v>24</v>
      </c>
      <c r="G82" s="1358">
        <v>4</v>
      </c>
      <c r="H82" s="1359">
        <v>41</v>
      </c>
      <c r="I82" s="1360">
        <v>19</v>
      </c>
      <c r="J82" s="1361">
        <v>19</v>
      </c>
      <c r="K82" s="1358">
        <v>3</v>
      </c>
      <c r="L82" s="289">
        <f t="shared" si="8"/>
        <v>0.56944444444444442</v>
      </c>
      <c r="M82" s="290">
        <f t="shared" si="9"/>
        <v>0.43181818181818182</v>
      </c>
      <c r="N82" s="290">
        <f t="shared" si="10"/>
        <v>0.79166666666666663</v>
      </c>
      <c r="O82" s="291">
        <f t="shared" si="11"/>
        <v>0.75</v>
      </c>
    </row>
    <row r="83" spans="1:15" s="142" customFormat="1" ht="15.75" customHeight="1">
      <c r="A83" s="149" t="s">
        <v>202</v>
      </c>
      <c r="B83" s="189" t="s">
        <v>301</v>
      </c>
      <c r="C83" s="150" t="s">
        <v>265</v>
      </c>
      <c r="D83" s="1359">
        <v>1085</v>
      </c>
      <c r="E83" s="1360">
        <v>940</v>
      </c>
      <c r="F83" s="1361">
        <v>71</v>
      </c>
      <c r="G83" s="1358">
        <v>74</v>
      </c>
      <c r="H83" s="1359">
        <v>361</v>
      </c>
      <c r="I83" s="1360">
        <v>302</v>
      </c>
      <c r="J83" s="1361">
        <v>46</v>
      </c>
      <c r="K83" s="1358">
        <v>13</v>
      </c>
      <c r="L83" s="289">
        <f t="shared" si="8"/>
        <v>0.33271889400921661</v>
      </c>
      <c r="M83" s="290">
        <f t="shared" si="9"/>
        <v>0.32127659574468087</v>
      </c>
      <c r="N83" s="290">
        <f t="shared" si="10"/>
        <v>0.647887323943662</v>
      </c>
      <c r="O83" s="291">
        <f t="shared" si="11"/>
        <v>0.17567567567567569</v>
      </c>
    </row>
    <row r="84" spans="1:15" s="142" customFormat="1" ht="15.75" customHeight="1">
      <c r="A84" s="149" t="s">
        <v>204</v>
      </c>
      <c r="B84" s="189" t="s">
        <v>293</v>
      </c>
      <c r="C84" s="150" t="s">
        <v>265</v>
      </c>
      <c r="D84" s="1359">
        <v>352</v>
      </c>
      <c r="E84" s="1360">
        <v>333</v>
      </c>
      <c r="F84" s="1361">
        <v>9</v>
      </c>
      <c r="G84" s="1358">
        <v>10</v>
      </c>
      <c r="H84" s="1359">
        <v>138</v>
      </c>
      <c r="I84" s="1360">
        <v>132</v>
      </c>
      <c r="J84" s="1361">
        <v>4</v>
      </c>
      <c r="K84" s="1358">
        <v>2</v>
      </c>
      <c r="L84" s="289">
        <f t="shared" si="8"/>
        <v>0.39204545454545453</v>
      </c>
      <c r="M84" s="290">
        <f t="shared" si="9"/>
        <v>0.3963963963963964</v>
      </c>
      <c r="N84" s="290">
        <f t="shared" si="10"/>
        <v>0.44444444444444442</v>
      </c>
      <c r="O84" s="291">
        <f t="shared" si="11"/>
        <v>0.2</v>
      </c>
    </row>
    <row r="85" spans="1:15" s="142" customFormat="1" ht="15.75" customHeight="1">
      <c r="A85" s="149" t="s">
        <v>206</v>
      </c>
      <c r="B85" s="189" t="s">
        <v>294</v>
      </c>
      <c r="C85" s="150" t="s">
        <v>267</v>
      </c>
      <c r="D85" s="1359">
        <v>1392</v>
      </c>
      <c r="E85" s="1360">
        <v>1200</v>
      </c>
      <c r="F85" s="1361">
        <v>59</v>
      </c>
      <c r="G85" s="1358">
        <v>133</v>
      </c>
      <c r="H85" s="1359">
        <v>474</v>
      </c>
      <c r="I85" s="1360">
        <v>372</v>
      </c>
      <c r="J85" s="1361">
        <v>32</v>
      </c>
      <c r="K85" s="1358">
        <v>70</v>
      </c>
      <c r="L85" s="289">
        <f t="shared" si="8"/>
        <v>0.34051724137931033</v>
      </c>
      <c r="M85" s="290">
        <f t="shared" si="9"/>
        <v>0.31</v>
      </c>
      <c r="N85" s="290">
        <f t="shared" si="10"/>
        <v>0.5423728813559322</v>
      </c>
      <c r="O85" s="291">
        <f t="shared" si="11"/>
        <v>0.52631578947368418</v>
      </c>
    </row>
    <row r="86" spans="1:15" s="142" customFormat="1" ht="15.75" customHeight="1">
      <c r="A86" s="149" t="s">
        <v>208</v>
      </c>
      <c r="B86" s="189" t="s">
        <v>209</v>
      </c>
      <c r="C86" s="150" t="s">
        <v>268</v>
      </c>
      <c r="D86" s="1359">
        <v>277</v>
      </c>
      <c r="E86" s="1360">
        <v>274</v>
      </c>
      <c r="F86" s="1361">
        <v>0</v>
      </c>
      <c r="G86" s="1358">
        <v>3</v>
      </c>
      <c r="H86" s="1359">
        <v>88</v>
      </c>
      <c r="I86" s="1360">
        <v>88</v>
      </c>
      <c r="J86" s="1361">
        <v>0</v>
      </c>
      <c r="K86" s="1358">
        <v>0</v>
      </c>
      <c r="L86" s="289">
        <f t="shared" si="8"/>
        <v>0.3176895306859206</v>
      </c>
      <c r="M86" s="290">
        <f t="shared" si="9"/>
        <v>0.32116788321167883</v>
      </c>
      <c r="N86" s="290" t="str">
        <f t="shared" si="10"/>
        <v>NA</v>
      </c>
      <c r="O86" s="291">
        <f t="shared" si="11"/>
        <v>0</v>
      </c>
    </row>
    <row r="87" spans="1:15" s="142" customFormat="1" ht="15.75" customHeight="1">
      <c r="A87" s="149" t="s">
        <v>210</v>
      </c>
      <c r="B87" s="189" t="s">
        <v>211</v>
      </c>
      <c r="C87" s="150" t="s">
        <v>268</v>
      </c>
      <c r="D87" s="1359">
        <v>194</v>
      </c>
      <c r="E87" s="1360">
        <v>191</v>
      </c>
      <c r="F87" s="1361">
        <v>3</v>
      </c>
      <c r="G87" s="1358">
        <v>0</v>
      </c>
      <c r="H87" s="1359">
        <v>73</v>
      </c>
      <c r="I87" s="1360">
        <v>71</v>
      </c>
      <c r="J87" s="1361">
        <v>2</v>
      </c>
      <c r="K87" s="1358">
        <v>0</v>
      </c>
      <c r="L87" s="289">
        <f t="shared" si="8"/>
        <v>0.37628865979381443</v>
      </c>
      <c r="M87" s="290">
        <f t="shared" si="9"/>
        <v>0.37172774869109948</v>
      </c>
      <c r="N87" s="290">
        <f t="shared" si="10"/>
        <v>0.66666666666666663</v>
      </c>
      <c r="O87" s="291" t="str">
        <f t="shared" si="11"/>
        <v>NA</v>
      </c>
    </row>
    <row r="88" spans="1:15" s="142" customFormat="1" ht="15.75" customHeight="1">
      <c r="A88" s="149" t="s">
        <v>212</v>
      </c>
      <c r="B88" s="189" t="s">
        <v>213</v>
      </c>
      <c r="C88" s="150" t="s">
        <v>267</v>
      </c>
      <c r="D88" s="1359">
        <v>482</v>
      </c>
      <c r="E88" s="1360">
        <v>451</v>
      </c>
      <c r="F88" s="1361">
        <v>17</v>
      </c>
      <c r="G88" s="1358">
        <v>14</v>
      </c>
      <c r="H88" s="1359">
        <v>194</v>
      </c>
      <c r="I88" s="1360">
        <v>179</v>
      </c>
      <c r="J88" s="1361">
        <v>11</v>
      </c>
      <c r="K88" s="1358">
        <v>4</v>
      </c>
      <c r="L88" s="289">
        <f t="shared" si="8"/>
        <v>0.40248962655601661</v>
      </c>
      <c r="M88" s="290">
        <f t="shared" si="9"/>
        <v>0.39689578713968959</v>
      </c>
      <c r="N88" s="290">
        <f t="shared" si="10"/>
        <v>0.6470588235294118</v>
      </c>
      <c r="O88" s="291">
        <f t="shared" si="11"/>
        <v>0.2857142857142857</v>
      </c>
    </row>
    <row r="89" spans="1:15" s="142" customFormat="1" ht="15.75" customHeight="1">
      <c r="A89" s="149" t="s">
        <v>214</v>
      </c>
      <c r="B89" s="189" t="s">
        <v>215</v>
      </c>
      <c r="C89" s="150" t="s">
        <v>268</v>
      </c>
      <c r="D89" s="1359">
        <v>287</v>
      </c>
      <c r="E89" s="1360">
        <v>271</v>
      </c>
      <c r="F89" s="1361">
        <v>7</v>
      </c>
      <c r="G89" s="1358">
        <v>9</v>
      </c>
      <c r="H89" s="1359">
        <v>128</v>
      </c>
      <c r="I89" s="1360">
        <v>120</v>
      </c>
      <c r="J89" s="1361">
        <v>4</v>
      </c>
      <c r="K89" s="1358">
        <v>4</v>
      </c>
      <c r="L89" s="289">
        <f t="shared" si="8"/>
        <v>0.44599303135888502</v>
      </c>
      <c r="M89" s="290">
        <f t="shared" si="9"/>
        <v>0.44280442804428044</v>
      </c>
      <c r="N89" s="290">
        <f t="shared" si="10"/>
        <v>0.5714285714285714</v>
      </c>
      <c r="O89" s="291">
        <f t="shared" si="11"/>
        <v>0.44444444444444442</v>
      </c>
    </row>
    <row r="90" spans="1:15" s="142" customFormat="1" ht="15.75" customHeight="1">
      <c r="A90" s="149" t="s">
        <v>216</v>
      </c>
      <c r="B90" s="189" t="s">
        <v>217</v>
      </c>
      <c r="C90" s="150" t="s">
        <v>264</v>
      </c>
      <c r="D90" s="1359">
        <v>141</v>
      </c>
      <c r="E90" s="1360">
        <v>91</v>
      </c>
      <c r="F90" s="1361">
        <v>46</v>
      </c>
      <c r="G90" s="1358">
        <v>4</v>
      </c>
      <c r="H90" s="1359">
        <v>60</v>
      </c>
      <c r="I90" s="1360">
        <v>22</v>
      </c>
      <c r="J90" s="1361">
        <v>35</v>
      </c>
      <c r="K90" s="1358">
        <v>3</v>
      </c>
      <c r="L90" s="289">
        <f t="shared" si="8"/>
        <v>0.42553191489361702</v>
      </c>
      <c r="M90" s="290">
        <f t="shared" si="9"/>
        <v>0.24175824175824176</v>
      </c>
      <c r="N90" s="290">
        <f t="shared" si="10"/>
        <v>0.76086956521739135</v>
      </c>
      <c r="O90" s="291">
        <f t="shared" si="11"/>
        <v>0.75</v>
      </c>
    </row>
    <row r="91" spans="1:15" s="142" customFormat="1" ht="15.75" customHeight="1">
      <c r="A91" s="149" t="s">
        <v>218</v>
      </c>
      <c r="B91" s="189" t="s">
        <v>219</v>
      </c>
      <c r="C91" s="150" t="s">
        <v>267</v>
      </c>
      <c r="D91" s="1359">
        <v>1494</v>
      </c>
      <c r="E91" s="1360">
        <v>1103</v>
      </c>
      <c r="F91" s="1361">
        <v>244</v>
      </c>
      <c r="G91" s="1358">
        <v>147</v>
      </c>
      <c r="H91" s="1359">
        <v>534</v>
      </c>
      <c r="I91" s="1360">
        <v>332</v>
      </c>
      <c r="J91" s="1361">
        <v>143</v>
      </c>
      <c r="K91" s="1358">
        <v>59</v>
      </c>
      <c r="L91" s="289">
        <f t="shared" si="8"/>
        <v>0.35742971887550201</v>
      </c>
      <c r="M91" s="290">
        <f t="shared" si="9"/>
        <v>0.30099728014505894</v>
      </c>
      <c r="N91" s="290">
        <f t="shared" si="10"/>
        <v>0.58606557377049184</v>
      </c>
      <c r="O91" s="291">
        <f t="shared" si="11"/>
        <v>0.40136054421768708</v>
      </c>
    </row>
    <row r="92" spans="1:15" s="142" customFormat="1" ht="15.75" customHeight="1">
      <c r="A92" s="149" t="s">
        <v>220</v>
      </c>
      <c r="B92" s="189" t="s">
        <v>221</v>
      </c>
      <c r="C92" s="150" t="s">
        <v>267</v>
      </c>
      <c r="D92" s="1359">
        <v>1662</v>
      </c>
      <c r="E92" s="1360">
        <v>1246</v>
      </c>
      <c r="F92" s="1361">
        <v>268</v>
      </c>
      <c r="G92" s="1358">
        <v>148</v>
      </c>
      <c r="H92" s="1359">
        <v>491</v>
      </c>
      <c r="I92" s="1360">
        <v>303</v>
      </c>
      <c r="J92" s="1361">
        <v>148</v>
      </c>
      <c r="K92" s="1358">
        <v>40</v>
      </c>
      <c r="L92" s="289">
        <f t="shared" si="8"/>
        <v>0.29542719614921781</v>
      </c>
      <c r="M92" s="290">
        <f t="shared" si="9"/>
        <v>0.24317817014446227</v>
      </c>
      <c r="N92" s="290">
        <f t="shared" si="10"/>
        <v>0.55223880597014929</v>
      </c>
      <c r="O92" s="291">
        <f t="shared" si="11"/>
        <v>0.27027027027027029</v>
      </c>
    </row>
    <row r="93" spans="1:15" s="142" customFormat="1" ht="15.75" customHeight="1">
      <c r="A93" s="149" t="s">
        <v>224</v>
      </c>
      <c r="B93" s="189" t="s">
        <v>225</v>
      </c>
      <c r="C93" s="150" t="s">
        <v>264</v>
      </c>
      <c r="D93" s="1359">
        <v>64</v>
      </c>
      <c r="E93" s="1360">
        <v>32</v>
      </c>
      <c r="F93" s="1361">
        <v>31</v>
      </c>
      <c r="G93" s="1358">
        <v>1</v>
      </c>
      <c r="H93" s="1359">
        <v>33</v>
      </c>
      <c r="I93" s="1360">
        <v>12</v>
      </c>
      <c r="J93" s="1361">
        <v>20</v>
      </c>
      <c r="K93" s="1358">
        <v>1</v>
      </c>
      <c r="L93" s="289">
        <f t="shared" si="8"/>
        <v>0.515625</v>
      </c>
      <c r="M93" s="290">
        <f t="shared" si="9"/>
        <v>0.375</v>
      </c>
      <c r="N93" s="290">
        <f t="shared" si="10"/>
        <v>0.64516129032258063</v>
      </c>
      <c r="O93" s="291">
        <f t="shared" si="11"/>
        <v>1</v>
      </c>
    </row>
    <row r="94" spans="1:15" s="142" customFormat="1" ht="15.75" customHeight="1">
      <c r="A94" s="149" t="s">
        <v>226</v>
      </c>
      <c r="B94" s="189" t="s">
        <v>227</v>
      </c>
      <c r="C94" s="150" t="s">
        <v>264</v>
      </c>
      <c r="D94" s="1359">
        <v>101</v>
      </c>
      <c r="E94" s="1360">
        <v>42</v>
      </c>
      <c r="F94" s="1361">
        <v>55</v>
      </c>
      <c r="G94" s="1358">
        <v>4</v>
      </c>
      <c r="H94" s="1359">
        <v>63</v>
      </c>
      <c r="I94" s="1360">
        <v>17</v>
      </c>
      <c r="J94" s="1361">
        <v>44</v>
      </c>
      <c r="K94" s="1358">
        <v>2</v>
      </c>
      <c r="L94" s="289">
        <f t="shared" si="8"/>
        <v>0.62376237623762376</v>
      </c>
      <c r="M94" s="290">
        <f t="shared" si="9"/>
        <v>0.40476190476190477</v>
      </c>
      <c r="N94" s="290">
        <f t="shared" si="10"/>
        <v>0.8</v>
      </c>
      <c r="O94" s="291">
        <f t="shared" si="11"/>
        <v>0.5</v>
      </c>
    </row>
    <row r="95" spans="1:15" s="142" customFormat="1" ht="15.75" customHeight="1">
      <c r="A95" s="149" t="s">
        <v>228</v>
      </c>
      <c r="B95" s="189" t="s">
        <v>229</v>
      </c>
      <c r="C95" s="150" t="s">
        <v>268</v>
      </c>
      <c r="D95" s="1359">
        <v>457</v>
      </c>
      <c r="E95" s="1360">
        <v>442</v>
      </c>
      <c r="F95" s="1361">
        <v>10</v>
      </c>
      <c r="G95" s="1358">
        <v>5</v>
      </c>
      <c r="H95" s="1359">
        <v>164</v>
      </c>
      <c r="I95" s="1360">
        <v>156</v>
      </c>
      <c r="J95" s="1361">
        <v>7</v>
      </c>
      <c r="K95" s="1358">
        <v>1</v>
      </c>
      <c r="L95" s="289">
        <f t="shared" si="8"/>
        <v>0.35886214442013131</v>
      </c>
      <c r="M95" s="290">
        <f t="shared" si="9"/>
        <v>0.35294117647058826</v>
      </c>
      <c r="N95" s="290">
        <f t="shared" si="10"/>
        <v>0.7</v>
      </c>
      <c r="O95" s="291">
        <f t="shared" si="11"/>
        <v>0.2</v>
      </c>
    </row>
    <row r="96" spans="1:15" s="142" customFormat="1" ht="15.75" customHeight="1">
      <c r="A96" s="149" t="s">
        <v>232</v>
      </c>
      <c r="B96" s="189" t="s">
        <v>233</v>
      </c>
      <c r="C96" s="150" t="s">
        <v>267</v>
      </c>
      <c r="D96" s="1359">
        <v>460</v>
      </c>
      <c r="E96" s="1360">
        <v>420</v>
      </c>
      <c r="F96" s="1361">
        <v>26</v>
      </c>
      <c r="G96" s="1358">
        <v>14</v>
      </c>
      <c r="H96" s="1359">
        <v>191</v>
      </c>
      <c r="I96" s="1360">
        <v>167</v>
      </c>
      <c r="J96" s="1361">
        <v>18</v>
      </c>
      <c r="K96" s="1358">
        <v>6</v>
      </c>
      <c r="L96" s="289">
        <f t="shared" si="8"/>
        <v>0.41521739130434782</v>
      </c>
      <c r="M96" s="290">
        <f t="shared" si="9"/>
        <v>0.39761904761904759</v>
      </c>
      <c r="N96" s="290">
        <f t="shared" si="10"/>
        <v>0.69230769230769229</v>
      </c>
      <c r="O96" s="291">
        <f t="shared" si="11"/>
        <v>0.42857142857142855</v>
      </c>
    </row>
    <row r="97" spans="1:15" s="142" customFormat="1" ht="15.75" customHeight="1">
      <c r="A97" s="149" t="s">
        <v>234</v>
      </c>
      <c r="B97" s="189" t="s">
        <v>235</v>
      </c>
      <c r="C97" s="150" t="s">
        <v>268</v>
      </c>
      <c r="D97" s="1359">
        <v>513</v>
      </c>
      <c r="E97" s="1360">
        <v>496</v>
      </c>
      <c r="F97" s="1361">
        <v>9</v>
      </c>
      <c r="G97" s="1358">
        <v>8</v>
      </c>
      <c r="H97" s="1359">
        <v>186</v>
      </c>
      <c r="I97" s="1360">
        <v>179</v>
      </c>
      <c r="J97" s="1361">
        <v>7</v>
      </c>
      <c r="K97" s="1358">
        <v>0</v>
      </c>
      <c r="L97" s="289">
        <f t="shared" si="8"/>
        <v>0.36257309941520466</v>
      </c>
      <c r="M97" s="290">
        <f t="shared" si="9"/>
        <v>0.36088709677419356</v>
      </c>
      <c r="N97" s="290">
        <f t="shared" si="10"/>
        <v>0.77777777777777779</v>
      </c>
      <c r="O97" s="291">
        <f t="shared" si="11"/>
        <v>0</v>
      </c>
    </row>
    <row r="98" spans="1:15" s="142" customFormat="1" ht="15.75" customHeight="1">
      <c r="A98" s="149" t="s">
        <v>236</v>
      </c>
      <c r="B98" s="189" t="s">
        <v>237</v>
      </c>
      <c r="C98" s="150" t="s">
        <v>266</v>
      </c>
      <c r="D98" s="1359">
        <v>192</v>
      </c>
      <c r="E98" s="1360">
        <v>128</v>
      </c>
      <c r="F98" s="1361">
        <v>57</v>
      </c>
      <c r="G98" s="1358">
        <v>7</v>
      </c>
      <c r="H98" s="1359">
        <v>100</v>
      </c>
      <c r="I98" s="1360">
        <v>50</v>
      </c>
      <c r="J98" s="1361">
        <v>46</v>
      </c>
      <c r="K98" s="1358">
        <v>4</v>
      </c>
      <c r="L98" s="289">
        <f t="shared" si="8"/>
        <v>0.52083333333333337</v>
      </c>
      <c r="M98" s="290">
        <f t="shared" si="9"/>
        <v>0.390625</v>
      </c>
      <c r="N98" s="290">
        <f t="shared" si="10"/>
        <v>0.80701754385964908</v>
      </c>
      <c r="O98" s="291">
        <f t="shared" si="11"/>
        <v>0.5714285714285714</v>
      </c>
    </row>
    <row r="99" spans="1:15" s="142" customFormat="1" ht="15.75" customHeight="1">
      <c r="A99" s="149" t="s">
        <v>242</v>
      </c>
      <c r="B99" s="189" t="s">
        <v>243</v>
      </c>
      <c r="C99" s="150" t="s">
        <v>268</v>
      </c>
      <c r="D99" s="1359">
        <v>419</v>
      </c>
      <c r="E99" s="1360">
        <v>410</v>
      </c>
      <c r="F99" s="1361">
        <v>8</v>
      </c>
      <c r="G99" s="1358">
        <v>1</v>
      </c>
      <c r="H99" s="1359">
        <v>183</v>
      </c>
      <c r="I99" s="1360">
        <v>176</v>
      </c>
      <c r="J99" s="1361">
        <v>7</v>
      </c>
      <c r="K99" s="1358">
        <v>0</v>
      </c>
      <c r="L99" s="289">
        <f t="shared" si="8"/>
        <v>0.43675417661097854</v>
      </c>
      <c r="M99" s="290">
        <f t="shared" si="9"/>
        <v>0.42926829268292682</v>
      </c>
      <c r="N99" s="290">
        <f t="shared" si="10"/>
        <v>0.875</v>
      </c>
      <c r="O99" s="291">
        <f t="shared" si="11"/>
        <v>0</v>
      </c>
    </row>
    <row r="100" spans="1:15" s="142" customFormat="1" ht="15.75" customHeight="1">
      <c r="A100" s="149" t="s">
        <v>244</v>
      </c>
      <c r="B100" s="189" t="s">
        <v>245</v>
      </c>
      <c r="C100" s="150" t="s">
        <v>268</v>
      </c>
      <c r="D100" s="1359">
        <v>293</v>
      </c>
      <c r="E100" s="1360">
        <v>279</v>
      </c>
      <c r="F100" s="1361">
        <v>10</v>
      </c>
      <c r="G100" s="1358">
        <v>4</v>
      </c>
      <c r="H100" s="1359">
        <v>134</v>
      </c>
      <c r="I100" s="1360">
        <v>125</v>
      </c>
      <c r="J100" s="1361">
        <v>7</v>
      </c>
      <c r="K100" s="1358">
        <v>2</v>
      </c>
      <c r="L100" s="289">
        <f t="shared" si="8"/>
        <v>0.45733788395904434</v>
      </c>
      <c r="M100" s="290">
        <f t="shared" si="9"/>
        <v>0.44802867383512546</v>
      </c>
      <c r="N100" s="290">
        <f t="shared" si="10"/>
        <v>0.7</v>
      </c>
      <c r="O100" s="291">
        <f t="shared" si="11"/>
        <v>0.5</v>
      </c>
    </row>
    <row r="101" spans="1:15" s="142" customFormat="1" ht="15.75" customHeight="1">
      <c r="A101" s="149" t="s">
        <v>246</v>
      </c>
      <c r="B101" s="189" t="s">
        <v>247</v>
      </c>
      <c r="C101" s="150" t="s">
        <v>264</v>
      </c>
      <c r="D101" s="1359">
        <v>658</v>
      </c>
      <c r="E101" s="1360">
        <v>508</v>
      </c>
      <c r="F101" s="1361">
        <v>81</v>
      </c>
      <c r="G101" s="1358">
        <v>69</v>
      </c>
      <c r="H101" s="1359">
        <v>142</v>
      </c>
      <c r="I101" s="1360">
        <v>93</v>
      </c>
      <c r="J101" s="1361">
        <v>37</v>
      </c>
      <c r="K101" s="1358">
        <v>12</v>
      </c>
      <c r="L101" s="289">
        <f t="shared" si="8"/>
        <v>0.21580547112462006</v>
      </c>
      <c r="M101" s="290">
        <f t="shared" si="9"/>
        <v>0.18307086614173229</v>
      </c>
      <c r="N101" s="290">
        <f t="shared" si="10"/>
        <v>0.4567901234567901</v>
      </c>
      <c r="O101" s="291">
        <f t="shared" si="11"/>
        <v>0.17391304347826086</v>
      </c>
    </row>
    <row r="102" spans="1:15" s="142" customFormat="1" ht="15.75" customHeight="1">
      <c r="A102" s="149" t="s">
        <v>14</v>
      </c>
      <c r="B102" s="189" t="s">
        <v>15</v>
      </c>
      <c r="C102" s="150" t="s">
        <v>267</v>
      </c>
      <c r="D102" s="1359">
        <v>2763</v>
      </c>
      <c r="E102" s="1360">
        <v>1673</v>
      </c>
      <c r="F102" s="1361">
        <v>539</v>
      </c>
      <c r="G102" s="1358">
        <v>551</v>
      </c>
      <c r="H102" s="1359">
        <v>677</v>
      </c>
      <c r="I102" s="1360">
        <v>209</v>
      </c>
      <c r="J102" s="1361">
        <v>273</v>
      </c>
      <c r="K102" s="1358">
        <v>195</v>
      </c>
      <c r="L102" s="289">
        <f t="shared" si="8"/>
        <v>0.24502352515381831</v>
      </c>
      <c r="M102" s="290">
        <f t="shared" si="9"/>
        <v>0.12492528392109982</v>
      </c>
      <c r="N102" s="290">
        <f t="shared" si="10"/>
        <v>0.50649350649350644</v>
      </c>
      <c r="O102" s="291">
        <f t="shared" si="11"/>
        <v>0.35390199637023595</v>
      </c>
    </row>
    <row r="103" spans="1:15" s="142" customFormat="1" ht="15.75" customHeight="1">
      <c r="A103" s="149" t="s">
        <v>34</v>
      </c>
      <c r="B103" s="189" t="s">
        <v>35</v>
      </c>
      <c r="C103" s="150" t="s">
        <v>268</v>
      </c>
      <c r="D103" s="1359">
        <v>173</v>
      </c>
      <c r="E103" s="1360">
        <v>163</v>
      </c>
      <c r="F103" s="1361">
        <v>7</v>
      </c>
      <c r="G103" s="1358">
        <v>3</v>
      </c>
      <c r="H103" s="1359">
        <v>96</v>
      </c>
      <c r="I103" s="1360">
        <v>89</v>
      </c>
      <c r="J103" s="1361">
        <v>6</v>
      </c>
      <c r="K103" s="1358">
        <v>1</v>
      </c>
      <c r="L103" s="289">
        <f t="shared" ref="L103:L126" si="12">IF(D103=0,"NA",(H103/D103))</f>
        <v>0.55491329479768781</v>
      </c>
      <c r="M103" s="290">
        <f t="shared" ref="M103:M126" si="13">IF(E103=0,"NA",(I103/E103))</f>
        <v>0.54601226993865026</v>
      </c>
      <c r="N103" s="290">
        <f t="shared" ref="N103:N126" si="14">IF(F103=0,"NA",(J103/F103))</f>
        <v>0.8571428571428571</v>
      </c>
      <c r="O103" s="291">
        <f t="shared" ref="O103:O126" si="15">IF(G103=0,"NA",(K103/G103))</f>
        <v>0.33333333333333331</v>
      </c>
    </row>
    <row r="104" spans="1:15" s="142" customFormat="1" ht="15.75" customHeight="1">
      <c r="A104" s="149" t="s">
        <v>52</v>
      </c>
      <c r="B104" s="189" t="s">
        <v>53</v>
      </c>
      <c r="C104" s="150" t="s">
        <v>265</v>
      </c>
      <c r="D104" s="1359">
        <v>575</v>
      </c>
      <c r="E104" s="1360">
        <v>382</v>
      </c>
      <c r="F104" s="1361">
        <v>126</v>
      </c>
      <c r="G104" s="1358">
        <v>67</v>
      </c>
      <c r="H104" s="1359">
        <v>192</v>
      </c>
      <c r="I104" s="1360">
        <v>79</v>
      </c>
      <c r="J104" s="1361">
        <v>103</v>
      </c>
      <c r="K104" s="1358">
        <v>10</v>
      </c>
      <c r="L104" s="289">
        <f t="shared" si="12"/>
        <v>0.3339130434782609</v>
      </c>
      <c r="M104" s="290">
        <f t="shared" si="13"/>
        <v>0.20680628272251309</v>
      </c>
      <c r="N104" s="290">
        <f t="shared" si="14"/>
        <v>0.81746031746031744</v>
      </c>
      <c r="O104" s="291">
        <f t="shared" si="15"/>
        <v>0.14925373134328357</v>
      </c>
    </row>
    <row r="105" spans="1:15" s="142" customFormat="1" ht="15.75" customHeight="1">
      <c r="A105" s="149" t="s">
        <v>54</v>
      </c>
      <c r="B105" s="189" t="s">
        <v>55</v>
      </c>
      <c r="C105" s="150" t="s">
        <v>264</v>
      </c>
      <c r="D105" s="1359">
        <v>2805</v>
      </c>
      <c r="E105" s="1360">
        <v>1704</v>
      </c>
      <c r="F105" s="1361">
        <v>914</v>
      </c>
      <c r="G105" s="1358">
        <v>187</v>
      </c>
      <c r="H105" s="1359">
        <v>1053</v>
      </c>
      <c r="I105" s="1360">
        <v>405</v>
      </c>
      <c r="J105" s="1361">
        <v>599</v>
      </c>
      <c r="K105" s="1358">
        <v>49</v>
      </c>
      <c r="L105" s="289">
        <f t="shared" si="12"/>
        <v>0.3754010695187166</v>
      </c>
      <c r="M105" s="290">
        <f t="shared" si="13"/>
        <v>0.23767605633802816</v>
      </c>
      <c r="N105" s="290">
        <f t="shared" si="14"/>
        <v>0.65536105032822756</v>
      </c>
      <c r="O105" s="291">
        <f t="shared" si="15"/>
        <v>0.26203208556149732</v>
      </c>
    </row>
    <row r="106" spans="1:15" s="142" customFormat="1" ht="15.75" customHeight="1">
      <c r="A106" s="149" t="s">
        <v>66</v>
      </c>
      <c r="B106" s="189" t="s">
        <v>67</v>
      </c>
      <c r="C106" s="150" t="s">
        <v>265</v>
      </c>
      <c r="D106" s="1359">
        <v>601</v>
      </c>
      <c r="E106" s="1360">
        <v>228</v>
      </c>
      <c r="F106" s="1361">
        <v>344</v>
      </c>
      <c r="G106" s="1358">
        <v>29</v>
      </c>
      <c r="H106" s="1359">
        <v>385</v>
      </c>
      <c r="I106" s="1360">
        <v>101</v>
      </c>
      <c r="J106" s="1361">
        <v>272</v>
      </c>
      <c r="K106" s="1358">
        <v>12</v>
      </c>
      <c r="L106" s="289">
        <f t="shared" si="12"/>
        <v>0.6405990016638935</v>
      </c>
      <c r="M106" s="290">
        <f t="shared" si="13"/>
        <v>0.44298245614035087</v>
      </c>
      <c r="N106" s="290">
        <f t="shared" si="14"/>
        <v>0.79069767441860461</v>
      </c>
      <c r="O106" s="291">
        <f t="shared" si="15"/>
        <v>0.41379310344827586</v>
      </c>
    </row>
    <row r="107" spans="1:15" s="142" customFormat="1" ht="15.75" customHeight="1">
      <c r="A107" s="149" t="s">
        <v>82</v>
      </c>
      <c r="B107" s="189" t="s">
        <v>83</v>
      </c>
      <c r="C107" s="150" t="s">
        <v>264</v>
      </c>
      <c r="D107" s="1359">
        <v>154</v>
      </c>
      <c r="E107" s="1360">
        <v>52</v>
      </c>
      <c r="F107" s="1361">
        <v>96</v>
      </c>
      <c r="G107" s="1358">
        <v>6</v>
      </c>
      <c r="H107" s="1359">
        <v>93</v>
      </c>
      <c r="I107" s="1360">
        <v>11</v>
      </c>
      <c r="J107" s="1361">
        <v>80</v>
      </c>
      <c r="K107" s="1358">
        <v>2</v>
      </c>
      <c r="L107" s="289">
        <f t="shared" si="12"/>
        <v>0.60389610389610393</v>
      </c>
      <c r="M107" s="290">
        <f t="shared" si="13"/>
        <v>0.21153846153846154</v>
      </c>
      <c r="N107" s="290">
        <f t="shared" si="14"/>
        <v>0.83333333333333337</v>
      </c>
      <c r="O107" s="291">
        <f t="shared" si="15"/>
        <v>0.33333333333333331</v>
      </c>
    </row>
    <row r="108" spans="1:15" s="142" customFormat="1" ht="15.75" customHeight="1">
      <c r="A108" s="149" t="s">
        <v>88</v>
      </c>
      <c r="B108" s="189" t="s">
        <v>89</v>
      </c>
      <c r="C108" s="150" t="s">
        <v>267</v>
      </c>
      <c r="D108" s="1359">
        <v>425</v>
      </c>
      <c r="E108" s="1360">
        <v>274</v>
      </c>
      <c r="F108" s="1361">
        <v>112</v>
      </c>
      <c r="G108" s="1358">
        <v>39</v>
      </c>
      <c r="H108" s="1359">
        <v>203</v>
      </c>
      <c r="I108" s="1360">
        <v>108</v>
      </c>
      <c r="J108" s="1361">
        <v>77</v>
      </c>
      <c r="K108" s="1358">
        <v>18</v>
      </c>
      <c r="L108" s="289">
        <f t="shared" si="12"/>
        <v>0.47764705882352942</v>
      </c>
      <c r="M108" s="290">
        <f t="shared" si="13"/>
        <v>0.39416058394160586</v>
      </c>
      <c r="N108" s="290">
        <f t="shared" si="14"/>
        <v>0.6875</v>
      </c>
      <c r="O108" s="291">
        <f t="shared" si="15"/>
        <v>0.46153846153846156</v>
      </c>
    </row>
    <row r="109" spans="1:15" s="142" customFormat="1" ht="15.75" customHeight="1">
      <c r="A109" s="149" t="s">
        <v>90</v>
      </c>
      <c r="B109" s="189" t="s">
        <v>91</v>
      </c>
      <c r="C109" s="150" t="s">
        <v>268</v>
      </c>
      <c r="D109" s="1359">
        <v>122</v>
      </c>
      <c r="E109" s="1360">
        <v>91</v>
      </c>
      <c r="F109" s="1361">
        <v>6</v>
      </c>
      <c r="G109" s="1358">
        <v>25</v>
      </c>
      <c r="H109" s="1359">
        <v>64</v>
      </c>
      <c r="I109" s="1360">
        <v>46</v>
      </c>
      <c r="J109" s="1361">
        <v>4</v>
      </c>
      <c r="K109" s="1358">
        <v>14</v>
      </c>
      <c r="L109" s="289">
        <f t="shared" si="12"/>
        <v>0.52459016393442626</v>
      </c>
      <c r="M109" s="290">
        <f t="shared" si="13"/>
        <v>0.50549450549450547</v>
      </c>
      <c r="N109" s="290">
        <f t="shared" si="14"/>
        <v>0.66666666666666663</v>
      </c>
      <c r="O109" s="291">
        <f t="shared" si="15"/>
        <v>0.56000000000000005</v>
      </c>
    </row>
    <row r="110" spans="1:15" s="142" customFormat="1" ht="15.75" customHeight="1">
      <c r="A110" s="149" t="s">
        <v>106</v>
      </c>
      <c r="B110" s="189" t="s">
        <v>107</v>
      </c>
      <c r="C110" s="150" t="s">
        <v>264</v>
      </c>
      <c r="D110" s="1359">
        <v>1825</v>
      </c>
      <c r="E110" s="1360">
        <v>784</v>
      </c>
      <c r="F110" s="1361">
        <v>877</v>
      </c>
      <c r="G110" s="1358">
        <v>164</v>
      </c>
      <c r="H110" s="1359">
        <v>861</v>
      </c>
      <c r="I110" s="1360">
        <v>226</v>
      </c>
      <c r="J110" s="1361">
        <v>582</v>
      </c>
      <c r="K110" s="1358">
        <v>53</v>
      </c>
      <c r="L110" s="289">
        <f t="shared" si="12"/>
        <v>0.47178082191780824</v>
      </c>
      <c r="M110" s="290">
        <f t="shared" si="13"/>
        <v>0.28826530612244899</v>
      </c>
      <c r="N110" s="290">
        <f t="shared" si="14"/>
        <v>0.66362599771949826</v>
      </c>
      <c r="O110" s="291">
        <f t="shared" si="15"/>
        <v>0.32317073170731708</v>
      </c>
    </row>
    <row r="111" spans="1:15" s="142" customFormat="1" ht="15.75" customHeight="1">
      <c r="A111" s="149" t="s">
        <v>116</v>
      </c>
      <c r="B111" s="189" t="s">
        <v>117</v>
      </c>
      <c r="C111" s="150" t="s">
        <v>266</v>
      </c>
      <c r="D111" s="1359">
        <v>367</v>
      </c>
      <c r="E111" s="1360">
        <v>185</v>
      </c>
      <c r="F111" s="1361">
        <v>159</v>
      </c>
      <c r="G111" s="1358">
        <v>23</v>
      </c>
      <c r="H111" s="1359">
        <v>232</v>
      </c>
      <c r="I111" s="1360">
        <v>91</v>
      </c>
      <c r="J111" s="1361">
        <v>129</v>
      </c>
      <c r="K111" s="1358">
        <v>12</v>
      </c>
      <c r="L111" s="289">
        <f t="shared" si="12"/>
        <v>0.63215258855585832</v>
      </c>
      <c r="M111" s="290">
        <f t="shared" si="13"/>
        <v>0.49189189189189192</v>
      </c>
      <c r="N111" s="290">
        <f t="shared" si="14"/>
        <v>0.81132075471698117</v>
      </c>
      <c r="O111" s="291">
        <f t="shared" si="15"/>
        <v>0.52173913043478259</v>
      </c>
    </row>
    <row r="112" spans="1:15" s="142" customFormat="1" ht="15.75" customHeight="1">
      <c r="A112" s="149" t="s">
        <v>138</v>
      </c>
      <c r="B112" s="189" t="s">
        <v>139</v>
      </c>
      <c r="C112" s="150" t="s">
        <v>265</v>
      </c>
      <c r="D112" s="1359">
        <v>1062</v>
      </c>
      <c r="E112" s="1360">
        <v>670</v>
      </c>
      <c r="F112" s="1361">
        <v>325</v>
      </c>
      <c r="G112" s="1358">
        <v>67</v>
      </c>
      <c r="H112" s="1359">
        <v>444</v>
      </c>
      <c r="I112" s="1361">
        <v>178</v>
      </c>
      <c r="J112" s="1361">
        <v>255</v>
      </c>
      <c r="K112" s="1358">
        <v>11</v>
      </c>
      <c r="L112" s="289">
        <f t="shared" si="12"/>
        <v>0.41807909604519772</v>
      </c>
      <c r="M112" s="290">
        <f t="shared" si="13"/>
        <v>0.2656716417910448</v>
      </c>
      <c r="N112" s="290">
        <f t="shared" si="14"/>
        <v>0.7846153846153846</v>
      </c>
      <c r="O112" s="291">
        <f t="shared" si="15"/>
        <v>0.16417910447761194</v>
      </c>
    </row>
    <row r="113" spans="1:15" s="142" customFormat="1" ht="15.75" customHeight="1">
      <c r="A113" s="149" t="s">
        <v>142</v>
      </c>
      <c r="B113" s="189" t="s">
        <v>273</v>
      </c>
      <c r="C113" s="150" t="s">
        <v>267</v>
      </c>
      <c r="D113" s="1359">
        <v>755</v>
      </c>
      <c r="E113" s="1360">
        <v>551</v>
      </c>
      <c r="F113" s="1361">
        <v>113</v>
      </c>
      <c r="G113" s="1358">
        <v>91</v>
      </c>
      <c r="H113" s="1359">
        <v>313</v>
      </c>
      <c r="I113" s="1360">
        <v>212</v>
      </c>
      <c r="J113" s="1361">
        <v>63</v>
      </c>
      <c r="K113" s="1358">
        <v>38</v>
      </c>
      <c r="L113" s="289">
        <f t="shared" si="12"/>
        <v>0.41456953642384103</v>
      </c>
      <c r="M113" s="290">
        <f t="shared" si="13"/>
        <v>0.38475499092558985</v>
      </c>
      <c r="N113" s="290">
        <f t="shared" si="14"/>
        <v>0.55752212389380529</v>
      </c>
      <c r="O113" s="291">
        <f t="shared" si="15"/>
        <v>0.4175824175824176</v>
      </c>
    </row>
    <row r="114" spans="1:15" s="142" customFormat="1" ht="15.75" customHeight="1">
      <c r="A114" s="149" t="s">
        <v>144</v>
      </c>
      <c r="B114" s="189" t="s">
        <v>145</v>
      </c>
      <c r="C114" s="150" t="s">
        <v>267</v>
      </c>
      <c r="D114" s="1359">
        <v>20</v>
      </c>
      <c r="E114" s="1360">
        <v>12</v>
      </c>
      <c r="F114" s="1361">
        <v>0</v>
      </c>
      <c r="G114" s="1358">
        <v>8</v>
      </c>
      <c r="H114" s="1359">
        <v>6</v>
      </c>
      <c r="I114" s="1360">
        <v>3</v>
      </c>
      <c r="J114" s="1361">
        <v>0</v>
      </c>
      <c r="K114" s="1358">
        <v>3</v>
      </c>
      <c r="L114" s="289">
        <f t="shared" si="12"/>
        <v>0.3</v>
      </c>
      <c r="M114" s="290">
        <f t="shared" si="13"/>
        <v>0.25</v>
      </c>
      <c r="N114" s="290" t="str">
        <f t="shared" si="14"/>
        <v>NA</v>
      </c>
      <c r="O114" s="291">
        <f t="shared" si="15"/>
        <v>0.375</v>
      </c>
    </row>
    <row r="115" spans="1:15" s="142" customFormat="1" ht="15.75" customHeight="1">
      <c r="A115" s="149" t="s">
        <v>158</v>
      </c>
      <c r="B115" s="189" t="s">
        <v>159</v>
      </c>
      <c r="C115" s="150" t="s">
        <v>264</v>
      </c>
      <c r="D115" s="1359">
        <v>2905</v>
      </c>
      <c r="E115" s="1360">
        <v>1163</v>
      </c>
      <c r="F115" s="1361">
        <v>1379</v>
      </c>
      <c r="G115" s="1358">
        <v>363</v>
      </c>
      <c r="H115" s="1359">
        <v>1463</v>
      </c>
      <c r="I115" s="1360">
        <v>310</v>
      </c>
      <c r="J115" s="1361">
        <v>1000</v>
      </c>
      <c r="K115" s="1358">
        <v>153</v>
      </c>
      <c r="L115" s="289">
        <f t="shared" si="12"/>
        <v>0.5036144578313253</v>
      </c>
      <c r="M115" s="290">
        <f t="shared" si="13"/>
        <v>0.26655202063628547</v>
      </c>
      <c r="N115" s="290">
        <f t="shared" si="14"/>
        <v>0.72516316171138506</v>
      </c>
      <c r="O115" s="291">
        <f t="shared" si="15"/>
        <v>0.42148760330578511</v>
      </c>
    </row>
    <row r="116" spans="1:15" s="142" customFormat="1" ht="15.75" customHeight="1">
      <c r="A116" s="149" t="s">
        <v>160</v>
      </c>
      <c r="B116" s="189" t="s">
        <v>161</v>
      </c>
      <c r="C116" s="150" t="s">
        <v>264</v>
      </c>
      <c r="D116" s="1359">
        <v>3773</v>
      </c>
      <c r="E116" s="1360">
        <v>1640</v>
      </c>
      <c r="F116" s="1361">
        <v>1808</v>
      </c>
      <c r="G116" s="1358">
        <v>325</v>
      </c>
      <c r="H116" s="1359">
        <v>1908</v>
      </c>
      <c r="I116" s="1360">
        <v>428</v>
      </c>
      <c r="J116" s="1361">
        <v>1349</v>
      </c>
      <c r="K116" s="1358">
        <v>131</v>
      </c>
      <c r="L116" s="289">
        <f t="shared" si="12"/>
        <v>0.50569838324940364</v>
      </c>
      <c r="M116" s="290">
        <f t="shared" si="13"/>
        <v>0.26097560975609757</v>
      </c>
      <c r="N116" s="290">
        <f t="shared" si="14"/>
        <v>0.7461283185840708</v>
      </c>
      <c r="O116" s="291">
        <f t="shared" si="15"/>
        <v>0.40307692307692305</v>
      </c>
    </row>
    <row r="117" spans="1:15" s="142" customFormat="1" ht="15.75" customHeight="1">
      <c r="A117" s="149" t="s">
        <v>166</v>
      </c>
      <c r="B117" s="189" t="s">
        <v>167</v>
      </c>
      <c r="C117" s="150" t="s">
        <v>268</v>
      </c>
      <c r="D117" s="1359">
        <v>60</v>
      </c>
      <c r="E117" s="1360">
        <v>55</v>
      </c>
      <c r="F117" s="1361">
        <v>5</v>
      </c>
      <c r="G117" s="1358">
        <v>0</v>
      </c>
      <c r="H117" s="1359">
        <v>35</v>
      </c>
      <c r="I117" s="1360">
        <v>31</v>
      </c>
      <c r="J117" s="1361">
        <v>4</v>
      </c>
      <c r="K117" s="1358">
        <v>0</v>
      </c>
      <c r="L117" s="289">
        <f t="shared" si="12"/>
        <v>0.58333333333333337</v>
      </c>
      <c r="M117" s="290">
        <f t="shared" si="13"/>
        <v>0.5636363636363636</v>
      </c>
      <c r="N117" s="290">
        <f t="shared" si="14"/>
        <v>0.8</v>
      </c>
      <c r="O117" s="291" t="str">
        <f t="shared" si="15"/>
        <v>NA</v>
      </c>
    </row>
    <row r="118" spans="1:15" s="142" customFormat="1" ht="15.75" customHeight="1">
      <c r="A118" s="149" t="s">
        <v>176</v>
      </c>
      <c r="B118" s="189" t="s">
        <v>177</v>
      </c>
      <c r="C118" s="150" t="s">
        <v>266</v>
      </c>
      <c r="D118" s="1359">
        <v>612</v>
      </c>
      <c r="E118" s="1360">
        <v>142</v>
      </c>
      <c r="F118" s="1361">
        <v>437</v>
      </c>
      <c r="G118" s="1358">
        <v>33</v>
      </c>
      <c r="H118" s="1359">
        <v>471</v>
      </c>
      <c r="I118" s="1360">
        <v>71</v>
      </c>
      <c r="J118" s="1361">
        <v>377</v>
      </c>
      <c r="K118" s="1358">
        <v>23</v>
      </c>
      <c r="L118" s="289">
        <f t="shared" si="12"/>
        <v>0.76960784313725494</v>
      </c>
      <c r="M118" s="290">
        <f t="shared" si="13"/>
        <v>0.5</v>
      </c>
      <c r="N118" s="290">
        <f t="shared" si="14"/>
        <v>0.86270022883295194</v>
      </c>
      <c r="O118" s="291">
        <f t="shared" si="15"/>
        <v>0.69696969696969702</v>
      </c>
    </row>
    <row r="119" spans="1:15" s="142" customFormat="1" ht="15.75" customHeight="1">
      <c r="A119" s="149" t="s">
        <v>180</v>
      </c>
      <c r="B119" s="189" t="s">
        <v>181</v>
      </c>
      <c r="C119" s="150" t="s">
        <v>264</v>
      </c>
      <c r="D119" s="1359">
        <v>1534</v>
      </c>
      <c r="E119" s="1360">
        <v>596</v>
      </c>
      <c r="F119" s="1361">
        <v>874</v>
      </c>
      <c r="G119" s="1358">
        <v>64</v>
      </c>
      <c r="H119" s="1359">
        <v>835</v>
      </c>
      <c r="I119" s="1360">
        <v>178</v>
      </c>
      <c r="J119" s="1361">
        <v>640</v>
      </c>
      <c r="K119" s="1358">
        <v>17</v>
      </c>
      <c r="L119" s="289">
        <f t="shared" si="12"/>
        <v>0.54432855280312908</v>
      </c>
      <c r="M119" s="290">
        <f t="shared" si="13"/>
        <v>0.29865771812080538</v>
      </c>
      <c r="N119" s="290">
        <f t="shared" si="14"/>
        <v>0.73226544622425627</v>
      </c>
      <c r="O119" s="291">
        <f t="shared" si="15"/>
        <v>0.265625</v>
      </c>
    </row>
    <row r="120" spans="1:15" s="142" customFormat="1" ht="15.75" customHeight="1">
      <c r="A120" s="149" t="s">
        <v>192</v>
      </c>
      <c r="B120" s="189" t="s">
        <v>193</v>
      </c>
      <c r="C120" s="150" t="s">
        <v>268</v>
      </c>
      <c r="D120" s="1359">
        <v>143</v>
      </c>
      <c r="E120" s="1360">
        <v>126</v>
      </c>
      <c r="F120" s="1361">
        <v>13</v>
      </c>
      <c r="G120" s="1358">
        <v>4</v>
      </c>
      <c r="H120" s="1359">
        <v>67</v>
      </c>
      <c r="I120" s="1360">
        <v>55</v>
      </c>
      <c r="J120" s="1361">
        <v>11</v>
      </c>
      <c r="K120" s="1358">
        <v>1</v>
      </c>
      <c r="L120" s="289">
        <f t="shared" si="12"/>
        <v>0.46853146853146854</v>
      </c>
      <c r="M120" s="290">
        <f t="shared" si="13"/>
        <v>0.43650793650793651</v>
      </c>
      <c r="N120" s="290">
        <f t="shared" si="14"/>
        <v>0.84615384615384615</v>
      </c>
      <c r="O120" s="291">
        <f t="shared" si="15"/>
        <v>0.25</v>
      </c>
    </row>
    <row r="121" spans="1:15" s="142" customFormat="1" ht="15.75" customHeight="1">
      <c r="A121" s="149" t="s">
        <v>196</v>
      </c>
      <c r="B121" s="189" t="s">
        <v>197</v>
      </c>
      <c r="C121" s="150" t="s">
        <v>266</v>
      </c>
      <c r="D121" s="1359">
        <v>2939</v>
      </c>
      <c r="E121" s="1360">
        <v>951</v>
      </c>
      <c r="F121" s="1361">
        <v>1711</v>
      </c>
      <c r="G121" s="1358">
        <v>277</v>
      </c>
      <c r="H121" s="1359">
        <v>1885</v>
      </c>
      <c r="I121" s="1360">
        <v>247</v>
      </c>
      <c r="J121" s="1361">
        <v>1462</v>
      </c>
      <c r="K121" s="1358">
        <v>176</v>
      </c>
      <c r="L121" s="289">
        <f t="shared" si="12"/>
        <v>0.64137461721674038</v>
      </c>
      <c r="M121" s="290">
        <f t="shared" si="13"/>
        <v>0.25972660357518401</v>
      </c>
      <c r="N121" s="290">
        <f t="shared" si="14"/>
        <v>0.85447106954997076</v>
      </c>
      <c r="O121" s="291">
        <f t="shared" si="15"/>
        <v>0.63537906137184119</v>
      </c>
    </row>
    <row r="122" spans="1:15" s="142" customFormat="1" ht="15.75" customHeight="1">
      <c r="A122" s="149" t="s">
        <v>200</v>
      </c>
      <c r="B122" s="189" t="s">
        <v>201</v>
      </c>
      <c r="C122" s="150" t="s">
        <v>265</v>
      </c>
      <c r="D122" s="1359">
        <v>1492</v>
      </c>
      <c r="E122" s="1360">
        <v>972</v>
      </c>
      <c r="F122" s="1361">
        <v>449</v>
      </c>
      <c r="G122" s="1358">
        <v>71</v>
      </c>
      <c r="H122" s="1359">
        <v>843</v>
      </c>
      <c r="I122" s="1360">
        <v>460</v>
      </c>
      <c r="J122" s="1361">
        <v>365</v>
      </c>
      <c r="K122" s="1358">
        <v>18</v>
      </c>
      <c r="L122" s="289">
        <f t="shared" si="12"/>
        <v>0.56501340482573725</v>
      </c>
      <c r="M122" s="290">
        <f t="shared" si="13"/>
        <v>0.47325102880658437</v>
      </c>
      <c r="N122" s="290">
        <f t="shared" si="14"/>
        <v>0.81291759465478841</v>
      </c>
      <c r="O122" s="291">
        <f t="shared" si="15"/>
        <v>0.25352112676056338</v>
      </c>
    </row>
    <row r="123" spans="1:15" s="142" customFormat="1" ht="15.75" customHeight="1">
      <c r="A123" s="149" t="s">
        <v>222</v>
      </c>
      <c r="B123" s="189" t="s">
        <v>223</v>
      </c>
      <c r="C123" s="150" t="s">
        <v>264</v>
      </c>
      <c r="D123" s="1359">
        <v>1087</v>
      </c>
      <c r="E123" s="1360">
        <v>569</v>
      </c>
      <c r="F123" s="1361">
        <v>466</v>
      </c>
      <c r="G123" s="1358">
        <v>52</v>
      </c>
      <c r="H123" s="1359">
        <v>447</v>
      </c>
      <c r="I123" s="1360">
        <v>128</v>
      </c>
      <c r="J123" s="1361">
        <v>308</v>
      </c>
      <c r="K123" s="1358">
        <v>11</v>
      </c>
      <c r="L123" s="289">
        <f t="shared" si="12"/>
        <v>0.41122355105795766</v>
      </c>
      <c r="M123" s="290">
        <f t="shared" si="13"/>
        <v>0.22495606326889278</v>
      </c>
      <c r="N123" s="290">
        <f t="shared" si="14"/>
        <v>0.66094420600858372</v>
      </c>
      <c r="O123" s="291">
        <f t="shared" si="15"/>
        <v>0.21153846153846154</v>
      </c>
    </row>
    <row r="124" spans="1:15" s="142" customFormat="1" ht="15.75" customHeight="1">
      <c r="A124" s="149" t="s">
        <v>230</v>
      </c>
      <c r="B124" s="189" t="s">
        <v>231</v>
      </c>
      <c r="C124" s="150" t="s">
        <v>264</v>
      </c>
      <c r="D124" s="1359">
        <v>6270</v>
      </c>
      <c r="E124" s="1360">
        <v>4068</v>
      </c>
      <c r="F124" s="1361">
        <v>1361</v>
      </c>
      <c r="G124" s="1358">
        <v>841</v>
      </c>
      <c r="H124" s="1359">
        <v>2021</v>
      </c>
      <c r="I124" s="1360">
        <v>945</v>
      </c>
      <c r="J124" s="1361">
        <v>833</v>
      </c>
      <c r="K124" s="1358">
        <v>243</v>
      </c>
      <c r="L124" s="289">
        <f t="shared" si="12"/>
        <v>0.32232854864433813</v>
      </c>
      <c r="M124" s="290">
        <f t="shared" si="13"/>
        <v>0.23230088495575221</v>
      </c>
      <c r="N124" s="290">
        <f t="shared" si="14"/>
        <v>0.6120499632623071</v>
      </c>
      <c r="O124" s="291">
        <f t="shared" si="15"/>
        <v>0.28894173602853745</v>
      </c>
    </row>
    <row r="125" spans="1:15" s="142" customFormat="1" ht="15.75" customHeight="1">
      <c r="A125" s="149" t="s">
        <v>238</v>
      </c>
      <c r="B125" s="189" t="s">
        <v>239</v>
      </c>
      <c r="C125" s="150" t="s">
        <v>264</v>
      </c>
      <c r="D125" s="1359">
        <v>91</v>
      </c>
      <c r="E125" s="1360">
        <v>59</v>
      </c>
      <c r="F125" s="1361">
        <v>13</v>
      </c>
      <c r="G125" s="1358">
        <v>19</v>
      </c>
      <c r="H125" s="1359">
        <v>38</v>
      </c>
      <c r="I125" s="1360">
        <v>21</v>
      </c>
      <c r="J125" s="1361">
        <v>10</v>
      </c>
      <c r="K125" s="1358">
        <v>7</v>
      </c>
      <c r="L125" s="289">
        <f t="shared" si="12"/>
        <v>0.4175824175824176</v>
      </c>
      <c r="M125" s="290">
        <f t="shared" si="13"/>
        <v>0.3559322033898305</v>
      </c>
      <c r="N125" s="290">
        <f t="shared" si="14"/>
        <v>0.76923076923076927</v>
      </c>
      <c r="O125" s="291">
        <f t="shared" si="15"/>
        <v>0.36842105263157893</v>
      </c>
    </row>
    <row r="126" spans="1:15" s="142" customFormat="1" ht="15.75" customHeight="1">
      <c r="A126" s="155" t="s">
        <v>240</v>
      </c>
      <c r="B126" s="191" t="s">
        <v>241</v>
      </c>
      <c r="C126" s="156" t="s">
        <v>267</v>
      </c>
      <c r="D126" s="1362">
        <v>403</v>
      </c>
      <c r="E126" s="1363">
        <v>325</v>
      </c>
      <c r="F126" s="1364">
        <v>31</v>
      </c>
      <c r="G126" s="1365">
        <v>47</v>
      </c>
      <c r="H126" s="1362">
        <v>200</v>
      </c>
      <c r="I126" s="1363">
        <v>157</v>
      </c>
      <c r="J126" s="1364">
        <v>20</v>
      </c>
      <c r="K126" s="1365">
        <v>23</v>
      </c>
      <c r="L126" s="292">
        <f t="shared" si="12"/>
        <v>0.49627791563275436</v>
      </c>
      <c r="M126" s="293">
        <f t="shared" si="13"/>
        <v>0.48307692307692307</v>
      </c>
      <c r="N126" s="293">
        <f t="shared" si="14"/>
        <v>0.64516129032258063</v>
      </c>
      <c r="O126" s="294">
        <f t="shared" si="15"/>
        <v>0.48936170212765956</v>
      </c>
    </row>
    <row r="127" spans="1:15" s="142" customFormat="1" ht="15.75" customHeight="1">
      <c r="A127" s="284"/>
      <c r="B127" s="236"/>
      <c r="C127" s="285"/>
      <c r="D127" s="152"/>
      <c r="E127" s="151"/>
      <c r="F127" s="152"/>
      <c r="G127" s="286"/>
      <c r="H127" s="152"/>
      <c r="I127" s="151"/>
      <c r="J127" s="152"/>
      <c r="K127" s="151"/>
      <c r="L127" s="287"/>
      <c r="M127" s="287"/>
      <c r="N127" s="287"/>
      <c r="O127" s="287"/>
    </row>
    <row r="128" spans="1:15" s="142" customFormat="1" ht="15.75" customHeight="1">
      <c r="A128" s="284" t="s">
        <v>266</v>
      </c>
      <c r="B128" s="236"/>
      <c r="C128" s="285"/>
      <c r="D128" s="295">
        <v>15814</v>
      </c>
      <c r="E128" s="154">
        <v>9038</v>
      </c>
      <c r="F128" s="153">
        <v>5268</v>
      </c>
      <c r="G128" s="296">
        <v>1508</v>
      </c>
      <c r="H128" s="295">
        <v>7073</v>
      </c>
      <c r="I128" s="154">
        <v>2476</v>
      </c>
      <c r="J128" s="153">
        <v>4024</v>
      </c>
      <c r="K128" s="297">
        <v>573</v>
      </c>
      <c r="L128" s="289">
        <f t="shared" ref="L128:O132" si="16">H128/D128</f>
        <v>0.44726191981788288</v>
      </c>
      <c r="M128" s="290">
        <f t="shared" si="16"/>
        <v>0.27395441469351628</v>
      </c>
      <c r="N128" s="290">
        <f t="shared" si="16"/>
        <v>0.76385725132877758</v>
      </c>
      <c r="O128" s="291">
        <f t="shared" si="16"/>
        <v>0.37997347480106103</v>
      </c>
    </row>
    <row r="129" spans="1:15" s="142" customFormat="1" ht="15.75" customHeight="1">
      <c r="A129" s="284" t="s">
        <v>264</v>
      </c>
      <c r="B129" s="236"/>
      <c r="C129" s="285"/>
      <c r="D129" s="295">
        <v>24262</v>
      </c>
      <c r="E129" s="154">
        <v>13145</v>
      </c>
      <c r="F129" s="153">
        <v>8799</v>
      </c>
      <c r="G129" s="296">
        <v>2318</v>
      </c>
      <c r="H129" s="295">
        <v>10274</v>
      </c>
      <c r="I129" s="154">
        <v>3368</v>
      </c>
      <c r="J129" s="153">
        <v>6126</v>
      </c>
      <c r="K129" s="297">
        <v>780</v>
      </c>
      <c r="L129" s="289">
        <f t="shared" si="16"/>
        <v>0.42346055560135193</v>
      </c>
      <c r="M129" s="290">
        <f t="shared" si="16"/>
        <v>0.25621909471281856</v>
      </c>
      <c r="N129" s="290">
        <f t="shared" si="16"/>
        <v>0.69621547903170811</v>
      </c>
      <c r="O129" s="291">
        <f t="shared" si="16"/>
        <v>0.33649698015530632</v>
      </c>
    </row>
    <row r="130" spans="1:15" s="142" customFormat="1" ht="15.75" customHeight="1">
      <c r="A130" s="284" t="s">
        <v>267</v>
      </c>
      <c r="B130" s="236"/>
      <c r="C130" s="285"/>
      <c r="D130" s="295">
        <v>44671</v>
      </c>
      <c r="E130" s="154">
        <v>29905</v>
      </c>
      <c r="F130" s="153">
        <v>5239</v>
      </c>
      <c r="G130" s="296">
        <v>9527</v>
      </c>
      <c r="H130" s="295">
        <v>11526</v>
      </c>
      <c r="I130" s="154">
        <v>6708</v>
      </c>
      <c r="J130" s="153">
        <v>2544</v>
      </c>
      <c r="K130" s="297">
        <v>2274</v>
      </c>
      <c r="L130" s="289">
        <f t="shared" si="16"/>
        <v>0.25801974435315977</v>
      </c>
      <c r="M130" s="290">
        <f t="shared" si="16"/>
        <v>0.22431031600066878</v>
      </c>
      <c r="N130" s="290">
        <f t="shared" si="16"/>
        <v>0.48558885283451042</v>
      </c>
      <c r="O130" s="291">
        <f t="shared" si="16"/>
        <v>0.23869003883698961</v>
      </c>
    </row>
    <row r="131" spans="1:15" s="142" customFormat="1" ht="15.75" customHeight="1">
      <c r="A131" s="284" t="s">
        <v>265</v>
      </c>
      <c r="B131" s="236"/>
      <c r="C131" s="285"/>
      <c r="D131" s="295">
        <v>12217</v>
      </c>
      <c r="E131" s="154">
        <v>9211</v>
      </c>
      <c r="F131" s="153">
        <v>2415</v>
      </c>
      <c r="G131" s="296">
        <v>591</v>
      </c>
      <c r="H131" s="295">
        <v>5201</v>
      </c>
      <c r="I131" s="154">
        <v>3160</v>
      </c>
      <c r="J131" s="153">
        <v>1901</v>
      </c>
      <c r="K131" s="297">
        <v>140</v>
      </c>
      <c r="L131" s="289">
        <f t="shared" si="16"/>
        <v>0.42571826143897845</v>
      </c>
      <c r="M131" s="290">
        <f t="shared" si="16"/>
        <v>0.34306807078493107</v>
      </c>
      <c r="N131" s="290">
        <f t="shared" si="16"/>
        <v>0.78716356107660457</v>
      </c>
      <c r="O131" s="291">
        <f t="shared" si="16"/>
        <v>0.23688663282571912</v>
      </c>
    </row>
    <row r="132" spans="1:15" s="142" customFormat="1" ht="15.75" customHeight="1">
      <c r="A132" s="284" t="s">
        <v>268</v>
      </c>
      <c r="B132" s="236"/>
      <c r="C132" s="285"/>
      <c r="D132" s="295">
        <v>5847</v>
      </c>
      <c r="E132" s="154">
        <v>5542</v>
      </c>
      <c r="F132" s="153">
        <v>124</v>
      </c>
      <c r="G132" s="296">
        <v>181</v>
      </c>
      <c r="H132" s="295">
        <v>2197</v>
      </c>
      <c r="I132" s="154">
        <v>2065</v>
      </c>
      <c r="J132" s="153">
        <v>91</v>
      </c>
      <c r="K132" s="297">
        <v>41</v>
      </c>
      <c r="L132" s="289">
        <f t="shared" si="16"/>
        <v>0.37574824696425518</v>
      </c>
      <c r="M132" s="290">
        <f t="shared" si="16"/>
        <v>0.37260916636593289</v>
      </c>
      <c r="N132" s="290">
        <f t="shared" si="16"/>
        <v>0.7338709677419355</v>
      </c>
      <c r="O132" s="291">
        <f t="shared" si="16"/>
        <v>0.22651933701657459</v>
      </c>
    </row>
    <row r="133" spans="1:15" s="142" customFormat="1" ht="15.75" customHeight="1">
      <c r="A133" s="284"/>
      <c r="B133" s="236"/>
      <c r="C133" s="285"/>
      <c r="D133" s="152"/>
      <c r="E133" s="151"/>
      <c r="F133" s="152"/>
      <c r="G133" s="286"/>
      <c r="H133" s="152"/>
      <c r="I133" s="151"/>
      <c r="J133" s="152"/>
      <c r="K133" s="151"/>
      <c r="L133" s="287"/>
      <c r="M133" s="287"/>
      <c r="N133" s="287"/>
      <c r="O133" s="287"/>
    </row>
    <row r="134" spans="1:15" ht="28.5" customHeight="1">
      <c r="A134" s="1899" t="s">
        <v>956</v>
      </c>
      <c r="B134" s="1899"/>
      <c r="C134" s="1899"/>
      <c r="D134" s="1899"/>
      <c r="E134" s="1899"/>
      <c r="F134" s="1899"/>
      <c r="G134" s="1899"/>
      <c r="H134" s="1899"/>
      <c r="I134" s="1899"/>
      <c r="J134" s="1899"/>
      <c r="K134" s="1899"/>
      <c r="L134" s="1899"/>
      <c r="M134" s="1899"/>
      <c r="N134" s="1899"/>
      <c r="O134" s="1899"/>
    </row>
    <row r="135" spans="1:15" s="185" customFormat="1" ht="12.75">
      <c r="A135" s="185" t="s">
        <v>248</v>
      </c>
    </row>
    <row r="136" spans="1:15" s="185" customFormat="1" ht="12.75">
      <c r="A136" s="192" t="s">
        <v>249</v>
      </c>
      <c r="B136" s="170" t="s">
        <v>250</v>
      </c>
    </row>
  </sheetData>
  <autoFilter ref="A4:C126"/>
  <sortState ref="A7:O126">
    <sortCondition ref="A7:A126"/>
  </sortState>
  <mergeCells count="9">
    <mergeCell ref="A134:O134"/>
    <mergeCell ref="H4:K4"/>
    <mergeCell ref="L4:O4"/>
    <mergeCell ref="H3:O3"/>
    <mergeCell ref="E2:G2"/>
    <mergeCell ref="A4:A5"/>
    <mergeCell ref="B4:B5"/>
    <mergeCell ref="C4:C5"/>
    <mergeCell ref="D4:G4"/>
  </mergeCells>
  <hyperlinks>
    <hyperlink ref="B136" r:id="rId1"/>
  </hyperlink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O136"/>
  <sheetViews>
    <sheetView workbookViewId="0">
      <pane xSplit="2" ySplit="5" topLeftCell="C6" activePane="bottomRight" state="frozen"/>
      <selection pane="topRight" activeCell="C1" sqref="C1"/>
      <selection pane="bottomLeft" activeCell="A6" sqref="A6"/>
      <selection pane="bottomRight" activeCell="A6" sqref="A6:XFD125"/>
    </sheetView>
  </sheetViews>
  <sheetFormatPr defaultRowHeight="12.75"/>
  <cols>
    <col min="1" max="1" width="9" style="1436"/>
    <col min="2" max="2" width="24.5" style="1436" customWidth="1"/>
    <col min="3" max="3" width="13.625" style="1436" customWidth="1"/>
    <col min="4" max="7" width="9" style="1436"/>
    <col min="8" max="11" width="7.125" style="1436" customWidth="1"/>
    <col min="12" max="15" width="6.875" style="1436" customWidth="1"/>
    <col min="16" max="16384" width="9" style="1436"/>
  </cols>
  <sheetData>
    <row r="1" spans="1:15" ht="15.75">
      <c r="A1" s="1435" t="s">
        <v>951</v>
      </c>
    </row>
    <row r="3" spans="1:15">
      <c r="B3" s="1437"/>
      <c r="C3" s="1437"/>
      <c r="D3" s="1908" t="s">
        <v>921</v>
      </c>
      <c r="E3" s="1909"/>
      <c r="F3" s="1909"/>
      <c r="G3" s="1910"/>
      <c r="H3" s="1908" t="s">
        <v>952</v>
      </c>
      <c r="I3" s="1909"/>
      <c r="J3" s="1909"/>
      <c r="K3" s="1910"/>
      <c r="L3" s="1911" t="s">
        <v>948</v>
      </c>
      <c r="M3" s="1911"/>
      <c r="N3" s="1911"/>
      <c r="O3" s="1911"/>
    </row>
    <row r="4" spans="1:15">
      <c r="A4" s="1438" t="s">
        <v>4</v>
      </c>
      <c r="B4" s="1438" t="s">
        <v>612</v>
      </c>
      <c r="C4" s="1438" t="s">
        <v>251</v>
      </c>
      <c r="D4" s="1439" t="s">
        <v>281</v>
      </c>
      <c r="E4" s="1440" t="s">
        <v>2</v>
      </c>
      <c r="F4" s="1440" t="s">
        <v>450</v>
      </c>
      <c r="G4" s="1441" t="s">
        <v>451</v>
      </c>
      <c r="H4" s="1439" t="s">
        <v>281</v>
      </c>
      <c r="I4" s="1440" t="s">
        <v>2</v>
      </c>
      <c r="J4" s="1440" t="s">
        <v>450</v>
      </c>
      <c r="K4" s="1441" t="s">
        <v>451</v>
      </c>
      <c r="L4" s="1439" t="s">
        <v>281</v>
      </c>
      <c r="M4" s="1440" t="s">
        <v>2</v>
      </c>
      <c r="N4" s="1440" t="s">
        <v>450</v>
      </c>
      <c r="O4" s="1441" t="s">
        <v>451</v>
      </c>
    </row>
    <row r="5" spans="1:15">
      <c r="A5" s="1446" t="s">
        <v>8</v>
      </c>
      <c r="B5" s="1447" t="s">
        <v>9</v>
      </c>
      <c r="C5" s="1447"/>
      <c r="D5" s="1448">
        <v>6134</v>
      </c>
      <c r="E5" s="1449">
        <v>3333</v>
      </c>
      <c r="F5" s="1449">
        <v>2255</v>
      </c>
      <c r="G5" s="1450">
        <v>546</v>
      </c>
      <c r="H5" s="1448">
        <v>517793</v>
      </c>
      <c r="I5" s="1451">
        <v>355112</v>
      </c>
      <c r="J5" s="1451">
        <v>125961</v>
      </c>
      <c r="K5" s="1450">
        <v>36720</v>
      </c>
      <c r="L5" s="1461">
        <f t="shared" ref="L5:L36" si="0">IF(D5=0,"0",(D5/H5)*1000)</f>
        <v>11.846432840922917</v>
      </c>
      <c r="M5" s="1462">
        <f t="shared" ref="M5:O5" si="1">IF(E5=0,"0",(E5/I5)*1000)</f>
        <v>9.385771249633919</v>
      </c>
      <c r="N5" s="1462">
        <f t="shared" si="1"/>
        <v>17.902366605536635</v>
      </c>
      <c r="O5" s="1463">
        <f t="shared" si="1"/>
        <v>14.869281045751633</v>
      </c>
    </row>
    <row r="6" spans="1:15">
      <c r="A6" s="1436" t="s">
        <v>10</v>
      </c>
      <c r="B6" s="1436" t="s">
        <v>11</v>
      </c>
      <c r="C6" s="1436" t="s">
        <v>264</v>
      </c>
      <c r="D6" s="1442">
        <v>32</v>
      </c>
      <c r="E6" s="1443">
        <v>12</v>
      </c>
      <c r="F6" s="1443">
        <v>17</v>
      </c>
      <c r="G6" s="1444">
        <v>3</v>
      </c>
      <c r="H6" s="1442">
        <v>1757</v>
      </c>
      <c r="I6" s="1443">
        <v>1121</v>
      </c>
      <c r="J6" s="1443">
        <v>611</v>
      </c>
      <c r="K6" s="1444">
        <v>25</v>
      </c>
      <c r="L6" s="1464">
        <f t="shared" si="0"/>
        <v>18.212862834376779</v>
      </c>
      <c r="M6" s="1465">
        <f t="shared" ref="M6:M37" si="2">IF(E6=0,"0",(E6/I6)*1000)</f>
        <v>10.704727921498661</v>
      </c>
      <c r="N6" s="1465">
        <f t="shared" ref="N6:N37" si="3">IF(F6=0,"0",(F6/J6)*1000)</f>
        <v>27.823240589198036</v>
      </c>
      <c r="O6" s="1466">
        <f t="shared" ref="O6:O37" si="4">IF(G6=0,"0",(G6/K6)*1000)</f>
        <v>120</v>
      </c>
    </row>
    <row r="7" spans="1:15">
      <c r="A7" s="1436" t="s">
        <v>12</v>
      </c>
      <c r="B7" s="1436" t="s">
        <v>13</v>
      </c>
      <c r="C7" s="1436" t="s">
        <v>265</v>
      </c>
      <c r="D7" s="1442">
        <v>40</v>
      </c>
      <c r="E7" s="1443">
        <v>26</v>
      </c>
      <c r="F7" s="1443">
        <v>12</v>
      </c>
      <c r="G7" s="1444">
        <v>2</v>
      </c>
      <c r="H7" s="1442">
        <v>7849</v>
      </c>
      <c r="I7" s="1443">
        <v>6351</v>
      </c>
      <c r="J7" s="1443">
        <v>914</v>
      </c>
      <c r="K7" s="1444">
        <v>584</v>
      </c>
      <c r="L7" s="1464">
        <f t="shared" si="0"/>
        <v>5.0961905975283477</v>
      </c>
      <c r="M7" s="1465">
        <f t="shared" si="2"/>
        <v>4.0938434892142972</v>
      </c>
      <c r="N7" s="1465">
        <f t="shared" si="3"/>
        <v>13.129102844638949</v>
      </c>
      <c r="O7" s="1466">
        <f t="shared" si="4"/>
        <v>3.4246575342465753</v>
      </c>
    </row>
    <row r="8" spans="1:15">
      <c r="A8" s="1436" t="s">
        <v>16</v>
      </c>
      <c r="B8" s="1436" t="s">
        <v>297</v>
      </c>
      <c r="C8" s="1436" t="s">
        <v>265</v>
      </c>
      <c r="D8" s="1442">
        <v>23</v>
      </c>
      <c r="E8" s="1443">
        <v>20</v>
      </c>
      <c r="F8" s="1443">
        <v>3</v>
      </c>
      <c r="G8" s="1444"/>
      <c r="H8" s="1442">
        <v>1324</v>
      </c>
      <c r="I8" s="1443">
        <v>1204</v>
      </c>
      <c r="J8" s="1443">
        <v>116</v>
      </c>
      <c r="K8" s="1444">
        <v>4</v>
      </c>
      <c r="L8" s="1464">
        <f t="shared" si="0"/>
        <v>17.371601208459214</v>
      </c>
      <c r="M8" s="1465">
        <f t="shared" si="2"/>
        <v>16.611295681063122</v>
      </c>
      <c r="N8" s="1465">
        <f t="shared" si="3"/>
        <v>25.862068965517242</v>
      </c>
      <c r="O8" s="1466" t="str">
        <f t="shared" si="4"/>
        <v>0</v>
      </c>
    </row>
    <row r="9" spans="1:15">
      <c r="A9" s="1436" t="s">
        <v>18</v>
      </c>
      <c r="B9" s="1436" t="s">
        <v>19</v>
      </c>
      <c r="C9" s="1436" t="s">
        <v>266</v>
      </c>
      <c r="D9" s="1442">
        <v>14</v>
      </c>
      <c r="E9" s="1443">
        <v>7</v>
      </c>
      <c r="F9" s="1443">
        <v>6</v>
      </c>
      <c r="G9" s="1444">
        <v>1</v>
      </c>
      <c r="H9" s="1442">
        <v>754</v>
      </c>
      <c r="I9" s="1443">
        <v>535</v>
      </c>
      <c r="J9" s="1443">
        <v>207</v>
      </c>
      <c r="K9" s="1444">
        <v>12</v>
      </c>
      <c r="L9" s="1464">
        <f t="shared" si="0"/>
        <v>18.567639257294431</v>
      </c>
      <c r="M9" s="1465">
        <f t="shared" si="2"/>
        <v>13.084112149532711</v>
      </c>
      <c r="N9" s="1465">
        <f t="shared" si="3"/>
        <v>28.985507246376812</v>
      </c>
      <c r="O9" s="1466">
        <f t="shared" si="4"/>
        <v>83.333333333333329</v>
      </c>
    </row>
    <row r="10" spans="1:15">
      <c r="A10" s="1436" t="s">
        <v>20</v>
      </c>
      <c r="B10" s="1436" t="s">
        <v>21</v>
      </c>
      <c r="C10" s="1436" t="s">
        <v>265</v>
      </c>
      <c r="D10" s="1442">
        <v>35</v>
      </c>
      <c r="E10" s="1443">
        <v>25</v>
      </c>
      <c r="F10" s="1443">
        <v>9</v>
      </c>
      <c r="G10" s="1444">
        <v>1</v>
      </c>
      <c r="H10" s="1442">
        <v>2114</v>
      </c>
      <c r="I10" s="1443">
        <v>1641</v>
      </c>
      <c r="J10" s="1443">
        <v>440</v>
      </c>
      <c r="K10" s="1444">
        <v>33</v>
      </c>
      <c r="L10" s="1464">
        <f t="shared" si="0"/>
        <v>16.556291390728479</v>
      </c>
      <c r="M10" s="1465">
        <f t="shared" si="2"/>
        <v>15.234613040828764</v>
      </c>
      <c r="N10" s="1465">
        <f t="shared" si="3"/>
        <v>20.454545454545453</v>
      </c>
      <c r="O10" s="1466">
        <f t="shared" si="4"/>
        <v>30.303030303030305</v>
      </c>
    </row>
    <row r="11" spans="1:15">
      <c r="A11" s="1436" t="s">
        <v>22</v>
      </c>
      <c r="B11" s="1436" t="s">
        <v>23</v>
      </c>
      <c r="C11" s="1436" t="s">
        <v>265</v>
      </c>
      <c r="D11" s="1442">
        <v>16</v>
      </c>
      <c r="E11" s="1443">
        <v>10</v>
      </c>
      <c r="F11" s="1443">
        <v>5</v>
      </c>
      <c r="G11" s="1444">
        <v>1</v>
      </c>
      <c r="H11" s="1442">
        <v>907</v>
      </c>
      <c r="I11" s="1443">
        <v>656</v>
      </c>
      <c r="J11" s="1443">
        <v>244</v>
      </c>
      <c r="K11" s="1444">
        <v>7</v>
      </c>
      <c r="L11" s="1464">
        <f t="shared" si="0"/>
        <v>17.640573318632857</v>
      </c>
      <c r="M11" s="1465">
        <f t="shared" si="2"/>
        <v>15.24390243902439</v>
      </c>
      <c r="N11" s="1465">
        <f t="shared" si="3"/>
        <v>20.491803278688522</v>
      </c>
      <c r="O11" s="1466">
        <f t="shared" si="4"/>
        <v>142.85714285714286</v>
      </c>
    </row>
    <row r="12" spans="1:15">
      <c r="A12" s="1436" t="s">
        <v>24</v>
      </c>
      <c r="B12" s="1436" t="s">
        <v>25</v>
      </c>
      <c r="C12" s="1436" t="s">
        <v>267</v>
      </c>
      <c r="D12" s="1442">
        <v>54</v>
      </c>
      <c r="E12" s="1443">
        <v>35</v>
      </c>
      <c r="F12" s="1443">
        <v>6</v>
      </c>
      <c r="G12" s="1444">
        <v>13</v>
      </c>
      <c r="H12" s="1442">
        <v>7787</v>
      </c>
      <c r="I12" s="1443">
        <v>5801</v>
      </c>
      <c r="J12" s="1443">
        <v>1038</v>
      </c>
      <c r="K12" s="1444">
        <v>948</v>
      </c>
      <c r="L12" s="1464">
        <f t="shared" si="0"/>
        <v>6.9346346474894052</v>
      </c>
      <c r="M12" s="1465">
        <f t="shared" si="2"/>
        <v>6.0334425099120841</v>
      </c>
      <c r="N12" s="1465">
        <f t="shared" si="3"/>
        <v>5.7803468208092479</v>
      </c>
      <c r="O12" s="1466">
        <f t="shared" si="4"/>
        <v>13.713080168776372</v>
      </c>
    </row>
    <row r="13" spans="1:15">
      <c r="A13" s="1436" t="s">
        <v>26</v>
      </c>
      <c r="B13" s="1436" t="s">
        <v>298</v>
      </c>
      <c r="C13" s="1436" t="s">
        <v>265</v>
      </c>
      <c r="D13" s="1442">
        <v>104</v>
      </c>
      <c r="E13" s="1443">
        <v>95</v>
      </c>
      <c r="F13" s="1443">
        <v>7</v>
      </c>
      <c r="G13" s="1444">
        <v>2</v>
      </c>
      <c r="H13" s="1442">
        <v>7006</v>
      </c>
      <c r="I13" s="1443">
        <v>6197</v>
      </c>
      <c r="J13" s="1443">
        <v>693</v>
      </c>
      <c r="K13" s="1444">
        <v>116</v>
      </c>
      <c r="L13" s="1464">
        <f t="shared" si="0"/>
        <v>14.844419069369112</v>
      </c>
      <c r="M13" s="1465">
        <f t="shared" si="2"/>
        <v>15.329998386315959</v>
      </c>
      <c r="N13" s="1465">
        <f t="shared" si="3"/>
        <v>10.101010101010102</v>
      </c>
      <c r="O13" s="1466">
        <f t="shared" si="4"/>
        <v>17.241379310344826</v>
      </c>
    </row>
    <row r="14" spans="1:15">
      <c r="A14" s="1436" t="s">
        <v>27</v>
      </c>
      <c r="B14" s="1436" t="s">
        <v>28</v>
      </c>
      <c r="C14" s="1436" t="s">
        <v>265</v>
      </c>
      <c r="D14" s="1442">
        <v>4</v>
      </c>
      <c r="E14" s="1443">
        <v>4</v>
      </c>
      <c r="F14" s="1443"/>
      <c r="G14" s="1444"/>
      <c r="H14" s="1442">
        <v>260</v>
      </c>
      <c r="I14" s="1443">
        <v>249</v>
      </c>
      <c r="J14" s="1443">
        <v>11</v>
      </c>
      <c r="K14" s="1444"/>
      <c r="L14" s="1464">
        <f t="shared" si="0"/>
        <v>15.384615384615385</v>
      </c>
      <c r="M14" s="1465">
        <f t="shared" si="2"/>
        <v>16.064257028112447</v>
      </c>
      <c r="N14" s="1465" t="str">
        <f t="shared" si="3"/>
        <v>0</v>
      </c>
      <c r="O14" s="1466" t="str">
        <f t="shared" si="4"/>
        <v>0</v>
      </c>
    </row>
    <row r="15" spans="1:15">
      <c r="A15" s="1436" t="s">
        <v>29</v>
      </c>
      <c r="B15" s="1436" t="s">
        <v>1012</v>
      </c>
      <c r="C15" s="1436" t="s">
        <v>265</v>
      </c>
      <c r="D15" s="1442">
        <v>44</v>
      </c>
      <c r="E15" s="1443">
        <v>36</v>
      </c>
      <c r="F15" s="1443">
        <v>8</v>
      </c>
      <c r="G15" s="1444"/>
      <c r="H15" s="1442">
        <v>4701</v>
      </c>
      <c r="I15" s="1443">
        <v>4236</v>
      </c>
      <c r="J15" s="1443">
        <v>365</v>
      </c>
      <c r="K15" s="1444">
        <v>100</v>
      </c>
      <c r="L15" s="1464">
        <f t="shared" si="0"/>
        <v>9.3597106998510959</v>
      </c>
      <c r="M15" s="1465">
        <f t="shared" si="2"/>
        <v>8.4985835694051008</v>
      </c>
      <c r="N15" s="1465">
        <f t="shared" si="3"/>
        <v>21.917808219178081</v>
      </c>
      <c r="O15" s="1466" t="str">
        <f t="shared" si="4"/>
        <v>0</v>
      </c>
    </row>
    <row r="16" spans="1:15">
      <c r="A16" s="1436" t="s">
        <v>30</v>
      </c>
      <c r="B16" s="1436" t="s">
        <v>31</v>
      </c>
      <c r="C16" s="1436" t="s">
        <v>268</v>
      </c>
      <c r="D16" s="1442">
        <v>7</v>
      </c>
      <c r="E16" s="1443">
        <v>7</v>
      </c>
      <c r="F16" s="1443"/>
      <c r="G16" s="1444"/>
      <c r="H16" s="1442">
        <v>313</v>
      </c>
      <c r="I16" s="1443">
        <v>306</v>
      </c>
      <c r="J16" s="1443">
        <v>6</v>
      </c>
      <c r="K16" s="1444">
        <v>1</v>
      </c>
      <c r="L16" s="1464">
        <f t="shared" si="0"/>
        <v>22.364217252396166</v>
      </c>
      <c r="M16" s="1465">
        <f t="shared" si="2"/>
        <v>22.875816993464049</v>
      </c>
      <c r="N16" s="1465" t="str">
        <f t="shared" si="3"/>
        <v>0</v>
      </c>
      <c r="O16" s="1466" t="str">
        <f t="shared" si="4"/>
        <v>0</v>
      </c>
    </row>
    <row r="17" spans="1:15">
      <c r="A17" s="1436" t="s">
        <v>32</v>
      </c>
      <c r="B17" s="1436" t="s">
        <v>33</v>
      </c>
      <c r="C17" s="1436" t="s">
        <v>265</v>
      </c>
      <c r="D17" s="1442">
        <v>8</v>
      </c>
      <c r="E17" s="1443">
        <v>8</v>
      </c>
      <c r="F17" s="1443"/>
      <c r="G17" s="1444"/>
      <c r="H17" s="1442">
        <v>2131</v>
      </c>
      <c r="I17" s="1443">
        <v>2037</v>
      </c>
      <c r="J17" s="1443">
        <v>74</v>
      </c>
      <c r="K17" s="1444">
        <v>20</v>
      </c>
      <c r="L17" s="1464">
        <f t="shared" si="0"/>
        <v>3.7541060534960109</v>
      </c>
      <c r="M17" s="1465">
        <f t="shared" si="2"/>
        <v>3.9273441335297004</v>
      </c>
      <c r="N17" s="1465" t="str">
        <f t="shared" si="3"/>
        <v>0</v>
      </c>
      <c r="O17" s="1466" t="str">
        <f t="shared" si="4"/>
        <v>0</v>
      </c>
    </row>
    <row r="18" spans="1:15">
      <c r="A18" s="1436" t="s">
        <v>36</v>
      </c>
      <c r="B18" s="1436" t="s">
        <v>37</v>
      </c>
      <c r="C18" s="1436" t="s">
        <v>264</v>
      </c>
      <c r="D18" s="1442">
        <v>22</v>
      </c>
      <c r="E18" s="1443">
        <v>7</v>
      </c>
      <c r="F18" s="1443">
        <v>15</v>
      </c>
      <c r="G18" s="1444"/>
      <c r="H18" s="1442">
        <v>948</v>
      </c>
      <c r="I18" s="1443">
        <v>313</v>
      </c>
      <c r="J18" s="1443">
        <v>628</v>
      </c>
      <c r="K18" s="1444">
        <v>7</v>
      </c>
      <c r="L18" s="1464">
        <f t="shared" si="0"/>
        <v>23.206751054852322</v>
      </c>
      <c r="M18" s="1465">
        <f t="shared" si="2"/>
        <v>22.364217252396166</v>
      </c>
      <c r="N18" s="1465">
        <f t="shared" si="3"/>
        <v>23.885350318471339</v>
      </c>
      <c r="O18" s="1466" t="str">
        <f t="shared" si="4"/>
        <v>0</v>
      </c>
    </row>
    <row r="19" spans="1:15">
      <c r="A19" s="1436" t="s">
        <v>38</v>
      </c>
      <c r="B19" s="1436" t="s">
        <v>39</v>
      </c>
      <c r="C19" s="1436" t="s">
        <v>268</v>
      </c>
      <c r="D19" s="1442">
        <v>26</v>
      </c>
      <c r="E19" s="1443">
        <v>25</v>
      </c>
      <c r="F19" s="1443"/>
      <c r="G19" s="1444">
        <v>1</v>
      </c>
      <c r="H19" s="1442">
        <v>1207</v>
      </c>
      <c r="I19" s="1443">
        <v>1173</v>
      </c>
      <c r="J19" s="1443">
        <v>32</v>
      </c>
      <c r="K19" s="1444">
        <v>2</v>
      </c>
      <c r="L19" s="1464">
        <f t="shared" si="0"/>
        <v>21.541010770505384</v>
      </c>
      <c r="M19" s="1465">
        <f t="shared" si="2"/>
        <v>21.312872975277067</v>
      </c>
      <c r="N19" s="1465" t="str">
        <f t="shared" si="3"/>
        <v>0</v>
      </c>
      <c r="O19" s="1466">
        <f t="shared" si="4"/>
        <v>500</v>
      </c>
    </row>
    <row r="20" spans="1:15">
      <c r="A20" s="1436" t="s">
        <v>40</v>
      </c>
      <c r="B20" s="1436" t="s">
        <v>41</v>
      </c>
      <c r="C20" s="1436" t="s">
        <v>266</v>
      </c>
      <c r="D20" s="1442">
        <v>14</v>
      </c>
      <c r="E20" s="1443">
        <v>9</v>
      </c>
      <c r="F20" s="1443">
        <v>5</v>
      </c>
      <c r="G20" s="1444"/>
      <c r="H20" s="1442">
        <v>832</v>
      </c>
      <c r="I20" s="1443">
        <v>531</v>
      </c>
      <c r="J20" s="1443">
        <v>294</v>
      </c>
      <c r="K20" s="1444">
        <v>7</v>
      </c>
      <c r="L20" s="1464">
        <f t="shared" si="0"/>
        <v>16.826923076923077</v>
      </c>
      <c r="M20" s="1465">
        <f t="shared" si="2"/>
        <v>16.949152542372882</v>
      </c>
      <c r="N20" s="1465">
        <f t="shared" si="3"/>
        <v>17.006802721088437</v>
      </c>
      <c r="O20" s="1466" t="str">
        <f t="shared" si="4"/>
        <v>0</v>
      </c>
    </row>
    <row r="21" spans="1:15">
      <c r="A21" s="1436" t="s">
        <v>42</v>
      </c>
      <c r="B21" s="1436" t="s">
        <v>43</v>
      </c>
      <c r="C21" s="1436" t="s">
        <v>265</v>
      </c>
      <c r="D21" s="1442">
        <v>41</v>
      </c>
      <c r="E21" s="1443">
        <v>30</v>
      </c>
      <c r="F21" s="1443">
        <v>11</v>
      </c>
      <c r="G21" s="1444"/>
      <c r="H21" s="1442">
        <v>3420</v>
      </c>
      <c r="I21" s="1443">
        <v>2773</v>
      </c>
      <c r="J21" s="1443">
        <v>575</v>
      </c>
      <c r="K21" s="1444">
        <v>72</v>
      </c>
      <c r="L21" s="1464">
        <f t="shared" si="0"/>
        <v>11.988304093567251</v>
      </c>
      <c r="M21" s="1465">
        <f t="shared" si="2"/>
        <v>10.818608005769924</v>
      </c>
      <c r="N21" s="1465">
        <f t="shared" si="3"/>
        <v>19.130434782608695</v>
      </c>
      <c r="O21" s="1466" t="str">
        <f t="shared" si="4"/>
        <v>0</v>
      </c>
    </row>
    <row r="22" spans="1:15">
      <c r="A22" s="1436" t="s">
        <v>44</v>
      </c>
      <c r="B22" s="1436" t="s">
        <v>45</v>
      </c>
      <c r="C22" s="1436" t="s">
        <v>266</v>
      </c>
      <c r="D22" s="1442">
        <v>33</v>
      </c>
      <c r="E22" s="1443">
        <v>24</v>
      </c>
      <c r="F22" s="1443">
        <v>9</v>
      </c>
      <c r="G22" s="1444"/>
      <c r="H22" s="1442">
        <v>1754</v>
      </c>
      <c r="I22" s="1443">
        <v>1127</v>
      </c>
      <c r="J22" s="1443">
        <v>596</v>
      </c>
      <c r="K22" s="1444">
        <v>31</v>
      </c>
      <c r="L22" s="1464">
        <f t="shared" si="0"/>
        <v>18.81413911060433</v>
      </c>
      <c r="M22" s="1465">
        <f t="shared" si="2"/>
        <v>21.295474711623779</v>
      </c>
      <c r="N22" s="1465">
        <f t="shared" si="3"/>
        <v>15.100671140939598</v>
      </c>
      <c r="O22" s="1466" t="str">
        <f t="shared" si="4"/>
        <v>0</v>
      </c>
    </row>
    <row r="23" spans="1:15">
      <c r="A23" s="1436" t="s">
        <v>46</v>
      </c>
      <c r="B23" s="1436" t="s">
        <v>47</v>
      </c>
      <c r="C23" s="1436" t="s">
        <v>268</v>
      </c>
      <c r="D23" s="1442">
        <v>35</v>
      </c>
      <c r="E23" s="1443">
        <v>32</v>
      </c>
      <c r="F23" s="1443"/>
      <c r="G23" s="1444">
        <v>3</v>
      </c>
      <c r="H23" s="1442">
        <v>1632</v>
      </c>
      <c r="I23" s="1443">
        <v>1606</v>
      </c>
      <c r="J23" s="1443">
        <v>18</v>
      </c>
      <c r="K23" s="1444">
        <v>8</v>
      </c>
      <c r="L23" s="1464">
        <f t="shared" si="0"/>
        <v>21.446078431372548</v>
      </c>
      <c r="M23" s="1465">
        <f t="shared" si="2"/>
        <v>19.925280199252803</v>
      </c>
      <c r="N23" s="1465" t="str">
        <f t="shared" si="3"/>
        <v>0</v>
      </c>
      <c r="O23" s="1466">
        <f t="shared" si="4"/>
        <v>375</v>
      </c>
    </row>
    <row r="24" spans="1:15">
      <c r="A24" s="1436" t="s">
        <v>48</v>
      </c>
      <c r="B24" s="1436" t="s">
        <v>269</v>
      </c>
      <c r="C24" s="1436" t="s">
        <v>266</v>
      </c>
      <c r="D24" s="1442">
        <v>4</v>
      </c>
      <c r="E24" s="1443">
        <v>3</v>
      </c>
      <c r="F24" s="1443">
        <v>1</v>
      </c>
      <c r="G24" s="1444"/>
      <c r="H24" s="1442">
        <v>333</v>
      </c>
      <c r="I24" s="1443">
        <v>111</v>
      </c>
      <c r="J24" s="1443">
        <v>178</v>
      </c>
      <c r="K24" s="1444">
        <v>44</v>
      </c>
      <c r="L24" s="1464">
        <f t="shared" si="0"/>
        <v>12.012012012012011</v>
      </c>
      <c r="M24" s="1465">
        <f t="shared" si="2"/>
        <v>27.027027027027028</v>
      </c>
      <c r="N24" s="1465">
        <f t="shared" si="3"/>
        <v>5.6179775280898872</v>
      </c>
      <c r="O24" s="1466" t="str">
        <f t="shared" si="4"/>
        <v>0</v>
      </c>
    </row>
    <row r="25" spans="1:15">
      <c r="A25" s="1436" t="s">
        <v>50</v>
      </c>
      <c r="B25" s="1436" t="s">
        <v>51</v>
      </c>
      <c r="C25" s="1436" t="s">
        <v>265</v>
      </c>
      <c r="D25" s="1442">
        <v>17</v>
      </c>
      <c r="E25" s="1443">
        <v>14</v>
      </c>
      <c r="F25" s="1443">
        <v>3</v>
      </c>
      <c r="G25" s="1444"/>
      <c r="H25" s="1442">
        <v>773</v>
      </c>
      <c r="I25" s="1443">
        <v>469</v>
      </c>
      <c r="J25" s="1443">
        <v>297</v>
      </c>
      <c r="K25" s="1444">
        <v>7</v>
      </c>
      <c r="L25" s="1464">
        <f t="shared" si="0"/>
        <v>21.992238033635189</v>
      </c>
      <c r="M25" s="1465">
        <f t="shared" si="2"/>
        <v>29.850746268656717</v>
      </c>
      <c r="N25" s="1465">
        <f t="shared" si="3"/>
        <v>10.101010101010102</v>
      </c>
      <c r="O25" s="1466" t="str">
        <f t="shared" si="4"/>
        <v>0</v>
      </c>
    </row>
    <row r="26" spans="1:15">
      <c r="A26" s="1436" t="s">
        <v>56</v>
      </c>
      <c r="B26" s="1436" t="s">
        <v>295</v>
      </c>
      <c r="C26" s="1436" t="s">
        <v>266</v>
      </c>
      <c r="D26" s="1442">
        <v>234</v>
      </c>
      <c r="E26" s="1443">
        <v>128</v>
      </c>
      <c r="F26" s="1443">
        <v>86</v>
      </c>
      <c r="G26" s="1444">
        <v>20</v>
      </c>
      <c r="H26" s="1442">
        <v>25417</v>
      </c>
      <c r="I26" s="1443">
        <v>16455</v>
      </c>
      <c r="J26" s="1443">
        <v>7893</v>
      </c>
      <c r="K26" s="1444">
        <v>1069</v>
      </c>
      <c r="L26" s="1464">
        <f t="shared" si="0"/>
        <v>9.2064366368965658</v>
      </c>
      <c r="M26" s="1465">
        <f t="shared" si="2"/>
        <v>7.7787906411425096</v>
      </c>
      <c r="N26" s="1465">
        <f t="shared" si="3"/>
        <v>10.895730394020017</v>
      </c>
      <c r="O26" s="1466">
        <f t="shared" si="4"/>
        <v>18.709073900841908</v>
      </c>
    </row>
    <row r="27" spans="1:15">
      <c r="A27" s="1436" t="s">
        <v>58</v>
      </c>
      <c r="B27" s="1436" t="s">
        <v>59</v>
      </c>
      <c r="C27" s="1436" t="s">
        <v>267</v>
      </c>
      <c r="D27" s="1442">
        <v>10</v>
      </c>
      <c r="E27" s="1443">
        <v>10</v>
      </c>
      <c r="F27" s="1443"/>
      <c r="G27" s="1444"/>
      <c r="H27" s="1442">
        <v>970</v>
      </c>
      <c r="I27" s="1443">
        <v>902</v>
      </c>
      <c r="J27" s="1443">
        <v>50</v>
      </c>
      <c r="K27" s="1444">
        <v>18</v>
      </c>
      <c r="L27" s="1464">
        <f t="shared" si="0"/>
        <v>10.309278350515465</v>
      </c>
      <c r="M27" s="1465">
        <f t="shared" si="2"/>
        <v>11.086474501108649</v>
      </c>
      <c r="N27" s="1465" t="str">
        <f t="shared" si="3"/>
        <v>0</v>
      </c>
      <c r="O27" s="1466" t="str">
        <f t="shared" si="4"/>
        <v>0</v>
      </c>
    </row>
    <row r="28" spans="1:15">
      <c r="A28" s="1436" t="s">
        <v>60</v>
      </c>
      <c r="B28" s="1436" t="s">
        <v>61</v>
      </c>
      <c r="C28" s="1436" t="s">
        <v>265</v>
      </c>
      <c r="D28" s="1442">
        <v>3</v>
      </c>
      <c r="E28" s="1443">
        <v>3</v>
      </c>
      <c r="F28" s="1443"/>
      <c r="G28" s="1444"/>
      <c r="H28" s="1442">
        <v>317</v>
      </c>
      <c r="I28" s="1443">
        <v>313</v>
      </c>
      <c r="J28" s="1443">
        <v>3</v>
      </c>
      <c r="K28" s="1444">
        <v>1</v>
      </c>
      <c r="L28" s="1464">
        <f t="shared" si="0"/>
        <v>9.4637223974763405</v>
      </c>
      <c r="M28" s="1465">
        <f t="shared" si="2"/>
        <v>9.5846645367412133</v>
      </c>
      <c r="N28" s="1465" t="str">
        <f t="shared" si="3"/>
        <v>0</v>
      </c>
      <c r="O28" s="1466" t="str">
        <f t="shared" si="4"/>
        <v>0</v>
      </c>
    </row>
    <row r="29" spans="1:15">
      <c r="A29" s="1436" t="s">
        <v>62</v>
      </c>
      <c r="B29" s="1436" t="s">
        <v>63</v>
      </c>
      <c r="C29" s="1436" t="s">
        <v>267</v>
      </c>
      <c r="D29" s="1442">
        <v>48</v>
      </c>
      <c r="E29" s="1443">
        <v>39</v>
      </c>
      <c r="F29" s="1443">
        <v>8</v>
      </c>
      <c r="G29" s="1444">
        <v>1</v>
      </c>
      <c r="H29" s="1442">
        <v>3228</v>
      </c>
      <c r="I29" s="1443">
        <v>2548</v>
      </c>
      <c r="J29" s="1443">
        <v>586</v>
      </c>
      <c r="K29" s="1444">
        <v>94</v>
      </c>
      <c r="L29" s="1464">
        <f t="shared" si="0"/>
        <v>14.869888475836431</v>
      </c>
      <c r="M29" s="1465">
        <f t="shared" si="2"/>
        <v>15.306122448979592</v>
      </c>
      <c r="N29" s="1465">
        <f t="shared" si="3"/>
        <v>13.651877133105803</v>
      </c>
      <c r="O29" s="1466">
        <f t="shared" si="4"/>
        <v>10.638297872340425</v>
      </c>
    </row>
    <row r="30" spans="1:15">
      <c r="A30" s="1436" t="s">
        <v>64</v>
      </c>
      <c r="B30" s="1436" t="s">
        <v>65</v>
      </c>
      <c r="C30" s="1436" t="s">
        <v>266</v>
      </c>
      <c r="D30" s="1442">
        <v>8</v>
      </c>
      <c r="E30" s="1443">
        <v>6</v>
      </c>
      <c r="F30" s="1443">
        <v>2</v>
      </c>
      <c r="G30" s="1444"/>
      <c r="H30" s="1442">
        <v>617</v>
      </c>
      <c r="I30" s="1443">
        <v>385</v>
      </c>
      <c r="J30" s="1443">
        <v>227</v>
      </c>
      <c r="K30" s="1444">
        <v>5</v>
      </c>
      <c r="L30" s="1464">
        <f t="shared" si="0"/>
        <v>12.965964343598054</v>
      </c>
      <c r="M30" s="1465">
        <f t="shared" si="2"/>
        <v>15.584415584415584</v>
      </c>
      <c r="N30" s="1465">
        <f t="shared" si="3"/>
        <v>8.8105726872246706</v>
      </c>
      <c r="O30" s="1466" t="str">
        <f t="shared" si="4"/>
        <v>0</v>
      </c>
    </row>
    <row r="31" spans="1:15">
      <c r="A31" s="1436" t="s">
        <v>68</v>
      </c>
      <c r="B31" s="1436" t="s">
        <v>69</v>
      </c>
      <c r="C31" s="1436" t="s">
        <v>268</v>
      </c>
      <c r="D31" s="1442">
        <v>20</v>
      </c>
      <c r="E31" s="1443">
        <v>20</v>
      </c>
      <c r="F31" s="1443"/>
      <c r="G31" s="1444"/>
      <c r="H31" s="1442">
        <v>887</v>
      </c>
      <c r="I31" s="1443">
        <v>876</v>
      </c>
      <c r="J31" s="1443">
        <v>8</v>
      </c>
      <c r="K31" s="1444">
        <v>3</v>
      </c>
      <c r="L31" s="1464">
        <f t="shared" si="0"/>
        <v>22.547914317925592</v>
      </c>
      <c r="M31" s="1465">
        <f t="shared" si="2"/>
        <v>22.831050228310502</v>
      </c>
      <c r="N31" s="1465" t="str">
        <f t="shared" si="3"/>
        <v>0</v>
      </c>
      <c r="O31" s="1466" t="str">
        <f t="shared" si="4"/>
        <v>0</v>
      </c>
    </row>
    <row r="32" spans="1:15">
      <c r="A32" s="1436" t="s">
        <v>70</v>
      </c>
      <c r="B32" s="1436" t="s">
        <v>71</v>
      </c>
      <c r="C32" s="1436" t="s">
        <v>264</v>
      </c>
      <c r="D32" s="1442">
        <v>25</v>
      </c>
      <c r="E32" s="1443">
        <v>11</v>
      </c>
      <c r="F32" s="1443">
        <v>11</v>
      </c>
      <c r="G32" s="1444">
        <v>3</v>
      </c>
      <c r="H32" s="1442">
        <v>1830</v>
      </c>
      <c r="I32" s="1443">
        <v>1082</v>
      </c>
      <c r="J32" s="1443">
        <v>728</v>
      </c>
      <c r="K32" s="1444">
        <v>20</v>
      </c>
      <c r="L32" s="1464">
        <f t="shared" si="0"/>
        <v>13.66120218579235</v>
      </c>
      <c r="M32" s="1465">
        <f t="shared" si="2"/>
        <v>10.166358595194085</v>
      </c>
      <c r="N32" s="1465">
        <f t="shared" si="3"/>
        <v>15.109890109890109</v>
      </c>
      <c r="O32" s="1466">
        <f t="shared" si="4"/>
        <v>150</v>
      </c>
    </row>
    <row r="33" spans="1:15">
      <c r="A33" s="1436" t="s">
        <v>72</v>
      </c>
      <c r="B33" s="1436" t="s">
        <v>73</v>
      </c>
      <c r="C33" s="1436" t="s">
        <v>266</v>
      </c>
      <c r="D33" s="1442">
        <v>17</v>
      </c>
      <c r="E33" s="1443">
        <v>7</v>
      </c>
      <c r="F33" s="1443">
        <v>9</v>
      </c>
      <c r="G33" s="1444">
        <v>1</v>
      </c>
      <c r="H33" s="1442">
        <v>739</v>
      </c>
      <c r="I33" s="1443">
        <v>375</v>
      </c>
      <c r="J33" s="1443">
        <v>323</v>
      </c>
      <c r="K33" s="1444">
        <v>41</v>
      </c>
      <c r="L33" s="1464">
        <f t="shared" si="0"/>
        <v>23.004059539918806</v>
      </c>
      <c r="M33" s="1465">
        <f t="shared" si="2"/>
        <v>18.666666666666668</v>
      </c>
      <c r="N33" s="1465">
        <f t="shared" si="3"/>
        <v>27.86377708978328</v>
      </c>
      <c r="O33" s="1466">
        <f t="shared" si="4"/>
        <v>24.390243902439025</v>
      </c>
    </row>
    <row r="34" spans="1:15">
      <c r="A34" s="1436" t="s">
        <v>74</v>
      </c>
      <c r="B34" s="1436" t="s">
        <v>296</v>
      </c>
      <c r="C34" s="1436" t="s">
        <v>267</v>
      </c>
      <c r="D34" s="1442">
        <v>381</v>
      </c>
      <c r="E34" s="1443">
        <v>189</v>
      </c>
      <c r="F34" s="1443">
        <v>62</v>
      </c>
      <c r="G34" s="1444">
        <v>130</v>
      </c>
      <c r="H34" s="1442">
        <v>72210</v>
      </c>
      <c r="I34" s="1443">
        <v>49145</v>
      </c>
      <c r="J34" s="1443">
        <v>8559</v>
      </c>
      <c r="K34" s="1444">
        <v>14506</v>
      </c>
      <c r="L34" s="1464">
        <f t="shared" si="0"/>
        <v>5.2762775238886581</v>
      </c>
      <c r="M34" s="1465">
        <f t="shared" si="2"/>
        <v>3.845762539424153</v>
      </c>
      <c r="N34" s="1465">
        <f t="shared" si="3"/>
        <v>7.2438368968337414</v>
      </c>
      <c r="O34" s="1466">
        <f t="shared" si="4"/>
        <v>8.9618089066593143</v>
      </c>
    </row>
    <row r="35" spans="1:15">
      <c r="A35" s="1436" t="s">
        <v>76</v>
      </c>
      <c r="B35" s="1436" t="s">
        <v>77</v>
      </c>
      <c r="C35" s="1436" t="s">
        <v>267</v>
      </c>
      <c r="D35" s="1442">
        <v>41</v>
      </c>
      <c r="E35" s="1443">
        <v>35</v>
      </c>
      <c r="F35" s="1443">
        <v>4</v>
      </c>
      <c r="G35" s="1444">
        <v>2</v>
      </c>
      <c r="H35" s="1442">
        <v>4722</v>
      </c>
      <c r="I35" s="1443">
        <v>4165</v>
      </c>
      <c r="J35" s="1443">
        <v>452</v>
      </c>
      <c r="K35" s="1444">
        <v>105</v>
      </c>
      <c r="L35" s="1464">
        <f t="shared" si="0"/>
        <v>8.6827615417196107</v>
      </c>
      <c r="M35" s="1465">
        <f t="shared" si="2"/>
        <v>8.4033613445378155</v>
      </c>
      <c r="N35" s="1465">
        <f t="shared" si="3"/>
        <v>8.8495575221238933</v>
      </c>
      <c r="O35" s="1466">
        <f t="shared" si="4"/>
        <v>19.047619047619051</v>
      </c>
    </row>
    <row r="36" spans="1:15">
      <c r="A36" s="1436" t="s">
        <v>78</v>
      </c>
      <c r="B36" s="1436" t="s">
        <v>79</v>
      </c>
      <c r="C36" s="1436" t="s">
        <v>268</v>
      </c>
      <c r="D36" s="1442">
        <v>11</v>
      </c>
      <c r="E36" s="1443">
        <v>11</v>
      </c>
      <c r="F36" s="1443"/>
      <c r="G36" s="1444"/>
      <c r="H36" s="1442">
        <v>911</v>
      </c>
      <c r="I36" s="1443">
        <v>874</v>
      </c>
      <c r="J36" s="1443">
        <v>30</v>
      </c>
      <c r="K36" s="1444">
        <v>7</v>
      </c>
      <c r="L36" s="1464">
        <f t="shared" si="0"/>
        <v>12.074643249176729</v>
      </c>
      <c r="M36" s="1465">
        <f t="shared" si="2"/>
        <v>12.585812356979405</v>
      </c>
      <c r="N36" s="1465" t="str">
        <f t="shared" si="3"/>
        <v>0</v>
      </c>
      <c r="O36" s="1466" t="str">
        <f t="shared" si="4"/>
        <v>0</v>
      </c>
    </row>
    <row r="37" spans="1:15">
      <c r="A37" s="1436" t="s">
        <v>80</v>
      </c>
      <c r="B37" s="1436" t="s">
        <v>81</v>
      </c>
      <c r="C37" s="1436" t="s">
        <v>266</v>
      </c>
      <c r="D37" s="1442">
        <v>11</v>
      </c>
      <c r="E37" s="1443">
        <v>6</v>
      </c>
      <c r="F37" s="1443">
        <v>5</v>
      </c>
      <c r="G37" s="1444"/>
      <c r="H37" s="1442">
        <v>1606</v>
      </c>
      <c r="I37" s="1443">
        <v>1295</v>
      </c>
      <c r="J37" s="1443">
        <v>292</v>
      </c>
      <c r="K37" s="1444">
        <v>19</v>
      </c>
      <c r="L37" s="1464">
        <f t="shared" ref="L37:L68" si="5">IF(D37=0,"0",(D37/H37)*1000)</f>
        <v>6.8493150684931505</v>
      </c>
      <c r="M37" s="1465">
        <f t="shared" si="2"/>
        <v>4.6332046332046328</v>
      </c>
      <c r="N37" s="1465">
        <f t="shared" si="3"/>
        <v>17.123287671232877</v>
      </c>
      <c r="O37" s="1466" t="str">
        <f t="shared" si="4"/>
        <v>0</v>
      </c>
    </row>
    <row r="38" spans="1:15">
      <c r="A38" s="1436" t="s">
        <v>84</v>
      </c>
      <c r="B38" s="1436" t="s">
        <v>85</v>
      </c>
      <c r="C38" s="1436" t="s">
        <v>265</v>
      </c>
      <c r="D38" s="1442">
        <v>51</v>
      </c>
      <c r="E38" s="1443">
        <v>47</v>
      </c>
      <c r="F38" s="1443">
        <v>3</v>
      </c>
      <c r="G38" s="1444">
        <v>1</v>
      </c>
      <c r="H38" s="1442">
        <v>3478</v>
      </c>
      <c r="I38" s="1443">
        <v>3034</v>
      </c>
      <c r="J38" s="1443">
        <v>399</v>
      </c>
      <c r="K38" s="1444">
        <v>45</v>
      </c>
      <c r="L38" s="1464">
        <f t="shared" si="5"/>
        <v>14.663599769982749</v>
      </c>
      <c r="M38" s="1465">
        <f t="shared" ref="M38:M69" si="6">IF(E38=0,"0",(E38/I38)*1000)</f>
        <v>15.491100856954516</v>
      </c>
      <c r="N38" s="1465">
        <f t="shared" ref="N38:N69" si="7">IF(F38=0,"0",(F38/J38)*1000)</f>
        <v>7.518796992481203</v>
      </c>
      <c r="O38" s="1466">
        <f t="shared" ref="O38:O69" si="8">IF(G38=0,"0",(G38/K38)*1000)</f>
        <v>22.222222222222221</v>
      </c>
    </row>
    <row r="39" spans="1:15">
      <c r="A39" s="1436" t="s">
        <v>86</v>
      </c>
      <c r="B39" s="1436" t="s">
        <v>87</v>
      </c>
      <c r="C39" s="1436" t="s">
        <v>267</v>
      </c>
      <c r="D39" s="1442">
        <v>56</v>
      </c>
      <c r="E39" s="1443">
        <v>51</v>
      </c>
      <c r="F39" s="1443">
        <v>3</v>
      </c>
      <c r="G39" s="1444">
        <v>2</v>
      </c>
      <c r="H39" s="1442">
        <v>5367</v>
      </c>
      <c r="I39" s="1443">
        <v>4885</v>
      </c>
      <c r="J39" s="1443">
        <v>354</v>
      </c>
      <c r="K39" s="1444">
        <v>128</v>
      </c>
      <c r="L39" s="1464">
        <f t="shared" si="5"/>
        <v>10.434134525805851</v>
      </c>
      <c r="M39" s="1465">
        <f t="shared" si="6"/>
        <v>10.440122824974411</v>
      </c>
      <c r="N39" s="1465">
        <f t="shared" si="7"/>
        <v>8.4745762711864412</v>
      </c>
      <c r="O39" s="1466">
        <f t="shared" si="8"/>
        <v>15.625</v>
      </c>
    </row>
    <row r="40" spans="1:15">
      <c r="A40" s="1436" t="s">
        <v>92</v>
      </c>
      <c r="B40" s="1436" t="s">
        <v>93</v>
      </c>
      <c r="C40" s="1436" t="s">
        <v>268</v>
      </c>
      <c r="D40" s="1442">
        <v>20</v>
      </c>
      <c r="E40" s="1443">
        <v>20</v>
      </c>
      <c r="F40" s="1443"/>
      <c r="G40" s="1444"/>
      <c r="H40" s="1442">
        <v>972</v>
      </c>
      <c r="I40" s="1443">
        <v>933</v>
      </c>
      <c r="J40" s="1443">
        <v>34</v>
      </c>
      <c r="K40" s="1444">
        <v>5</v>
      </c>
      <c r="L40" s="1464">
        <f t="shared" si="5"/>
        <v>20.5761316872428</v>
      </c>
      <c r="M40" s="1465">
        <f t="shared" si="6"/>
        <v>21.436227224008576</v>
      </c>
      <c r="N40" s="1465" t="str">
        <f t="shared" si="7"/>
        <v>0</v>
      </c>
      <c r="O40" s="1466" t="str">
        <f t="shared" si="8"/>
        <v>0</v>
      </c>
    </row>
    <row r="41" spans="1:15">
      <c r="A41" s="1436" t="s">
        <v>94</v>
      </c>
      <c r="B41" s="1436" t="s">
        <v>95</v>
      </c>
      <c r="C41" s="1436" t="s">
        <v>264</v>
      </c>
      <c r="D41" s="1442">
        <v>26</v>
      </c>
      <c r="E41" s="1443">
        <v>24</v>
      </c>
      <c r="F41" s="1443"/>
      <c r="G41" s="1444">
        <v>2</v>
      </c>
      <c r="H41" s="1442">
        <v>2240</v>
      </c>
      <c r="I41" s="1443">
        <v>1994</v>
      </c>
      <c r="J41" s="1443">
        <v>207</v>
      </c>
      <c r="K41" s="1444">
        <v>39</v>
      </c>
      <c r="L41" s="1464">
        <f t="shared" si="5"/>
        <v>11.607142857142858</v>
      </c>
      <c r="M41" s="1465">
        <f t="shared" si="6"/>
        <v>12.036108324974924</v>
      </c>
      <c r="N41" s="1465" t="str">
        <f t="shared" si="7"/>
        <v>0</v>
      </c>
      <c r="O41" s="1466">
        <f t="shared" si="8"/>
        <v>51.282051282051277</v>
      </c>
    </row>
    <row r="42" spans="1:15">
      <c r="A42" s="1436" t="s">
        <v>96</v>
      </c>
      <c r="B42" s="1436" t="s">
        <v>97</v>
      </c>
      <c r="C42" s="1436" t="s">
        <v>266</v>
      </c>
      <c r="D42" s="1442">
        <v>4</v>
      </c>
      <c r="E42" s="1443">
        <v>2</v>
      </c>
      <c r="F42" s="1443">
        <v>2</v>
      </c>
      <c r="G42" s="1444"/>
      <c r="H42" s="1442">
        <v>1258</v>
      </c>
      <c r="I42" s="1443">
        <v>1020</v>
      </c>
      <c r="J42" s="1443">
        <v>224</v>
      </c>
      <c r="K42" s="1444">
        <v>14</v>
      </c>
      <c r="L42" s="1464">
        <f t="shared" si="5"/>
        <v>3.1796502384737679</v>
      </c>
      <c r="M42" s="1465">
        <f t="shared" si="6"/>
        <v>1.9607843137254901</v>
      </c>
      <c r="N42" s="1465">
        <f t="shared" si="7"/>
        <v>8.9285714285714288</v>
      </c>
      <c r="O42" s="1466" t="str">
        <f t="shared" si="8"/>
        <v>0</v>
      </c>
    </row>
    <row r="43" spans="1:15">
      <c r="A43" s="1436" t="s">
        <v>98</v>
      </c>
      <c r="B43" s="1436" t="s">
        <v>99</v>
      </c>
      <c r="C43" s="1436" t="s">
        <v>268</v>
      </c>
      <c r="D43" s="1442">
        <v>12</v>
      </c>
      <c r="E43" s="1443">
        <v>12</v>
      </c>
      <c r="F43" s="1443"/>
      <c r="G43" s="1444"/>
      <c r="H43" s="1442">
        <v>836</v>
      </c>
      <c r="I43" s="1443">
        <v>807</v>
      </c>
      <c r="J43" s="1443">
        <v>25</v>
      </c>
      <c r="K43" s="1444">
        <v>4</v>
      </c>
      <c r="L43" s="1464">
        <f t="shared" si="5"/>
        <v>14.354066985645934</v>
      </c>
      <c r="M43" s="1465">
        <f t="shared" si="6"/>
        <v>14.869888475836431</v>
      </c>
      <c r="N43" s="1465" t="str">
        <f t="shared" si="7"/>
        <v>0</v>
      </c>
      <c r="O43" s="1466" t="str">
        <f t="shared" si="8"/>
        <v>0</v>
      </c>
    </row>
    <row r="44" spans="1:15">
      <c r="A44" s="1436" t="s">
        <v>100</v>
      </c>
      <c r="B44" s="1436" t="s">
        <v>101</v>
      </c>
      <c r="C44" s="1436" t="s">
        <v>267</v>
      </c>
      <c r="D44" s="1442">
        <v>6</v>
      </c>
      <c r="E44" s="1443">
        <v>4</v>
      </c>
      <c r="F44" s="1443">
        <v>1</v>
      </c>
      <c r="G44" s="1444">
        <v>1</v>
      </c>
      <c r="H44" s="1442">
        <v>1090</v>
      </c>
      <c r="I44" s="1443">
        <v>956</v>
      </c>
      <c r="J44" s="1443">
        <v>107</v>
      </c>
      <c r="K44" s="1444">
        <v>27</v>
      </c>
      <c r="L44" s="1464">
        <f t="shared" si="5"/>
        <v>5.5045871559633035</v>
      </c>
      <c r="M44" s="1465">
        <f t="shared" si="6"/>
        <v>4.1841004184100417</v>
      </c>
      <c r="N44" s="1465">
        <f t="shared" si="7"/>
        <v>9.3457943925233646</v>
      </c>
      <c r="O44" s="1466">
        <f t="shared" si="8"/>
        <v>37.037037037037038</v>
      </c>
    </row>
    <row r="45" spans="1:15">
      <c r="A45" s="1436" t="s">
        <v>102</v>
      </c>
      <c r="B45" s="1436" t="s">
        <v>282</v>
      </c>
      <c r="C45" s="1436" t="s">
        <v>264</v>
      </c>
      <c r="D45" s="1442">
        <v>21</v>
      </c>
      <c r="E45" s="1443">
        <v>4</v>
      </c>
      <c r="F45" s="1443">
        <v>15</v>
      </c>
      <c r="G45" s="1444">
        <v>2</v>
      </c>
      <c r="H45" s="1442">
        <v>936</v>
      </c>
      <c r="I45" s="1443">
        <v>257</v>
      </c>
      <c r="J45" s="1443">
        <v>664</v>
      </c>
      <c r="K45" s="1444">
        <v>15</v>
      </c>
      <c r="L45" s="1464">
        <f t="shared" si="5"/>
        <v>22.435897435897434</v>
      </c>
      <c r="M45" s="1465">
        <f t="shared" si="6"/>
        <v>15.56420233463035</v>
      </c>
      <c r="N45" s="1465">
        <f t="shared" si="7"/>
        <v>22.590361445783131</v>
      </c>
      <c r="O45" s="1466">
        <f t="shared" si="8"/>
        <v>133.33333333333334</v>
      </c>
    </row>
    <row r="46" spans="1:15">
      <c r="A46" s="1436" t="s">
        <v>104</v>
      </c>
      <c r="B46" s="1436" t="s">
        <v>105</v>
      </c>
      <c r="C46" s="1436" t="s">
        <v>265</v>
      </c>
      <c r="D46" s="1442">
        <v>41</v>
      </c>
      <c r="E46" s="1443">
        <v>17</v>
      </c>
      <c r="F46" s="1443">
        <v>24</v>
      </c>
      <c r="G46" s="1444"/>
      <c r="H46" s="1442">
        <v>2250</v>
      </c>
      <c r="I46" s="1443">
        <v>1282</v>
      </c>
      <c r="J46" s="1443">
        <v>961</v>
      </c>
      <c r="K46" s="1444">
        <v>7</v>
      </c>
      <c r="L46" s="1464">
        <f t="shared" si="5"/>
        <v>18.222222222222221</v>
      </c>
      <c r="M46" s="1465">
        <f t="shared" si="6"/>
        <v>13.260530421216849</v>
      </c>
      <c r="N46" s="1465">
        <f t="shared" si="7"/>
        <v>24.973985431841829</v>
      </c>
      <c r="O46" s="1466" t="str">
        <f t="shared" si="8"/>
        <v>0</v>
      </c>
    </row>
    <row r="47" spans="1:15">
      <c r="A47" s="1436" t="s">
        <v>108</v>
      </c>
      <c r="B47" s="1436" t="s">
        <v>109</v>
      </c>
      <c r="C47" s="1436" t="s">
        <v>266</v>
      </c>
      <c r="D47" s="1442">
        <v>39</v>
      </c>
      <c r="E47" s="1443">
        <v>28</v>
      </c>
      <c r="F47" s="1443">
        <v>10</v>
      </c>
      <c r="G47" s="1444">
        <v>1</v>
      </c>
      <c r="H47" s="1442">
        <v>7304</v>
      </c>
      <c r="I47" s="1443">
        <v>6412</v>
      </c>
      <c r="J47" s="1443">
        <v>711</v>
      </c>
      <c r="K47" s="1444">
        <v>181</v>
      </c>
      <c r="L47" s="1464">
        <f t="shared" si="5"/>
        <v>5.3395399780941952</v>
      </c>
      <c r="M47" s="1465">
        <f t="shared" si="6"/>
        <v>4.3668122270742353</v>
      </c>
      <c r="N47" s="1465">
        <f t="shared" si="7"/>
        <v>14.064697609001406</v>
      </c>
      <c r="O47" s="1466">
        <f t="shared" si="8"/>
        <v>5.5248618784530388</v>
      </c>
    </row>
    <row r="48" spans="1:15">
      <c r="A48" s="1436" t="s">
        <v>110</v>
      </c>
      <c r="B48" s="1436" t="s">
        <v>111</v>
      </c>
      <c r="C48" s="1436" t="s">
        <v>266</v>
      </c>
      <c r="D48" s="1442">
        <v>171</v>
      </c>
      <c r="E48" s="1443">
        <v>59</v>
      </c>
      <c r="F48" s="1443">
        <v>101</v>
      </c>
      <c r="G48" s="1444">
        <v>11</v>
      </c>
      <c r="H48" s="1442">
        <v>19605</v>
      </c>
      <c r="I48" s="1443">
        <v>10816</v>
      </c>
      <c r="J48" s="1443">
        <v>7390</v>
      </c>
      <c r="K48" s="1444">
        <v>1399</v>
      </c>
      <c r="L48" s="1464">
        <f t="shared" si="5"/>
        <v>8.7222647283856158</v>
      </c>
      <c r="M48" s="1465">
        <f t="shared" si="6"/>
        <v>5.4548816568047336</v>
      </c>
      <c r="N48" s="1465">
        <f t="shared" si="7"/>
        <v>13.667117726657645</v>
      </c>
      <c r="O48" s="1466">
        <f t="shared" si="8"/>
        <v>7.8627591136526087</v>
      </c>
    </row>
    <row r="49" spans="1:15">
      <c r="A49" s="1436" t="s">
        <v>112</v>
      </c>
      <c r="B49" s="1436" t="s">
        <v>300</v>
      </c>
      <c r="C49" s="1436" t="s">
        <v>265</v>
      </c>
      <c r="D49" s="1442">
        <v>71</v>
      </c>
      <c r="E49" s="1443">
        <v>42</v>
      </c>
      <c r="F49" s="1443">
        <v>25</v>
      </c>
      <c r="G49" s="1444">
        <v>4</v>
      </c>
      <c r="H49" s="1442">
        <v>3765</v>
      </c>
      <c r="I49" s="1443">
        <v>2505</v>
      </c>
      <c r="J49" s="1443">
        <v>1199</v>
      </c>
      <c r="K49" s="1444">
        <v>61</v>
      </c>
      <c r="L49" s="1464">
        <f t="shared" si="5"/>
        <v>18.857901726427624</v>
      </c>
      <c r="M49" s="1465">
        <f t="shared" si="6"/>
        <v>16.766467065868262</v>
      </c>
      <c r="N49" s="1465">
        <f t="shared" si="7"/>
        <v>20.850708924103419</v>
      </c>
      <c r="O49" s="1466">
        <f t="shared" si="8"/>
        <v>65.573770491803288</v>
      </c>
    </row>
    <row r="50" spans="1:15">
      <c r="A50" s="1436" t="s">
        <v>114</v>
      </c>
      <c r="B50" s="1436" t="s">
        <v>115</v>
      </c>
      <c r="C50" s="1436" t="s">
        <v>265</v>
      </c>
      <c r="D50" s="1442">
        <v>0</v>
      </c>
      <c r="E50" s="1443"/>
      <c r="F50" s="1443"/>
      <c r="G50" s="1444"/>
      <c r="H50" s="1442">
        <v>99</v>
      </c>
      <c r="I50" s="1443">
        <v>98</v>
      </c>
      <c r="J50" s="1443">
        <v>1</v>
      </c>
      <c r="K50" s="1444"/>
      <c r="L50" s="1464" t="str">
        <f t="shared" si="5"/>
        <v>0</v>
      </c>
      <c r="M50" s="1465" t="str">
        <f t="shared" si="6"/>
        <v>0</v>
      </c>
      <c r="N50" s="1465" t="str">
        <f t="shared" si="7"/>
        <v>0</v>
      </c>
      <c r="O50" s="1466" t="str">
        <f t="shared" si="8"/>
        <v>0</v>
      </c>
    </row>
    <row r="51" spans="1:15">
      <c r="A51" s="1436" t="s">
        <v>118</v>
      </c>
      <c r="B51" s="1436" t="s">
        <v>270</v>
      </c>
      <c r="C51" s="1436" t="s">
        <v>264</v>
      </c>
      <c r="D51" s="1442">
        <v>12</v>
      </c>
      <c r="E51" s="1443">
        <v>3</v>
      </c>
      <c r="F51" s="1443">
        <v>9</v>
      </c>
      <c r="G51" s="1444"/>
      <c r="H51" s="1442">
        <v>2216</v>
      </c>
      <c r="I51" s="1443">
        <v>1533</v>
      </c>
      <c r="J51" s="1443">
        <v>654</v>
      </c>
      <c r="K51" s="1444">
        <v>29</v>
      </c>
      <c r="L51" s="1464">
        <f t="shared" si="5"/>
        <v>5.4151624548736459</v>
      </c>
      <c r="M51" s="1465">
        <f t="shared" si="6"/>
        <v>1.9569471624266144</v>
      </c>
      <c r="N51" s="1465">
        <f t="shared" si="7"/>
        <v>13.761467889908257</v>
      </c>
      <c r="O51" s="1466" t="str">
        <f t="shared" si="8"/>
        <v>0</v>
      </c>
    </row>
    <row r="52" spans="1:15">
      <c r="A52" s="1436" t="s">
        <v>120</v>
      </c>
      <c r="B52" s="1436" t="s">
        <v>121</v>
      </c>
      <c r="C52" s="1436" t="s">
        <v>264</v>
      </c>
      <c r="D52" s="1442">
        <v>36</v>
      </c>
      <c r="E52" s="1443">
        <v>14</v>
      </c>
      <c r="F52" s="1443">
        <v>16</v>
      </c>
      <c r="G52" s="1444">
        <v>6</v>
      </c>
      <c r="H52" s="1442">
        <v>4102</v>
      </c>
      <c r="I52" s="1443">
        <v>3220</v>
      </c>
      <c r="J52" s="1443">
        <v>716</v>
      </c>
      <c r="K52" s="1444">
        <v>166</v>
      </c>
      <c r="L52" s="1464">
        <f t="shared" si="5"/>
        <v>8.7762067284251586</v>
      </c>
      <c r="M52" s="1465">
        <f t="shared" si="6"/>
        <v>4.3478260869565215</v>
      </c>
      <c r="N52" s="1465">
        <f t="shared" si="7"/>
        <v>22.346368715083798</v>
      </c>
      <c r="O52" s="1466">
        <f t="shared" si="8"/>
        <v>36.144578313253014</v>
      </c>
    </row>
    <row r="53" spans="1:15">
      <c r="A53" s="1436" t="s">
        <v>122</v>
      </c>
      <c r="B53" s="1436" t="s">
        <v>287</v>
      </c>
      <c r="C53" s="1436" t="s">
        <v>266</v>
      </c>
      <c r="D53" s="1442">
        <v>7</v>
      </c>
      <c r="E53" s="1443">
        <v>5</v>
      </c>
      <c r="F53" s="1443">
        <v>2</v>
      </c>
      <c r="G53" s="1444"/>
      <c r="H53" s="1442">
        <v>366</v>
      </c>
      <c r="I53" s="1443">
        <v>267</v>
      </c>
      <c r="J53" s="1443">
        <v>93</v>
      </c>
      <c r="K53" s="1444">
        <v>6</v>
      </c>
      <c r="L53" s="1464">
        <f t="shared" si="5"/>
        <v>19.125683060109289</v>
      </c>
      <c r="M53" s="1465">
        <f t="shared" si="6"/>
        <v>18.726591760299627</v>
      </c>
      <c r="N53" s="1465">
        <f t="shared" si="7"/>
        <v>21.505376344086024</v>
      </c>
      <c r="O53" s="1466" t="str">
        <f t="shared" si="8"/>
        <v>0</v>
      </c>
    </row>
    <row r="54" spans="1:15">
      <c r="A54" s="1436" t="s">
        <v>124</v>
      </c>
      <c r="B54" s="1436" t="s">
        <v>125</v>
      </c>
      <c r="C54" s="1436" t="s">
        <v>267</v>
      </c>
      <c r="D54" s="1442">
        <v>28</v>
      </c>
      <c r="E54" s="1443">
        <v>18</v>
      </c>
      <c r="F54" s="1443">
        <v>10</v>
      </c>
      <c r="G54" s="1444"/>
      <c r="H54" s="1442">
        <v>1687</v>
      </c>
      <c r="I54" s="1443">
        <v>1274</v>
      </c>
      <c r="J54" s="1443">
        <v>374</v>
      </c>
      <c r="K54" s="1444">
        <v>39</v>
      </c>
      <c r="L54" s="1464">
        <f t="shared" si="5"/>
        <v>16.597510373443985</v>
      </c>
      <c r="M54" s="1465">
        <f t="shared" si="6"/>
        <v>14.128728414442701</v>
      </c>
      <c r="N54" s="1465">
        <f t="shared" si="7"/>
        <v>26.737967914438503</v>
      </c>
      <c r="O54" s="1466" t="str">
        <f t="shared" si="8"/>
        <v>0</v>
      </c>
    </row>
    <row r="55" spans="1:15">
      <c r="A55" s="1436" t="s">
        <v>126</v>
      </c>
      <c r="B55" s="1436" t="s">
        <v>127</v>
      </c>
      <c r="C55" s="1436" t="s">
        <v>266</v>
      </c>
      <c r="D55" s="1442">
        <v>7</v>
      </c>
      <c r="E55" s="1443">
        <v>6</v>
      </c>
      <c r="F55" s="1443">
        <v>1</v>
      </c>
      <c r="G55" s="1444"/>
      <c r="H55" s="1442">
        <v>1032</v>
      </c>
      <c r="I55" s="1443">
        <v>789</v>
      </c>
      <c r="J55" s="1443">
        <v>206</v>
      </c>
      <c r="K55" s="1444">
        <v>37</v>
      </c>
      <c r="L55" s="1464">
        <f t="shared" si="5"/>
        <v>6.7829457364341081</v>
      </c>
      <c r="M55" s="1465">
        <f t="shared" si="6"/>
        <v>7.6045627376425857</v>
      </c>
      <c r="N55" s="1465">
        <f t="shared" si="7"/>
        <v>4.8543689320388346</v>
      </c>
      <c r="O55" s="1466" t="str">
        <f t="shared" si="8"/>
        <v>0</v>
      </c>
    </row>
    <row r="56" spans="1:15">
      <c r="A56" s="1436" t="s">
        <v>128</v>
      </c>
      <c r="B56" s="1436" t="s">
        <v>129</v>
      </c>
      <c r="C56" s="1436" t="s">
        <v>266</v>
      </c>
      <c r="D56" s="1442">
        <v>4</v>
      </c>
      <c r="E56" s="1443">
        <v>1</v>
      </c>
      <c r="F56" s="1443">
        <v>3</v>
      </c>
      <c r="G56" s="1444"/>
      <c r="H56" s="1442">
        <v>480</v>
      </c>
      <c r="I56" s="1443">
        <v>263</v>
      </c>
      <c r="J56" s="1443">
        <v>209</v>
      </c>
      <c r="K56" s="1444">
        <v>8</v>
      </c>
      <c r="L56" s="1464">
        <f t="shared" si="5"/>
        <v>8.3333333333333339</v>
      </c>
      <c r="M56" s="1465">
        <f t="shared" si="6"/>
        <v>3.8022813688212929</v>
      </c>
      <c r="N56" s="1465">
        <f t="shared" si="7"/>
        <v>14.354066985645934</v>
      </c>
      <c r="O56" s="1466" t="str">
        <f t="shared" si="8"/>
        <v>0</v>
      </c>
    </row>
    <row r="57" spans="1:15">
      <c r="A57" s="1436" t="s">
        <v>130</v>
      </c>
      <c r="B57" s="1436" t="s">
        <v>131</v>
      </c>
      <c r="C57" s="1436" t="s">
        <v>268</v>
      </c>
      <c r="D57" s="1442">
        <v>42</v>
      </c>
      <c r="E57" s="1443">
        <v>41</v>
      </c>
      <c r="F57" s="1443">
        <v>1</v>
      </c>
      <c r="G57" s="1444"/>
      <c r="H57" s="1442">
        <v>1350</v>
      </c>
      <c r="I57" s="1443">
        <v>1327</v>
      </c>
      <c r="J57" s="1443">
        <v>14</v>
      </c>
      <c r="K57" s="1444">
        <v>9</v>
      </c>
      <c r="L57" s="1464">
        <f t="shared" si="5"/>
        <v>31.111111111111111</v>
      </c>
      <c r="M57" s="1465">
        <f t="shared" si="6"/>
        <v>30.896759608138659</v>
      </c>
      <c r="N57" s="1465">
        <f t="shared" si="7"/>
        <v>71.428571428571431</v>
      </c>
      <c r="O57" s="1466" t="str">
        <f t="shared" si="8"/>
        <v>0</v>
      </c>
    </row>
    <row r="58" spans="1:15">
      <c r="A58" s="1436" t="s">
        <v>132</v>
      </c>
      <c r="B58" s="1436" t="s">
        <v>133</v>
      </c>
      <c r="C58" s="1436" t="s">
        <v>267</v>
      </c>
      <c r="D58" s="1442">
        <v>109</v>
      </c>
      <c r="E58" s="1443">
        <v>71</v>
      </c>
      <c r="F58" s="1443">
        <v>12</v>
      </c>
      <c r="G58" s="1444">
        <v>26</v>
      </c>
      <c r="H58" s="1442">
        <v>24410</v>
      </c>
      <c r="I58" s="1443">
        <v>18549</v>
      </c>
      <c r="J58" s="1443">
        <v>2244</v>
      </c>
      <c r="K58" s="1444">
        <v>3617</v>
      </c>
      <c r="L58" s="1464">
        <f t="shared" si="5"/>
        <v>4.4653830397378131</v>
      </c>
      <c r="M58" s="1465">
        <f t="shared" si="6"/>
        <v>3.8276996064477871</v>
      </c>
      <c r="N58" s="1465">
        <f t="shared" si="7"/>
        <v>5.3475935828877006</v>
      </c>
      <c r="O58" s="1466">
        <f t="shared" si="8"/>
        <v>7.188277578103401</v>
      </c>
    </row>
    <row r="59" spans="1:15">
      <c r="A59" s="1436" t="s">
        <v>134</v>
      </c>
      <c r="B59" s="1436" t="s">
        <v>135</v>
      </c>
      <c r="C59" s="1436" t="s">
        <v>267</v>
      </c>
      <c r="D59" s="1442">
        <v>29</v>
      </c>
      <c r="E59" s="1443">
        <v>24</v>
      </c>
      <c r="F59" s="1443">
        <v>3</v>
      </c>
      <c r="G59" s="1444">
        <v>2</v>
      </c>
      <c r="H59" s="1442">
        <v>1858</v>
      </c>
      <c r="I59" s="1443">
        <v>1436</v>
      </c>
      <c r="J59" s="1443">
        <v>399</v>
      </c>
      <c r="K59" s="1444">
        <v>23</v>
      </c>
      <c r="L59" s="1464">
        <f t="shared" si="5"/>
        <v>15.608180839612487</v>
      </c>
      <c r="M59" s="1465">
        <f t="shared" si="6"/>
        <v>16.713091922005571</v>
      </c>
      <c r="N59" s="1465">
        <f t="shared" si="7"/>
        <v>7.518796992481203</v>
      </c>
      <c r="O59" s="1466">
        <f t="shared" si="8"/>
        <v>86.956521739130437</v>
      </c>
    </row>
    <row r="60" spans="1:15">
      <c r="A60" s="1436" t="s">
        <v>136</v>
      </c>
      <c r="B60" s="1436" t="s">
        <v>137</v>
      </c>
      <c r="C60" s="1436" t="s">
        <v>266</v>
      </c>
      <c r="D60" s="1442">
        <v>22</v>
      </c>
      <c r="E60" s="1443">
        <v>6</v>
      </c>
      <c r="F60" s="1443">
        <v>15</v>
      </c>
      <c r="G60" s="1444">
        <v>1</v>
      </c>
      <c r="H60" s="1442">
        <v>652</v>
      </c>
      <c r="I60" s="1443">
        <v>424</v>
      </c>
      <c r="J60" s="1443">
        <v>212</v>
      </c>
      <c r="K60" s="1444">
        <v>16</v>
      </c>
      <c r="L60" s="1464">
        <f t="shared" si="5"/>
        <v>33.742331288343557</v>
      </c>
      <c r="M60" s="1465">
        <f t="shared" si="6"/>
        <v>14.150943396226415</v>
      </c>
      <c r="N60" s="1465">
        <f t="shared" si="7"/>
        <v>70.754716981132077</v>
      </c>
      <c r="O60" s="1466">
        <f t="shared" si="8"/>
        <v>62.5</v>
      </c>
    </row>
    <row r="61" spans="1:15">
      <c r="A61" s="1436" t="s">
        <v>140</v>
      </c>
      <c r="B61" s="1436" t="s">
        <v>141</v>
      </c>
      <c r="C61" s="1436" t="s">
        <v>267</v>
      </c>
      <c r="D61" s="1442">
        <v>11</v>
      </c>
      <c r="E61" s="1443">
        <v>8</v>
      </c>
      <c r="F61" s="1443">
        <v>3</v>
      </c>
      <c r="G61" s="1444"/>
      <c r="H61" s="1442">
        <v>838</v>
      </c>
      <c r="I61" s="1443">
        <v>737</v>
      </c>
      <c r="J61" s="1443">
        <v>93</v>
      </c>
      <c r="K61" s="1444">
        <v>8</v>
      </c>
      <c r="L61" s="1464">
        <f t="shared" si="5"/>
        <v>13.126491646778042</v>
      </c>
      <c r="M61" s="1465">
        <f t="shared" si="6"/>
        <v>10.854816824966077</v>
      </c>
      <c r="N61" s="1465">
        <f t="shared" si="7"/>
        <v>32.258064516129032</v>
      </c>
      <c r="O61" s="1466" t="str">
        <f t="shared" si="8"/>
        <v>0</v>
      </c>
    </row>
    <row r="62" spans="1:15">
      <c r="A62" s="1436" t="s">
        <v>146</v>
      </c>
      <c r="B62" s="1436" t="s">
        <v>147</v>
      </c>
      <c r="C62" s="1436" t="s">
        <v>264</v>
      </c>
      <c r="D62" s="1442">
        <v>2</v>
      </c>
      <c r="E62" s="1443">
        <v>2</v>
      </c>
      <c r="F62" s="1443"/>
      <c r="G62" s="1444"/>
      <c r="H62" s="1442">
        <v>502</v>
      </c>
      <c r="I62" s="1443">
        <v>438</v>
      </c>
      <c r="J62" s="1443">
        <v>55</v>
      </c>
      <c r="K62" s="1444">
        <v>9</v>
      </c>
      <c r="L62" s="1464">
        <f t="shared" si="5"/>
        <v>3.9840637450199203</v>
      </c>
      <c r="M62" s="1465">
        <f t="shared" si="6"/>
        <v>4.5662100456620998</v>
      </c>
      <c r="N62" s="1465" t="str">
        <f t="shared" si="7"/>
        <v>0</v>
      </c>
      <c r="O62" s="1466" t="str">
        <f t="shared" si="8"/>
        <v>0</v>
      </c>
    </row>
    <row r="63" spans="1:15">
      <c r="A63" s="1436" t="s">
        <v>148</v>
      </c>
      <c r="B63" s="1436" t="s">
        <v>149</v>
      </c>
      <c r="C63" s="1436" t="s">
        <v>265</v>
      </c>
      <c r="D63" s="1442">
        <v>35</v>
      </c>
      <c r="E63" s="1443">
        <v>11</v>
      </c>
      <c r="F63" s="1443">
        <v>23</v>
      </c>
      <c r="G63" s="1444">
        <v>1</v>
      </c>
      <c r="H63" s="1442">
        <v>1779</v>
      </c>
      <c r="I63" s="1443">
        <v>990</v>
      </c>
      <c r="J63" s="1443">
        <v>757</v>
      </c>
      <c r="K63" s="1444">
        <v>32</v>
      </c>
      <c r="L63" s="1464">
        <f t="shared" si="5"/>
        <v>19.673974142776839</v>
      </c>
      <c r="M63" s="1465">
        <f t="shared" si="6"/>
        <v>11.111111111111111</v>
      </c>
      <c r="N63" s="1465">
        <f t="shared" si="7"/>
        <v>30.383091149273447</v>
      </c>
      <c r="O63" s="1466">
        <f t="shared" si="8"/>
        <v>31.25</v>
      </c>
    </row>
    <row r="64" spans="1:15">
      <c r="A64" s="1436" t="s">
        <v>150</v>
      </c>
      <c r="B64" s="1436" t="s">
        <v>151</v>
      </c>
      <c r="C64" s="1436" t="s">
        <v>266</v>
      </c>
      <c r="D64" s="1442">
        <v>4</v>
      </c>
      <c r="E64" s="1443">
        <v>1</v>
      </c>
      <c r="F64" s="1443">
        <v>2</v>
      </c>
      <c r="G64" s="1444">
        <v>1</v>
      </c>
      <c r="H64" s="1442">
        <v>472</v>
      </c>
      <c r="I64" s="1443">
        <v>376</v>
      </c>
      <c r="J64" s="1443">
        <v>90</v>
      </c>
      <c r="K64" s="1444">
        <v>6</v>
      </c>
      <c r="L64" s="1464">
        <f t="shared" si="5"/>
        <v>8.4745762711864412</v>
      </c>
      <c r="M64" s="1465">
        <f t="shared" si="6"/>
        <v>2.6595744680851063</v>
      </c>
      <c r="N64" s="1465">
        <f t="shared" si="7"/>
        <v>22.222222222222221</v>
      </c>
      <c r="O64" s="1466">
        <f t="shared" si="8"/>
        <v>166.66666666666666</v>
      </c>
    </row>
    <row r="65" spans="1:15">
      <c r="A65" s="1436" t="s">
        <v>152</v>
      </c>
      <c r="B65" s="1436" t="s">
        <v>153</v>
      </c>
      <c r="C65" s="1436" t="s">
        <v>268</v>
      </c>
      <c r="D65" s="1442">
        <v>54</v>
      </c>
      <c r="E65" s="1443">
        <v>46</v>
      </c>
      <c r="F65" s="1443">
        <v>6</v>
      </c>
      <c r="G65" s="1444">
        <v>2</v>
      </c>
      <c r="H65" s="1442">
        <v>6757</v>
      </c>
      <c r="I65" s="1443">
        <v>5958</v>
      </c>
      <c r="J65" s="1443">
        <v>347</v>
      </c>
      <c r="K65" s="1444">
        <v>452</v>
      </c>
      <c r="L65" s="1464">
        <f t="shared" si="5"/>
        <v>7.9917122983572586</v>
      </c>
      <c r="M65" s="1465">
        <f t="shared" si="6"/>
        <v>7.7207116482040954</v>
      </c>
      <c r="N65" s="1465">
        <f t="shared" si="7"/>
        <v>17.291066282420751</v>
      </c>
      <c r="O65" s="1466">
        <f t="shared" si="8"/>
        <v>4.4247787610619467</v>
      </c>
    </row>
    <row r="66" spans="1:15">
      <c r="A66" s="1436" t="s">
        <v>154</v>
      </c>
      <c r="B66" s="1436" t="s">
        <v>155</v>
      </c>
      <c r="C66" s="1436" t="s">
        <v>265</v>
      </c>
      <c r="D66" s="1442">
        <v>8</v>
      </c>
      <c r="E66" s="1443">
        <v>8</v>
      </c>
      <c r="F66" s="1443"/>
      <c r="G66" s="1444"/>
      <c r="H66" s="1442">
        <v>760</v>
      </c>
      <c r="I66" s="1443">
        <v>610</v>
      </c>
      <c r="J66" s="1443">
        <v>138</v>
      </c>
      <c r="K66" s="1444">
        <v>12</v>
      </c>
      <c r="L66" s="1464">
        <f t="shared" si="5"/>
        <v>10.526315789473683</v>
      </c>
      <c r="M66" s="1465">
        <f t="shared" si="6"/>
        <v>13.114754098360656</v>
      </c>
      <c r="N66" s="1465" t="str">
        <f t="shared" si="7"/>
        <v>0</v>
      </c>
      <c r="O66" s="1466" t="str">
        <f t="shared" si="8"/>
        <v>0</v>
      </c>
    </row>
    <row r="67" spans="1:15">
      <c r="A67" s="1436" t="s">
        <v>156</v>
      </c>
      <c r="B67" s="1436" t="s">
        <v>157</v>
      </c>
      <c r="C67" s="1436" t="s">
        <v>266</v>
      </c>
      <c r="D67" s="1442">
        <v>12</v>
      </c>
      <c r="E67" s="1443">
        <v>11</v>
      </c>
      <c r="F67" s="1443"/>
      <c r="G67" s="1444">
        <v>1</v>
      </c>
      <c r="H67" s="1442">
        <v>1159</v>
      </c>
      <c r="I67" s="1443">
        <v>957</v>
      </c>
      <c r="J67" s="1443">
        <v>175</v>
      </c>
      <c r="K67" s="1444">
        <v>27</v>
      </c>
      <c r="L67" s="1464">
        <f t="shared" si="5"/>
        <v>10.353753235547885</v>
      </c>
      <c r="M67" s="1465">
        <f t="shared" si="6"/>
        <v>11.494252873563218</v>
      </c>
      <c r="N67" s="1465" t="str">
        <f t="shared" si="7"/>
        <v>0</v>
      </c>
      <c r="O67" s="1466">
        <f t="shared" si="8"/>
        <v>37.037037037037038</v>
      </c>
    </row>
    <row r="68" spans="1:15">
      <c r="A68" s="1436" t="s">
        <v>162</v>
      </c>
      <c r="B68" s="1436" t="s">
        <v>163</v>
      </c>
      <c r="C68" s="1436" t="s">
        <v>264</v>
      </c>
      <c r="D68" s="1442">
        <v>9</v>
      </c>
      <c r="E68" s="1443">
        <v>4</v>
      </c>
      <c r="F68" s="1443">
        <v>5</v>
      </c>
      <c r="G68" s="1444"/>
      <c r="H68" s="1442">
        <v>606</v>
      </c>
      <c r="I68" s="1443">
        <v>299</v>
      </c>
      <c r="J68" s="1443">
        <v>297</v>
      </c>
      <c r="K68" s="1444">
        <v>10</v>
      </c>
      <c r="L68" s="1464">
        <f t="shared" si="5"/>
        <v>14.85148514851485</v>
      </c>
      <c r="M68" s="1465">
        <f t="shared" si="6"/>
        <v>13.377926421404682</v>
      </c>
      <c r="N68" s="1465">
        <f t="shared" si="7"/>
        <v>16.835016835016834</v>
      </c>
      <c r="O68" s="1466" t="str">
        <f t="shared" si="8"/>
        <v>0</v>
      </c>
    </row>
    <row r="69" spans="1:15">
      <c r="A69" s="1436" t="s">
        <v>164</v>
      </c>
      <c r="B69" s="1436" t="s">
        <v>165</v>
      </c>
      <c r="C69" s="1436" t="s">
        <v>266</v>
      </c>
      <c r="D69" s="1442">
        <v>4</v>
      </c>
      <c r="E69" s="1443">
        <v>3</v>
      </c>
      <c r="F69" s="1443">
        <v>1</v>
      </c>
      <c r="G69" s="1444"/>
      <c r="H69" s="1442">
        <v>518</v>
      </c>
      <c r="I69" s="1443">
        <v>322</v>
      </c>
      <c r="J69" s="1443">
        <v>189</v>
      </c>
      <c r="K69" s="1444">
        <v>7</v>
      </c>
      <c r="L69" s="1464">
        <f t="shared" ref="L69:L100" si="9">IF(D69=0,"0",(D69/H69)*1000)</f>
        <v>7.7220077220077226</v>
      </c>
      <c r="M69" s="1465">
        <f t="shared" si="6"/>
        <v>9.316770186335404</v>
      </c>
      <c r="N69" s="1465">
        <f t="shared" si="7"/>
        <v>5.2910052910052912</v>
      </c>
      <c r="O69" s="1466" t="str">
        <f t="shared" si="8"/>
        <v>0</v>
      </c>
    </row>
    <row r="70" spans="1:15">
      <c r="A70" s="1436" t="s">
        <v>168</v>
      </c>
      <c r="B70" s="1436" t="s">
        <v>169</v>
      </c>
      <c r="C70" s="1436" t="s">
        <v>266</v>
      </c>
      <c r="D70" s="1442">
        <v>27</v>
      </c>
      <c r="E70" s="1443">
        <v>16</v>
      </c>
      <c r="F70" s="1443">
        <v>9</v>
      </c>
      <c r="G70" s="1444">
        <v>2</v>
      </c>
      <c r="H70" s="1442">
        <v>859</v>
      </c>
      <c r="I70" s="1443">
        <v>499</v>
      </c>
      <c r="J70" s="1443">
        <v>340</v>
      </c>
      <c r="K70" s="1444">
        <v>20</v>
      </c>
      <c r="L70" s="1464">
        <f t="shared" si="9"/>
        <v>31.431897555296857</v>
      </c>
      <c r="M70" s="1465">
        <f t="shared" ref="M70:M101" si="10">IF(E70=0,"0",(E70/I70)*1000)</f>
        <v>32.064128256513023</v>
      </c>
      <c r="N70" s="1465">
        <f t="shared" ref="N70:N101" si="11">IF(F70=0,"0",(F70/J70)*1000)</f>
        <v>26.470588235294116</v>
      </c>
      <c r="O70" s="1466">
        <f t="shared" ref="O70:O101" si="12">IF(G70=0,"0",(G70/K70)*1000)</f>
        <v>100</v>
      </c>
    </row>
    <row r="71" spans="1:15">
      <c r="A71" s="1436" t="s">
        <v>170</v>
      </c>
      <c r="B71" s="1436" t="s">
        <v>171</v>
      </c>
      <c r="C71" s="1436" t="s">
        <v>267</v>
      </c>
      <c r="D71" s="1442">
        <v>22</v>
      </c>
      <c r="E71" s="1443">
        <v>14</v>
      </c>
      <c r="F71" s="1443">
        <v>6</v>
      </c>
      <c r="G71" s="1444">
        <v>2</v>
      </c>
      <c r="H71" s="1442">
        <v>2043</v>
      </c>
      <c r="I71" s="1443">
        <v>1655</v>
      </c>
      <c r="J71" s="1443">
        <v>353</v>
      </c>
      <c r="K71" s="1444">
        <v>35</v>
      </c>
      <c r="L71" s="1464">
        <f t="shared" si="9"/>
        <v>10.768477728830151</v>
      </c>
      <c r="M71" s="1465">
        <f t="shared" si="10"/>
        <v>8.4592145015105746</v>
      </c>
      <c r="N71" s="1465">
        <f t="shared" si="11"/>
        <v>16.997167138810202</v>
      </c>
      <c r="O71" s="1466">
        <f t="shared" si="12"/>
        <v>57.142857142857139</v>
      </c>
    </row>
    <row r="72" spans="1:15">
      <c r="A72" s="1436" t="s">
        <v>172</v>
      </c>
      <c r="B72" s="1436" t="s">
        <v>173</v>
      </c>
      <c r="C72" s="1436" t="s">
        <v>267</v>
      </c>
      <c r="D72" s="1442">
        <v>26</v>
      </c>
      <c r="E72" s="1443">
        <v>25</v>
      </c>
      <c r="F72" s="1443">
        <v>1</v>
      </c>
      <c r="G72" s="1444"/>
      <c r="H72" s="1442">
        <v>1400</v>
      </c>
      <c r="I72" s="1443">
        <v>1346</v>
      </c>
      <c r="J72" s="1443">
        <v>41</v>
      </c>
      <c r="K72" s="1444">
        <v>13</v>
      </c>
      <c r="L72" s="1464">
        <f t="shared" si="9"/>
        <v>18.571428571428573</v>
      </c>
      <c r="M72" s="1465">
        <f t="shared" si="10"/>
        <v>18.573551263001487</v>
      </c>
      <c r="N72" s="1465">
        <f t="shared" si="11"/>
        <v>24.390243902439025</v>
      </c>
      <c r="O72" s="1466" t="str">
        <f t="shared" si="12"/>
        <v>0</v>
      </c>
    </row>
    <row r="73" spans="1:15">
      <c r="A73" s="1436" t="s">
        <v>174</v>
      </c>
      <c r="B73" s="1436" t="s">
        <v>175</v>
      </c>
      <c r="C73" s="1436" t="s">
        <v>268</v>
      </c>
      <c r="D73" s="1442">
        <v>15</v>
      </c>
      <c r="E73" s="1443">
        <v>15</v>
      </c>
      <c r="F73" s="1443"/>
      <c r="G73" s="1444"/>
      <c r="H73" s="1442">
        <v>1006</v>
      </c>
      <c r="I73" s="1443">
        <v>915</v>
      </c>
      <c r="J73" s="1443">
        <v>80</v>
      </c>
      <c r="K73" s="1444">
        <v>11</v>
      </c>
      <c r="L73" s="1464">
        <f t="shared" si="9"/>
        <v>14.910536779324055</v>
      </c>
      <c r="M73" s="1465">
        <f t="shared" si="10"/>
        <v>16.393442622950822</v>
      </c>
      <c r="N73" s="1465" t="str">
        <f t="shared" si="11"/>
        <v>0</v>
      </c>
      <c r="O73" s="1466" t="str">
        <f t="shared" si="12"/>
        <v>0</v>
      </c>
    </row>
    <row r="74" spans="1:15">
      <c r="A74" s="1436" t="s">
        <v>178</v>
      </c>
      <c r="B74" s="1436" t="s">
        <v>179</v>
      </c>
      <c r="C74" s="1436" t="s">
        <v>265</v>
      </c>
      <c r="D74" s="1442">
        <v>48</v>
      </c>
      <c r="E74" s="1443">
        <v>27</v>
      </c>
      <c r="F74" s="1443">
        <v>17</v>
      </c>
      <c r="G74" s="1444">
        <v>4</v>
      </c>
      <c r="H74" s="1442">
        <v>3668</v>
      </c>
      <c r="I74" s="1443">
        <v>2733</v>
      </c>
      <c r="J74" s="1443">
        <v>904</v>
      </c>
      <c r="K74" s="1444">
        <v>31</v>
      </c>
      <c r="L74" s="1464">
        <f t="shared" si="9"/>
        <v>13.086150490730644</v>
      </c>
      <c r="M74" s="1465">
        <f t="shared" si="10"/>
        <v>9.8792535675082327</v>
      </c>
      <c r="N74" s="1465">
        <f t="shared" si="11"/>
        <v>18.805309734513276</v>
      </c>
      <c r="O74" s="1466">
        <f t="shared" si="12"/>
        <v>129.03225806451613</v>
      </c>
    </row>
    <row r="75" spans="1:15">
      <c r="A75" s="1436" t="s">
        <v>182</v>
      </c>
      <c r="B75" s="1436" t="s">
        <v>183</v>
      </c>
      <c r="C75" s="1436" t="s">
        <v>266</v>
      </c>
      <c r="D75" s="1442">
        <v>15</v>
      </c>
      <c r="E75" s="1443">
        <v>14</v>
      </c>
      <c r="F75" s="1443"/>
      <c r="G75" s="1444">
        <v>1</v>
      </c>
      <c r="H75" s="1442">
        <v>1719</v>
      </c>
      <c r="I75" s="1443">
        <v>1553</v>
      </c>
      <c r="J75" s="1443">
        <v>149</v>
      </c>
      <c r="K75" s="1444">
        <v>17</v>
      </c>
      <c r="L75" s="1464">
        <f t="shared" si="9"/>
        <v>8.7260034904013963</v>
      </c>
      <c r="M75" s="1465">
        <f t="shared" si="10"/>
        <v>9.01481004507405</v>
      </c>
      <c r="N75" s="1465" t="str">
        <f t="shared" si="11"/>
        <v>0</v>
      </c>
      <c r="O75" s="1466">
        <f t="shared" si="12"/>
        <v>58.823529411764703</v>
      </c>
    </row>
    <row r="76" spans="1:15">
      <c r="A76" s="1436" t="s">
        <v>184</v>
      </c>
      <c r="B76" s="1436" t="s">
        <v>185</v>
      </c>
      <c r="C76" s="1436" t="s">
        <v>266</v>
      </c>
      <c r="D76" s="1442">
        <v>16</v>
      </c>
      <c r="E76" s="1443">
        <v>3</v>
      </c>
      <c r="F76" s="1443">
        <v>13</v>
      </c>
      <c r="G76" s="1444"/>
      <c r="H76" s="1442">
        <v>1969</v>
      </c>
      <c r="I76" s="1443">
        <v>1363</v>
      </c>
      <c r="J76" s="1443">
        <v>570</v>
      </c>
      <c r="K76" s="1444">
        <v>36</v>
      </c>
      <c r="L76" s="1464">
        <f t="shared" si="9"/>
        <v>8.1259522600304717</v>
      </c>
      <c r="M76" s="1465">
        <f t="shared" si="10"/>
        <v>2.2010271460014672</v>
      </c>
      <c r="N76" s="1465">
        <f t="shared" si="11"/>
        <v>22.807017543859651</v>
      </c>
      <c r="O76" s="1466" t="str">
        <f t="shared" si="12"/>
        <v>0</v>
      </c>
    </row>
    <row r="77" spans="1:15">
      <c r="A77" s="1436" t="s">
        <v>186</v>
      </c>
      <c r="B77" s="1436" t="s">
        <v>187</v>
      </c>
      <c r="C77" s="1436" t="s">
        <v>264</v>
      </c>
      <c r="D77" s="1442">
        <v>24</v>
      </c>
      <c r="E77" s="1443">
        <v>12</v>
      </c>
      <c r="F77" s="1443">
        <v>12</v>
      </c>
      <c r="G77" s="1444"/>
      <c r="H77" s="1442">
        <v>2278</v>
      </c>
      <c r="I77" s="1443">
        <v>1379</v>
      </c>
      <c r="J77" s="1443">
        <v>814</v>
      </c>
      <c r="K77" s="1444">
        <v>85</v>
      </c>
      <c r="L77" s="1464">
        <f t="shared" si="9"/>
        <v>10.535557506584723</v>
      </c>
      <c r="M77" s="1465">
        <f t="shared" si="10"/>
        <v>8.7019579405366212</v>
      </c>
      <c r="N77" s="1465">
        <f t="shared" si="11"/>
        <v>14.742014742014742</v>
      </c>
      <c r="O77" s="1466" t="str">
        <f t="shared" si="12"/>
        <v>0</v>
      </c>
    </row>
    <row r="78" spans="1:15">
      <c r="A78" s="1436" t="s">
        <v>188</v>
      </c>
      <c r="B78" s="1436" t="s">
        <v>189</v>
      </c>
      <c r="C78" s="1436" t="s">
        <v>267</v>
      </c>
      <c r="D78" s="1442">
        <v>325</v>
      </c>
      <c r="E78" s="1443">
        <v>195</v>
      </c>
      <c r="F78" s="1443">
        <v>76</v>
      </c>
      <c r="G78" s="1444">
        <v>54</v>
      </c>
      <c r="H78" s="1442">
        <v>30602</v>
      </c>
      <c r="I78" s="1443">
        <v>19775</v>
      </c>
      <c r="J78" s="1443">
        <v>7849</v>
      </c>
      <c r="K78" s="1444">
        <v>2978</v>
      </c>
      <c r="L78" s="1464">
        <f t="shared" si="9"/>
        <v>10.620220900594733</v>
      </c>
      <c r="M78" s="1465">
        <f t="shared" si="10"/>
        <v>9.8609355246523389</v>
      </c>
      <c r="N78" s="1465">
        <f t="shared" si="11"/>
        <v>9.6827621353038609</v>
      </c>
      <c r="O78" s="1466">
        <f t="shared" si="12"/>
        <v>18.132975151108123</v>
      </c>
    </row>
    <row r="79" spans="1:15">
      <c r="A79" s="1436" t="s">
        <v>190</v>
      </c>
      <c r="B79" s="1436" t="s">
        <v>191</v>
      </c>
      <c r="C79" s="1436" t="s">
        <v>268</v>
      </c>
      <c r="D79" s="1442">
        <v>48</v>
      </c>
      <c r="E79" s="1443">
        <v>47</v>
      </c>
      <c r="F79" s="1443">
        <v>1</v>
      </c>
      <c r="G79" s="1444"/>
      <c r="H79" s="1442">
        <v>1805</v>
      </c>
      <c r="I79" s="1443">
        <v>1678</v>
      </c>
      <c r="J79" s="1443">
        <v>114</v>
      </c>
      <c r="K79" s="1444">
        <v>13</v>
      </c>
      <c r="L79" s="1464">
        <f t="shared" si="9"/>
        <v>26.592797783933516</v>
      </c>
      <c r="M79" s="1465">
        <f t="shared" si="10"/>
        <v>28.009535160905838</v>
      </c>
      <c r="N79" s="1465">
        <f t="shared" si="11"/>
        <v>8.7719298245614024</v>
      </c>
      <c r="O79" s="1466" t="str">
        <f t="shared" si="12"/>
        <v>0</v>
      </c>
    </row>
    <row r="80" spans="1:15">
      <c r="A80" s="1436" t="s">
        <v>194</v>
      </c>
      <c r="B80" s="1436" t="s">
        <v>195</v>
      </c>
      <c r="C80" s="1436" t="s">
        <v>267</v>
      </c>
      <c r="D80" s="1442">
        <v>4</v>
      </c>
      <c r="E80" s="1443">
        <v>4</v>
      </c>
      <c r="F80" s="1443"/>
      <c r="G80" s="1444"/>
      <c r="H80" s="1442">
        <v>420</v>
      </c>
      <c r="I80" s="1443">
        <v>389</v>
      </c>
      <c r="J80" s="1443">
        <v>28</v>
      </c>
      <c r="K80" s="1444">
        <v>3</v>
      </c>
      <c r="L80" s="1464">
        <f t="shared" si="9"/>
        <v>9.5238095238095255</v>
      </c>
      <c r="M80" s="1465">
        <f t="shared" si="10"/>
        <v>10.282776349614394</v>
      </c>
      <c r="N80" s="1465" t="str">
        <f t="shared" si="11"/>
        <v>0</v>
      </c>
      <c r="O80" s="1466" t="str">
        <f t="shared" si="12"/>
        <v>0</v>
      </c>
    </row>
    <row r="81" spans="1:15">
      <c r="A81" s="1436" t="s">
        <v>198</v>
      </c>
      <c r="B81" s="1436" t="s">
        <v>272</v>
      </c>
      <c r="C81" s="1436" t="s">
        <v>266</v>
      </c>
      <c r="D81" s="1442">
        <v>1</v>
      </c>
      <c r="E81" s="1443"/>
      <c r="F81" s="1443">
        <v>1</v>
      </c>
      <c r="G81" s="1444"/>
      <c r="H81" s="1442">
        <v>444</v>
      </c>
      <c r="I81" s="1443">
        <v>305</v>
      </c>
      <c r="J81" s="1443">
        <v>131</v>
      </c>
      <c r="K81" s="1444">
        <v>8</v>
      </c>
      <c r="L81" s="1464">
        <f t="shared" si="9"/>
        <v>2.2522522522522523</v>
      </c>
      <c r="M81" s="1465" t="str">
        <f t="shared" si="10"/>
        <v>0</v>
      </c>
      <c r="N81" s="1465">
        <f t="shared" si="11"/>
        <v>7.6335877862595414</v>
      </c>
      <c r="O81" s="1466" t="str">
        <f t="shared" si="12"/>
        <v>0</v>
      </c>
    </row>
    <row r="82" spans="1:15">
      <c r="A82" s="1436" t="s">
        <v>202</v>
      </c>
      <c r="B82" s="1436" t="s">
        <v>301</v>
      </c>
      <c r="C82" s="1436" t="s">
        <v>265</v>
      </c>
      <c r="D82" s="1442">
        <v>65</v>
      </c>
      <c r="E82" s="1443">
        <v>55</v>
      </c>
      <c r="F82" s="1443">
        <v>6</v>
      </c>
      <c r="G82" s="1444">
        <v>4</v>
      </c>
      <c r="H82" s="1442">
        <v>7605</v>
      </c>
      <c r="I82" s="1443">
        <v>6718</v>
      </c>
      <c r="J82" s="1443">
        <v>585</v>
      </c>
      <c r="K82" s="1444">
        <v>302</v>
      </c>
      <c r="L82" s="1464">
        <f t="shared" si="9"/>
        <v>8.5470085470085486</v>
      </c>
      <c r="M82" s="1465">
        <f t="shared" si="10"/>
        <v>8.1869604048824058</v>
      </c>
      <c r="N82" s="1465">
        <f t="shared" si="11"/>
        <v>10.256410256410257</v>
      </c>
      <c r="O82" s="1466">
        <f t="shared" si="12"/>
        <v>13.245033112582782</v>
      </c>
    </row>
    <row r="83" spans="1:15">
      <c r="A83" s="1436" t="s">
        <v>204</v>
      </c>
      <c r="B83" s="1436" t="s">
        <v>293</v>
      </c>
      <c r="C83" s="1436" t="s">
        <v>265</v>
      </c>
      <c r="D83" s="1442">
        <v>25</v>
      </c>
      <c r="E83" s="1443">
        <v>25</v>
      </c>
      <c r="F83" s="1443"/>
      <c r="G83" s="1444"/>
      <c r="H83" s="1442">
        <v>2268</v>
      </c>
      <c r="I83" s="1443">
        <v>2091</v>
      </c>
      <c r="J83" s="1443">
        <v>134</v>
      </c>
      <c r="K83" s="1444">
        <v>43</v>
      </c>
      <c r="L83" s="1464">
        <f t="shared" si="9"/>
        <v>11.022927689594356</v>
      </c>
      <c r="M83" s="1465">
        <f t="shared" si="10"/>
        <v>11.956001912960305</v>
      </c>
      <c r="N83" s="1465" t="str">
        <f t="shared" si="11"/>
        <v>0</v>
      </c>
      <c r="O83" s="1466" t="str">
        <f t="shared" si="12"/>
        <v>0</v>
      </c>
    </row>
    <row r="84" spans="1:15">
      <c r="A84" s="1436" t="s">
        <v>206</v>
      </c>
      <c r="B84" s="1436" t="s">
        <v>294</v>
      </c>
      <c r="C84" s="1436" t="s">
        <v>267</v>
      </c>
      <c r="D84" s="1442">
        <v>90</v>
      </c>
      <c r="E84" s="1443">
        <v>73</v>
      </c>
      <c r="F84" s="1443">
        <v>4</v>
      </c>
      <c r="G84" s="1444">
        <v>13</v>
      </c>
      <c r="H84" s="1442">
        <v>10687</v>
      </c>
      <c r="I84" s="1443">
        <v>9668</v>
      </c>
      <c r="J84" s="1443">
        <v>610</v>
      </c>
      <c r="K84" s="1444">
        <v>409</v>
      </c>
      <c r="L84" s="1464">
        <f t="shared" si="9"/>
        <v>8.4214466173856088</v>
      </c>
      <c r="M84" s="1465">
        <f t="shared" si="10"/>
        <v>7.5506826644600737</v>
      </c>
      <c r="N84" s="1465">
        <f t="shared" si="11"/>
        <v>6.557377049180328</v>
      </c>
      <c r="O84" s="1466">
        <f t="shared" si="12"/>
        <v>31.78484107579462</v>
      </c>
    </row>
    <row r="85" spans="1:15">
      <c r="A85" s="1436" t="s">
        <v>208</v>
      </c>
      <c r="B85" s="1436" t="s">
        <v>209</v>
      </c>
      <c r="C85" s="1436" t="s">
        <v>268</v>
      </c>
      <c r="D85" s="1442">
        <v>36</v>
      </c>
      <c r="E85" s="1443">
        <v>36</v>
      </c>
      <c r="F85" s="1443"/>
      <c r="G85" s="1444"/>
      <c r="H85" s="1442">
        <v>1558</v>
      </c>
      <c r="I85" s="1443">
        <v>1525</v>
      </c>
      <c r="J85" s="1443">
        <v>25</v>
      </c>
      <c r="K85" s="1444">
        <v>8</v>
      </c>
      <c r="L85" s="1464">
        <f t="shared" si="9"/>
        <v>23.106546854942234</v>
      </c>
      <c r="M85" s="1465">
        <f t="shared" si="10"/>
        <v>23.606557377049182</v>
      </c>
      <c r="N85" s="1465" t="str">
        <f t="shared" si="11"/>
        <v>0</v>
      </c>
      <c r="O85" s="1466" t="str">
        <f t="shared" si="12"/>
        <v>0</v>
      </c>
    </row>
    <row r="86" spans="1:15">
      <c r="A86" s="1436" t="s">
        <v>210</v>
      </c>
      <c r="B86" s="1436" t="s">
        <v>211</v>
      </c>
      <c r="C86" s="1436" t="s">
        <v>268</v>
      </c>
      <c r="D86" s="1442">
        <v>19</v>
      </c>
      <c r="E86" s="1443">
        <v>18</v>
      </c>
      <c r="F86" s="1443">
        <v>1</v>
      </c>
      <c r="G86" s="1444"/>
      <c r="H86" s="1442">
        <v>1243</v>
      </c>
      <c r="I86" s="1443">
        <v>1222</v>
      </c>
      <c r="J86" s="1443">
        <v>12</v>
      </c>
      <c r="K86" s="1444">
        <v>9</v>
      </c>
      <c r="L86" s="1464">
        <f t="shared" si="9"/>
        <v>15.285599356395815</v>
      </c>
      <c r="M86" s="1465">
        <f t="shared" si="10"/>
        <v>14.729950900163667</v>
      </c>
      <c r="N86" s="1465">
        <f t="shared" si="11"/>
        <v>83.333333333333329</v>
      </c>
      <c r="O86" s="1466" t="str">
        <f t="shared" si="12"/>
        <v>0</v>
      </c>
    </row>
    <row r="87" spans="1:15">
      <c r="A87" s="1436" t="s">
        <v>212</v>
      </c>
      <c r="B87" s="1436" t="s">
        <v>213</v>
      </c>
      <c r="C87" s="1436" t="s">
        <v>267</v>
      </c>
      <c r="D87" s="1442">
        <v>42</v>
      </c>
      <c r="E87" s="1443">
        <v>39</v>
      </c>
      <c r="F87" s="1443">
        <v>3</v>
      </c>
      <c r="G87" s="1444"/>
      <c r="H87" s="1442">
        <v>2509</v>
      </c>
      <c r="I87" s="1443">
        <v>2385</v>
      </c>
      <c r="J87" s="1443">
        <v>88</v>
      </c>
      <c r="K87" s="1444">
        <v>36</v>
      </c>
      <c r="L87" s="1464">
        <f t="shared" si="9"/>
        <v>16.739736946990835</v>
      </c>
      <c r="M87" s="1465">
        <f t="shared" si="10"/>
        <v>16.352201257861633</v>
      </c>
      <c r="N87" s="1465">
        <f t="shared" si="11"/>
        <v>34.090909090909086</v>
      </c>
      <c r="O87" s="1466" t="str">
        <f t="shared" si="12"/>
        <v>0</v>
      </c>
    </row>
    <row r="88" spans="1:15">
      <c r="A88" s="1436" t="s">
        <v>214</v>
      </c>
      <c r="B88" s="1436" t="s">
        <v>215</v>
      </c>
      <c r="C88" s="1436" t="s">
        <v>268</v>
      </c>
      <c r="D88" s="1442">
        <v>51</v>
      </c>
      <c r="E88" s="1443">
        <v>49</v>
      </c>
      <c r="F88" s="1443">
        <v>2</v>
      </c>
      <c r="G88" s="1444"/>
      <c r="H88" s="1442">
        <v>1833</v>
      </c>
      <c r="I88" s="1443">
        <v>1733</v>
      </c>
      <c r="J88" s="1443">
        <v>86</v>
      </c>
      <c r="K88" s="1444">
        <v>14</v>
      </c>
      <c r="L88" s="1464">
        <f t="shared" si="9"/>
        <v>27.823240589198036</v>
      </c>
      <c r="M88" s="1465">
        <f t="shared" si="10"/>
        <v>28.274668205424121</v>
      </c>
      <c r="N88" s="1465">
        <f t="shared" si="11"/>
        <v>23.255813953488371</v>
      </c>
      <c r="O88" s="1466" t="str">
        <f t="shared" si="12"/>
        <v>0</v>
      </c>
    </row>
    <row r="89" spans="1:15">
      <c r="A89" s="1436" t="s">
        <v>216</v>
      </c>
      <c r="B89" s="1436" t="s">
        <v>217</v>
      </c>
      <c r="C89" s="1436" t="s">
        <v>264</v>
      </c>
      <c r="D89" s="1442">
        <v>7</v>
      </c>
      <c r="E89" s="1443">
        <v>4</v>
      </c>
      <c r="F89" s="1443">
        <v>3</v>
      </c>
      <c r="G89" s="1444"/>
      <c r="H89" s="1442">
        <v>1099</v>
      </c>
      <c r="I89" s="1443">
        <v>695</v>
      </c>
      <c r="J89" s="1443">
        <v>389</v>
      </c>
      <c r="K89" s="1444">
        <v>15</v>
      </c>
      <c r="L89" s="1464">
        <f t="shared" si="9"/>
        <v>6.369426751592357</v>
      </c>
      <c r="M89" s="1465">
        <f t="shared" si="10"/>
        <v>5.7553956834532372</v>
      </c>
      <c r="N89" s="1465">
        <f t="shared" si="11"/>
        <v>7.7120822622107967</v>
      </c>
      <c r="O89" s="1466" t="str">
        <f t="shared" si="12"/>
        <v>0</v>
      </c>
    </row>
    <row r="90" spans="1:15">
      <c r="A90" s="1436" t="s">
        <v>218</v>
      </c>
      <c r="B90" s="1436" t="s">
        <v>219</v>
      </c>
      <c r="C90" s="1436" t="s">
        <v>267</v>
      </c>
      <c r="D90" s="1442">
        <v>100</v>
      </c>
      <c r="E90" s="1443">
        <v>63</v>
      </c>
      <c r="F90" s="1443">
        <v>25</v>
      </c>
      <c r="G90" s="1444">
        <v>12</v>
      </c>
      <c r="H90" s="1442">
        <v>9326</v>
      </c>
      <c r="I90" s="1443">
        <v>7190</v>
      </c>
      <c r="J90" s="1443">
        <v>1815</v>
      </c>
      <c r="K90" s="1444">
        <v>321</v>
      </c>
      <c r="L90" s="1464">
        <f t="shared" si="9"/>
        <v>10.72271070126528</v>
      </c>
      <c r="M90" s="1465">
        <f t="shared" si="10"/>
        <v>8.762169680111267</v>
      </c>
      <c r="N90" s="1465">
        <f t="shared" si="11"/>
        <v>13.774104683195592</v>
      </c>
      <c r="O90" s="1466">
        <f t="shared" si="12"/>
        <v>37.383177570093459</v>
      </c>
    </row>
    <row r="91" spans="1:15">
      <c r="A91" s="1436" t="s">
        <v>220</v>
      </c>
      <c r="B91" s="1436" t="s">
        <v>221</v>
      </c>
      <c r="C91" s="1436" t="s">
        <v>267</v>
      </c>
      <c r="D91" s="1442">
        <v>103</v>
      </c>
      <c r="E91" s="1443">
        <v>63</v>
      </c>
      <c r="F91" s="1443">
        <v>34</v>
      </c>
      <c r="G91" s="1444">
        <v>6</v>
      </c>
      <c r="H91" s="1442">
        <v>10966</v>
      </c>
      <c r="I91" s="1443">
        <v>8103</v>
      </c>
      <c r="J91" s="1443">
        <v>2309</v>
      </c>
      <c r="K91" s="1444">
        <v>554</v>
      </c>
      <c r="L91" s="1464">
        <f t="shared" si="9"/>
        <v>9.3926682473098673</v>
      </c>
      <c r="M91" s="1465">
        <f t="shared" si="10"/>
        <v>7.77489818585709</v>
      </c>
      <c r="N91" s="1465">
        <f t="shared" si="11"/>
        <v>14.724989172802079</v>
      </c>
      <c r="O91" s="1466">
        <f t="shared" si="12"/>
        <v>10.830324909747292</v>
      </c>
    </row>
    <row r="92" spans="1:15">
      <c r="A92" s="1436" t="s">
        <v>224</v>
      </c>
      <c r="B92" s="1436" t="s">
        <v>225</v>
      </c>
      <c r="C92" s="1436" t="s">
        <v>264</v>
      </c>
      <c r="D92" s="1442">
        <v>1</v>
      </c>
      <c r="E92" s="1443"/>
      <c r="F92" s="1443">
        <v>1</v>
      </c>
      <c r="G92" s="1444"/>
      <c r="H92" s="1442">
        <v>410</v>
      </c>
      <c r="I92" s="1443">
        <v>210</v>
      </c>
      <c r="J92" s="1443">
        <v>198</v>
      </c>
      <c r="K92" s="1444">
        <v>2</v>
      </c>
      <c r="L92" s="1464">
        <f t="shared" si="9"/>
        <v>2.4390243902439024</v>
      </c>
      <c r="M92" s="1465" t="str">
        <f t="shared" si="10"/>
        <v>0</v>
      </c>
      <c r="N92" s="1465">
        <f t="shared" si="11"/>
        <v>5.0505050505050511</v>
      </c>
      <c r="O92" s="1466" t="str">
        <f t="shared" si="12"/>
        <v>0</v>
      </c>
    </row>
    <row r="93" spans="1:15">
      <c r="A93" s="1436" t="s">
        <v>226</v>
      </c>
      <c r="B93" s="1436" t="s">
        <v>227</v>
      </c>
      <c r="C93" s="1436" t="s">
        <v>264</v>
      </c>
      <c r="D93" s="1442">
        <v>10</v>
      </c>
      <c r="E93" s="1443">
        <v>4</v>
      </c>
      <c r="F93" s="1443">
        <v>5</v>
      </c>
      <c r="G93" s="1444">
        <v>1</v>
      </c>
      <c r="H93" s="1442">
        <v>541</v>
      </c>
      <c r="I93" s="1443">
        <v>222</v>
      </c>
      <c r="J93" s="1443">
        <v>316</v>
      </c>
      <c r="K93" s="1444">
        <v>3</v>
      </c>
      <c r="L93" s="1464">
        <f t="shared" si="9"/>
        <v>18.484288354898339</v>
      </c>
      <c r="M93" s="1465">
        <f t="shared" si="10"/>
        <v>18.018018018018019</v>
      </c>
      <c r="N93" s="1465">
        <f t="shared" si="11"/>
        <v>15.822784810126583</v>
      </c>
      <c r="O93" s="1466">
        <f t="shared" si="12"/>
        <v>333.33333333333331</v>
      </c>
    </row>
    <row r="94" spans="1:15">
      <c r="A94" s="1436" t="s">
        <v>228</v>
      </c>
      <c r="B94" s="1436" t="s">
        <v>229</v>
      </c>
      <c r="C94" s="1436" t="s">
        <v>268</v>
      </c>
      <c r="D94" s="1442">
        <v>54</v>
      </c>
      <c r="E94" s="1443">
        <v>52</v>
      </c>
      <c r="F94" s="1443">
        <v>2</v>
      </c>
      <c r="G94" s="1444"/>
      <c r="H94" s="1442">
        <v>2478</v>
      </c>
      <c r="I94" s="1443">
        <v>2359</v>
      </c>
      <c r="J94" s="1443">
        <v>89</v>
      </c>
      <c r="K94" s="1444">
        <v>30</v>
      </c>
      <c r="L94" s="1464">
        <f t="shared" si="9"/>
        <v>21.791767554479417</v>
      </c>
      <c r="M94" s="1465">
        <f t="shared" si="10"/>
        <v>22.043238660449344</v>
      </c>
      <c r="N94" s="1465">
        <f t="shared" si="11"/>
        <v>22.471910112359549</v>
      </c>
      <c r="O94" s="1466" t="str">
        <f t="shared" si="12"/>
        <v>0</v>
      </c>
    </row>
    <row r="95" spans="1:15">
      <c r="A95" s="1436" t="s">
        <v>232</v>
      </c>
      <c r="B95" s="1436" t="s">
        <v>233</v>
      </c>
      <c r="C95" s="1436" t="s">
        <v>267</v>
      </c>
      <c r="D95" s="1442">
        <v>33</v>
      </c>
      <c r="E95" s="1443">
        <v>29</v>
      </c>
      <c r="F95" s="1443">
        <v>2</v>
      </c>
      <c r="G95" s="1444">
        <v>2</v>
      </c>
      <c r="H95" s="1442">
        <v>2516</v>
      </c>
      <c r="I95" s="1443">
        <v>2296</v>
      </c>
      <c r="J95" s="1443">
        <v>162</v>
      </c>
      <c r="K95" s="1444">
        <v>58</v>
      </c>
      <c r="L95" s="1464">
        <f t="shared" si="9"/>
        <v>13.116057233704293</v>
      </c>
      <c r="M95" s="1465">
        <f t="shared" si="10"/>
        <v>12.630662020905923</v>
      </c>
      <c r="N95" s="1465">
        <f t="shared" si="11"/>
        <v>12.345679012345679</v>
      </c>
      <c r="O95" s="1466">
        <f t="shared" si="12"/>
        <v>34.482758620689651</v>
      </c>
    </row>
    <row r="96" spans="1:15">
      <c r="A96" s="1436" t="s">
        <v>234</v>
      </c>
      <c r="B96" s="1436" t="s">
        <v>235</v>
      </c>
      <c r="C96" s="1436" t="s">
        <v>268</v>
      </c>
      <c r="D96" s="1442">
        <v>54</v>
      </c>
      <c r="E96" s="1443">
        <v>53</v>
      </c>
      <c r="F96" s="1443">
        <v>1</v>
      </c>
      <c r="G96" s="1444"/>
      <c r="H96" s="1442">
        <v>3116</v>
      </c>
      <c r="I96" s="1443">
        <v>3017</v>
      </c>
      <c r="J96" s="1443">
        <v>64</v>
      </c>
      <c r="K96" s="1444">
        <v>35</v>
      </c>
      <c r="L96" s="1464">
        <f t="shared" si="9"/>
        <v>17.329910141206675</v>
      </c>
      <c r="M96" s="1465">
        <f t="shared" si="10"/>
        <v>17.56711965528671</v>
      </c>
      <c r="N96" s="1465">
        <f t="shared" si="11"/>
        <v>15.625</v>
      </c>
      <c r="O96" s="1466" t="str">
        <f t="shared" si="12"/>
        <v>0</v>
      </c>
    </row>
    <row r="97" spans="1:15">
      <c r="A97" s="1436" t="s">
        <v>236</v>
      </c>
      <c r="B97" s="1436" t="s">
        <v>237</v>
      </c>
      <c r="C97" s="1436" t="s">
        <v>266</v>
      </c>
      <c r="D97" s="1442">
        <v>14</v>
      </c>
      <c r="E97" s="1443">
        <v>5</v>
      </c>
      <c r="F97" s="1443">
        <v>7</v>
      </c>
      <c r="G97" s="1444">
        <v>2</v>
      </c>
      <c r="H97" s="1442">
        <v>930</v>
      </c>
      <c r="I97" s="1443">
        <v>555</v>
      </c>
      <c r="J97" s="1443">
        <v>357</v>
      </c>
      <c r="K97" s="1444">
        <v>18</v>
      </c>
      <c r="L97" s="1464">
        <f t="shared" si="9"/>
        <v>15.053763440860216</v>
      </c>
      <c r="M97" s="1465">
        <f t="shared" si="10"/>
        <v>9.0090090090090094</v>
      </c>
      <c r="N97" s="1465">
        <f t="shared" si="11"/>
        <v>19.607843137254903</v>
      </c>
      <c r="O97" s="1466">
        <f t="shared" si="12"/>
        <v>111.1111111111111</v>
      </c>
    </row>
    <row r="98" spans="1:15">
      <c r="A98" s="1436" t="s">
        <v>242</v>
      </c>
      <c r="B98" s="1436" t="s">
        <v>243</v>
      </c>
      <c r="C98" s="1436" t="s">
        <v>268</v>
      </c>
      <c r="D98" s="1442">
        <v>58</v>
      </c>
      <c r="E98" s="1443">
        <v>57</v>
      </c>
      <c r="F98" s="1443">
        <v>1</v>
      </c>
      <c r="G98" s="1444"/>
      <c r="H98" s="1442">
        <v>2410</v>
      </c>
      <c r="I98" s="1443">
        <v>2310</v>
      </c>
      <c r="J98" s="1443">
        <v>88</v>
      </c>
      <c r="K98" s="1444">
        <v>12</v>
      </c>
      <c r="L98" s="1464">
        <f t="shared" si="9"/>
        <v>24.066390041493776</v>
      </c>
      <c r="M98" s="1465">
        <f t="shared" si="10"/>
        <v>24.675324675324678</v>
      </c>
      <c r="N98" s="1465">
        <f t="shared" si="11"/>
        <v>11.363636363636363</v>
      </c>
      <c r="O98" s="1466" t="str">
        <f t="shared" si="12"/>
        <v>0</v>
      </c>
    </row>
    <row r="99" spans="1:15">
      <c r="A99" s="1436" t="s">
        <v>244</v>
      </c>
      <c r="B99" s="1436" t="s">
        <v>245</v>
      </c>
      <c r="C99" s="1436" t="s">
        <v>268</v>
      </c>
      <c r="D99" s="1442">
        <v>40</v>
      </c>
      <c r="E99" s="1443">
        <v>37</v>
      </c>
      <c r="F99" s="1443">
        <v>2</v>
      </c>
      <c r="G99" s="1444">
        <v>1</v>
      </c>
      <c r="H99" s="1442">
        <v>1620</v>
      </c>
      <c r="I99" s="1443">
        <v>1528</v>
      </c>
      <c r="J99" s="1443">
        <v>80</v>
      </c>
      <c r="K99" s="1444">
        <v>12</v>
      </c>
      <c r="L99" s="1464">
        <f t="shared" si="9"/>
        <v>24.691358024691358</v>
      </c>
      <c r="M99" s="1465">
        <f t="shared" si="10"/>
        <v>24.214659685863875</v>
      </c>
      <c r="N99" s="1465">
        <f t="shared" si="11"/>
        <v>25</v>
      </c>
      <c r="O99" s="1466">
        <f t="shared" si="12"/>
        <v>83.333333333333329</v>
      </c>
    </row>
    <row r="100" spans="1:15">
      <c r="A100" s="1436" t="s">
        <v>246</v>
      </c>
      <c r="B100" s="1436" t="s">
        <v>247</v>
      </c>
      <c r="C100" s="1436" t="s">
        <v>264</v>
      </c>
      <c r="D100" s="1442">
        <v>20</v>
      </c>
      <c r="E100" s="1443">
        <v>16</v>
      </c>
      <c r="F100" s="1443">
        <v>4</v>
      </c>
      <c r="G100" s="1444"/>
      <c r="H100" s="1442">
        <v>5779</v>
      </c>
      <c r="I100" s="1443">
        <v>4633</v>
      </c>
      <c r="J100" s="1443">
        <v>723</v>
      </c>
      <c r="K100" s="1444">
        <v>423</v>
      </c>
      <c r="L100" s="1464">
        <f t="shared" si="9"/>
        <v>3.4608063678837166</v>
      </c>
      <c r="M100" s="1465">
        <f t="shared" si="10"/>
        <v>3.4534858622922511</v>
      </c>
      <c r="N100" s="1465">
        <f t="shared" si="11"/>
        <v>5.532503457814661</v>
      </c>
      <c r="O100" s="1466" t="str">
        <f t="shared" si="12"/>
        <v>0</v>
      </c>
    </row>
    <row r="101" spans="1:15">
      <c r="A101" s="1436" t="s">
        <v>14</v>
      </c>
      <c r="B101" s="1436" t="s">
        <v>15</v>
      </c>
      <c r="C101" s="1436" t="s">
        <v>267</v>
      </c>
      <c r="D101" s="1442">
        <v>72</v>
      </c>
      <c r="E101" s="1443">
        <v>16</v>
      </c>
      <c r="F101" s="1443">
        <v>24</v>
      </c>
      <c r="G101" s="1444">
        <v>32</v>
      </c>
      <c r="H101" s="1442">
        <v>4789</v>
      </c>
      <c r="I101" s="1443">
        <v>2814</v>
      </c>
      <c r="J101" s="1443">
        <v>1563</v>
      </c>
      <c r="K101" s="1444">
        <v>412</v>
      </c>
      <c r="L101" s="1464">
        <f t="shared" ref="L101:L125" si="13">IF(D101=0,"0",(D101/H101)*1000)</f>
        <v>15.034453956984757</v>
      </c>
      <c r="M101" s="1465">
        <f t="shared" si="10"/>
        <v>5.6858564321250888</v>
      </c>
      <c r="N101" s="1465">
        <f t="shared" si="11"/>
        <v>15.355086372360844</v>
      </c>
      <c r="O101" s="1466">
        <f t="shared" si="12"/>
        <v>77.669902912621353</v>
      </c>
    </row>
    <row r="102" spans="1:15">
      <c r="A102" s="1436" t="s">
        <v>34</v>
      </c>
      <c r="B102" s="1436" t="s">
        <v>35</v>
      </c>
      <c r="C102" s="1436" t="s">
        <v>268</v>
      </c>
      <c r="D102" s="1442">
        <v>19</v>
      </c>
      <c r="E102" s="1443">
        <v>15</v>
      </c>
      <c r="F102" s="1443">
        <v>4</v>
      </c>
      <c r="G102" s="1444"/>
      <c r="H102" s="1442">
        <v>1013</v>
      </c>
      <c r="I102" s="1443">
        <v>908</v>
      </c>
      <c r="J102" s="1443">
        <v>85</v>
      </c>
      <c r="K102" s="1444">
        <v>20</v>
      </c>
      <c r="L102" s="1464">
        <f t="shared" si="13"/>
        <v>18.756169792694966</v>
      </c>
      <c r="M102" s="1465">
        <f t="shared" ref="M102:M125" si="14">IF(E102=0,"0",(E102/I102)*1000)</f>
        <v>16.519823788546255</v>
      </c>
      <c r="N102" s="1465">
        <f t="shared" ref="N102:N125" si="15">IF(F102=0,"0",(F102/J102)*1000)</f>
        <v>47.058823529411761</v>
      </c>
      <c r="O102" s="1466" t="str">
        <f t="shared" ref="O102:O125" si="16">IF(G102=0,"0",(G102/K102)*1000)</f>
        <v>0</v>
      </c>
    </row>
    <row r="103" spans="1:15">
      <c r="A103" s="1436" t="s">
        <v>52</v>
      </c>
      <c r="B103" s="1436" t="s">
        <v>53</v>
      </c>
      <c r="C103" s="1436" t="s">
        <v>265</v>
      </c>
      <c r="D103" s="1442">
        <v>30</v>
      </c>
      <c r="E103" s="1443">
        <v>10</v>
      </c>
      <c r="F103" s="1443">
        <v>18</v>
      </c>
      <c r="G103" s="1444">
        <v>2</v>
      </c>
      <c r="H103" s="1442">
        <v>2061</v>
      </c>
      <c r="I103" s="1443">
        <v>1243</v>
      </c>
      <c r="J103" s="1443">
        <v>647</v>
      </c>
      <c r="K103" s="1444">
        <v>171</v>
      </c>
      <c r="L103" s="1464">
        <f t="shared" si="13"/>
        <v>14.556040756914118</v>
      </c>
      <c r="M103" s="1465">
        <f t="shared" si="14"/>
        <v>8.0450522928399035</v>
      </c>
      <c r="N103" s="1465">
        <f t="shared" si="15"/>
        <v>27.820710973724886</v>
      </c>
      <c r="O103" s="1466">
        <f t="shared" si="16"/>
        <v>11.695906432748536</v>
      </c>
    </row>
    <row r="104" spans="1:15">
      <c r="A104" s="1436" t="s">
        <v>54</v>
      </c>
      <c r="B104" s="1436" t="s">
        <v>55</v>
      </c>
      <c r="C104" s="1436" t="s">
        <v>264</v>
      </c>
      <c r="D104" s="1442">
        <v>165</v>
      </c>
      <c r="E104" s="1443">
        <v>70</v>
      </c>
      <c r="F104" s="1443">
        <v>80</v>
      </c>
      <c r="G104" s="1444">
        <v>15</v>
      </c>
      <c r="H104" s="1442">
        <v>15992</v>
      </c>
      <c r="I104" s="1443">
        <v>9733</v>
      </c>
      <c r="J104" s="1443">
        <v>5562</v>
      </c>
      <c r="K104" s="1444">
        <v>697</v>
      </c>
      <c r="L104" s="1464">
        <f t="shared" si="13"/>
        <v>10.317658829414707</v>
      </c>
      <c r="M104" s="1465">
        <f t="shared" si="14"/>
        <v>7.1920271242165823</v>
      </c>
      <c r="N104" s="1465">
        <f t="shared" si="15"/>
        <v>14.38331535418914</v>
      </c>
      <c r="O104" s="1466">
        <f t="shared" si="16"/>
        <v>21.520803443328553</v>
      </c>
    </row>
    <row r="105" spans="1:15">
      <c r="A105" s="1436" t="s">
        <v>66</v>
      </c>
      <c r="B105" s="1436" t="s">
        <v>67</v>
      </c>
      <c r="C105" s="1436" t="s">
        <v>265</v>
      </c>
      <c r="D105" s="1442">
        <v>49</v>
      </c>
      <c r="E105" s="1443">
        <v>16</v>
      </c>
      <c r="F105" s="1443">
        <v>30</v>
      </c>
      <c r="G105" s="1444">
        <v>3</v>
      </c>
      <c r="H105" s="1442">
        <v>2486</v>
      </c>
      <c r="I105" s="1443">
        <v>896</v>
      </c>
      <c r="J105" s="1443">
        <v>1555</v>
      </c>
      <c r="K105" s="1444">
        <v>35</v>
      </c>
      <c r="L105" s="1464">
        <f t="shared" si="13"/>
        <v>19.710378117457761</v>
      </c>
      <c r="M105" s="1465">
        <f t="shared" si="14"/>
        <v>17.857142857142858</v>
      </c>
      <c r="N105" s="1465">
        <f t="shared" si="15"/>
        <v>19.29260450160772</v>
      </c>
      <c r="O105" s="1466">
        <f t="shared" si="16"/>
        <v>85.714285714285708</v>
      </c>
    </row>
    <row r="106" spans="1:15">
      <c r="A106" s="1436" t="s">
        <v>82</v>
      </c>
      <c r="B106" s="1436" t="s">
        <v>83</v>
      </c>
      <c r="C106" s="1436" t="s">
        <v>264</v>
      </c>
      <c r="D106" s="1442">
        <v>19</v>
      </c>
      <c r="E106" s="1443">
        <v>6</v>
      </c>
      <c r="F106" s="1443">
        <v>13</v>
      </c>
      <c r="G106" s="1444"/>
      <c r="H106" s="1442">
        <v>489</v>
      </c>
      <c r="I106" s="1443">
        <v>161</v>
      </c>
      <c r="J106" s="1443">
        <v>318</v>
      </c>
      <c r="K106" s="1444">
        <v>10</v>
      </c>
      <c r="L106" s="1464">
        <f t="shared" si="13"/>
        <v>38.854805725971374</v>
      </c>
      <c r="M106" s="1465">
        <f t="shared" si="14"/>
        <v>37.267080745341616</v>
      </c>
      <c r="N106" s="1465">
        <f t="shared" si="15"/>
        <v>40.880503144654085</v>
      </c>
      <c r="O106" s="1466" t="str">
        <f t="shared" si="16"/>
        <v>0</v>
      </c>
    </row>
    <row r="107" spans="1:15">
      <c r="A107" s="1436" t="s">
        <v>88</v>
      </c>
      <c r="B107" s="1436" t="s">
        <v>89</v>
      </c>
      <c r="C107" s="1436" t="s">
        <v>267</v>
      </c>
      <c r="D107" s="1442">
        <v>30</v>
      </c>
      <c r="E107" s="1443">
        <v>16</v>
      </c>
      <c r="F107" s="1443">
        <v>12</v>
      </c>
      <c r="G107" s="1444">
        <v>2</v>
      </c>
      <c r="H107" s="1442">
        <v>2134</v>
      </c>
      <c r="I107" s="1443">
        <v>1391</v>
      </c>
      <c r="J107" s="1443">
        <v>619</v>
      </c>
      <c r="K107" s="1444">
        <v>124</v>
      </c>
      <c r="L107" s="1464">
        <f t="shared" si="13"/>
        <v>14.058106841611997</v>
      </c>
      <c r="M107" s="1465">
        <f t="shared" si="14"/>
        <v>11.502516175413373</v>
      </c>
      <c r="N107" s="1465">
        <f t="shared" si="15"/>
        <v>19.386106623586429</v>
      </c>
      <c r="O107" s="1466">
        <f t="shared" si="16"/>
        <v>16.129032258064516</v>
      </c>
    </row>
    <row r="108" spans="1:15">
      <c r="A108" s="1436" t="s">
        <v>90</v>
      </c>
      <c r="B108" s="1436" t="s">
        <v>91</v>
      </c>
      <c r="C108" s="1436" t="s">
        <v>268</v>
      </c>
      <c r="D108" s="1442">
        <v>20</v>
      </c>
      <c r="E108" s="1443">
        <v>15</v>
      </c>
      <c r="F108" s="1443">
        <v>1</v>
      </c>
      <c r="G108" s="1444">
        <v>4</v>
      </c>
      <c r="H108" s="1442">
        <v>435</v>
      </c>
      <c r="I108" s="1443">
        <v>383</v>
      </c>
      <c r="J108" s="1443">
        <v>43</v>
      </c>
      <c r="K108" s="1444">
        <v>9</v>
      </c>
      <c r="L108" s="1464">
        <f t="shared" si="13"/>
        <v>45.977011494252871</v>
      </c>
      <c r="M108" s="1465">
        <f t="shared" si="14"/>
        <v>39.164490861618802</v>
      </c>
      <c r="N108" s="1465">
        <f t="shared" si="15"/>
        <v>23.255813953488371</v>
      </c>
      <c r="O108" s="1466">
        <f t="shared" si="16"/>
        <v>444.4444444444444</v>
      </c>
    </row>
    <row r="109" spans="1:15">
      <c r="A109" s="1436" t="s">
        <v>106</v>
      </c>
      <c r="B109" s="1436" t="s">
        <v>107</v>
      </c>
      <c r="C109" s="1436" t="s">
        <v>264</v>
      </c>
      <c r="D109" s="1442">
        <v>145</v>
      </c>
      <c r="E109" s="1443">
        <v>43</v>
      </c>
      <c r="F109" s="1443">
        <v>86</v>
      </c>
      <c r="G109" s="1444">
        <v>16</v>
      </c>
      <c r="H109" s="1442">
        <v>8917</v>
      </c>
      <c r="I109" s="1443">
        <v>2876</v>
      </c>
      <c r="J109" s="1443">
        <v>5749</v>
      </c>
      <c r="K109" s="1444">
        <v>292</v>
      </c>
      <c r="L109" s="1464">
        <f t="shared" si="13"/>
        <v>16.261074352360659</v>
      </c>
      <c r="M109" s="1465">
        <f t="shared" si="14"/>
        <v>14.951321279554936</v>
      </c>
      <c r="N109" s="1465">
        <f t="shared" si="15"/>
        <v>14.95912332579579</v>
      </c>
      <c r="O109" s="1466">
        <f t="shared" si="16"/>
        <v>54.794520547945204</v>
      </c>
    </row>
    <row r="110" spans="1:15">
      <c r="A110" s="1436" t="s">
        <v>116</v>
      </c>
      <c r="B110" s="1436" t="s">
        <v>117</v>
      </c>
      <c r="C110" s="1436" t="s">
        <v>266</v>
      </c>
      <c r="D110" s="1442">
        <v>47</v>
      </c>
      <c r="E110" s="1443">
        <v>14</v>
      </c>
      <c r="F110" s="1443">
        <v>32</v>
      </c>
      <c r="G110" s="1444">
        <v>1</v>
      </c>
      <c r="H110" s="1442">
        <v>1354</v>
      </c>
      <c r="I110" s="1443">
        <v>649</v>
      </c>
      <c r="J110" s="1443">
        <v>680</v>
      </c>
      <c r="K110" s="1444">
        <v>25</v>
      </c>
      <c r="L110" s="1464">
        <f t="shared" si="13"/>
        <v>34.711964549483014</v>
      </c>
      <c r="M110" s="1465">
        <f t="shared" si="14"/>
        <v>21.571648690292758</v>
      </c>
      <c r="N110" s="1465">
        <f t="shared" si="15"/>
        <v>47.058823529411761</v>
      </c>
      <c r="O110" s="1466">
        <f t="shared" si="16"/>
        <v>40</v>
      </c>
    </row>
    <row r="111" spans="1:15">
      <c r="A111" s="1436" t="s">
        <v>138</v>
      </c>
      <c r="B111" s="1436" t="s">
        <v>139</v>
      </c>
      <c r="C111" s="1436" t="s">
        <v>265</v>
      </c>
      <c r="D111" s="1442">
        <v>61</v>
      </c>
      <c r="E111" s="1443">
        <v>21</v>
      </c>
      <c r="F111" s="1443">
        <v>38</v>
      </c>
      <c r="G111" s="1444">
        <v>2</v>
      </c>
      <c r="H111" s="1442">
        <v>6114</v>
      </c>
      <c r="I111" s="1443">
        <v>3991</v>
      </c>
      <c r="J111" s="1443">
        <v>1926</v>
      </c>
      <c r="K111" s="1444">
        <v>197</v>
      </c>
      <c r="L111" s="1464">
        <f t="shared" si="13"/>
        <v>9.9771017337258758</v>
      </c>
      <c r="M111" s="1465">
        <f t="shared" si="14"/>
        <v>5.2618391380606369</v>
      </c>
      <c r="N111" s="1465">
        <f t="shared" si="15"/>
        <v>19.730010384215991</v>
      </c>
      <c r="O111" s="1466">
        <f t="shared" si="16"/>
        <v>10.152284263959389</v>
      </c>
    </row>
    <row r="112" spans="1:15">
      <c r="A112" s="1436" t="s">
        <v>142</v>
      </c>
      <c r="B112" s="1436" t="s">
        <v>143</v>
      </c>
      <c r="C112" s="1436" t="s">
        <v>267</v>
      </c>
      <c r="D112" s="1442">
        <v>59</v>
      </c>
      <c r="E112" s="1443">
        <v>42</v>
      </c>
      <c r="F112" s="1443">
        <v>13</v>
      </c>
      <c r="G112" s="1444">
        <v>4</v>
      </c>
      <c r="H112" s="1442">
        <v>2764</v>
      </c>
      <c r="I112" s="1443">
        <v>2058</v>
      </c>
      <c r="J112" s="1443">
        <v>503</v>
      </c>
      <c r="K112" s="1444">
        <v>203</v>
      </c>
      <c r="L112" s="1464">
        <f t="shared" si="13"/>
        <v>21.345875542691751</v>
      </c>
      <c r="M112" s="1465">
        <f t="shared" si="14"/>
        <v>20.408163265306122</v>
      </c>
      <c r="N112" s="1465">
        <f t="shared" si="15"/>
        <v>25.844930417495029</v>
      </c>
      <c r="O112" s="1466">
        <f t="shared" si="16"/>
        <v>19.704433497536947</v>
      </c>
    </row>
    <row r="113" spans="1:15">
      <c r="A113" s="1436" t="s">
        <v>144</v>
      </c>
      <c r="B113" s="1436" t="s">
        <v>145</v>
      </c>
      <c r="C113" s="1436" t="s">
        <v>267</v>
      </c>
      <c r="D113" s="1442">
        <v>3</v>
      </c>
      <c r="E113" s="1443"/>
      <c r="F113" s="1443"/>
      <c r="G113" s="1444">
        <v>3</v>
      </c>
      <c r="H113" s="1442">
        <v>1073</v>
      </c>
      <c r="I113" s="1443">
        <v>792</v>
      </c>
      <c r="J113" s="1443">
        <v>156</v>
      </c>
      <c r="K113" s="1444">
        <v>125</v>
      </c>
      <c r="L113" s="1464">
        <f t="shared" si="13"/>
        <v>2.7958993476234855</v>
      </c>
      <c r="M113" s="1465" t="str">
        <f t="shared" si="14"/>
        <v>0</v>
      </c>
      <c r="N113" s="1465" t="str">
        <f t="shared" si="15"/>
        <v>0</v>
      </c>
      <c r="O113" s="1466">
        <f t="shared" si="16"/>
        <v>24</v>
      </c>
    </row>
    <row r="114" spans="1:15">
      <c r="A114" s="1436" t="s">
        <v>158</v>
      </c>
      <c r="B114" s="1436" t="s">
        <v>159</v>
      </c>
      <c r="C114" s="1436" t="s">
        <v>264</v>
      </c>
      <c r="D114" s="1442">
        <v>248</v>
      </c>
      <c r="E114" s="1443">
        <v>69</v>
      </c>
      <c r="F114" s="1443">
        <v>156</v>
      </c>
      <c r="G114" s="1444">
        <v>23</v>
      </c>
      <c r="H114" s="1442">
        <v>11781</v>
      </c>
      <c r="I114" s="1443">
        <v>5341</v>
      </c>
      <c r="J114" s="1443">
        <v>6008</v>
      </c>
      <c r="K114" s="1444">
        <v>432</v>
      </c>
      <c r="L114" s="1464">
        <f t="shared" si="13"/>
        <v>21.050844580256346</v>
      </c>
      <c r="M114" s="1465">
        <f t="shared" si="14"/>
        <v>12.918929039505711</v>
      </c>
      <c r="N114" s="1465">
        <f t="shared" si="15"/>
        <v>25.965379494007991</v>
      </c>
      <c r="O114" s="1466">
        <f t="shared" si="16"/>
        <v>53.24074074074074</v>
      </c>
    </row>
    <row r="115" spans="1:15">
      <c r="A115" s="1436" t="s">
        <v>160</v>
      </c>
      <c r="B115" s="1436" t="s">
        <v>161</v>
      </c>
      <c r="C115" s="1436" t="s">
        <v>264</v>
      </c>
      <c r="D115" s="1442">
        <v>346</v>
      </c>
      <c r="E115" s="1443">
        <v>63</v>
      </c>
      <c r="F115" s="1443">
        <v>268</v>
      </c>
      <c r="G115" s="1444">
        <v>15</v>
      </c>
      <c r="H115" s="1442">
        <v>14100</v>
      </c>
      <c r="I115" s="1443">
        <v>4970</v>
      </c>
      <c r="J115" s="1443">
        <v>8467</v>
      </c>
      <c r="K115" s="1444">
        <v>663</v>
      </c>
      <c r="L115" s="1464">
        <f t="shared" si="13"/>
        <v>24.539007092198581</v>
      </c>
      <c r="M115" s="1465">
        <f t="shared" si="14"/>
        <v>12.67605633802817</v>
      </c>
      <c r="N115" s="1465">
        <f t="shared" si="15"/>
        <v>31.652297153655368</v>
      </c>
      <c r="O115" s="1466">
        <f t="shared" si="16"/>
        <v>22.624434389140269</v>
      </c>
    </row>
    <row r="116" spans="1:15">
      <c r="A116" s="1436" t="s">
        <v>166</v>
      </c>
      <c r="B116" s="1436" t="s">
        <v>167</v>
      </c>
      <c r="C116" s="1436" t="s">
        <v>268</v>
      </c>
      <c r="D116" s="1442">
        <v>15</v>
      </c>
      <c r="E116" s="1443">
        <v>13</v>
      </c>
      <c r="F116" s="1443">
        <v>2</v>
      </c>
      <c r="G116" s="1444"/>
      <c r="H116" s="1442">
        <v>237</v>
      </c>
      <c r="I116" s="1443">
        <v>204</v>
      </c>
      <c r="J116" s="1443">
        <v>30</v>
      </c>
      <c r="K116" s="1444">
        <v>3</v>
      </c>
      <c r="L116" s="1464">
        <f t="shared" si="13"/>
        <v>63.291139240506332</v>
      </c>
      <c r="M116" s="1465">
        <f t="shared" si="14"/>
        <v>63.725490196078425</v>
      </c>
      <c r="N116" s="1465">
        <f t="shared" si="15"/>
        <v>66.666666666666671</v>
      </c>
      <c r="O116" s="1466" t="str">
        <f t="shared" si="16"/>
        <v>0</v>
      </c>
    </row>
    <row r="117" spans="1:15">
      <c r="A117" s="1436" t="s">
        <v>176</v>
      </c>
      <c r="B117" s="1436" t="s">
        <v>177</v>
      </c>
      <c r="C117" s="1436" t="s">
        <v>266</v>
      </c>
      <c r="D117" s="1442">
        <v>83</v>
      </c>
      <c r="E117" s="1443">
        <v>13</v>
      </c>
      <c r="F117" s="1443">
        <v>66</v>
      </c>
      <c r="G117" s="1444">
        <v>4</v>
      </c>
      <c r="H117" s="1442">
        <v>1708</v>
      </c>
      <c r="I117" s="1443">
        <v>190</v>
      </c>
      <c r="J117" s="1443">
        <v>1498</v>
      </c>
      <c r="K117" s="1444">
        <v>20</v>
      </c>
      <c r="L117" s="1464">
        <f t="shared" si="13"/>
        <v>48.594847775175644</v>
      </c>
      <c r="M117" s="1465">
        <f t="shared" si="14"/>
        <v>68.421052631578945</v>
      </c>
      <c r="N117" s="1465">
        <f t="shared" si="15"/>
        <v>44.058744993324432</v>
      </c>
      <c r="O117" s="1466">
        <f t="shared" si="16"/>
        <v>200</v>
      </c>
    </row>
    <row r="118" spans="1:15">
      <c r="A118" s="1436" t="s">
        <v>180</v>
      </c>
      <c r="B118" s="1436" t="s">
        <v>181</v>
      </c>
      <c r="C118" s="1436" t="s">
        <v>264</v>
      </c>
      <c r="D118" s="1442">
        <v>133</v>
      </c>
      <c r="E118" s="1443">
        <v>25</v>
      </c>
      <c r="F118" s="1443">
        <v>103</v>
      </c>
      <c r="G118" s="1444">
        <v>5</v>
      </c>
      <c r="H118" s="1442">
        <v>5503</v>
      </c>
      <c r="I118" s="1443">
        <v>1648</v>
      </c>
      <c r="J118" s="1443">
        <v>3730</v>
      </c>
      <c r="K118" s="1444">
        <v>125</v>
      </c>
      <c r="L118" s="1464">
        <f t="shared" si="13"/>
        <v>24.168635289841905</v>
      </c>
      <c r="M118" s="1465">
        <f t="shared" si="14"/>
        <v>15.16990291262136</v>
      </c>
      <c r="N118" s="1465">
        <f t="shared" si="15"/>
        <v>27.613941018766756</v>
      </c>
      <c r="O118" s="1466">
        <f t="shared" si="16"/>
        <v>40</v>
      </c>
    </row>
    <row r="119" spans="1:15">
      <c r="A119" s="1436" t="s">
        <v>192</v>
      </c>
      <c r="B119" s="1436" t="s">
        <v>193</v>
      </c>
      <c r="C119" s="1436" t="s">
        <v>268</v>
      </c>
      <c r="D119" s="1442">
        <v>19</v>
      </c>
      <c r="E119" s="1443">
        <v>18</v>
      </c>
      <c r="F119" s="1443">
        <v>1</v>
      </c>
      <c r="G119" s="1444"/>
      <c r="H119" s="1442">
        <v>1796</v>
      </c>
      <c r="I119" s="1443">
        <v>1583</v>
      </c>
      <c r="J119" s="1443">
        <v>175</v>
      </c>
      <c r="K119" s="1444">
        <v>38</v>
      </c>
      <c r="L119" s="1464">
        <f t="shared" si="13"/>
        <v>10.579064587973273</v>
      </c>
      <c r="M119" s="1465">
        <f t="shared" si="14"/>
        <v>11.370814908401769</v>
      </c>
      <c r="N119" s="1465">
        <f t="shared" si="15"/>
        <v>5.7142857142857144</v>
      </c>
      <c r="O119" s="1466" t="str">
        <f t="shared" si="16"/>
        <v>0</v>
      </c>
    </row>
    <row r="120" spans="1:15">
      <c r="A120" s="1436" t="s">
        <v>196</v>
      </c>
      <c r="B120" s="1436" t="s">
        <v>197</v>
      </c>
      <c r="C120" s="1436" t="s">
        <v>266</v>
      </c>
      <c r="D120" s="1442">
        <v>264</v>
      </c>
      <c r="E120" s="1443">
        <v>20</v>
      </c>
      <c r="F120" s="1443">
        <v>229</v>
      </c>
      <c r="G120" s="1444">
        <v>15</v>
      </c>
      <c r="H120" s="1442">
        <v>12202</v>
      </c>
      <c r="I120" s="1443">
        <v>3822</v>
      </c>
      <c r="J120" s="1443">
        <v>7863</v>
      </c>
      <c r="K120" s="1444">
        <v>517</v>
      </c>
      <c r="L120" s="1464">
        <f t="shared" si="13"/>
        <v>21.635797410260611</v>
      </c>
      <c r="M120" s="1465">
        <f t="shared" si="14"/>
        <v>5.2328623757195185</v>
      </c>
      <c r="N120" s="1465">
        <f t="shared" si="15"/>
        <v>29.123744118021111</v>
      </c>
      <c r="O120" s="1466">
        <f t="shared" si="16"/>
        <v>29.013539651837522</v>
      </c>
    </row>
    <row r="121" spans="1:15">
      <c r="A121" s="1436" t="s">
        <v>200</v>
      </c>
      <c r="B121" s="1436" t="s">
        <v>201</v>
      </c>
      <c r="C121" s="1436" t="s">
        <v>265</v>
      </c>
      <c r="D121" s="1442">
        <v>148</v>
      </c>
      <c r="E121" s="1443">
        <v>78</v>
      </c>
      <c r="F121" s="1443">
        <v>68</v>
      </c>
      <c r="G121" s="1444">
        <v>2</v>
      </c>
      <c r="H121" s="1442">
        <v>5042</v>
      </c>
      <c r="I121" s="1443">
        <v>2693</v>
      </c>
      <c r="J121" s="1443">
        <v>2194</v>
      </c>
      <c r="K121" s="1444">
        <v>155</v>
      </c>
      <c r="L121" s="1464">
        <f t="shared" si="13"/>
        <v>29.353431178103925</v>
      </c>
      <c r="M121" s="1465">
        <f t="shared" si="14"/>
        <v>28.963980690679538</v>
      </c>
      <c r="N121" s="1465">
        <f t="shared" si="15"/>
        <v>30.993618960802188</v>
      </c>
      <c r="O121" s="1466">
        <f t="shared" si="16"/>
        <v>12.903225806451612</v>
      </c>
    </row>
    <row r="122" spans="1:15">
      <c r="A122" s="1436" t="s">
        <v>222</v>
      </c>
      <c r="B122" s="1436" t="s">
        <v>223</v>
      </c>
      <c r="C122" s="1436" t="s">
        <v>264</v>
      </c>
      <c r="D122" s="1442">
        <v>70</v>
      </c>
      <c r="E122" s="1443">
        <v>24</v>
      </c>
      <c r="F122" s="1443">
        <v>46</v>
      </c>
      <c r="G122" s="1444"/>
      <c r="H122" s="1442">
        <v>5728</v>
      </c>
      <c r="I122" s="1443">
        <v>2508</v>
      </c>
      <c r="J122" s="1443">
        <v>3086</v>
      </c>
      <c r="K122" s="1444">
        <v>134</v>
      </c>
      <c r="L122" s="1464">
        <f t="shared" si="13"/>
        <v>12.220670391061452</v>
      </c>
      <c r="M122" s="1465">
        <f t="shared" si="14"/>
        <v>9.5693779904306222</v>
      </c>
      <c r="N122" s="1465">
        <f t="shared" si="15"/>
        <v>14.906027219701878</v>
      </c>
      <c r="O122" s="1466" t="str">
        <f t="shared" si="16"/>
        <v>0</v>
      </c>
    </row>
    <row r="123" spans="1:15">
      <c r="A123" s="1436" t="s">
        <v>230</v>
      </c>
      <c r="B123" s="1436" t="s">
        <v>231</v>
      </c>
      <c r="C123" s="1436" t="s">
        <v>264</v>
      </c>
      <c r="D123" s="1442">
        <v>313</v>
      </c>
      <c r="E123" s="1443">
        <v>153</v>
      </c>
      <c r="F123" s="1443">
        <v>121</v>
      </c>
      <c r="G123" s="1444">
        <v>39</v>
      </c>
      <c r="H123" s="1442">
        <v>27731</v>
      </c>
      <c r="I123" s="1443">
        <v>18075</v>
      </c>
      <c r="J123" s="1443">
        <v>7439</v>
      </c>
      <c r="K123" s="1444">
        <v>2217</v>
      </c>
      <c r="L123" s="1464">
        <f t="shared" si="13"/>
        <v>11.287007320327431</v>
      </c>
      <c r="M123" s="1465">
        <f t="shared" si="14"/>
        <v>8.4647302904564317</v>
      </c>
      <c r="N123" s="1465">
        <f t="shared" si="15"/>
        <v>16.265627100416722</v>
      </c>
      <c r="O123" s="1466">
        <f t="shared" si="16"/>
        <v>17.591339648173207</v>
      </c>
    </row>
    <row r="124" spans="1:15">
      <c r="A124" s="1436" t="s">
        <v>238</v>
      </c>
      <c r="B124" s="1436" t="s">
        <v>239</v>
      </c>
      <c r="C124" s="1436" t="s">
        <v>264</v>
      </c>
      <c r="D124" s="1442">
        <v>6</v>
      </c>
      <c r="E124" s="1443">
        <v>5</v>
      </c>
      <c r="F124" s="1443"/>
      <c r="G124" s="1444">
        <v>1</v>
      </c>
      <c r="H124" s="1442">
        <v>1505</v>
      </c>
      <c r="I124" s="1443">
        <v>1140</v>
      </c>
      <c r="J124" s="1443">
        <v>237</v>
      </c>
      <c r="K124" s="1444">
        <v>128</v>
      </c>
      <c r="L124" s="1464">
        <f t="shared" si="13"/>
        <v>3.986710963455149</v>
      </c>
      <c r="M124" s="1465">
        <f t="shared" si="14"/>
        <v>4.3859649122807012</v>
      </c>
      <c r="N124" s="1465" t="str">
        <f t="shared" si="15"/>
        <v>0</v>
      </c>
      <c r="O124" s="1466">
        <f t="shared" si="16"/>
        <v>7.8125</v>
      </c>
    </row>
    <row r="125" spans="1:15">
      <c r="A125" s="1452" t="s">
        <v>240</v>
      </c>
      <c r="B125" s="1452" t="s">
        <v>241</v>
      </c>
      <c r="C125" s="1452" t="s">
        <v>267</v>
      </c>
      <c r="D125" s="1453">
        <v>42</v>
      </c>
      <c r="E125" s="1454">
        <v>31</v>
      </c>
      <c r="F125" s="1454">
        <v>5</v>
      </c>
      <c r="G125" s="1455">
        <v>6</v>
      </c>
      <c r="H125" s="1453">
        <v>1732</v>
      </c>
      <c r="I125" s="1456">
        <v>1373</v>
      </c>
      <c r="J125" s="1456">
        <v>299</v>
      </c>
      <c r="K125" s="1455">
        <v>60</v>
      </c>
      <c r="L125" s="1467">
        <f t="shared" si="13"/>
        <v>24.24942263279446</v>
      </c>
      <c r="M125" s="1468">
        <f t="shared" si="14"/>
        <v>22.578295702840496</v>
      </c>
      <c r="N125" s="1468">
        <f t="shared" si="15"/>
        <v>16.722408026755851</v>
      </c>
      <c r="O125" s="1469">
        <f t="shared" si="16"/>
        <v>100</v>
      </c>
    </row>
    <row r="127" spans="1:15">
      <c r="A127" s="1436" t="s">
        <v>266</v>
      </c>
      <c r="D127" s="1457">
        <v>1076</v>
      </c>
      <c r="E127" s="1443">
        <v>397</v>
      </c>
      <c r="F127" s="1443">
        <v>617</v>
      </c>
      <c r="G127" s="1444">
        <v>62</v>
      </c>
      <c r="H127" s="1442">
        <v>86083</v>
      </c>
      <c r="I127" s="1443">
        <v>51396</v>
      </c>
      <c r="J127" s="1443">
        <v>31097</v>
      </c>
      <c r="K127" s="1444">
        <v>3590</v>
      </c>
      <c r="L127" s="1458">
        <f t="shared" ref="L127:L131" si="17">IF(D127=0,"0",(D127/H127)*1000)</f>
        <v>12.499564373918194</v>
      </c>
      <c r="M127" s="1459">
        <f t="shared" ref="M127:M131" si="18">IF(E127=0,"0",(E127/I127)*1000)</f>
        <v>7.7243365242431317</v>
      </c>
      <c r="N127" s="1459">
        <f t="shared" ref="N127:N131" si="19">IF(F127=0,"0",(F127/J127)*1000)</f>
        <v>19.84114223236968</v>
      </c>
      <c r="O127" s="1460">
        <f t="shared" ref="O127:O131" si="20">IF(G127=0,"0",(G127/K127)*1000)</f>
        <v>17.270194986072426</v>
      </c>
    </row>
    <row r="128" spans="1:15">
      <c r="A128" s="1436" t="s">
        <v>264</v>
      </c>
      <c r="D128" s="1442">
        <v>1692</v>
      </c>
      <c r="E128" s="1443">
        <v>575</v>
      </c>
      <c r="F128" s="1443">
        <v>986</v>
      </c>
      <c r="G128" s="1444">
        <v>131</v>
      </c>
      <c r="H128" s="1442">
        <v>116990</v>
      </c>
      <c r="I128" s="1443">
        <v>63848</v>
      </c>
      <c r="J128" s="1443">
        <v>47596</v>
      </c>
      <c r="K128" s="1444">
        <v>5546</v>
      </c>
      <c r="L128" s="1458">
        <f t="shared" si="17"/>
        <v>14.462774596119328</v>
      </c>
      <c r="M128" s="1459">
        <f t="shared" si="18"/>
        <v>9.0057636887608066</v>
      </c>
      <c r="N128" s="1459">
        <f t="shared" si="19"/>
        <v>20.716026556853517</v>
      </c>
      <c r="O128" s="1460">
        <f t="shared" si="20"/>
        <v>23.620627479264336</v>
      </c>
    </row>
    <row r="129" spans="1:15">
      <c r="A129" s="1436" t="s">
        <v>267</v>
      </c>
      <c r="D129" s="1442">
        <v>1724</v>
      </c>
      <c r="E129" s="1443">
        <v>1094</v>
      </c>
      <c r="F129" s="1443">
        <v>317</v>
      </c>
      <c r="G129" s="1444">
        <v>313</v>
      </c>
      <c r="H129" s="1442">
        <v>207128</v>
      </c>
      <c r="I129" s="1443">
        <v>151633</v>
      </c>
      <c r="J129" s="1443">
        <v>30651</v>
      </c>
      <c r="K129" s="1444">
        <v>24844</v>
      </c>
      <c r="L129" s="1458">
        <f t="shared" si="17"/>
        <v>8.3233556061952019</v>
      </c>
      <c r="M129" s="1459">
        <f t="shared" si="18"/>
        <v>7.2147883376309903</v>
      </c>
      <c r="N129" s="1459">
        <f t="shared" si="19"/>
        <v>10.342240057420639</v>
      </c>
      <c r="O129" s="1460">
        <f t="shared" si="20"/>
        <v>12.598615359845436</v>
      </c>
    </row>
    <row r="130" spans="1:15">
      <c r="A130" s="1436" t="s">
        <v>265</v>
      </c>
      <c r="D130" s="1442">
        <v>967</v>
      </c>
      <c r="E130" s="1443">
        <v>628</v>
      </c>
      <c r="F130" s="1443">
        <v>310</v>
      </c>
      <c r="G130" s="1444">
        <v>29</v>
      </c>
      <c r="H130" s="1442">
        <v>72177</v>
      </c>
      <c r="I130" s="1443">
        <v>55010</v>
      </c>
      <c r="J130" s="1443">
        <v>15132</v>
      </c>
      <c r="K130" s="1444">
        <v>2035</v>
      </c>
      <c r="L130" s="1458">
        <f t="shared" si="17"/>
        <v>13.397619740360504</v>
      </c>
      <c r="M130" s="1459">
        <f t="shared" si="18"/>
        <v>11.416106162515906</v>
      </c>
      <c r="N130" s="1459">
        <f t="shared" si="19"/>
        <v>20.486386465767911</v>
      </c>
      <c r="O130" s="1460">
        <f t="shared" si="20"/>
        <v>14.25061425061425</v>
      </c>
    </row>
    <row r="131" spans="1:15">
      <c r="A131" s="1436" t="s">
        <v>268</v>
      </c>
      <c r="D131" s="1442">
        <v>675</v>
      </c>
      <c r="E131" s="1443">
        <v>639</v>
      </c>
      <c r="F131" s="1443">
        <v>25</v>
      </c>
      <c r="G131" s="1444">
        <v>11</v>
      </c>
      <c r="H131" s="1442">
        <v>35415</v>
      </c>
      <c r="I131" s="1443">
        <v>33225</v>
      </c>
      <c r="J131" s="1443">
        <v>1485</v>
      </c>
      <c r="K131" s="1444">
        <v>705</v>
      </c>
      <c r="L131" s="1458">
        <f t="shared" si="17"/>
        <v>19.05972045743329</v>
      </c>
      <c r="M131" s="1459">
        <f t="shared" si="18"/>
        <v>19.232505643340858</v>
      </c>
      <c r="N131" s="1459">
        <f t="shared" si="19"/>
        <v>16.835016835016834</v>
      </c>
      <c r="O131" s="1460">
        <f t="shared" si="20"/>
        <v>15.602836879432624</v>
      </c>
    </row>
    <row r="133" spans="1:15">
      <c r="B133" s="1436" t="s">
        <v>955</v>
      </c>
    </row>
    <row r="135" spans="1:15">
      <c r="B135" s="1436" t="s">
        <v>953</v>
      </c>
    </row>
    <row r="136" spans="1:15">
      <c r="B136" s="1436" t="s">
        <v>249</v>
      </c>
      <c r="D136" s="1445" t="s">
        <v>954</v>
      </c>
    </row>
  </sheetData>
  <autoFilter ref="A4:C125"/>
  <sortState ref="A6:O125">
    <sortCondition ref="A6:A125"/>
  </sortState>
  <mergeCells count="3">
    <mergeCell ref="D3:G3"/>
    <mergeCell ref="H3:K3"/>
    <mergeCell ref="L3:O3"/>
  </mergeCells>
  <hyperlinks>
    <hyperlink ref="D136" r:id="rId1"/>
  </hyperlink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AV135"/>
  <sheetViews>
    <sheetView topLeftCell="A111" workbookViewId="0">
      <selection activeCell="A6" sqref="A6:XFD125"/>
    </sheetView>
  </sheetViews>
  <sheetFormatPr defaultRowHeight="15.75"/>
  <cols>
    <col min="1" max="1" width="7.75" style="134" customWidth="1"/>
    <col min="2" max="2" width="28.625" style="158" customWidth="1"/>
    <col min="3" max="3" width="10" style="158" customWidth="1"/>
    <col min="4" max="4" width="8.25" style="158" customWidth="1"/>
    <col min="5" max="7" width="8.25" style="157" customWidth="1"/>
    <col min="8" max="11" width="8.25" style="134" customWidth="1"/>
    <col min="12" max="15" width="8.25" style="135" customWidth="1"/>
    <col min="16" max="18" width="8.25" style="134" customWidth="1"/>
    <col min="19" max="16384" width="9" style="134"/>
  </cols>
  <sheetData>
    <row r="1" spans="1:48">
      <c r="A1" s="314" t="s">
        <v>936</v>
      </c>
      <c r="B1" s="314"/>
      <c r="C1" s="314"/>
      <c r="D1" s="314"/>
      <c r="E1" s="314"/>
      <c r="F1" s="314"/>
      <c r="G1" s="314"/>
      <c r="H1" s="314"/>
      <c r="I1" s="315"/>
      <c r="J1" s="315"/>
      <c r="K1" s="315"/>
      <c r="L1" s="315"/>
      <c r="M1" s="315"/>
      <c r="N1" s="315"/>
      <c r="O1" s="315"/>
    </row>
    <row r="2" spans="1:48">
      <c r="A2" s="96"/>
      <c r="B2" s="136"/>
      <c r="C2" s="136"/>
      <c r="D2" s="136"/>
      <c r="E2" s="1915"/>
      <c r="F2" s="1915"/>
      <c r="G2" s="1915"/>
    </row>
    <row r="3" spans="1:48">
      <c r="A3" s="96"/>
      <c r="B3" s="136"/>
      <c r="C3" s="136"/>
      <c r="D3" s="1912" t="s">
        <v>642</v>
      </c>
      <c r="E3" s="1912"/>
      <c r="F3" s="1912"/>
      <c r="G3" s="1912"/>
      <c r="H3" s="1912"/>
      <c r="I3" s="1912"/>
      <c r="J3" s="1912"/>
      <c r="K3" s="1912"/>
      <c r="L3" s="1912"/>
      <c r="M3" s="1912"/>
      <c r="N3" s="1912"/>
      <c r="O3" s="1912"/>
      <c r="P3" s="1912"/>
      <c r="Q3" s="1912"/>
      <c r="R3" s="1912"/>
      <c r="S3" s="1913" t="s">
        <v>937</v>
      </c>
      <c r="T3" s="1913"/>
      <c r="U3" s="1913"/>
      <c r="V3" s="1913"/>
      <c r="W3" s="1913"/>
      <c r="X3" s="1913"/>
      <c r="Y3" s="1913"/>
      <c r="Z3" s="1913"/>
      <c r="AA3" s="1913"/>
      <c r="AB3" s="1913"/>
      <c r="AC3" s="1913"/>
      <c r="AD3" s="1913"/>
      <c r="AE3" s="1913"/>
      <c r="AF3" s="1913"/>
      <c r="AG3" s="1913"/>
      <c r="AH3" s="1914" t="s">
        <v>938</v>
      </c>
      <c r="AI3" s="1914"/>
      <c r="AJ3" s="1914"/>
      <c r="AK3" s="1914"/>
      <c r="AL3" s="1914"/>
      <c r="AM3" s="1914"/>
      <c r="AN3" s="1914"/>
      <c r="AO3" s="1914"/>
      <c r="AP3" s="1914"/>
      <c r="AQ3" s="1914"/>
      <c r="AR3" s="1914"/>
      <c r="AS3" s="1914"/>
      <c r="AT3" s="1914"/>
      <c r="AU3" s="1914"/>
      <c r="AV3" s="1914"/>
    </row>
    <row r="4" spans="1:48" s="142" customFormat="1" ht="15" customHeight="1">
      <c r="A4" s="1367" t="s">
        <v>4</v>
      </c>
      <c r="B4" s="1366" t="s">
        <v>5</v>
      </c>
      <c r="C4" s="1366" t="s">
        <v>251</v>
      </c>
      <c r="D4" s="1378">
        <v>1998</v>
      </c>
      <c r="E4" s="1379">
        <v>1999</v>
      </c>
      <c r="F4" s="1379">
        <v>2000</v>
      </c>
      <c r="G4" s="1379">
        <v>2001</v>
      </c>
      <c r="H4" s="1379">
        <v>2002</v>
      </c>
      <c r="I4" s="1379">
        <v>2003</v>
      </c>
      <c r="J4" s="1379">
        <v>2004</v>
      </c>
      <c r="K4" s="1379">
        <v>2005</v>
      </c>
      <c r="L4" s="1379">
        <v>2006</v>
      </c>
      <c r="M4" s="1379">
        <v>2007</v>
      </c>
      <c r="N4" s="1379">
        <v>2008</v>
      </c>
      <c r="O4" s="1380">
        <v>2009</v>
      </c>
      <c r="P4" s="1381">
        <v>2010</v>
      </c>
      <c r="Q4" s="1381">
        <v>2011</v>
      </c>
      <c r="R4" s="1382">
        <v>2012</v>
      </c>
      <c r="S4" s="1389">
        <v>1998</v>
      </c>
      <c r="T4" s="1381">
        <v>1999</v>
      </c>
      <c r="U4" s="1381">
        <v>2000</v>
      </c>
      <c r="V4" s="1381">
        <v>2001</v>
      </c>
      <c r="W4" s="1381">
        <v>2002</v>
      </c>
      <c r="X4" s="1381">
        <v>2003</v>
      </c>
      <c r="Y4" s="1381">
        <v>2004</v>
      </c>
      <c r="Z4" s="1381">
        <v>2005</v>
      </c>
      <c r="AA4" s="1381">
        <v>2006</v>
      </c>
      <c r="AB4" s="1381">
        <v>2007</v>
      </c>
      <c r="AC4" s="1381">
        <v>2008</v>
      </c>
      <c r="AD4" s="1381">
        <v>2009</v>
      </c>
      <c r="AE4" s="1381">
        <v>2010</v>
      </c>
      <c r="AF4" s="1381">
        <v>2011</v>
      </c>
      <c r="AG4" s="1382">
        <v>2012</v>
      </c>
      <c r="AH4" s="1389">
        <v>1998</v>
      </c>
      <c r="AI4" s="1381">
        <v>1999</v>
      </c>
      <c r="AJ4" s="1381">
        <v>2000</v>
      </c>
      <c r="AK4" s="1381">
        <v>2001</v>
      </c>
      <c r="AL4" s="1381">
        <v>2002</v>
      </c>
      <c r="AM4" s="1381">
        <v>2003</v>
      </c>
      <c r="AN4" s="1381">
        <v>2004</v>
      </c>
      <c r="AO4" s="1381">
        <v>2005</v>
      </c>
      <c r="AP4" s="1381">
        <v>2006</v>
      </c>
      <c r="AQ4" s="1381">
        <v>2007</v>
      </c>
      <c r="AR4" s="1381">
        <v>2008</v>
      </c>
      <c r="AS4" s="1381">
        <v>2009</v>
      </c>
      <c r="AT4" s="1381">
        <v>2010</v>
      </c>
      <c r="AU4" s="1381">
        <v>2011</v>
      </c>
      <c r="AV4" s="1382">
        <v>2012</v>
      </c>
    </row>
    <row r="5" spans="1:48" s="142" customFormat="1" ht="15.75" customHeight="1">
      <c r="A5" s="146" t="s">
        <v>8</v>
      </c>
      <c r="B5" s="147" t="s">
        <v>9</v>
      </c>
      <c r="C5" s="148"/>
      <c r="D5" s="1369">
        <v>94114</v>
      </c>
      <c r="E5" s="1370">
        <v>95207</v>
      </c>
      <c r="F5" s="1370">
        <v>98864</v>
      </c>
      <c r="G5" s="1370">
        <v>98531</v>
      </c>
      <c r="H5" s="1370">
        <v>99235</v>
      </c>
      <c r="I5" s="1370">
        <v>100561</v>
      </c>
      <c r="J5" s="1370">
        <v>103830</v>
      </c>
      <c r="K5" s="1370">
        <v>104488</v>
      </c>
      <c r="L5" s="1371">
        <v>106474</v>
      </c>
      <c r="M5" s="1371">
        <v>108417</v>
      </c>
      <c r="N5" s="1371">
        <v>106578</v>
      </c>
      <c r="O5" s="1371">
        <v>104979</v>
      </c>
      <c r="P5" s="1372">
        <v>102934</v>
      </c>
      <c r="Q5" s="1372">
        <v>102525</v>
      </c>
      <c r="R5" s="1373">
        <v>102811</v>
      </c>
      <c r="S5" s="1386">
        <v>28057</v>
      </c>
      <c r="T5" s="1387">
        <v>28305</v>
      </c>
      <c r="U5" s="1387">
        <v>29635</v>
      </c>
      <c r="V5" s="1387">
        <v>29922</v>
      </c>
      <c r="W5" s="1387">
        <v>30223</v>
      </c>
      <c r="X5" s="1387">
        <v>30769</v>
      </c>
      <c r="Y5" s="1387">
        <v>32190</v>
      </c>
      <c r="Z5" s="1387">
        <v>33681</v>
      </c>
      <c r="AA5" s="1387">
        <v>36290</v>
      </c>
      <c r="AB5" s="1387">
        <v>38281</v>
      </c>
      <c r="AC5" s="1387">
        <v>38201</v>
      </c>
      <c r="AD5" s="1387">
        <v>37608</v>
      </c>
      <c r="AE5" s="1387">
        <v>36532</v>
      </c>
      <c r="AF5" s="1387">
        <v>36390</v>
      </c>
      <c r="AG5" s="1388">
        <v>36271</v>
      </c>
      <c r="AH5" s="1396">
        <f t="shared" ref="AH5:AH36" si="0">S5/D5</f>
        <v>0.2981171770406103</v>
      </c>
      <c r="AI5" s="1397">
        <f t="shared" ref="AI5:AV5" si="1">T5/E5</f>
        <v>0.29729956830905291</v>
      </c>
      <c r="AJ5" s="1397">
        <f t="shared" si="1"/>
        <v>0.29975521929114746</v>
      </c>
      <c r="AK5" s="1397">
        <f t="shared" si="1"/>
        <v>0.303681074991627</v>
      </c>
      <c r="AL5" s="1397">
        <f t="shared" si="1"/>
        <v>0.30455988310575904</v>
      </c>
      <c r="AM5" s="1397">
        <f t="shared" si="1"/>
        <v>0.3059734887282346</v>
      </c>
      <c r="AN5" s="1397">
        <f t="shared" si="1"/>
        <v>0.31002600404507369</v>
      </c>
      <c r="AO5" s="1397">
        <f t="shared" si="1"/>
        <v>0.32234323558686168</v>
      </c>
      <c r="AP5" s="1397">
        <f t="shared" si="1"/>
        <v>0.34083438210267297</v>
      </c>
      <c r="AQ5" s="1397">
        <f t="shared" si="1"/>
        <v>0.35309038250458874</v>
      </c>
      <c r="AR5" s="1397">
        <f t="shared" si="1"/>
        <v>0.35843232186755242</v>
      </c>
      <c r="AS5" s="1397">
        <f t="shared" si="1"/>
        <v>0.35824307718686593</v>
      </c>
      <c r="AT5" s="1397">
        <f t="shared" si="1"/>
        <v>0.35490702780422406</v>
      </c>
      <c r="AU5" s="1397">
        <f t="shared" si="1"/>
        <v>0.35493782004389174</v>
      </c>
      <c r="AV5" s="1398">
        <f t="shared" si="1"/>
        <v>0.35279298907704426</v>
      </c>
    </row>
    <row r="6" spans="1:48" s="142" customFormat="1" ht="15.75" customHeight="1">
      <c r="A6" s="149" t="s">
        <v>10</v>
      </c>
      <c r="B6" s="188" t="s">
        <v>11</v>
      </c>
      <c r="C6" s="150" t="s">
        <v>264</v>
      </c>
      <c r="D6" s="1359">
        <v>419</v>
      </c>
      <c r="E6" s="1360">
        <v>427</v>
      </c>
      <c r="F6" s="1361">
        <v>465</v>
      </c>
      <c r="G6" s="1360">
        <v>445</v>
      </c>
      <c r="H6" s="1361">
        <v>477</v>
      </c>
      <c r="I6" s="1360">
        <v>456</v>
      </c>
      <c r="J6" s="1361">
        <v>485</v>
      </c>
      <c r="K6" s="1360">
        <v>471</v>
      </c>
      <c r="L6" s="1374">
        <v>454</v>
      </c>
      <c r="M6" s="1374">
        <v>508</v>
      </c>
      <c r="N6" s="1374">
        <v>474</v>
      </c>
      <c r="O6" s="1374">
        <v>428</v>
      </c>
      <c r="P6" s="1375">
        <v>433</v>
      </c>
      <c r="Q6" s="1375">
        <v>478</v>
      </c>
      <c r="R6" s="1376">
        <v>396</v>
      </c>
      <c r="S6" s="1383">
        <v>222</v>
      </c>
      <c r="T6" s="1384">
        <v>221</v>
      </c>
      <c r="U6" s="1384">
        <v>230</v>
      </c>
      <c r="V6" s="1384">
        <v>218</v>
      </c>
      <c r="W6" s="1384">
        <v>261</v>
      </c>
      <c r="X6" s="1384">
        <v>261</v>
      </c>
      <c r="Y6" s="1384">
        <v>269</v>
      </c>
      <c r="Z6" s="1384">
        <v>278</v>
      </c>
      <c r="AA6" s="1384">
        <v>298</v>
      </c>
      <c r="AB6" s="1384">
        <v>316</v>
      </c>
      <c r="AC6" s="1384">
        <v>293</v>
      </c>
      <c r="AD6" s="1384">
        <v>267</v>
      </c>
      <c r="AE6" s="1384">
        <v>255</v>
      </c>
      <c r="AF6" s="1384">
        <v>276</v>
      </c>
      <c r="AG6" s="1385">
        <v>222</v>
      </c>
      <c r="AH6" s="1390">
        <f t="shared" si="0"/>
        <v>0.5298329355608592</v>
      </c>
      <c r="AI6" s="1391">
        <f t="shared" ref="AI6:AI37" si="2">T6/E6</f>
        <v>0.51756440281030447</v>
      </c>
      <c r="AJ6" s="1391">
        <f t="shared" ref="AJ6:AJ37" si="3">U6/F6</f>
        <v>0.4946236559139785</v>
      </c>
      <c r="AK6" s="1391">
        <f t="shared" ref="AK6:AK37" si="4">V6/G6</f>
        <v>0.48988764044943822</v>
      </c>
      <c r="AL6" s="1391">
        <f t="shared" ref="AL6:AL37" si="5">W6/H6</f>
        <v>0.54716981132075471</v>
      </c>
      <c r="AM6" s="1391">
        <f t="shared" ref="AM6:AM37" si="6">X6/I6</f>
        <v>0.57236842105263153</v>
      </c>
      <c r="AN6" s="1391">
        <f t="shared" ref="AN6:AN37" si="7">Y6/J6</f>
        <v>0.55463917525773199</v>
      </c>
      <c r="AO6" s="1391">
        <f t="shared" ref="AO6:AO37" si="8">Z6/K6</f>
        <v>0.59023354564755837</v>
      </c>
      <c r="AP6" s="1391">
        <f t="shared" ref="AP6:AP37" si="9">AA6/L6</f>
        <v>0.65638766519823788</v>
      </c>
      <c r="AQ6" s="1391">
        <f t="shared" ref="AQ6:AQ37" si="10">AB6/M6</f>
        <v>0.62204724409448819</v>
      </c>
      <c r="AR6" s="1391">
        <f t="shared" ref="AR6:AR37" si="11">AC6/N6</f>
        <v>0.61814345991561181</v>
      </c>
      <c r="AS6" s="1391">
        <f t="shared" ref="AS6:AS37" si="12">AD6/O6</f>
        <v>0.62383177570093462</v>
      </c>
      <c r="AT6" s="1391">
        <f t="shared" ref="AT6:AT37" si="13">AE6/P6</f>
        <v>0.5889145496535797</v>
      </c>
      <c r="AU6" s="1391">
        <f t="shared" ref="AU6:AU37" si="14">AF6/Q6</f>
        <v>0.57740585774058573</v>
      </c>
      <c r="AV6" s="1392">
        <f t="shared" ref="AV6:AV37" si="15">AG6/R6</f>
        <v>0.56060606060606055</v>
      </c>
    </row>
    <row r="7" spans="1:48" s="142" customFormat="1" ht="15.75" customHeight="1">
      <c r="A7" s="149" t="s">
        <v>12</v>
      </c>
      <c r="B7" s="189" t="s">
        <v>13</v>
      </c>
      <c r="C7" s="150" t="s">
        <v>265</v>
      </c>
      <c r="D7" s="1359">
        <v>943</v>
      </c>
      <c r="E7" s="1360">
        <v>1022</v>
      </c>
      <c r="F7" s="1361">
        <v>1054</v>
      </c>
      <c r="G7" s="1360">
        <v>968</v>
      </c>
      <c r="H7" s="1361">
        <v>973</v>
      </c>
      <c r="I7" s="1360">
        <v>1018</v>
      </c>
      <c r="J7" s="1361">
        <v>960</v>
      </c>
      <c r="K7" s="1360">
        <v>1056</v>
      </c>
      <c r="L7" s="1374">
        <v>1088</v>
      </c>
      <c r="M7" s="1374">
        <v>1132</v>
      </c>
      <c r="N7" s="1374">
        <v>1129</v>
      </c>
      <c r="O7" s="1374">
        <v>1082</v>
      </c>
      <c r="P7" s="1375">
        <v>1094</v>
      </c>
      <c r="Q7" s="1375">
        <v>1059</v>
      </c>
      <c r="R7" s="1376">
        <v>1053</v>
      </c>
      <c r="S7" s="1383">
        <v>197</v>
      </c>
      <c r="T7" s="1384">
        <v>223</v>
      </c>
      <c r="U7" s="1384">
        <v>249</v>
      </c>
      <c r="V7" s="1384">
        <v>254</v>
      </c>
      <c r="W7" s="1384">
        <v>231</v>
      </c>
      <c r="X7" s="1384">
        <v>212</v>
      </c>
      <c r="Y7" s="1384">
        <v>225</v>
      </c>
      <c r="Z7" s="1384">
        <v>280</v>
      </c>
      <c r="AA7" s="1384">
        <v>289</v>
      </c>
      <c r="AB7" s="1384">
        <v>315</v>
      </c>
      <c r="AC7" s="1384">
        <v>364</v>
      </c>
      <c r="AD7" s="1384">
        <v>289</v>
      </c>
      <c r="AE7" s="1384">
        <v>314</v>
      </c>
      <c r="AF7" s="1384">
        <v>295</v>
      </c>
      <c r="AG7" s="1385">
        <v>271</v>
      </c>
      <c r="AH7" s="1390">
        <f t="shared" si="0"/>
        <v>0.20890774125132555</v>
      </c>
      <c r="AI7" s="1391">
        <f t="shared" si="2"/>
        <v>0.2181996086105675</v>
      </c>
      <c r="AJ7" s="1391">
        <f t="shared" si="3"/>
        <v>0.23624288425047438</v>
      </c>
      <c r="AK7" s="1391">
        <f t="shared" si="4"/>
        <v>0.26239669421487605</v>
      </c>
      <c r="AL7" s="1391">
        <f t="shared" si="5"/>
        <v>0.23741007194244604</v>
      </c>
      <c r="AM7" s="1391">
        <f t="shared" si="6"/>
        <v>0.20825147347740669</v>
      </c>
      <c r="AN7" s="1391">
        <f t="shared" si="7"/>
        <v>0.234375</v>
      </c>
      <c r="AO7" s="1391">
        <f t="shared" si="8"/>
        <v>0.26515151515151514</v>
      </c>
      <c r="AP7" s="1391">
        <f t="shared" si="9"/>
        <v>0.265625</v>
      </c>
      <c r="AQ7" s="1391">
        <f t="shared" si="10"/>
        <v>0.2782685512367491</v>
      </c>
      <c r="AR7" s="1391">
        <f t="shared" si="11"/>
        <v>0.32240921169176262</v>
      </c>
      <c r="AS7" s="1391">
        <f t="shared" si="12"/>
        <v>0.26709796672828096</v>
      </c>
      <c r="AT7" s="1391">
        <f t="shared" si="13"/>
        <v>0.28702010968921388</v>
      </c>
      <c r="AU7" s="1391">
        <f t="shared" si="14"/>
        <v>0.2785646836638338</v>
      </c>
      <c r="AV7" s="1392">
        <f t="shared" si="15"/>
        <v>0.25735992402659069</v>
      </c>
    </row>
    <row r="8" spans="1:48" s="142" customFormat="1" ht="15.75" customHeight="1">
      <c r="A8" s="149" t="s">
        <v>16</v>
      </c>
      <c r="B8" s="189" t="s">
        <v>297</v>
      </c>
      <c r="C8" s="150" t="s">
        <v>265</v>
      </c>
      <c r="D8" s="1359">
        <v>284</v>
      </c>
      <c r="E8" s="1360">
        <v>248</v>
      </c>
      <c r="F8" s="1361">
        <v>279</v>
      </c>
      <c r="G8" s="1360">
        <v>273</v>
      </c>
      <c r="H8" s="1361">
        <v>216</v>
      </c>
      <c r="I8" s="1360">
        <v>234</v>
      </c>
      <c r="J8" s="1361">
        <v>239</v>
      </c>
      <c r="K8" s="1360">
        <v>231</v>
      </c>
      <c r="L8" s="1374">
        <v>222</v>
      </c>
      <c r="M8" s="1374">
        <v>218</v>
      </c>
      <c r="N8" s="1374">
        <v>233</v>
      </c>
      <c r="O8" s="1374">
        <v>213</v>
      </c>
      <c r="P8" s="1375">
        <v>224</v>
      </c>
      <c r="Q8" s="1375">
        <v>221</v>
      </c>
      <c r="R8" s="1376">
        <v>210</v>
      </c>
      <c r="S8" s="1383">
        <v>102</v>
      </c>
      <c r="T8" s="1384">
        <v>85</v>
      </c>
      <c r="U8" s="1384">
        <v>96</v>
      </c>
      <c r="V8" s="1384">
        <v>91</v>
      </c>
      <c r="W8" s="1384">
        <v>82</v>
      </c>
      <c r="X8" s="1384">
        <v>89</v>
      </c>
      <c r="Y8" s="1384">
        <v>86</v>
      </c>
      <c r="Z8" s="1384">
        <v>93</v>
      </c>
      <c r="AA8" s="1384">
        <v>90</v>
      </c>
      <c r="AB8" s="1384">
        <v>91</v>
      </c>
      <c r="AC8" s="1384">
        <v>108</v>
      </c>
      <c r="AD8" s="1384">
        <v>96</v>
      </c>
      <c r="AE8" s="1384">
        <v>108</v>
      </c>
      <c r="AF8" s="1384">
        <v>107</v>
      </c>
      <c r="AG8" s="1385">
        <v>88</v>
      </c>
      <c r="AH8" s="1393">
        <f t="shared" si="0"/>
        <v>0.35915492957746481</v>
      </c>
      <c r="AI8" s="1394">
        <f t="shared" si="2"/>
        <v>0.34274193548387094</v>
      </c>
      <c r="AJ8" s="1394">
        <f t="shared" si="3"/>
        <v>0.34408602150537637</v>
      </c>
      <c r="AK8" s="1394">
        <f t="shared" si="4"/>
        <v>0.33333333333333331</v>
      </c>
      <c r="AL8" s="1394">
        <f t="shared" si="5"/>
        <v>0.37962962962962965</v>
      </c>
      <c r="AM8" s="1394">
        <f t="shared" si="6"/>
        <v>0.38034188034188032</v>
      </c>
      <c r="AN8" s="1394">
        <f t="shared" si="7"/>
        <v>0.35983263598326359</v>
      </c>
      <c r="AO8" s="1394">
        <f t="shared" si="8"/>
        <v>0.40259740259740262</v>
      </c>
      <c r="AP8" s="1394">
        <f t="shared" si="9"/>
        <v>0.40540540540540543</v>
      </c>
      <c r="AQ8" s="1394">
        <f t="shared" si="10"/>
        <v>0.41743119266055045</v>
      </c>
      <c r="AR8" s="1394">
        <f t="shared" si="11"/>
        <v>0.46351931330472101</v>
      </c>
      <c r="AS8" s="1394">
        <f t="shared" si="12"/>
        <v>0.45070422535211269</v>
      </c>
      <c r="AT8" s="1394">
        <f t="shared" si="13"/>
        <v>0.48214285714285715</v>
      </c>
      <c r="AU8" s="1394">
        <f t="shared" si="14"/>
        <v>0.48416289592760181</v>
      </c>
      <c r="AV8" s="1395">
        <f t="shared" si="15"/>
        <v>0.41904761904761906</v>
      </c>
    </row>
    <row r="9" spans="1:48" s="142" customFormat="1" ht="15.75" customHeight="1">
      <c r="A9" s="149" t="s">
        <v>18</v>
      </c>
      <c r="B9" s="189" t="s">
        <v>19</v>
      </c>
      <c r="C9" s="150" t="s">
        <v>266</v>
      </c>
      <c r="D9" s="1359">
        <v>137</v>
      </c>
      <c r="E9" s="1360">
        <v>126</v>
      </c>
      <c r="F9" s="1361">
        <v>152</v>
      </c>
      <c r="G9" s="1360">
        <v>148</v>
      </c>
      <c r="H9" s="1361">
        <v>151</v>
      </c>
      <c r="I9" s="1360">
        <v>139</v>
      </c>
      <c r="J9" s="1361">
        <v>140</v>
      </c>
      <c r="K9" s="1360">
        <v>140</v>
      </c>
      <c r="L9" s="1374">
        <v>148</v>
      </c>
      <c r="M9" s="1374">
        <v>147</v>
      </c>
      <c r="N9" s="1374">
        <v>152</v>
      </c>
      <c r="O9" s="1374">
        <v>159</v>
      </c>
      <c r="P9" s="1375">
        <v>154</v>
      </c>
      <c r="Q9" s="1375">
        <v>125</v>
      </c>
      <c r="R9" s="1376">
        <v>146</v>
      </c>
      <c r="S9" s="1383">
        <v>40</v>
      </c>
      <c r="T9" s="1384">
        <v>36</v>
      </c>
      <c r="U9" s="1384">
        <v>49</v>
      </c>
      <c r="V9" s="1384">
        <v>51</v>
      </c>
      <c r="W9" s="1384">
        <v>44</v>
      </c>
      <c r="X9" s="1384">
        <v>62</v>
      </c>
      <c r="Y9" s="1384">
        <v>49</v>
      </c>
      <c r="Z9" s="1384">
        <v>49</v>
      </c>
      <c r="AA9" s="1384">
        <v>52</v>
      </c>
      <c r="AB9" s="1384">
        <v>53</v>
      </c>
      <c r="AC9" s="1384">
        <v>72</v>
      </c>
      <c r="AD9" s="1384">
        <v>69</v>
      </c>
      <c r="AE9" s="1384">
        <v>63</v>
      </c>
      <c r="AF9" s="1384">
        <v>46</v>
      </c>
      <c r="AG9" s="1385">
        <v>67</v>
      </c>
      <c r="AH9" s="1393">
        <f t="shared" si="0"/>
        <v>0.29197080291970801</v>
      </c>
      <c r="AI9" s="1394">
        <f t="shared" si="2"/>
        <v>0.2857142857142857</v>
      </c>
      <c r="AJ9" s="1394">
        <f t="shared" si="3"/>
        <v>0.32236842105263158</v>
      </c>
      <c r="AK9" s="1394">
        <f t="shared" si="4"/>
        <v>0.34459459459459457</v>
      </c>
      <c r="AL9" s="1394">
        <f t="shared" si="5"/>
        <v>0.29139072847682118</v>
      </c>
      <c r="AM9" s="1394">
        <f t="shared" si="6"/>
        <v>0.4460431654676259</v>
      </c>
      <c r="AN9" s="1394">
        <f t="shared" si="7"/>
        <v>0.35</v>
      </c>
      <c r="AO9" s="1394">
        <f t="shared" si="8"/>
        <v>0.35</v>
      </c>
      <c r="AP9" s="1394">
        <f t="shared" si="9"/>
        <v>0.35135135135135137</v>
      </c>
      <c r="AQ9" s="1394">
        <f t="shared" si="10"/>
        <v>0.36054421768707484</v>
      </c>
      <c r="AR9" s="1394">
        <f t="shared" si="11"/>
        <v>0.47368421052631576</v>
      </c>
      <c r="AS9" s="1394">
        <f t="shared" si="12"/>
        <v>0.43396226415094341</v>
      </c>
      <c r="AT9" s="1394">
        <f t="shared" si="13"/>
        <v>0.40909090909090912</v>
      </c>
      <c r="AU9" s="1394">
        <f t="shared" si="14"/>
        <v>0.36799999999999999</v>
      </c>
      <c r="AV9" s="1395">
        <f t="shared" si="15"/>
        <v>0.4589041095890411</v>
      </c>
    </row>
    <row r="10" spans="1:48" s="142" customFormat="1" ht="15.75" customHeight="1">
      <c r="A10" s="149" t="s">
        <v>20</v>
      </c>
      <c r="B10" s="189" t="s">
        <v>21</v>
      </c>
      <c r="C10" s="150" t="s">
        <v>265</v>
      </c>
      <c r="D10" s="1359">
        <v>356</v>
      </c>
      <c r="E10" s="1360">
        <v>359</v>
      </c>
      <c r="F10" s="1361">
        <v>338</v>
      </c>
      <c r="G10" s="1360">
        <v>326</v>
      </c>
      <c r="H10" s="1361">
        <v>325</v>
      </c>
      <c r="I10" s="1360">
        <v>304</v>
      </c>
      <c r="J10" s="1361">
        <v>295</v>
      </c>
      <c r="K10" s="1360">
        <v>331</v>
      </c>
      <c r="L10" s="1374">
        <v>321</v>
      </c>
      <c r="M10" s="1374">
        <v>330</v>
      </c>
      <c r="N10" s="1374">
        <v>376</v>
      </c>
      <c r="O10" s="1374">
        <v>320</v>
      </c>
      <c r="P10" s="1375">
        <v>334</v>
      </c>
      <c r="Q10" s="1375">
        <v>343</v>
      </c>
      <c r="R10" s="1376">
        <v>320</v>
      </c>
      <c r="S10" s="1383">
        <v>113</v>
      </c>
      <c r="T10" s="1384">
        <v>121</v>
      </c>
      <c r="U10" s="1384">
        <v>125</v>
      </c>
      <c r="V10" s="1384">
        <v>112</v>
      </c>
      <c r="W10" s="1384">
        <v>120</v>
      </c>
      <c r="X10" s="1384">
        <v>104</v>
      </c>
      <c r="Y10" s="1384">
        <v>109</v>
      </c>
      <c r="Z10" s="1384">
        <v>122</v>
      </c>
      <c r="AA10" s="1384">
        <v>132</v>
      </c>
      <c r="AB10" s="1384">
        <v>130</v>
      </c>
      <c r="AC10" s="1384">
        <v>153</v>
      </c>
      <c r="AD10" s="1384">
        <v>147</v>
      </c>
      <c r="AE10" s="1384">
        <v>152</v>
      </c>
      <c r="AF10" s="1384">
        <v>141</v>
      </c>
      <c r="AG10" s="1385">
        <v>149</v>
      </c>
      <c r="AH10" s="1393">
        <f t="shared" si="0"/>
        <v>0.31741573033707865</v>
      </c>
      <c r="AI10" s="1394">
        <f t="shared" si="2"/>
        <v>0.3370473537604457</v>
      </c>
      <c r="AJ10" s="1394">
        <f t="shared" si="3"/>
        <v>0.36982248520710059</v>
      </c>
      <c r="AK10" s="1394">
        <f t="shared" si="4"/>
        <v>0.34355828220858897</v>
      </c>
      <c r="AL10" s="1394">
        <f t="shared" si="5"/>
        <v>0.36923076923076925</v>
      </c>
      <c r="AM10" s="1394">
        <f t="shared" si="6"/>
        <v>0.34210526315789475</v>
      </c>
      <c r="AN10" s="1394">
        <f t="shared" si="7"/>
        <v>0.36949152542372882</v>
      </c>
      <c r="AO10" s="1394">
        <f t="shared" si="8"/>
        <v>0.36858006042296071</v>
      </c>
      <c r="AP10" s="1394">
        <f t="shared" si="9"/>
        <v>0.41121495327102803</v>
      </c>
      <c r="AQ10" s="1394">
        <f t="shared" si="10"/>
        <v>0.39393939393939392</v>
      </c>
      <c r="AR10" s="1394">
        <f t="shared" si="11"/>
        <v>0.40691489361702127</v>
      </c>
      <c r="AS10" s="1394">
        <f t="shared" si="12"/>
        <v>0.45937499999999998</v>
      </c>
      <c r="AT10" s="1394">
        <f t="shared" si="13"/>
        <v>0.45508982035928142</v>
      </c>
      <c r="AU10" s="1394">
        <f t="shared" si="14"/>
        <v>0.41107871720116618</v>
      </c>
      <c r="AV10" s="1395">
        <f t="shared" si="15"/>
        <v>0.46562500000000001</v>
      </c>
    </row>
    <row r="11" spans="1:48" s="142" customFormat="1" ht="15.75" customHeight="1">
      <c r="A11" s="149" t="s">
        <v>22</v>
      </c>
      <c r="B11" s="189" t="s">
        <v>23</v>
      </c>
      <c r="C11" s="150" t="s">
        <v>265</v>
      </c>
      <c r="D11" s="1359">
        <v>158</v>
      </c>
      <c r="E11" s="1360">
        <v>154</v>
      </c>
      <c r="F11" s="1361">
        <v>162</v>
      </c>
      <c r="G11" s="1360">
        <v>140</v>
      </c>
      <c r="H11" s="1361">
        <v>145</v>
      </c>
      <c r="I11" s="1360">
        <v>152</v>
      </c>
      <c r="J11" s="1361">
        <v>145</v>
      </c>
      <c r="K11" s="1360">
        <v>140</v>
      </c>
      <c r="L11" s="1374">
        <v>163</v>
      </c>
      <c r="M11" s="1374">
        <v>164</v>
      </c>
      <c r="N11" s="1374">
        <v>165</v>
      </c>
      <c r="O11" s="1374">
        <v>168</v>
      </c>
      <c r="P11" s="1375">
        <v>165</v>
      </c>
      <c r="Q11" s="1375">
        <v>180</v>
      </c>
      <c r="R11" s="1376">
        <v>180</v>
      </c>
      <c r="S11" s="1383">
        <v>46</v>
      </c>
      <c r="T11" s="1384">
        <v>58</v>
      </c>
      <c r="U11" s="1384">
        <v>60</v>
      </c>
      <c r="V11" s="1384">
        <v>50</v>
      </c>
      <c r="W11" s="1384">
        <v>56</v>
      </c>
      <c r="X11" s="1384">
        <v>52</v>
      </c>
      <c r="Y11" s="1384">
        <v>53</v>
      </c>
      <c r="Z11" s="1384">
        <v>58</v>
      </c>
      <c r="AA11" s="1384">
        <v>71</v>
      </c>
      <c r="AB11" s="1384">
        <v>80</v>
      </c>
      <c r="AC11" s="1384">
        <v>69</v>
      </c>
      <c r="AD11" s="1384">
        <v>59</v>
      </c>
      <c r="AE11" s="1384">
        <v>69</v>
      </c>
      <c r="AF11" s="1384">
        <v>65</v>
      </c>
      <c r="AG11" s="1385">
        <v>76</v>
      </c>
      <c r="AH11" s="1393">
        <f t="shared" si="0"/>
        <v>0.29113924050632911</v>
      </c>
      <c r="AI11" s="1394">
        <f t="shared" si="2"/>
        <v>0.37662337662337664</v>
      </c>
      <c r="AJ11" s="1394">
        <f t="shared" si="3"/>
        <v>0.37037037037037035</v>
      </c>
      <c r="AK11" s="1394">
        <f t="shared" si="4"/>
        <v>0.35714285714285715</v>
      </c>
      <c r="AL11" s="1394">
        <f t="shared" si="5"/>
        <v>0.38620689655172413</v>
      </c>
      <c r="AM11" s="1394">
        <f t="shared" si="6"/>
        <v>0.34210526315789475</v>
      </c>
      <c r="AN11" s="1394">
        <f t="shared" si="7"/>
        <v>0.36551724137931035</v>
      </c>
      <c r="AO11" s="1394">
        <f t="shared" si="8"/>
        <v>0.41428571428571431</v>
      </c>
      <c r="AP11" s="1394">
        <f t="shared" si="9"/>
        <v>0.43558282208588955</v>
      </c>
      <c r="AQ11" s="1394">
        <f t="shared" si="10"/>
        <v>0.48780487804878048</v>
      </c>
      <c r="AR11" s="1394">
        <f t="shared" si="11"/>
        <v>0.41818181818181815</v>
      </c>
      <c r="AS11" s="1394">
        <f t="shared" si="12"/>
        <v>0.35119047619047616</v>
      </c>
      <c r="AT11" s="1394">
        <f t="shared" si="13"/>
        <v>0.41818181818181815</v>
      </c>
      <c r="AU11" s="1394">
        <f t="shared" si="14"/>
        <v>0.3611111111111111</v>
      </c>
      <c r="AV11" s="1395">
        <f t="shared" si="15"/>
        <v>0.42222222222222222</v>
      </c>
    </row>
    <row r="12" spans="1:48" s="142" customFormat="1" ht="15.75" customHeight="1">
      <c r="A12" s="149" t="s">
        <v>24</v>
      </c>
      <c r="B12" s="189" t="s">
        <v>25</v>
      </c>
      <c r="C12" s="150" t="s">
        <v>267</v>
      </c>
      <c r="D12" s="1359">
        <v>2672</v>
      </c>
      <c r="E12" s="1360">
        <v>2606</v>
      </c>
      <c r="F12" s="1361">
        <v>2715</v>
      </c>
      <c r="G12" s="1360">
        <v>2814</v>
      </c>
      <c r="H12" s="1361">
        <v>2686</v>
      </c>
      <c r="I12" s="1360">
        <v>2659</v>
      </c>
      <c r="J12" s="1361">
        <v>2810</v>
      </c>
      <c r="K12" s="1360">
        <v>2809</v>
      </c>
      <c r="L12" s="1374">
        <v>2561</v>
      </c>
      <c r="M12" s="1374">
        <v>2778</v>
      </c>
      <c r="N12" s="1374">
        <v>2924</v>
      </c>
      <c r="O12" s="1374">
        <v>2935</v>
      </c>
      <c r="P12" s="1375">
        <v>3097</v>
      </c>
      <c r="Q12" s="1375">
        <v>3049</v>
      </c>
      <c r="R12" s="1376">
        <v>3193</v>
      </c>
      <c r="S12" s="1383">
        <v>571</v>
      </c>
      <c r="T12" s="1384">
        <v>566</v>
      </c>
      <c r="U12" s="1384">
        <v>598</v>
      </c>
      <c r="V12" s="1384">
        <v>603</v>
      </c>
      <c r="W12" s="1384">
        <v>608</v>
      </c>
      <c r="X12" s="1384">
        <v>575</v>
      </c>
      <c r="Y12" s="1384">
        <v>578</v>
      </c>
      <c r="Z12" s="1384">
        <v>622</v>
      </c>
      <c r="AA12" s="1384">
        <v>579</v>
      </c>
      <c r="AB12" s="1384">
        <v>626</v>
      </c>
      <c r="AC12" s="1384">
        <v>599</v>
      </c>
      <c r="AD12" s="1384">
        <v>574</v>
      </c>
      <c r="AE12" s="1384">
        <v>573</v>
      </c>
      <c r="AF12" s="1384">
        <v>529</v>
      </c>
      <c r="AG12" s="1385">
        <v>527</v>
      </c>
      <c r="AH12" s="1393">
        <f t="shared" si="0"/>
        <v>0.21369760479041916</v>
      </c>
      <c r="AI12" s="1394">
        <f t="shared" si="2"/>
        <v>0.21719109746738297</v>
      </c>
      <c r="AJ12" s="1394">
        <f t="shared" si="3"/>
        <v>0.22025782688766113</v>
      </c>
      <c r="AK12" s="1394">
        <f t="shared" si="4"/>
        <v>0.21428571428571427</v>
      </c>
      <c r="AL12" s="1394">
        <f t="shared" si="5"/>
        <v>0.22635889798957556</v>
      </c>
      <c r="AM12" s="1394">
        <f t="shared" si="6"/>
        <v>0.21624670928920647</v>
      </c>
      <c r="AN12" s="1394">
        <f t="shared" si="7"/>
        <v>0.20569395017793593</v>
      </c>
      <c r="AO12" s="1394">
        <f t="shared" si="8"/>
        <v>0.22143111427554291</v>
      </c>
      <c r="AP12" s="1394">
        <f t="shared" si="9"/>
        <v>0.22608356110894182</v>
      </c>
      <c r="AQ12" s="1394">
        <f t="shared" si="10"/>
        <v>0.22534197264218864</v>
      </c>
      <c r="AR12" s="1394">
        <f t="shared" si="11"/>
        <v>0.20485636114911079</v>
      </c>
      <c r="AS12" s="1394">
        <f t="shared" si="12"/>
        <v>0.19557069846678024</v>
      </c>
      <c r="AT12" s="1394">
        <f t="shared" si="13"/>
        <v>0.18501775912173071</v>
      </c>
      <c r="AU12" s="1394">
        <f t="shared" si="14"/>
        <v>0.17349950803542144</v>
      </c>
      <c r="AV12" s="1395">
        <f t="shared" si="15"/>
        <v>0.1650485436893204</v>
      </c>
    </row>
    <row r="13" spans="1:48" s="142" customFormat="1" ht="15.75" customHeight="1">
      <c r="A13" s="149" t="s">
        <v>26</v>
      </c>
      <c r="B13" s="189" t="s">
        <v>298</v>
      </c>
      <c r="C13" s="150" t="s">
        <v>265</v>
      </c>
      <c r="D13" s="1359">
        <v>1263</v>
      </c>
      <c r="E13" s="1360">
        <v>1209</v>
      </c>
      <c r="F13" s="1361">
        <v>1240</v>
      </c>
      <c r="G13" s="1360">
        <v>1174</v>
      </c>
      <c r="H13" s="1361">
        <v>1225</v>
      </c>
      <c r="I13" s="1360">
        <v>1317</v>
      </c>
      <c r="J13" s="1361">
        <v>1317</v>
      </c>
      <c r="K13" s="1360">
        <v>1292</v>
      </c>
      <c r="L13" s="1374">
        <v>1366</v>
      </c>
      <c r="M13" s="1374">
        <v>1443</v>
      </c>
      <c r="N13" s="1374">
        <v>1339</v>
      </c>
      <c r="O13" s="1374">
        <v>1313</v>
      </c>
      <c r="P13" s="1375">
        <v>1196</v>
      </c>
      <c r="Q13" s="1375">
        <v>1309</v>
      </c>
      <c r="R13" s="1376">
        <v>1205</v>
      </c>
      <c r="S13" s="1383">
        <v>383</v>
      </c>
      <c r="T13" s="1384">
        <v>349</v>
      </c>
      <c r="U13" s="1384">
        <v>394</v>
      </c>
      <c r="V13" s="1384">
        <v>361</v>
      </c>
      <c r="W13" s="1384">
        <v>414</v>
      </c>
      <c r="X13" s="1384">
        <v>471</v>
      </c>
      <c r="Y13" s="1384">
        <v>428</v>
      </c>
      <c r="Z13" s="1384">
        <v>450</v>
      </c>
      <c r="AA13" s="1384">
        <v>495</v>
      </c>
      <c r="AB13" s="1384">
        <v>571</v>
      </c>
      <c r="AC13" s="1384">
        <v>523</v>
      </c>
      <c r="AD13" s="1384">
        <v>492</v>
      </c>
      <c r="AE13" s="1384">
        <v>441</v>
      </c>
      <c r="AF13" s="1384">
        <v>472</v>
      </c>
      <c r="AG13" s="1385">
        <v>480</v>
      </c>
      <c r="AH13" s="1393">
        <f t="shared" si="0"/>
        <v>0.30324623911322246</v>
      </c>
      <c r="AI13" s="1394">
        <f t="shared" si="2"/>
        <v>0.28866832092638545</v>
      </c>
      <c r="AJ13" s="1394">
        <f t="shared" si="3"/>
        <v>0.31774193548387097</v>
      </c>
      <c r="AK13" s="1394">
        <f t="shared" si="4"/>
        <v>0.30749574105621807</v>
      </c>
      <c r="AL13" s="1394">
        <f t="shared" si="5"/>
        <v>0.33795918367346939</v>
      </c>
      <c r="AM13" s="1394">
        <f t="shared" si="6"/>
        <v>0.35763097949886102</v>
      </c>
      <c r="AN13" s="1394">
        <f t="shared" si="7"/>
        <v>0.32498101746393321</v>
      </c>
      <c r="AO13" s="1394">
        <f t="shared" si="8"/>
        <v>0.34829721362229105</v>
      </c>
      <c r="AP13" s="1394">
        <f t="shared" si="9"/>
        <v>0.3623718887262079</v>
      </c>
      <c r="AQ13" s="1394">
        <f t="shared" si="10"/>
        <v>0.39570339570339569</v>
      </c>
      <c r="AR13" s="1394">
        <f t="shared" si="11"/>
        <v>0.39058999253174009</v>
      </c>
      <c r="AS13" s="1394">
        <f t="shared" si="12"/>
        <v>0.37471439451637473</v>
      </c>
      <c r="AT13" s="1394">
        <f t="shared" si="13"/>
        <v>0.36872909698996653</v>
      </c>
      <c r="AU13" s="1394">
        <f t="shared" si="14"/>
        <v>0.36058059587471353</v>
      </c>
      <c r="AV13" s="1395">
        <f t="shared" si="15"/>
        <v>0.39834024896265557</v>
      </c>
    </row>
    <row r="14" spans="1:48" s="142" customFormat="1" ht="15.75" customHeight="1">
      <c r="A14" s="149" t="s">
        <v>27</v>
      </c>
      <c r="B14" s="189" t="s">
        <v>28</v>
      </c>
      <c r="C14" s="150" t="s">
        <v>265</v>
      </c>
      <c r="D14" s="1359">
        <v>53</v>
      </c>
      <c r="E14" s="1360">
        <v>50</v>
      </c>
      <c r="F14" s="1361">
        <v>44</v>
      </c>
      <c r="G14" s="1360">
        <v>41</v>
      </c>
      <c r="H14" s="1361">
        <v>35</v>
      </c>
      <c r="I14" s="1360">
        <v>33</v>
      </c>
      <c r="J14" s="1361">
        <v>26</v>
      </c>
      <c r="K14" s="1360">
        <v>28</v>
      </c>
      <c r="L14" s="1374">
        <v>27</v>
      </c>
      <c r="M14" s="1374">
        <v>37</v>
      </c>
      <c r="N14" s="1374">
        <v>32</v>
      </c>
      <c r="O14" s="1374">
        <v>26</v>
      </c>
      <c r="P14" s="1375">
        <v>40</v>
      </c>
      <c r="Q14" s="1375">
        <v>39</v>
      </c>
      <c r="R14" s="1376">
        <v>40</v>
      </c>
      <c r="S14" s="1383">
        <v>6</v>
      </c>
      <c r="T14" s="1384">
        <v>13</v>
      </c>
      <c r="U14" s="1384">
        <v>10</v>
      </c>
      <c r="V14" s="1384">
        <v>6</v>
      </c>
      <c r="W14" s="1384">
        <v>8</v>
      </c>
      <c r="X14" s="1384">
        <v>10</v>
      </c>
      <c r="Y14" s="1384">
        <v>6</v>
      </c>
      <c r="Z14" s="1384">
        <v>10</v>
      </c>
      <c r="AA14" s="1384">
        <v>6</v>
      </c>
      <c r="AB14" s="1384">
        <v>14</v>
      </c>
      <c r="AC14" s="1384">
        <v>9</v>
      </c>
      <c r="AD14" s="1384">
        <v>7</v>
      </c>
      <c r="AE14" s="1384">
        <v>17</v>
      </c>
      <c r="AF14" s="1384">
        <v>13</v>
      </c>
      <c r="AG14" s="1385">
        <v>23</v>
      </c>
      <c r="AH14" s="1393">
        <f t="shared" si="0"/>
        <v>0.11320754716981132</v>
      </c>
      <c r="AI14" s="1394">
        <f t="shared" si="2"/>
        <v>0.26</v>
      </c>
      <c r="AJ14" s="1394">
        <f t="shared" si="3"/>
        <v>0.22727272727272727</v>
      </c>
      <c r="AK14" s="1394">
        <f t="shared" si="4"/>
        <v>0.14634146341463414</v>
      </c>
      <c r="AL14" s="1394">
        <f t="shared" si="5"/>
        <v>0.22857142857142856</v>
      </c>
      <c r="AM14" s="1394">
        <f t="shared" si="6"/>
        <v>0.30303030303030304</v>
      </c>
      <c r="AN14" s="1394">
        <f t="shared" si="7"/>
        <v>0.23076923076923078</v>
      </c>
      <c r="AO14" s="1394">
        <f t="shared" si="8"/>
        <v>0.35714285714285715</v>
      </c>
      <c r="AP14" s="1394">
        <f t="shared" si="9"/>
        <v>0.22222222222222221</v>
      </c>
      <c r="AQ14" s="1394">
        <f t="shared" si="10"/>
        <v>0.3783783783783784</v>
      </c>
      <c r="AR14" s="1394">
        <f t="shared" si="11"/>
        <v>0.28125</v>
      </c>
      <c r="AS14" s="1394">
        <f t="shared" si="12"/>
        <v>0.26923076923076922</v>
      </c>
      <c r="AT14" s="1394">
        <f t="shared" si="13"/>
        <v>0.42499999999999999</v>
      </c>
      <c r="AU14" s="1394">
        <f t="shared" si="14"/>
        <v>0.33333333333333331</v>
      </c>
      <c r="AV14" s="1395">
        <f t="shared" si="15"/>
        <v>0.57499999999999996</v>
      </c>
    </row>
    <row r="15" spans="1:48" s="142" customFormat="1" ht="15.75" customHeight="1">
      <c r="A15" s="149" t="s">
        <v>29</v>
      </c>
      <c r="B15" s="189" t="s">
        <v>1012</v>
      </c>
      <c r="C15" s="150" t="s">
        <v>265</v>
      </c>
      <c r="D15" s="1359">
        <v>716</v>
      </c>
      <c r="E15" s="1360">
        <v>655</v>
      </c>
      <c r="F15" s="1361">
        <v>720</v>
      </c>
      <c r="G15" s="1360">
        <v>702</v>
      </c>
      <c r="H15" s="1361">
        <v>626</v>
      </c>
      <c r="I15" s="1360">
        <v>710</v>
      </c>
      <c r="J15" s="1361">
        <v>671</v>
      </c>
      <c r="K15" s="1360">
        <v>711</v>
      </c>
      <c r="L15" s="1374">
        <v>734</v>
      </c>
      <c r="M15" s="1374">
        <v>703</v>
      </c>
      <c r="N15" s="1374">
        <v>685</v>
      </c>
      <c r="O15" s="1374">
        <v>682</v>
      </c>
      <c r="P15" s="1375">
        <v>679</v>
      </c>
      <c r="Q15" s="1375">
        <v>644</v>
      </c>
      <c r="R15" s="1376">
        <v>620</v>
      </c>
      <c r="S15" s="1383">
        <v>168</v>
      </c>
      <c r="T15" s="1384">
        <v>147</v>
      </c>
      <c r="U15" s="1384">
        <v>154</v>
      </c>
      <c r="V15" s="1384">
        <v>158</v>
      </c>
      <c r="W15" s="1384">
        <v>151</v>
      </c>
      <c r="X15" s="1384">
        <v>173</v>
      </c>
      <c r="Y15" s="1384">
        <v>178</v>
      </c>
      <c r="Z15" s="1384">
        <v>202</v>
      </c>
      <c r="AA15" s="1384">
        <v>215</v>
      </c>
      <c r="AB15" s="1384">
        <v>207</v>
      </c>
      <c r="AC15" s="1384">
        <v>211</v>
      </c>
      <c r="AD15" s="1384">
        <v>225</v>
      </c>
      <c r="AE15" s="1384">
        <v>207</v>
      </c>
      <c r="AF15" s="1384">
        <v>207</v>
      </c>
      <c r="AG15" s="1385">
        <v>215</v>
      </c>
      <c r="AH15" s="1393">
        <f t="shared" si="0"/>
        <v>0.23463687150837989</v>
      </c>
      <c r="AI15" s="1394">
        <f t="shared" si="2"/>
        <v>0.22442748091603054</v>
      </c>
      <c r="AJ15" s="1394">
        <f t="shared" si="3"/>
        <v>0.21388888888888888</v>
      </c>
      <c r="AK15" s="1394">
        <f t="shared" si="4"/>
        <v>0.22507122507122507</v>
      </c>
      <c r="AL15" s="1394">
        <f t="shared" si="5"/>
        <v>0.24121405750798722</v>
      </c>
      <c r="AM15" s="1394">
        <f t="shared" si="6"/>
        <v>0.24366197183098592</v>
      </c>
      <c r="AN15" s="1394">
        <f t="shared" si="7"/>
        <v>0.26527570789865873</v>
      </c>
      <c r="AO15" s="1394">
        <f t="shared" si="8"/>
        <v>0.2841068917018284</v>
      </c>
      <c r="AP15" s="1394">
        <f t="shared" si="9"/>
        <v>0.29291553133514986</v>
      </c>
      <c r="AQ15" s="1394">
        <f t="shared" si="10"/>
        <v>0.29445234708392604</v>
      </c>
      <c r="AR15" s="1394">
        <f t="shared" si="11"/>
        <v>0.30802919708029197</v>
      </c>
      <c r="AS15" s="1394">
        <f t="shared" si="12"/>
        <v>0.32991202346041054</v>
      </c>
      <c r="AT15" s="1394">
        <f t="shared" si="13"/>
        <v>0.30486008836524303</v>
      </c>
      <c r="AU15" s="1394">
        <f t="shared" si="14"/>
        <v>0.32142857142857145</v>
      </c>
      <c r="AV15" s="1395">
        <f t="shared" si="15"/>
        <v>0.34677419354838712</v>
      </c>
    </row>
    <row r="16" spans="1:48" s="142" customFormat="1" ht="15.75" customHeight="1">
      <c r="A16" s="149" t="s">
        <v>30</v>
      </c>
      <c r="B16" s="189" t="s">
        <v>31</v>
      </c>
      <c r="C16" s="150" t="s">
        <v>268</v>
      </c>
      <c r="D16" s="1359">
        <v>50</v>
      </c>
      <c r="E16" s="1360">
        <v>64</v>
      </c>
      <c r="F16" s="1361">
        <v>63</v>
      </c>
      <c r="G16" s="1360">
        <v>59</v>
      </c>
      <c r="H16" s="1361">
        <v>55</v>
      </c>
      <c r="I16" s="1360">
        <v>60</v>
      </c>
      <c r="J16" s="1361">
        <v>54</v>
      </c>
      <c r="K16" s="1360">
        <v>63</v>
      </c>
      <c r="L16" s="1374">
        <v>48</v>
      </c>
      <c r="M16" s="1374">
        <v>51</v>
      </c>
      <c r="N16" s="1374">
        <v>53</v>
      </c>
      <c r="O16" s="1374">
        <v>49</v>
      </c>
      <c r="P16" s="1375">
        <v>41</v>
      </c>
      <c r="Q16" s="1375">
        <v>53</v>
      </c>
      <c r="R16" s="1376">
        <v>55</v>
      </c>
      <c r="S16" s="1383">
        <v>8</v>
      </c>
      <c r="T16" s="1384">
        <v>12</v>
      </c>
      <c r="U16" s="1384">
        <v>9</v>
      </c>
      <c r="V16" s="1384">
        <v>9</v>
      </c>
      <c r="W16" s="1384">
        <v>14</v>
      </c>
      <c r="X16" s="1384">
        <v>8</v>
      </c>
      <c r="Y16" s="1384">
        <v>12</v>
      </c>
      <c r="Z16" s="1384">
        <v>19</v>
      </c>
      <c r="AA16" s="1384">
        <v>13</v>
      </c>
      <c r="AB16" s="1384">
        <v>13</v>
      </c>
      <c r="AC16" s="1384">
        <v>19</v>
      </c>
      <c r="AD16" s="1384">
        <v>14</v>
      </c>
      <c r="AE16" s="1384">
        <v>13</v>
      </c>
      <c r="AF16" s="1384">
        <v>29</v>
      </c>
      <c r="AG16" s="1385">
        <v>20</v>
      </c>
      <c r="AH16" s="1393">
        <f t="shared" si="0"/>
        <v>0.16</v>
      </c>
      <c r="AI16" s="1394">
        <f t="shared" si="2"/>
        <v>0.1875</v>
      </c>
      <c r="AJ16" s="1394">
        <f t="shared" si="3"/>
        <v>0.14285714285714285</v>
      </c>
      <c r="AK16" s="1394">
        <f t="shared" si="4"/>
        <v>0.15254237288135594</v>
      </c>
      <c r="AL16" s="1394">
        <f t="shared" si="5"/>
        <v>0.25454545454545452</v>
      </c>
      <c r="AM16" s="1394">
        <f t="shared" si="6"/>
        <v>0.13333333333333333</v>
      </c>
      <c r="AN16" s="1394">
        <f t="shared" si="7"/>
        <v>0.22222222222222221</v>
      </c>
      <c r="AO16" s="1394">
        <f t="shared" si="8"/>
        <v>0.30158730158730157</v>
      </c>
      <c r="AP16" s="1394">
        <f t="shared" si="9"/>
        <v>0.27083333333333331</v>
      </c>
      <c r="AQ16" s="1394">
        <f t="shared" si="10"/>
        <v>0.25490196078431371</v>
      </c>
      <c r="AR16" s="1394">
        <f t="shared" si="11"/>
        <v>0.35849056603773582</v>
      </c>
      <c r="AS16" s="1394">
        <f t="shared" si="12"/>
        <v>0.2857142857142857</v>
      </c>
      <c r="AT16" s="1394">
        <f t="shared" si="13"/>
        <v>0.31707317073170732</v>
      </c>
      <c r="AU16" s="1394">
        <f t="shared" si="14"/>
        <v>0.54716981132075471</v>
      </c>
      <c r="AV16" s="1395">
        <f t="shared" si="15"/>
        <v>0.36363636363636365</v>
      </c>
    </row>
    <row r="17" spans="1:48" s="142" customFormat="1" ht="15.75" customHeight="1">
      <c r="A17" s="149" t="s">
        <v>32</v>
      </c>
      <c r="B17" s="189" t="s">
        <v>33</v>
      </c>
      <c r="C17" s="150" t="s">
        <v>265</v>
      </c>
      <c r="D17" s="1359">
        <v>309</v>
      </c>
      <c r="E17" s="1360">
        <v>328</v>
      </c>
      <c r="F17" s="1361">
        <v>312</v>
      </c>
      <c r="G17" s="1360">
        <v>253</v>
      </c>
      <c r="H17" s="1361">
        <v>297</v>
      </c>
      <c r="I17" s="1360">
        <v>308</v>
      </c>
      <c r="J17" s="1361">
        <v>258</v>
      </c>
      <c r="K17" s="1360">
        <v>265</v>
      </c>
      <c r="L17" s="1374">
        <v>278</v>
      </c>
      <c r="M17" s="1374">
        <v>308</v>
      </c>
      <c r="N17" s="1374">
        <v>265</v>
      </c>
      <c r="O17" s="1374">
        <v>262</v>
      </c>
      <c r="P17" s="1375">
        <v>243</v>
      </c>
      <c r="Q17" s="1375">
        <v>221</v>
      </c>
      <c r="R17" s="1376">
        <v>224</v>
      </c>
      <c r="S17" s="1383">
        <v>69</v>
      </c>
      <c r="T17" s="1384">
        <v>59</v>
      </c>
      <c r="U17" s="1384">
        <v>47</v>
      </c>
      <c r="V17" s="1384">
        <v>46</v>
      </c>
      <c r="W17" s="1384">
        <v>62</v>
      </c>
      <c r="X17" s="1384">
        <v>55</v>
      </c>
      <c r="Y17" s="1384">
        <v>50</v>
      </c>
      <c r="Z17" s="1384">
        <v>57</v>
      </c>
      <c r="AA17" s="1384">
        <v>59</v>
      </c>
      <c r="AB17" s="1384">
        <v>84</v>
      </c>
      <c r="AC17" s="1384">
        <v>64</v>
      </c>
      <c r="AD17" s="1384">
        <v>71</v>
      </c>
      <c r="AE17" s="1384">
        <v>64</v>
      </c>
      <c r="AF17" s="1384">
        <v>60</v>
      </c>
      <c r="AG17" s="1385">
        <v>54</v>
      </c>
      <c r="AH17" s="1393">
        <f t="shared" si="0"/>
        <v>0.22330097087378642</v>
      </c>
      <c r="AI17" s="1394">
        <f t="shared" si="2"/>
        <v>0.1798780487804878</v>
      </c>
      <c r="AJ17" s="1394">
        <f t="shared" si="3"/>
        <v>0.15064102564102563</v>
      </c>
      <c r="AK17" s="1394">
        <f t="shared" si="4"/>
        <v>0.18181818181818182</v>
      </c>
      <c r="AL17" s="1394">
        <f t="shared" si="5"/>
        <v>0.20875420875420875</v>
      </c>
      <c r="AM17" s="1394">
        <f t="shared" si="6"/>
        <v>0.17857142857142858</v>
      </c>
      <c r="AN17" s="1394">
        <f t="shared" si="7"/>
        <v>0.19379844961240311</v>
      </c>
      <c r="AO17" s="1394">
        <f t="shared" si="8"/>
        <v>0.21509433962264152</v>
      </c>
      <c r="AP17" s="1394">
        <f t="shared" si="9"/>
        <v>0.21223021582733814</v>
      </c>
      <c r="AQ17" s="1394">
        <f t="shared" si="10"/>
        <v>0.27272727272727271</v>
      </c>
      <c r="AR17" s="1394">
        <f t="shared" si="11"/>
        <v>0.24150943396226415</v>
      </c>
      <c r="AS17" s="1394">
        <f t="shared" si="12"/>
        <v>0.27099236641221375</v>
      </c>
      <c r="AT17" s="1394">
        <f t="shared" si="13"/>
        <v>0.26337448559670784</v>
      </c>
      <c r="AU17" s="1394">
        <f t="shared" si="14"/>
        <v>0.27149321266968324</v>
      </c>
      <c r="AV17" s="1395">
        <f t="shared" si="15"/>
        <v>0.24107142857142858</v>
      </c>
    </row>
    <row r="18" spans="1:48" s="142" customFormat="1" ht="15.75" customHeight="1">
      <c r="A18" s="149" t="s">
        <v>36</v>
      </c>
      <c r="B18" s="189" t="s">
        <v>37</v>
      </c>
      <c r="C18" s="150" t="s">
        <v>264</v>
      </c>
      <c r="D18" s="1359">
        <v>179</v>
      </c>
      <c r="E18" s="1360">
        <v>176</v>
      </c>
      <c r="F18" s="1361">
        <v>185</v>
      </c>
      <c r="G18" s="1360">
        <v>191</v>
      </c>
      <c r="H18" s="1361">
        <v>179</v>
      </c>
      <c r="I18" s="1360">
        <v>170</v>
      </c>
      <c r="J18" s="1361">
        <v>173</v>
      </c>
      <c r="K18" s="1360">
        <v>165</v>
      </c>
      <c r="L18" s="1374">
        <v>174</v>
      </c>
      <c r="M18" s="1374">
        <v>175</v>
      </c>
      <c r="N18" s="1374">
        <v>191</v>
      </c>
      <c r="O18" s="1374">
        <v>163</v>
      </c>
      <c r="P18" s="1375">
        <v>162</v>
      </c>
      <c r="Q18" s="1375">
        <v>141</v>
      </c>
      <c r="R18" s="1376">
        <v>159</v>
      </c>
      <c r="S18" s="1383">
        <v>109</v>
      </c>
      <c r="T18" s="1384">
        <v>100</v>
      </c>
      <c r="U18" s="1384">
        <v>109</v>
      </c>
      <c r="V18" s="1384">
        <v>116</v>
      </c>
      <c r="W18" s="1384">
        <v>99</v>
      </c>
      <c r="X18" s="1384">
        <v>100</v>
      </c>
      <c r="Y18" s="1384">
        <v>110</v>
      </c>
      <c r="Z18" s="1384">
        <v>103</v>
      </c>
      <c r="AA18" s="1384">
        <v>103</v>
      </c>
      <c r="AB18" s="1384">
        <v>115</v>
      </c>
      <c r="AC18" s="1384">
        <v>128</v>
      </c>
      <c r="AD18" s="1384">
        <v>102</v>
      </c>
      <c r="AE18" s="1384">
        <v>104</v>
      </c>
      <c r="AF18" s="1384">
        <v>90</v>
      </c>
      <c r="AG18" s="1385">
        <v>100</v>
      </c>
      <c r="AH18" s="1393">
        <f t="shared" si="0"/>
        <v>0.60893854748603349</v>
      </c>
      <c r="AI18" s="1394">
        <f t="shared" si="2"/>
        <v>0.56818181818181823</v>
      </c>
      <c r="AJ18" s="1394">
        <f t="shared" si="3"/>
        <v>0.58918918918918917</v>
      </c>
      <c r="AK18" s="1394">
        <f t="shared" si="4"/>
        <v>0.60732984293193715</v>
      </c>
      <c r="AL18" s="1394">
        <f t="shared" si="5"/>
        <v>0.55307262569832405</v>
      </c>
      <c r="AM18" s="1394">
        <f t="shared" si="6"/>
        <v>0.58823529411764708</v>
      </c>
      <c r="AN18" s="1394">
        <f t="shared" si="7"/>
        <v>0.63583815028901736</v>
      </c>
      <c r="AO18" s="1394">
        <f t="shared" si="8"/>
        <v>0.62424242424242427</v>
      </c>
      <c r="AP18" s="1394">
        <f t="shared" si="9"/>
        <v>0.59195402298850575</v>
      </c>
      <c r="AQ18" s="1394">
        <f t="shared" si="10"/>
        <v>0.65714285714285714</v>
      </c>
      <c r="AR18" s="1394">
        <f t="shared" si="11"/>
        <v>0.67015706806282727</v>
      </c>
      <c r="AS18" s="1394">
        <f t="shared" si="12"/>
        <v>0.62576687116564422</v>
      </c>
      <c r="AT18" s="1394">
        <f t="shared" si="13"/>
        <v>0.64197530864197527</v>
      </c>
      <c r="AU18" s="1394">
        <f t="shared" si="14"/>
        <v>0.63829787234042556</v>
      </c>
      <c r="AV18" s="1395">
        <f t="shared" si="15"/>
        <v>0.62893081761006286</v>
      </c>
    </row>
    <row r="19" spans="1:48" s="142" customFormat="1" ht="15.75" customHeight="1">
      <c r="A19" s="149" t="s">
        <v>38</v>
      </c>
      <c r="B19" s="189" t="s">
        <v>39</v>
      </c>
      <c r="C19" s="150" t="s">
        <v>268</v>
      </c>
      <c r="D19" s="1359">
        <v>281</v>
      </c>
      <c r="E19" s="1360">
        <v>270</v>
      </c>
      <c r="F19" s="1361">
        <v>259</v>
      </c>
      <c r="G19" s="1360">
        <v>248</v>
      </c>
      <c r="H19" s="1361">
        <v>234</v>
      </c>
      <c r="I19" s="1360">
        <v>240</v>
      </c>
      <c r="J19" s="1361">
        <v>238</v>
      </c>
      <c r="K19" s="1360">
        <v>234</v>
      </c>
      <c r="L19" s="1374">
        <v>208</v>
      </c>
      <c r="M19" s="1374">
        <v>202</v>
      </c>
      <c r="N19" s="1374">
        <v>251</v>
      </c>
      <c r="O19" s="1374">
        <v>207</v>
      </c>
      <c r="P19" s="1375">
        <v>218</v>
      </c>
      <c r="Q19" s="1375">
        <v>216</v>
      </c>
      <c r="R19" s="1376">
        <v>209</v>
      </c>
      <c r="S19" s="1383">
        <v>89</v>
      </c>
      <c r="T19" s="1384">
        <v>73</v>
      </c>
      <c r="U19" s="1384">
        <v>84</v>
      </c>
      <c r="V19" s="1384">
        <v>75</v>
      </c>
      <c r="W19" s="1384">
        <v>63</v>
      </c>
      <c r="X19" s="1384">
        <v>71</v>
      </c>
      <c r="Y19" s="1384">
        <v>68</v>
      </c>
      <c r="Z19" s="1384">
        <v>67</v>
      </c>
      <c r="AA19" s="1384">
        <v>56</v>
      </c>
      <c r="AB19" s="1384">
        <v>79</v>
      </c>
      <c r="AC19" s="1384">
        <v>74</v>
      </c>
      <c r="AD19" s="1384">
        <v>74</v>
      </c>
      <c r="AE19" s="1384">
        <v>76</v>
      </c>
      <c r="AF19" s="1384">
        <v>72</v>
      </c>
      <c r="AG19" s="1385">
        <v>67</v>
      </c>
      <c r="AH19" s="1393">
        <f t="shared" si="0"/>
        <v>0.31672597864768681</v>
      </c>
      <c r="AI19" s="1394">
        <f t="shared" si="2"/>
        <v>0.27037037037037037</v>
      </c>
      <c r="AJ19" s="1394">
        <f t="shared" si="3"/>
        <v>0.32432432432432434</v>
      </c>
      <c r="AK19" s="1394">
        <f t="shared" si="4"/>
        <v>0.30241935483870969</v>
      </c>
      <c r="AL19" s="1394">
        <f t="shared" si="5"/>
        <v>0.26923076923076922</v>
      </c>
      <c r="AM19" s="1394">
        <f t="shared" si="6"/>
        <v>0.29583333333333334</v>
      </c>
      <c r="AN19" s="1394">
        <f t="shared" si="7"/>
        <v>0.2857142857142857</v>
      </c>
      <c r="AO19" s="1394">
        <f t="shared" si="8"/>
        <v>0.28632478632478631</v>
      </c>
      <c r="AP19" s="1394">
        <f t="shared" si="9"/>
        <v>0.26923076923076922</v>
      </c>
      <c r="AQ19" s="1394">
        <f t="shared" si="10"/>
        <v>0.3910891089108911</v>
      </c>
      <c r="AR19" s="1394">
        <f t="shared" si="11"/>
        <v>0.29482071713147412</v>
      </c>
      <c r="AS19" s="1394">
        <f t="shared" si="12"/>
        <v>0.35748792270531399</v>
      </c>
      <c r="AT19" s="1394">
        <f t="shared" si="13"/>
        <v>0.34862385321100919</v>
      </c>
      <c r="AU19" s="1394">
        <f t="shared" si="14"/>
        <v>0.33333333333333331</v>
      </c>
      <c r="AV19" s="1395">
        <f t="shared" si="15"/>
        <v>0.32057416267942584</v>
      </c>
    </row>
    <row r="20" spans="1:48" s="142" customFormat="1" ht="15.75" customHeight="1">
      <c r="A20" s="149" t="s">
        <v>40</v>
      </c>
      <c r="B20" s="189" t="s">
        <v>41</v>
      </c>
      <c r="C20" s="150" t="s">
        <v>266</v>
      </c>
      <c r="D20" s="1359">
        <v>143</v>
      </c>
      <c r="E20" s="1360">
        <v>111</v>
      </c>
      <c r="F20" s="1361">
        <v>96</v>
      </c>
      <c r="G20" s="1360">
        <v>126</v>
      </c>
      <c r="H20" s="1361">
        <v>160</v>
      </c>
      <c r="I20" s="1360">
        <v>153</v>
      </c>
      <c r="J20" s="1361">
        <v>161</v>
      </c>
      <c r="K20" s="1360">
        <v>139</v>
      </c>
      <c r="L20" s="1374">
        <v>163</v>
      </c>
      <c r="M20" s="1374">
        <v>206</v>
      </c>
      <c r="N20" s="1374">
        <v>184</v>
      </c>
      <c r="O20" s="1374">
        <v>191</v>
      </c>
      <c r="P20" s="1375">
        <v>164</v>
      </c>
      <c r="Q20" s="1375">
        <v>160</v>
      </c>
      <c r="R20" s="1376">
        <v>177</v>
      </c>
      <c r="S20" s="1383">
        <v>55</v>
      </c>
      <c r="T20" s="1384">
        <v>56</v>
      </c>
      <c r="U20" s="1384">
        <v>45</v>
      </c>
      <c r="V20" s="1384">
        <v>56</v>
      </c>
      <c r="W20" s="1384">
        <v>74</v>
      </c>
      <c r="X20" s="1384">
        <v>65</v>
      </c>
      <c r="Y20" s="1384">
        <v>76</v>
      </c>
      <c r="Z20" s="1384">
        <v>60</v>
      </c>
      <c r="AA20" s="1384">
        <v>86</v>
      </c>
      <c r="AB20" s="1384">
        <v>105</v>
      </c>
      <c r="AC20" s="1384">
        <v>93</v>
      </c>
      <c r="AD20" s="1384">
        <v>101</v>
      </c>
      <c r="AE20" s="1384">
        <v>90</v>
      </c>
      <c r="AF20" s="1384">
        <v>88</v>
      </c>
      <c r="AG20" s="1385">
        <v>93</v>
      </c>
      <c r="AH20" s="1393">
        <f t="shared" si="0"/>
        <v>0.38461538461538464</v>
      </c>
      <c r="AI20" s="1394">
        <f t="shared" si="2"/>
        <v>0.50450450450450446</v>
      </c>
      <c r="AJ20" s="1394">
        <f t="shared" si="3"/>
        <v>0.46875</v>
      </c>
      <c r="AK20" s="1394">
        <f t="shared" si="4"/>
        <v>0.44444444444444442</v>
      </c>
      <c r="AL20" s="1394">
        <f t="shared" si="5"/>
        <v>0.46250000000000002</v>
      </c>
      <c r="AM20" s="1394">
        <f t="shared" si="6"/>
        <v>0.42483660130718953</v>
      </c>
      <c r="AN20" s="1394">
        <f t="shared" si="7"/>
        <v>0.47204968944099379</v>
      </c>
      <c r="AO20" s="1394">
        <f t="shared" si="8"/>
        <v>0.43165467625899279</v>
      </c>
      <c r="AP20" s="1394">
        <f t="shared" si="9"/>
        <v>0.52760736196319014</v>
      </c>
      <c r="AQ20" s="1394">
        <f t="shared" si="10"/>
        <v>0.50970873786407767</v>
      </c>
      <c r="AR20" s="1394">
        <f t="shared" si="11"/>
        <v>0.50543478260869568</v>
      </c>
      <c r="AS20" s="1394">
        <f t="shared" si="12"/>
        <v>0.52879581151832455</v>
      </c>
      <c r="AT20" s="1394">
        <f t="shared" si="13"/>
        <v>0.54878048780487809</v>
      </c>
      <c r="AU20" s="1394">
        <f t="shared" si="14"/>
        <v>0.55000000000000004</v>
      </c>
      <c r="AV20" s="1395">
        <f t="shared" si="15"/>
        <v>0.52542372881355937</v>
      </c>
    </row>
    <row r="21" spans="1:48" s="142" customFormat="1" ht="15.75" customHeight="1">
      <c r="A21" s="149" t="s">
        <v>42</v>
      </c>
      <c r="B21" s="189" t="s">
        <v>43</v>
      </c>
      <c r="C21" s="150" t="s">
        <v>265</v>
      </c>
      <c r="D21" s="1359">
        <v>668</v>
      </c>
      <c r="E21" s="1360">
        <v>661</v>
      </c>
      <c r="F21" s="1361">
        <v>664</v>
      </c>
      <c r="G21" s="1360">
        <v>585</v>
      </c>
      <c r="H21" s="1361">
        <v>616</v>
      </c>
      <c r="I21" s="1360">
        <v>582</v>
      </c>
      <c r="J21" s="1361">
        <v>574</v>
      </c>
      <c r="K21" s="1360">
        <v>565</v>
      </c>
      <c r="L21" s="1374">
        <v>515</v>
      </c>
      <c r="M21" s="1374">
        <v>549</v>
      </c>
      <c r="N21" s="1374">
        <v>593</v>
      </c>
      <c r="O21" s="1374">
        <v>514</v>
      </c>
      <c r="P21" s="1375">
        <v>485</v>
      </c>
      <c r="Q21" s="1375">
        <v>539</v>
      </c>
      <c r="R21" s="1376">
        <v>480</v>
      </c>
      <c r="S21" s="1383">
        <v>222</v>
      </c>
      <c r="T21" s="1384">
        <v>217</v>
      </c>
      <c r="U21" s="1384">
        <v>212</v>
      </c>
      <c r="V21" s="1384">
        <v>201</v>
      </c>
      <c r="W21" s="1384">
        <v>200</v>
      </c>
      <c r="X21" s="1384">
        <v>193</v>
      </c>
      <c r="Y21" s="1384">
        <v>185</v>
      </c>
      <c r="Z21" s="1384">
        <v>205</v>
      </c>
      <c r="AA21" s="1384">
        <v>180</v>
      </c>
      <c r="AB21" s="1384">
        <v>221</v>
      </c>
      <c r="AC21" s="1384">
        <v>227</v>
      </c>
      <c r="AD21" s="1384">
        <v>182</v>
      </c>
      <c r="AE21" s="1384">
        <v>183</v>
      </c>
      <c r="AF21" s="1384">
        <v>206</v>
      </c>
      <c r="AG21" s="1385">
        <v>164</v>
      </c>
      <c r="AH21" s="1393">
        <f t="shared" si="0"/>
        <v>0.33233532934131738</v>
      </c>
      <c r="AI21" s="1394">
        <f t="shared" si="2"/>
        <v>0.32829046898638425</v>
      </c>
      <c r="AJ21" s="1394">
        <f t="shared" si="3"/>
        <v>0.31927710843373491</v>
      </c>
      <c r="AK21" s="1394">
        <f t="shared" si="4"/>
        <v>0.34358974358974359</v>
      </c>
      <c r="AL21" s="1394">
        <f t="shared" si="5"/>
        <v>0.32467532467532467</v>
      </c>
      <c r="AM21" s="1394">
        <f t="shared" si="6"/>
        <v>0.33161512027491408</v>
      </c>
      <c r="AN21" s="1394">
        <f t="shared" si="7"/>
        <v>0.32229965156794427</v>
      </c>
      <c r="AO21" s="1394">
        <f t="shared" si="8"/>
        <v>0.36283185840707965</v>
      </c>
      <c r="AP21" s="1394">
        <f t="shared" si="9"/>
        <v>0.34951456310679613</v>
      </c>
      <c r="AQ21" s="1394">
        <f t="shared" si="10"/>
        <v>0.40255009107468126</v>
      </c>
      <c r="AR21" s="1394">
        <f t="shared" si="11"/>
        <v>0.38279932546374368</v>
      </c>
      <c r="AS21" s="1394">
        <f t="shared" si="12"/>
        <v>0.35408560311284049</v>
      </c>
      <c r="AT21" s="1394">
        <f t="shared" si="13"/>
        <v>0.37731958762886597</v>
      </c>
      <c r="AU21" s="1394">
        <f t="shared" si="14"/>
        <v>0.38218923933209648</v>
      </c>
      <c r="AV21" s="1395">
        <f t="shared" si="15"/>
        <v>0.34166666666666667</v>
      </c>
    </row>
    <row r="22" spans="1:48" s="142" customFormat="1" ht="15.75" customHeight="1">
      <c r="A22" s="149" t="s">
        <v>44</v>
      </c>
      <c r="B22" s="189" t="s">
        <v>45</v>
      </c>
      <c r="C22" s="150" t="s">
        <v>266</v>
      </c>
      <c r="D22" s="1359">
        <v>304</v>
      </c>
      <c r="E22" s="1360">
        <v>280</v>
      </c>
      <c r="F22" s="1361">
        <v>267</v>
      </c>
      <c r="G22" s="1360">
        <v>275</v>
      </c>
      <c r="H22" s="1361">
        <v>283</v>
      </c>
      <c r="I22" s="1360">
        <v>311</v>
      </c>
      <c r="J22" s="1361">
        <v>318</v>
      </c>
      <c r="K22" s="1360">
        <v>351</v>
      </c>
      <c r="L22" s="1374">
        <v>409</v>
      </c>
      <c r="M22" s="1374">
        <v>416</v>
      </c>
      <c r="N22" s="1374">
        <v>389</v>
      </c>
      <c r="O22" s="1374">
        <v>397</v>
      </c>
      <c r="P22" s="1375">
        <v>363</v>
      </c>
      <c r="Q22" s="1375">
        <v>394</v>
      </c>
      <c r="R22" s="1376">
        <v>389</v>
      </c>
      <c r="S22" s="1383">
        <v>118</v>
      </c>
      <c r="T22" s="1384">
        <v>112</v>
      </c>
      <c r="U22" s="1384">
        <v>116</v>
      </c>
      <c r="V22" s="1384">
        <v>114</v>
      </c>
      <c r="W22" s="1384">
        <v>123</v>
      </c>
      <c r="X22" s="1384">
        <v>125</v>
      </c>
      <c r="Y22" s="1384">
        <v>132</v>
      </c>
      <c r="Z22" s="1384">
        <v>137</v>
      </c>
      <c r="AA22" s="1384">
        <v>160</v>
      </c>
      <c r="AB22" s="1384">
        <v>160</v>
      </c>
      <c r="AC22" s="1384">
        <v>160</v>
      </c>
      <c r="AD22" s="1384">
        <v>167</v>
      </c>
      <c r="AE22" s="1384">
        <v>144</v>
      </c>
      <c r="AF22" s="1384">
        <v>178</v>
      </c>
      <c r="AG22" s="1385">
        <v>178</v>
      </c>
      <c r="AH22" s="1393">
        <f t="shared" si="0"/>
        <v>0.38815789473684209</v>
      </c>
      <c r="AI22" s="1394">
        <f t="shared" si="2"/>
        <v>0.4</v>
      </c>
      <c r="AJ22" s="1394">
        <f t="shared" si="3"/>
        <v>0.43445692883895132</v>
      </c>
      <c r="AK22" s="1394">
        <f t="shared" si="4"/>
        <v>0.41454545454545455</v>
      </c>
      <c r="AL22" s="1394">
        <f t="shared" si="5"/>
        <v>0.43462897526501765</v>
      </c>
      <c r="AM22" s="1394">
        <f t="shared" si="6"/>
        <v>0.40192926045016075</v>
      </c>
      <c r="AN22" s="1394">
        <f t="shared" si="7"/>
        <v>0.41509433962264153</v>
      </c>
      <c r="AO22" s="1394">
        <f t="shared" si="8"/>
        <v>0.3903133903133903</v>
      </c>
      <c r="AP22" s="1394">
        <f t="shared" si="9"/>
        <v>0.39119804400977998</v>
      </c>
      <c r="AQ22" s="1394">
        <f t="shared" si="10"/>
        <v>0.38461538461538464</v>
      </c>
      <c r="AR22" s="1394">
        <f t="shared" si="11"/>
        <v>0.41131105398457585</v>
      </c>
      <c r="AS22" s="1394">
        <f t="shared" si="12"/>
        <v>0.42065491183879095</v>
      </c>
      <c r="AT22" s="1394">
        <f t="shared" si="13"/>
        <v>0.39669421487603307</v>
      </c>
      <c r="AU22" s="1394">
        <f t="shared" si="14"/>
        <v>0.45177664974619292</v>
      </c>
      <c r="AV22" s="1395">
        <f t="shared" si="15"/>
        <v>0.45758354755784064</v>
      </c>
    </row>
    <row r="23" spans="1:48" s="142" customFormat="1" ht="15.75" customHeight="1">
      <c r="A23" s="149" t="s">
        <v>46</v>
      </c>
      <c r="B23" s="189" t="s">
        <v>47</v>
      </c>
      <c r="C23" s="150" t="s">
        <v>268</v>
      </c>
      <c r="D23" s="1359">
        <v>254</v>
      </c>
      <c r="E23" s="1360">
        <v>288</v>
      </c>
      <c r="F23" s="1361">
        <v>259</v>
      </c>
      <c r="G23" s="1360">
        <v>274</v>
      </c>
      <c r="H23" s="1361">
        <v>296</v>
      </c>
      <c r="I23" s="1360">
        <v>284</v>
      </c>
      <c r="J23" s="1361">
        <v>286</v>
      </c>
      <c r="K23" s="1360">
        <v>280</v>
      </c>
      <c r="L23" s="1374">
        <v>311</v>
      </c>
      <c r="M23" s="1374">
        <v>302</v>
      </c>
      <c r="N23" s="1374">
        <v>289</v>
      </c>
      <c r="O23" s="1374">
        <v>288</v>
      </c>
      <c r="P23" s="1375">
        <v>222</v>
      </c>
      <c r="Q23" s="1375">
        <v>237</v>
      </c>
      <c r="R23" s="1376">
        <v>279</v>
      </c>
      <c r="S23" s="1383">
        <v>52</v>
      </c>
      <c r="T23" s="1384">
        <v>77</v>
      </c>
      <c r="U23" s="1384">
        <v>74</v>
      </c>
      <c r="V23" s="1384">
        <v>61</v>
      </c>
      <c r="W23" s="1384">
        <v>80</v>
      </c>
      <c r="X23" s="1384">
        <v>84</v>
      </c>
      <c r="Y23" s="1384">
        <v>81</v>
      </c>
      <c r="Z23" s="1384">
        <v>74</v>
      </c>
      <c r="AA23" s="1384">
        <v>103</v>
      </c>
      <c r="AB23" s="1384">
        <v>107</v>
      </c>
      <c r="AC23" s="1384">
        <v>97</v>
      </c>
      <c r="AD23" s="1384">
        <v>116</v>
      </c>
      <c r="AE23" s="1384">
        <v>93</v>
      </c>
      <c r="AF23" s="1384">
        <v>86</v>
      </c>
      <c r="AG23" s="1385">
        <v>111</v>
      </c>
      <c r="AH23" s="1393">
        <f t="shared" si="0"/>
        <v>0.20472440944881889</v>
      </c>
      <c r="AI23" s="1394">
        <f t="shared" si="2"/>
        <v>0.2673611111111111</v>
      </c>
      <c r="AJ23" s="1394">
        <f t="shared" si="3"/>
        <v>0.2857142857142857</v>
      </c>
      <c r="AK23" s="1394">
        <f t="shared" si="4"/>
        <v>0.22262773722627738</v>
      </c>
      <c r="AL23" s="1394">
        <f t="shared" si="5"/>
        <v>0.27027027027027029</v>
      </c>
      <c r="AM23" s="1394">
        <f t="shared" si="6"/>
        <v>0.29577464788732394</v>
      </c>
      <c r="AN23" s="1394">
        <f t="shared" si="7"/>
        <v>0.28321678321678323</v>
      </c>
      <c r="AO23" s="1394">
        <f t="shared" si="8"/>
        <v>0.26428571428571429</v>
      </c>
      <c r="AP23" s="1394">
        <f t="shared" si="9"/>
        <v>0.3311897106109325</v>
      </c>
      <c r="AQ23" s="1394">
        <f t="shared" si="10"/>
        <v>0.35430463576158938</v>
      </c>
      <c r="AR23" s="1394">
        <f t="shared" si="11"/>
        <v>0.33564013840830448</v>
      </c>
      <c r="AS23" s="1394">
        <f t="shared" si="12"/>
        <v>0.40277777777777779</v>
      </c>
      <c r="AT23" s="1394">
        <f t="shared" si="13"/>
        <v>0.41891891891891891</v>
      </c>
      <c r="AU23" s="1394">
        <f t="shared" si="14"/>
        <v>0.3628691983122363</v>
      </c>
      <c r="AV23" s="1395">
        <f t="shared" si="15"/>
        <v>0.39784946236559138</v>
      </c>
    </row>
    <row r="24" spans="1:48" s="142" customFormat="1" ht="15.75" customHeight="1">
      <c r="A24" s="149" t="s">
        <v>48</v>
      </c>
      <c r="B24" s="189" t="s">
        <v>269</v>
      </c>
      <c r="C24" s="150" t="s">
        <v>266</v>
      </c>
      <c r="D24" s="1359">
        <v>87</v>
      </c>
      <c r="E24" s="1360">
        <v>77</v>
      </c>
      <c r="F24" s="1361">
        <v>73</v>
      </c>
      <c r="G24" s="1360">
        <v>66</v>
      </c>
      <c r="H24" s="1361">
        <v>78</v>
      </c>
      <c r="I24" s="1360">
        <v>67</v>
      </c>
      <c r="J24" s="1361">
        <v>68</v>
      </c>
      <c r="K24" s="1360">
        <v>79</v>
      </c>
      <c r="L24" s="1374">
        <v>62</v>
      </c>
      <c r="M24" s="1374">
        <v>56</v>
      </c>
      <c r="N24" s="1374">
        <v>76</v>
      </c>
      <c r="O24" s="1374">
        <v>46</v>
      </c>
      <c r="P24" s="1375">
        <v>55</v>
      </c>
      <c r="Q24" s="1375">
        <v>48</v>
      </c>
      <c r="R24" s="1376">
        <v>53</v>
      </c>
      <c r="S24" s="1383">
        <v>36</v>
      </c>
      <c r="T24" s="1384">
        <v>41</v>
      </c>
      <c r="U24" s="1384">
        <v>37</v>
      </c>
      <c r="V24" s="1384">
        <v>39</v>
      </c>
      <c r="W24" s="1384">
        <v>32</v>
      </c>
      <c r="X24" s="1384">
        <v>31</v>
      </c>
      <c r="Y24" s="1384">
        <v>38</v>
      </c>
      <c r="Z24" s="1384">
        <v>40</v>
      </c>
      <c r="AA24" s="1384">
        <v>39</v>
      </c>
      <c r="AB24" s="1384">
        <v>23</v>
      </c>
      <c r="AC24" s="1384">
        <v>44</v>
      </c>
      <c r="AD24" s="1384">
        <v>31</v>
      </c>
      <c r="AE24" s="1384">
        <v>28</v>
      </c>
      <c r="AF24" s="1384">
        <v>28</v>
      </c>
      <c r="AG24" s="1385">
        <v>30</v>
      </c>
      <c r="AH24" s="1393">
        <f t="shared" si="0"/>
        <v>0.41379310344827586</v>
      </c>
      <c r="AI24" s="1394">
        <f t="shared" si="2"/>
        <v>0.53246753246753242</v>
      </c>
      <c r="AJ24" s="1394">
        <f t="shared" si="3"/>
        <v>0.50684931506849318</v>
      </c>
      <c r="AK24" s="1394">
        <f t="shared" si="4"/>
        <v>0.59090909090909094</v>
      </c>
      <c r="AL24" s="1394">
        <f t="shared" si="5"/>
        <v>0.41025641025641024</v>
      </c>
      <c r="AM24" s="1394">
        <f t="shared" si="6"/>
        <v>0.46268656716417911</v>
      </c>
      <c r="AN24" s="1394">
        <f t="shared" si="7"/>
        <v>0.55882352941176472</v>
      </c>
      <c r="AO24" s="1394">
        <f t="shared" si="8"/>
        <v>0.50632911392405067</v>
      </c>
      <c r="AP24" s="1394">
        <f t="shared" si="9"/>
        <v>0.62903225806451613</v>
      </c>
      <c r="AQ24" s="1394">
        <f t="shared" si="10"/>
        <v>0.4107142857142857</v>
      </c>
      <c r="AR24" s="1394">
        <f t="shared" si="11"/>
        <v>0.57894736842105265</v>
      </c>
      <c r="AS24" s="1394">
        <f t="shared" si="12"/>
        <v>0.67391304347826086</v>
      </c>
      <c r="AT24" s="1394">
        <f t="shared" si="13"/>
        <v>0.50909090909090904</v>
      </c>
      <c r="AU24" s="1394">
        <f t="shared" si="14"/>
        <v>0.58333333333333337</v>
      </c>
      <c r="AV24" s="1395">
        <f t="shared" si="15"/>
        <v>0.56603773584905659</v>
      </c>
    </row>
    <row r="25" spans="1:48" s="142" customFormat="1" ht="15.75" customHeight="1">
      <c r="A25" s="149" t="s">
        <v>50</v>
      </c>
      <c r="B25" s="189" t="s">
        <v>51</v>
      </c>
      <c r="C25" s="150" t="s">
        <v>265</v>
      </c>
      <c r="D25" s="1359">
        <v>150</v>
      </c>
      <c r="E25" s="1360">
        <v>161</v>
      </c>
      <c r="F25" s="1361">
        <v>158</v>
      </c>
      <c r="G25" s="1360">
        <v>158</v>
      </c>
      <c r="H25" s="1361">
        <v>145</v>
      </c>
      <c r="I25" s="1360">
        <v>130</v>
      </c>
      <c r="J25" s="1361">
        <v>150</v>
      </c>
      <c r="K25" s="1360">
        <v>138</v>
      </c>
      <c r="L25" s="1374">
        <v>122</v>
      </c>
      <c r="M25" s="1374">
        <v>129</v>
      </c>
      <c r="N25" s="1374">
        <v>170</v>
      </c>
      <c r="O25" s="1374">
        <v>129</v>
      </c>
      <c r="P25" s="1375">
        <v>112</v>
      </c>
      <c r="Q25" s="1375">
        <v>153</v>
      </c>
      <c r="R25" s="1376">
        <v>143</v>
      </c>
      <c r="S25" s="1383">
        <v>62</v>
      </c>
      <c r="T25" s="1384">
        <v>62</v>
      </c>
      <c r="U25" s="1384">
        <v>55</v>
      </c>
      <c r="V25" s="1384">
        <v>60</v>
      </c>
      <c r="W25" s="1384">
        <v>51</v>
      </c>
      <c r="X25" s="1384">
        <v>51</v>
      </c>
      <c r="Y25" s="1384">
        <v>68</v>
      </c>
      <c r="Z25" s="1384">
        <v>64</v>
      </c>
      <c r="AA25" s="1384">
        <v>49</v>
      </c>
      <c r="AB25" s="1384">
        <v>58</v>
      </c>
      <c r="AC25" s="1384">
        <v>83</v>
      </c>
      <c r="AD25" s="1384">
        <v>52</v>
      </c>
      <c r="AE25" s="1384">
        <v>52</v>
      </c>
      <c r="AF25" s="1384">
        <v>69</v>
      </c>
      <c r="AG25" s="1385">
        <v>54</v>
      </c>
      <c r="AH25" s="1393">
        <f t="shared" si="0"/>
        <v>0.41333333333333333</v>
      </c>
      <c r="AI25" s="1394">
        <f t="shared" si="2"/>
        <v>0.38509316770186336</v>
      </c>
      <c r="AJ25" s="1394">
        <f t="shared" si="3"/>
        <v>0.34810126582278483</v>
      </c>
      <c r="AK25" s="1394">
        <f t="shared" si="4"/>
        <v>0.379746835443038</v>
      </c>
      <c r="AL25" s="1394">
        <f t="shared" si="5"/>
        <v>0.35172413793103446</v>
      </c>
      <c r="AM25" s="1394">
        <f t="shared" si="6"/>
        <v>0.3923076923076923</v>
      </c>
      <c r="AN25" s="1394">
        <f t="shared" si="7"/>
        <v>0.45333333333333331</v>
      </c>
      <c r="AO25" s="1394">
        <f t="shared" si="8"/>
        <v>0.46376811594202899</v>
      </c>
      <c r="AP25" s="1394">
        <f t="shared" si="9"/>
        <v>0.40163934426229508</v>
      </c>
      <c r="AQ25" s="1394">
        <f t="shared" si="10"/>
        <v>0.44961240310077522</v>
      </c>
      <c r="AR25" s="1394">
        <f t="shared" si="11"/>
        <v>0.48823529411764705</v>
      </c>
      <c r="AS25" s="1394">
        <f t="shared" si="12"/>
        <v>0.40310077519379844</v>
      </c>
      <c r="AT25" s="1394">
        <f t="shared" si="13"/>
        <v>0.4642857142857143</v>
      </c>
      <c r="AU25" s="1394">
        <f t="shared" si="14"/>
        <v>0.45098039215686275</v>
      </c>
      <c r="AV25" s="1395">
        <f t="shared" si="15"/>
        <v>0.3776223776223776</v>
      </c>
    </row>
    <row r="26" spans="1:48" s="142" customFormat="1" ht="15.75" customHeight="1">
      <c r="A26" s="149" t="s">
        <v>56</v>
      </c>
      <c r="B26" s="189" t="s">
        <v>295</v>
      </c>
      <c r="C26" s="150" t="s">
        <v>266</v>
      </c>
      <c r="D26" s="1359">
        <v>3603</v>
      </c>
      <c r="E26" s="1360">
        <v>3414</v>
      </c>
      <c r="F26" s="1361">
        <v>3603</v>
      </c>
      <c r="G26" s="1360">
        <v>3548</v>
      </c>
      <c r="H26" s="1361">
        <v>3541</v>
      </c>
      <c r="I26" s="1360">
        <v>3740</v>
      </c>
      <c r="J26" s="1361">
        <v>3871</v>
      </c>
      <c r="K26" s="1360">
        <v>3890</v>
      </c>
      <c r="L26" s="1374">
        <v>4207</v>
      </c>
      <c r="M26" s="1374">
        <v>4138</v>
      </c>
      <c r="N26" s="1374">
        <v>3967</v>
      </c>
      <c r="O26" s="1374">
        <v>3998</v>
      </c>
      <c r="P26" s="1375">
        <v>3921</v>
      </c>
      <c r="Q26" s="1375">
        <v>3903</v>
      </c>
      <c r="R26" s="1376">
        <v>3919</v>
      </c>
      <c r="S26" s="1383">
        <v>832</v>
      </c>
      <c r="T26" s="1384">
        <v>808</v>
      </c>
      <c r="U26" s="1384">
        <v>883</v>
      </c>
      <c r="V26" s="1384">
        <v>901</v>
      </c>
      <c r="W26" s="1384">
        <v>929</v>
      </c>
      <c r="X26" s="1384">
        <v>996</v>
      </c>
      <c r="Y26" s="1384">
        <v>1064</v>
      </c>
      <c r="Z26" s="1384">
        <v>1126</v>
      </c>
      <c r="AA26" s="1384">
        <v>1240</v>
      </c>
      <c r="AB26" s="1384">
        <v>1289</v>
      </c>
      <c r="AC26" s="1384">
        <v>1293</v>
      </c>
      <c r="AD26" s="1384">
        <v>1361</v>
      </c>
      <c r="AE26" s="1384">
        <v>1374</v>
      </c>
      <c r="AF26" s="1384">
        <v>1396</v>
      </c>
      <c r="AG26" s="1385">
        <v>1437</v>
      </c>
      <c r="AH26" s="1393">
        <f t="shared" si="0"/>
        <v>0.23091867887871217</v>
      </c>
      <c r="AI26" s="1394">
        <f t="shared" si="2"/>
        <v>0.23667252489748097</v>
      </c>
      <c r="AJ26" s="1394">
        <f t="shared" si="3"/>
        <v>0.24507354981959478</v>
      </c>
      <c r="AK26" s="1394">
        <f t="shared" si="4"/>
        <v>0.25394588500563697</v>
      </c>
      <c r="AL26" s="1394">
        <f t="shared" si="5"/>
        <v>0.26235526687376448</v>
      </c>
      <c r="AM26" s="1394">
        <f t="shared" si="6"/>
        <v>0.26631016042780747</v>
      </c>
      <c r="AN26" s="1394">
        <f t="shared" si="7"/>
        <v>0.27486437613019893</v>
      </c>
      <c r="AO26" s="1394">
        <f t="shared" si="8"/>
        <v>0.28946015424164523</v>
      </c>
      <c r="AP26" s="1394">
        <f t="shared" si="9"/>
        <v>0.29474685048728311</v>
      </c>
      <c r="AQ26" s="1394">
        <f t="shared" si="10"/>
        <v>0.31150314161430642</v>
      </c>
      <c r="AR26" s="1394">
        <f t="shared" si="11"/>
        <v>0.32593899672296445</v>
      </c>
      <c r="AS26" s="1394">
        <f t="shared" si="12"/>
        <v>0.34042021010505252</v>
      </c>
      <c r="AT26" s="1394">
        <f t="shared" si="13"/>
        <v>0.35042081101759753</v>
      </c>
      <c r="AU26" s="1394">
        <f t="shared" si="14"/>
        <v>0.35767358442223929</v>
      </c>
      <c r="AV26" s="1395">
        <f t="shared" si="15"/>
        <v>0.36667517223781576</v>
      </c>
    </row>
    <row r="27" spans="1:48" s="142" customFormat="1" ht="15.75" customHeight="1">
      <c r="A27" s="149" t="s">
        <v>58</v>
      </c>
      <c r="B27" s="189" t="s">
        <v>59</v>
      </c>
      <c r="C27" s="150" t="s">
        <v>267</v>
      </c>
      <c r="D27" s="1359">
        <v>114</v>
      </c>
      <c r="E27" s="1360">
        <v>118</v>
      </c>
      <c r="F27" s="1361">
        <v>112</v>
      </c>
      <c r="G27" s="1360">
        <v>121</v>
      </c>
      <c r="H27" s="1361">
        <v>115</v>
      </c>
      <c r="I27" s="1360">
        <v>132</v>
      </c>
      <c r="J27" s="1361">
        <v>131</v>
      </c>
      <c r="K27" s="1360">
        <v>121</v>
      </c>
      <c r="L27" s="1374">
        <v>148</v>
      </c>
      <c r="M27" s="1374">
        <v>135</v>
      </c>
      <c r="N27" s="1374">
        <v>138</v>
      </c>
      <c r="O27" s="1374">
        <v>123</v>
      </c>
      <c r="P27" s="1375">
        <v>142</v>
      </c>
      <c r="Q27" s="1375">
        <v>126</v>
      </c>
      <c r="R27" s="1376">
        <v>140</v>
      </c>
      <c r="S27" s="1383">
        <v>24</v>
      </c>
      <c r="T27" s="1384">
        <v>33</v>
      </c>
      <c r="U27" s="1384">
        <v>27</v>
      </c>
      <c r="V27" s="1384">
        <v>24</v>
      </c>
      <c r="W27" s="1384">
        <v>26</v>
      </c>
      <c r="X27" s="1384">
        <v>22</v>
      </c>
      <c r="Y27" s="1384">
        <v>25</v>
      </c>
      <c r="Z27" s="1384">
        <v>25</v>
      </c>
      <c r="AA27" s="1384">
        <v>32</v>
      </c>
      <c r="AB27" s="1384">
        <v>41</v>
      </c>
      <c r="AC27" s="1384">
        <v>38</v>
      </c>
      <c r="AD27" s="1384">
        <v>35</v>
      </c>
      <c r="AE27" s="1384">
        <v>41</v>
      </c>
      <c r="AF27" s="1384">
        <v>47</v>
      </c>
      <c r="AG27" s="1385">
        <v>46</v>
      </c>
      <c r="AH27" s="1393">
        <f t="shared" si="0"/>
        <v>0.21052631578947367</v>
      </c>
      <c r="AI27" s="1394">
        <f t="shared" si="2"/>
        <v>0.27966101694915252</v>
      </c>
      <c r="AJ27" s="1394">
        <f t="shared" si="3"/>
        <v>0.24107142857142858</v>
      </c>
      <c r="AK27" s="1394">
        <f t="shared" si="4"/>
        <v>0.19834710743801653</v>
      </c>
      <c r="AL27" s="1394">
        <f t="shared" si="5"/>
        <v>0.22608695652173913</v>
      </c>
      <c r="AM27" s="1394">
        <f t="shared" si="6"/>
        <v>0.16666666666666666</v>
      </c>
      <c r="AN27" s="1394">
        <f t="shared" si="7"/>
        <v>0.19083969465648856</v>
      </c>
      <c r="AO27" s="1394">
        <f t="shared" si="8"/>
        <v>0.20661157024793389</v>
      </c>
      <c r="AP27" s="1394">
        <f t="shared" si="9"/>
        <v>0.21621621621621623</v>
      </c>
      <c r="AQ27" s="1394">
        <f t="shared" si="10"/>
        <v>0.3037037037037037</v>
      </c>
      <c r="AR27" s="1394">
        <f t="shared" si="11"/>
        <v>0.27536231884057971</v>
      </c>
      <c r="AS27" s="1394">
        <f t="shared" si="12"/>
        <v>0.28455284552845528</v>
      </c>
      <c r="AT27" s="1394">
        <f t="shared" si="13"/>
        <v>0.28873239436619719</v>
      </c>
      <c r="AU27" s="1394">
        <f t="shared" si="14"/>
        <v>0.37301587301587302</v>
      </c>
      <c r="AV27" s="1395">
        <f t="shared" si="15"/>
        <v>0.32857142857142857</v>
      </c>
    </row>
    <row r="28" spans="1:48" s="142" customFormat="1" ht="15.75" customHeight="1">
      <c r="A28" s="149" t="s">
        <v>60</v>
      </c>
      <c r="B28" s="189" t="s">
        <v>61</v>
      </c>
      <c r="C28" s="150" t="s">
        <v>265</v>
      </c>
      <c r="D28" s="1359">
        <v>45</v>
      </c>
      <c r="E28" s="1360">
        <v>54</v>
      </c>
      <c r="F28" s="1361">
        <v>58</v>
      </c>
      <c r="G28" s="1360">
        <v>61</v>
      </c>
      <c r="H28" s="1361">
        <v>49</v>
      </c>
      <c r="I28" s="1360">
        <v>55</v>
      </c>
      <c r="J28" s="1361">
        <v>43</v>
      </c>
      <c r="K28" s="1360">
        <v>46</v>
      </c>
      <c r="L28" s="1374">
        <v>48</v>
      </c>
      <c r="M28" s="1374">
        <v>40</v>
      </c>
      <c r="N28" s="1374">
        <v>38</v>
      </c>
      <c r="O28" s="1374">
        <v>50</v>
      </c>
      <c r="P28" s="1375">
        <v>33</v>
      </c>
      <c r="Q28" s="1375">
        <v>41</v>
      </c>
      <c r="R28" s="1376">
        <v>36</v>
      </c>
      <c r="S28" s="1383">
        <v>8</v>
      </c>
      <c r="T28" s="1384">
        <v>9</v>
      </c>
      <c r="U28" s="1384">
        <v>10</v>
      </c>
      <c r="V28" s="1384">
        <v>16</v>
      </c>
      <c r="W28" s="1384">
        <v>7</v>
      </c>
      <c r="X28" s="1384">
        <v>12</v>
      </c>
      <c r="Y28" s="1384">
        <v>13</v>
      </c>
      <c r="Z28" s="1384">
        <v>4</v>
      </c>
      <c r="AA28" s="1384">
        <v>13</v>
      </c>
      <c r="AB28" s="1384">
        <v>9</v>
      </c>
      <c r="AC28" s="1384">
        <v>13</v>
      </c>
      <c r="AD28" s="1384">
        <v>17</v>
      </c>
      <c r="AE28" s="1384">
        <v>13</v>
      </c>
      <c r="AF28" s="1384">
        <v>17</v>
      </c>
      <c r="AG28" s="1385">
        <v>14</v>
      </c>
      <c r="AH28" s="1393">
        <f t="shared" si="0"/>
        <v>0.17777777777777778</v>
      </c>
      <c r="AI28" s="1394">
        <f t="shared" si="2"/>
        <v>0.16666666666666666</v>
      </c>
      <c r="AJ28" s="1394">
        <f t="shared" si="3"/>
        <v>0.17241379310344829</v>
      </c>
      <c r="AK28" s="1394">
        <f t="shared" si="4"/>
        <v>0.26229508196721313</v>
      </c>
      <c r="AL28" s="1394">
        <f t="shared" si="5"/>
        <v>0.14285714285714285</v>
      </c>
      <c r="AM28" s="1394">
        <f t="shared" si="6"/>
        <v>0.21818181818181817</v>
      </c>
      <c r="AN28" s="1394">
        <f t="shared" si="7"/>
        <v>0.30232558139534882</v>
      </c>
      <c r="AO28" s="1394">
        <f t="shared" si="8"/>
        <v>8.6956521739130432E-2</v>
      </c>
      <c r="AP28" s="1394">
        <f t="shared" si="9"/>
        <v>0.27083333333333331</v>
      </c>
      <c r="AQ28" s="1394">
        <f t="shared" si="10"/>
        <v>0.22500000000000001</v>
      </c>
      <c r="AR28" s="1394">
        <f t="shared" si="11"/>
        <v>0.34210526315789475</v>
      </c>
      <c r="AS28" s="1394">
        <f t="shared" si="12"/>
        <v>0.34</v>
      </c>
      <c r="AT28" s="1394">
        <f t="shared" si="13"/>
        <v>0.39393939393939392</v>
      </c>
      <c r="AU28" s="1394">
        <f t="shared" si="14"/>
        <v>0.41463414634146339</v>
      </c>
      <c r="AV28" s="1395">
        <f t="shared" si="15"/>
        <v>0.3888888888888889</v>
      </c>
    </row>
    <row r="29" spans="1:48" s="142" customFormat="1" ht="15.75" customHeight="1">
      <c r="A29" s="149" t="s">
        <v>62</v>
      </c>
      <c r="B29" s="189" t="s">
        <v>63</v>
      </c>
      <c r="C29" s="150" t="s">
        <v>267</v>
      </c>
      <c r="D29" s="1359">
        <v>458</v>
      </c>
      <c r="E29" s="1360">
        <v>416</v>
      </c>
      <c r="F29" s="1361">
        <v>481</v>
      </c>
      <c r="G29" s="1360">
        <v>472</v>
      </c>
      <c r="H29" s="1361">
        <v>501</v>
      </c>
      <c r="I29" s="1360">
        <v>519</v>
      </c>
      <c r="J29" s="1361">
        <v>538</v>
      </c>
      <c r="K29" s="1360">
        <v>608</v>
      </c>
      <c r="L29" s="1374">
        <v>686</v>
      </c>
      <c r="M29" s="1374">
        <v>734</v>
      </c>
      <c r="N29" s="1374">
        <v>664</v>
      </c>
      <c r="O29" s="1374">
        <v>641</v>
      </c>
      <c r="P29" s="1375">
        <v>629</v>
      </c>
      <c r="Q29" s="1375">
        <v>627</v>
      </c>
      <c r="R29" s="1376">
        <v>654</v>
      </c>
      <c r="S29" s="1383">
        <v>170</v>
      </c>
      <c r="T29" s="1384">
        <v>130</v>
      </c>
      <c r="U29" s="1384">
        <v>174</v>
      </c>
      <c r="V29" s="1384">
        <v>163</v>
      </c>
      <c r="W29" s="1384">
        <v>173</v>
      </c>
      <c r="X29" s="1384">
        <v>178</v>
      </c>
      <c r="Y29" s="1384">
        <v>179</v>
      </c>
      <c r="Z29" s="1384">
        <v>217</v>
      </c>
      <c r="AA29" s="1384">
        <v>253</v>
      </c>
      <c r="AB29" s="1384">
        <v>297</v>
      </c>
      <c r="AC29" s="1384">
        <v>281</v>
      </c>
      <c r="AD29" s="1384">
        <v>263</v>
      </c>
      <c r="AE29" s="1384">
        <v>252</v>
      </c>
      <c r="AF29" s="1384">
        <v>276</v>
      </c>
      <c r="AG29" s="1385">
        <v>270</v>
      </c>
      <c r="AH29" s="1393">
        <f t="shared" si="0"/>
        <v>0.37117903930131002</v>
      </c>
      <c r="AI29" s="1394">
        <f t="shared" si="2"/>
        <v>0.3125</v>
      </c>
      <c r="AJ29" s="1394">
        <f t="shared" si="3"/>
        <v>0.36174636174636177</v>
      </c>
      <c r="AK29" s="1394">
        <f t="shared" si="4"/>
        <v>0.34533898305084748</v>
      </c>
      <c r="AL29" s="1394">
        <f t="shared" si="5"/>
        <v>0.34530938123752497</v>
      </c>
      <c r="AM29" s="1394">
        <f t="shared" si="6"/>
        <v>0.34296724470134876</v>
      </c>
      <c r="AN29" s="1394">
        <f t="shared" si="7"/>
        <v>0.33271375464684017</v>
      </c>
      <c r="AO29" s="1394">
        <f t="shared" si="8"/>
        <v>0.35690789473684209</v>
      </c>
      <c r="AP29" s="1394">
        <f t="shared" si="9"/>
        <v>0.36880466472303208</v>
      </c>
      <c r="AQ29" s="1394">
        <f t="shared" si="10"/>
        <v>0.40463215258855584</v>
      </c>
      <c r="AR29" s="1394">
        <f t="shared" si="11"/>
        <v>0.42319277108433734</v>
      </c>
      <c r="AS29" s="1394">
        <f t="shared" si="12"/>
        <v>0.41029641185647425</v>
      </c>
      <c r="AT29" s="1394">
        <f t="shared" si="13"/>
        <v>0.40063593004769477</v>
      </c>
      <c r="AU29" s="1394">
        <f t="shared" si="14"/>
        <v>0.44019138755980863</v>
      </c>
      <c r="AV29" s="1395">
        <f t="shared" si="15"/>
        <v>0.41284403669724773</v>
      </c>
    </row>
    <row r="30" spans="1:48" s="142" customFormat="1" ht="15.75" customHeight="1">
      <c r="A30" s="149" t="s">
        <v>64</v>
      </c>
      <c r="B30" s="189" t="s">
        <v>65</v>
      </c>
      <c r="C30" s="150" t="s">
        <v>266</v>
      </c>
      <c r="D30" s="1359">
        <v>106</v>
      </c>
      <c r="E30" s="1360">
        <v>83</v>
      </c>
      <c r="F30" s="1361">
        <v>90</v>
      </c>
      <c r="G30" s="1360">
        <v>107</v>
      </c>
      <c r="H30" s="1361">
        <v>101</v>
      </c>
      <c r="I30" s="1360">
        <v>100</v>
      </c>
      <c r="J30" s="1361">
        <v>99</v>
      </c>
      <c r="K30" s="1360">
        <v>121</v>
      </c>
      <c r="L30" s="1374">
        <v>110</v>
      </c>
      <c r="M30" s="1374">
        <v>119</v>
      </c>
      <c r="N30" s="1374">
        <v>103</v>
      </c>
      <c r="O30" s="1374">
        <v>118</v>
      </c>
      <c r="P30" s="1375">
        <v>103</v>
      </c>
      <c r="Q30" s="1375">
        <v>116</v>
      </c>
      <c r="R30" s="1376">
        <v>94</v>
      </c>
      <c r="S30" s="1383">
        <v>42</v>
      </c>
      <c r="T30" s="1384">
        <v>29</v>
      </c>
      <c r="U30" s="1384">
        <v>37</v>
      </c>
      <c r="V30" s="1384">
        <v>49</v>
      </c>
      <c r="W30" s="1384">
        <v>43</v>
      </c>
      <c r="X30" s="1384">
        <v>41</v>
      </c>
      <c r="Y30" s="1384">
        <v>38</v>
      </c>
      <c r="Z30" s="1384">
        <v>59</v>
      </c>
      <c r="AA30" s="1384">
        <v>48</v>
      </c>
      <c r="AB30" s="1384">
        <v>46</v>
      </c>
      <c r="AC30" s="1384">
        <v>47</v>
      </c>
      <c r="AD30" s="1384">
        <v>54</v>
      </c>
      <c r="AE30" s="1384">
        <v>40</v>
      </c>
      <c r="AF30" s="1384">
        <v>62</v>
      </c>
      <c r="AG30" s="1385">
        <v>47</v>
      </c>
      <c r="AH30" s="1393">
        <f t="shared" si="0"/>
        <v>0.39622641509433965</v>
      </c>
      <c r="AI30" s="1394">
        <f t="shared" si="2"/>
        <v>0.3493975903614458</v>
      </c>
      <c r="AJ30" s="1394">
        <f t="shared" si="3"/>
        <v>0.41111111111111109</v>
      </c>
      <c r="AK30" s="1394">
        <f t="shared" si="4"/>
        <v>0.45794392523364486</v>
      </c>
      <c r="AL30" s="1394">
        <f t="shared" si="5"/>
        <v>0.42574257425742573</v>
      </c>
      <c r="AM30" s="1394">
        <f t="shared" si="6"/>
        <v>0.41</v>
      </c>
      <c r="AN30" s="1394">
        <f t="shared" si="7"/>
        <v>0.38383838383838381</v>
      </c>
      <c r="AO30" s="1394">
        <f t="shared" si="8"/>
        <v>0.48760330578512395</v>
      </c>
      <c r="AP30" s="1394">
        <f t="shared" si="9"/>
        <v>0.43636363636363634</v>
      </c>
      <c r="AQ30" s="1394">
        <f t="shared" si="10"/>
        <v>0.38655462184873951</v>
      </c>
      <c r="AR30" s="1394">
        <f t="shared" si="11"/>
        <v>0.4563106796116505</v>
      </c>
      <c r="AS30" s="1394">
        <f t="shared" si="12"/>
        <v>0.4576271186440678</v>
      </c>
      <c r="AT30" s="1394">
        <f t="shared" si="13"/>
        <v>0.38834951456310679</v>
      </c>
      <c r="AU30" s="1394">
        <f t="shared" si="14"/>
        <v>0.53448275862068961</v>
      </c>
      <c r="AV30" s="1395">
        <f t="shared" si="15"/>
        <v>0.5</v>
      </c>
    </row>
    <row r="31" spans="1:48" s="142" customFormat="1" ht="15.75" customHeight="1">
      <c r="A31" s="149" t="s">
        <v>68</v>
      </c>
      <c r="B31" s="189" t="s">
        <v>69</v>
      </c>
      <c r="C31" s="150" t="s">
        <v>268</v>
      </c>
      <c r="D31" s="1359">
        <v>176</v>
      </c>
      <c r="E31" s="1360">
        <v>162</v>
      </c>
      <c r="F31" s="1361">
        <v>143</v>
      </c>
      <c r="G31" s="1360">
        <v>136</v>
      </c>
      <c r="H31" s="1361">
        <v>166</v>
      </c>
      <c r="I31" s="1360">
        <v>178</v>
      </c>
      <c r="J31" s="1361">
        <v>163</v>
      </c>
      <c r="K31" s="1360">
        <v>173</v>
      </c>
      <c r="L31" s="1374">
        <v>186</v>
      </c>
      <c r="M31" s="1374">
        <v>203</v>
      </c>
      <c r="N31" s="1374">
        <v>164</v>
      </c>
      <c r="O31" s="1374">
        <v>158</v>
      </c>
      <c r="P31" s="1375">
        <v>170</v>
      </c>
      <c r="Q31" s="1375">
        <v>183</v>
      </c>
      <c r="R31" s="1376">
        <v>162</v>
      </c>
      <c r="S31" s="1383">
        <v>49</v>
      </c>
      <c r="T31" s="1384">
        <v>33</v>
      </c>
      <c r="U31" s="1384">
        <v>29</v>
      </c>
      <c r="V31" s="1384">
        <v>31</v>
      </c>
      <c r="W31" s="1384">
        <v>43</v>
      </c>
      <c r="X31" s="1384">
        <v>37</v>
      </c>
      <c r="Y31" s="1384">
        <v>44</v>
      </c>
      <c r="Z31" s="1384">
        <v>52</v>
      </c>
      <c r="AA31" s="1384">
        <v>59</v>
      </c>
      <c r="AB31" s="1384">
        <v>63</v>
      </c>
      <c r="AC31" s="1384">
        <v>46</v>
      </c>
      <c r="AD31" s="1384">
        <v>53</v>
      </c>
      <c r="AE31" s="1384">
        <v>67</v>
      </c>
      <c r="AF31" s="1384">
        <v>66</v>
      </c>
      <c r="AG31" s="1385">
        <v>50</v>
      </c>
      <c r="AH31" s="1393">
        <f t="shared" si="0"/>
        <v>0.27840909090909088</v>
      </c>
      <c r="AI31" s="1394">
        <f t="shared" si="2"/>
        <v>0.20370370370370369</v>
      </c>
      <c r="AJ31" s="1394">
        <f t="shared" si="3"/>
        <v>0.20279720279720279</v>
      </c>
      <c r="AK31" s="1394">
        <f t="shared" si="4"/>
        <v>0.22794117647058823</v>
      </c>
      <c r="AL31" s="1394">
        <f t="shared" si="5"/>
        <v>0.25903614457831325</v>
      </c>
      <c r="AM31" s="1394">
        <f t="shared" si="6"/>
        <v>0.20786516853932585</v>
      </c>
      <c r="AN31" s="1394">
        <f t="shared" si="7"/>
        <v>0.26993865030674846</v>
      </c>
      <c r="AO31" s="1394">
        <f t="shared" si="8"/>
        <v>0.30057803468208094</v>
      </c>
      <c r="AP31" s="1394">
        <f t="shared" si="9"/>
        <v>0.31720430107526881</v>
      </c>
      <c r="AQ31" s="1394">
        <f t="shared" si="10"/>
        <v>0.31034482758620691</v>
      </c>
      <c r="AR31" s="1394">
        <f t="shared" si="11"/>
        <v>0.28048780487804881</v>
      </c>
      <c r="AS31" s="1394">
        <f t="shared" si="12"/>
        <v>0.33544303797468356</v>
      </c>
      <c r="AT31" s="1394">
        <f t="shared" si="13"/>
        <v>0.39411764705882352</v>
      </c>
      <c r="AU31" s="1394">
        <f t="shared" si="14"/>
        <v>0.36065573770491804</v>
      </c>
      <c r="AV31" s="1395">
        <f t="shared" si="15"/>
        <v>0.30864197530864196</v>
      </c>
    </row>
    <row r="32" spans="1:48" s="142" customFormat="1" ht="15.75" customHeight="1">
      <c r="A32" s="149" t="s">
        <v>70</v>
      </c>
      <c r="B32" s="189" t="s">
        <v>71</v>
      </c>
      <c r="C32" s="150" t="s">
        <v>264</v>
      </c>
      <c r="D32" s="1359">
        <v>249</v>
      </c>
      <c r="E32" s="1360">
        <v>239</v>
      </c>
      <c r="F32" s="1361">
        <v>246</v>
      </c>
      <c r="G32" s="1360">
        <v>227</v>
      </c>
      <c r="H32" s="1361">
        <v>256</v>
      </c>
      <c r="I32" s="1360">
        <v>231</v>
      </c>
      <c r="J32" s="1361">
        <v>283</v>
      </c>
      <c r="K32" s="1360">
        <v>267</v>
      </c>
      <c r="L32" s="1374">
        <v>280</v>
      </c>
      <c r="M32" s="1374">
        <v>260</v>
      </c>
      <c r="N32" s="1374">
        <v>268</v>
      </c>
      <c r="O32" s="1374">
        <v>230</v>
      </c>
      <c r="P32" s="1375">
        <v>233</v>
      </c>
      <c r="Q32" s="1375">
        <v>248</v>
      </c>
      <c r="R32" s="1376">
        <v>258</v>
      </c>
      <c r="S32" s="1383">
        <v>88</v>
      </c>
      <c r="T32" s="1384">
        <v>88</v>
      </c>
      <c r="U32" s="1384">
        <v>97</v>
      </c>
      <c r="V32" s="1384">
        <v>90</v>
      </c>
      <c r="W32" s="1384">
        <v>90</v>
      </c>
      <c r="X32" s="1384">
        <v>96</v>
      </c>
      <c r="Y32" s="1384">
        <v>103</v>
      </c>
      <c r="Z32" s="1384">
        <v>91</v>
      </c>
      <c r="AA32" s="1384">
        <v>122</v>
      </c>
      <c r="AB32" s="1384">
        <v>107</v>
      </c>
      <c r="AC32" s="1384">
        <v>112</v>
      </c>
      <c r="AD32" s="1384">
        <v>106</v>
      </c>
      <c r="AE32" s="1384">
        <v>114</v>
      </c>
      <c r="AF32" s="1384">
        <v>117</v>
      </c>
      <c r="AG32" s="1385">
        <v>113</v>
      </c>
      <c r="AH32" s="1393">
        <f t="shared" si="0"/>
        <v>0.3534136546184739</v>
      </c>
      <c r="AI32" s="1394">
        <f t="shared" si="2"/>
        <v>0.3682008368200837</v>
      </c>
      <c r="AJ32" s="1394">
        <f t="shared" si="3"/>
        <v>0.39430894308943087</v>
      </c>
      <c r="AK32" s="1394">
        <f t="shared" si="4"/>
        <v>0.3964757709251101</v>
      </c>
      <c r="AL32" s="1394">
        <f t="shared" si="5"/>
        <v>0.3515625</v>
      </c>
      <c r="AM32" s="1394">
        <f t="shared" si="6"/>
        <v>0.41558441558441561</v>
      </c>
      <c r="AN32" s="1394">
        <f t="shared" si="7"/>
        <v>0.36395759717314485</v>
      </c>
      <c r="AO32" s="1394">
        <f t="shared" si="8"/>
        <v>0.34082397003745318</v>
      </c>
      <c r="AP32" s="1394">
        <f t="shared" si="9"/>
        <v>0.43571428571428572</v>
      </c>
      <c r="AQ32" s="1394">
        <f t="shared" si="10"/>
        <v>0.41153846153846152</v>
      </c>
      <c r="AR32" s="1394">
        <f t="shared" si="11"/>
        <v>0.41791044776119401</v>
      </c>
      <c r="AS32" s="1394">
        <f t="shared" si="12"/>
        <v>0.46086956521739131</v>
      </c>
      <c r="AT32" s="1394">
        <f t="shared" si="13"/>
        <v>0.48927038626609443</v>
      </c>
      <c r="AU32" s="1394">
        <f t="shared" si="14"/>
        <v>0.47177419354838712</v>
      </c>
      <c r="AV32" s="1395">
        <f t="shared" si="15"/>
        <v>0.43798449612403101</v>
      </c>
    </row>
    <row r="33" spans="1:48" s="142" customFormat="1" ht="15.75" customHeight="1">
      <c r="A33" s="149" t="s">
        <v>72</v>
      </c>
      <c r="B33" s="189" t="s">
        <v>73</v>
      </c>
      <c r="C33" s="150" t="s">
        <v>266</v>
      </c>
      <c r="D33" s="1359">
        <v>110</v>
      </c>
      <c r="E33" s="1360">
        <v>106</v>
      </c>
      <c r="F33" s="1361">
        <v>120</v>
      </c>
      <c r="G33" s="1360">
        <v>110</v>
      </c>
      <c r="H33" s="1361">
        <v>120</v>
      </c>
      <c r="I33" s="1360">
        <v>111</v>
      </c>
      <c r="J33" s="1361">
        <v>136</v>
      </c>
      <c r="K33" s="1360">
        <v>126</v>
      </c>
      <c r="L33" s="1374">
        <v>113</v>
      </c>
      <c r="M33" s="1374">
        <v>137</v>
      </c>
      <c r="N33" s="1374">
        <v>150</v>
      </c>
      <c r="O33" s="1374">
        <v>150</v>
      </c>
      <c r="P33" s="1375">
        <v>142</v>
      </c>
      <c r="Q33" s="1375">
        <v>130</v>
      </c>
      <c r="R33" s="1376">
        <v>127</v>
      </c>
      <c r="S33" s="1383">
        <v>51</v>
      </c>
      <c r="T33" s="1384">
        <v>48</v>
      </c>
      <c r="U33" s="1384">
        <v>63</v>
      </c>
      <c r="V33" s="1384">
        <v>54</v>
      </c>
      <c r="W33" s="1384">
        <v>57</v>
      </c>
      <c r="X33" s="1384">
        <v>64</v>
      </c>
      <c r="Y33" s="1384">
        <v>66</v>
      </c>
      <c r="Z33" s="1384">
        <v>59</v>
      </c>
      <c r="AA33" s="1384">
        <v>60</v>
      </c>
      <c r="AB33" s="1384">
        <v>71</v>
      </c>
      <c r="AC33" s="1384">
        <v>91</v>
      </c>
      <c r="AD33" s="1384">
        <v>81</v>
      </c>
      <c r="AE33" s="1384">
        <v>82</v>
      </c>
      <c r="AF33" s="1384">
        <v>73</v>
      </c>
      <c r="AG33" s="1385">
        <v>78</v>
      </c>
      <c r="AH33" s="1393">
        <f t="shared" si="0"/>
        <v>0.46363636363636362</v>
      </c>
      <c r="AI33" s="1394">
        <f t="shared" si="2"/>
        <v>0.45283018867924529</v>
      </c>
      <c r="AJ33" s="1394">
        <f t="shared" si="3"/>
        <v>0.52500000000000002</v>
      </c>
      <c r="AK33" s="1394">
        <f t="shared" si="4"/>
        <v>0.49090909090909091</v>
      </c>
      <c r="AL33" s="1394">
        <f t="shared" si="5"/>
        <v>0.47499999999999998</v>
      </c>
      <c r="AM33" s="1394">
        <f t="shared" si="6"/>
        <v>0.57657657657657657</v>
      </c>
      <c r="AN33" s="1394">
        <f t="shared" si="7"/>
        <v>0.48529411764705882</v>
      </c>
      <c r="AO33" s="1394">
        <f t="shared" si="8"/>
        <v>0.46825396825396826</v>
      </c>
      <c r="AP33" s="1394">
        <f t="shared" si="9"/>
        <v>0.53097345132743368</v>
      </c>
      <c r="AQ33" s="1394">
        <f t="shared" si="10"/>
        <v>0.51824817518248179</v>
      </c>
      <c r="AR33" s="1394">
        <f t="shared" si="11"/>
        <v>0.60666666666666669</v>
      </c>
      <c r="AS33" s="1394">
        <f t="shared" si="12"/>
        <v>0.54</v>
      </c>
      <c r="AT33" s="1394">
        <f t="shared" si="13"/>
        <v>0.57746478873239437</v>
      </c>
      <c r="AU33" s="1394">
        <f t="shared" si="14"/>
        <v>0.56153846153846154</v>
      </c>
      <c r="AV33" s="1395">
        <f t="shared" si="15"/>
        <v>0.61417322834645671</v>
      </c>
    </row>
    <row r="34" spans="1:48" s="142" customFormat="1" ht="15.75" customHeight="1">
      <c r="A34" s="149" t="s">
        <v>74</v>
      </c>
      <c r="B34" s="189" t="s">
        <v>618</v>
      </c>
      <c r="C34" s="150" t="s">
        <v>267</v>
      </c>
      <c r="D34" s="1359">
        <v>14018</v>
      </c>
      <c r="E34" s="1360">
        <v>14564</v>
      </c>
      <c r="F34" s="1361">
        <v>15063</v>
      </c>
      <c r="G34" s="1360">
        <v>15157</v>
      </c>
      <c r="H34" s="1361">
        <v>15166</v>
      </c>
      <c r="I34" s="1360">
        <v>15038</v>
      </c>
      <c r="J34" s="1361">
        <v>15564</v>
      </c>
      <c r="K34" s="1360">
        <v>15371</v>
      </c>
      <c r="L34" s="1374">
        <v>15120</v>
      </c>
      <c r="M34" s="1374">
        <v>15789</v>
      </c>
      <c r="N34" s="1374">
        <v>15865</v>
      </c>
      <c r="O34" s="1374">
        <v>16019</v>
      </c>
      <c r="P34" s="1375">
        <v>15702</v>
      </c>
      <c r="Q34" s="1375">
        <v>15792</v>
      </c>
      <c r="R34" s="1376">
        <v>15736</v>
      </c>
      <c r="S34" s="1383">
        <v>2089</v>
      </c>
      <c r="T34" s="1384">
        <v>2234</v>
      </c>
      <c r="U34" s="1384">
        <v>2470</v>
      </c>
      <c r="V34" s="1384">
        <v>2523</v>
      </c>
      <c r="W34" s="1384">
        <v>2586</v>
      </c>
      <c r="X34" s="1384">
        <v>2559</v>
      </c>
      <c r="Y34" s="1384">
        <v>2902</v>
      </c>
      <c r="Z34" s="1384">
        <v>3024</v>
      </c>
      <c r="AA34" s="1384">
        <v>3428</v>
      </c>
      <c r="AB34" s="1384">
        <v>3767</v>
      </c>
      <c r="AC34" s="1384">
        <v>3841</v>
      </c>
      <c r="AD34" s="1384">
        <v>3722</v>
      </c>
      <c r="AE34" s="1384">
        <v>3483</v>
      </c>
      <c r="AF34" s="1384">
        <v>3532</v>
      </c>
      <c r="AG34" s="1385">
        <v>3375</v>
      </c>
      <c r="AH34" s="1393">
        <f t="shared" si="0"/>
        <v>0.14902268511913255</v>
      </c>
      <c r="AI34" s="1394">
        <f t="shared" si="2"/>
        <v>0.15339192529524856</v>
      </c>
      <c r="AJ34" s="1394">
        <f t="shared" si="3"/>
        <v>0.16397795923786762</v>
      </c>
      <c r="AK34" s="1394">
        <f t="shared" si="4"/>
        <v>0.16645774229728838</v>
      </c>
      <c r="AL34" s="1394">
        <f t="shared" si="5"/>
        <v>0.17051298958195965</v>
      </c>
      <c r="AM34" s="1394">
        <f t="shared" si="6"/>
        <v>0.17016890543955313</v>
      </c>
      <c r="AN34" s="1394">
        <f t="shared" si="7"/>
        <v>0.18645592392701105</v>
      </c>
      <c r="AO34" s="1394">
        <f t="shared" si="8"/>
        <v>0.19673410968707306</v>
      </c>
      <c r="AP34" s="1394">
        <f t="shared" si="9"/>
        <v>0.22671957671957671</v>
      </c>
      <c r="AQ34" s="1394">
        <f t="shared" si="10"/>
        <v>0.2385838241813921</v>
      </c>
      <c r="AR34" s="1394">
        <f t="shared" si="11"/>
        <v>0.24210526315789474</v>
      </c>
      <c r="AS34" s="1394">
        <f t="shared" si="12"/>
        <v>0.23234908546101504</v>
      </c>
      <c r="AT34" s="1394">
        <f t="shared" si="13"/>
        <v>0.22181887657623234</v>
      </c>
      <c r="AU34" s="1394">
        <f t="shared" si="14"/>
        <v>0.22365754812563324</v>
      </c>
      <c r="AV34" s="1395">
        <f t="shared" si="15"/>
        <v>0.21447635993899339</v>
      </c>
    </row>
    <row r="35" spans="1:48" s="142" customFormat="1" ht="15.75" customHeight="1">
      <c r="A35" s="149" t="s">
        <v>76</v>
      </c>
      <c r="B35" s="189" t="s">
        <v>77</v>
      </c>
      <c r="C35" s="150" t="s">
        <v>267</v>
      </c>
      <c r="D35" s="1359">
        <v>643</v>
      </c>
      <c r="E35" s="1360">
        <v>642</v>
      </c>
      <c r="F35" s="1361">
        <v>704</v>
      </c>
      <c r="G35" s="1360">
        <v>706</v>
      </c>
      <c r="H35" s="1361">
        <v>729</v>
      </c>
      <c r="I35" s="1360">
        <v>719</v>
      </c>
      <c r="J35" s="1361">
        <v>744</v>
      </c>
      <c r="K35" s="1360">
        <v>815</v>
      </c>
      <c r="L35" s="1374">
        <v>795</v>
      </c>
      <c r="M35" s="1374">
        <v>805</v>
      </c>
      <c r="N35" s="1374">
        <v>842</v>
      </c>
      <c r="O35" s="1374">
        <v>750</v>
      </c>
      <c r="P35" s="1375">
        <v>750</v>
      </c>
      <c r="Q35" s="1375">
        <v>769</v>
      </c>
      <c r="R35" s="1376">
        <v>675</v>
      </c>
      <c r="S35" s="1383">
        <v>165</v>
      </c>
      <c r="T35" s="1384">
        <v>158</v>
      </c>
      <c r="U35" s="1384">
        <v>163</v>
      </c>
      <c r="V35" s="1384">
        <v>163</v>
      </c>
      <c r="W35" s="1384">
        <v>177</v>
      </c>
      <c r="X35" s="1384">
        <v>168</v>
      </c>
      <c r="Y35" s="1384">
        <v>175</v>
      </c>
      <c r="Z35" s="1384">
        <v>204</v>
      </c>
      <c r="AA35" s="1384">
        <v>220</v>
      </c>
      <c r="AB35" s="1384">
        <v>259</v>
      </c>
      <c r="AC35" s="1384">
        <v>269</v>
      </c>
      <c r="AD35" s="1384">
        <v>235</v>
      </c>
      <c r="AE35" s="1384">
        <v>250</v>
      </c>
      <c r="AF35" s="1384">
        <v>242</v>
      </c>
      <c r="AG35" s="1385">
        <v>208</v>
      </c>
      <c r="AH35" s="1393">
        <f t="shared" si="0"/>
        <v>0.25660964230171074</v>
      </c>
      <c r="AI35" s="1394">
        <f t="shared" si="2"/>
        <v>0.24610591900311526</v>
      </c>
      <c r="AJ35" s="1394">
        <f t="shared" si="3"/>
        <v>0.23153409090909091</v>
      </c>
      <c r="AK35" s="1394">
        <f t="shared" si="4"/>
        <v>0.23087818696883852</v>
      </c>
      <c r="AL35" s="1394">
        <f t="shared" si="5"/>
        <v>0.24279835390946503</v>
      </c>
      <c r="AM35" s="1394">
        <f t="shared" si="6"/>
        <v>0.23365785813630041</v>
      </c>
      <c r="AN35" s="1394">
        <f t="shared" si="7"/>
        <v>0.23521505376344087</v>
      </c>
      <c r="AO35" s="1394">
        <f t="shared" si="8"/>
        <v>0.25030674846625767</v>
      </c>
      <c r="AP35" s="1394">
        <f t="shared" si="9"/>
        <v>0.27672955974842767</v>
      </c>
      <c r="AQ35" s="1394">
        <f t="shared" si="10"/>
        <v>0.32173913043478258</v>
      </c>
      <c r="AR35" s="1394">
        <f t="shared" si="11"/>
        <v>0.31947743467933493</v>
      </c>
      <c r="AS35" s="1394">
        <f t="shared" si="12"/>
        <v>0.31333333333333335</v>
      </c>
      <c r="AT35" s="1394">
        <f t="shared" si="13"/>
        <v>0.33333333333333331</v>
      </c>
      <c r="AU35" s="1394">
        <f t="shared" si="14"/>
        <v>0.31469440832249673</v>
      </c>
      <c r="AV35" s="1395">
        <f t="shared" si="15"/>
        <v>0.30814814814814817</v>
      </c>
    </row>
    <row r="36" spans="1:48" s="142" customFormat="1" ht="15.75" customHeight="1">
      <c r="A36" s="149" t="s">
        <v>78</v>
      </c>
      <c r="B36" s="189" t="s">
        <v>79</v>
      </c>
      <c r="C36" s="150" t="s">
        <v>268</v>
      </c>
      <c r="D36" s="1359">
        <v>146</v>
      </c>
      <c r="E36" s="1360">
        <v>152</v>
      </c>
      <c r="F36" s="1361">
        <v>158</v>
      </c>
      <c r="G36" s="1360">
        <v>138</v>
      </c>
      <c r="H36" s="1361">
        <v>158</v>
      </c>
      <c r="I36" s="1360">
        <v>146</v>
      </c>
      <c r="J36" s="1361">
        <v>169</v>
      </c>
      <c r="K36" s="1360">
        <v>159</v>
      </c>
      <c r="L36" s="1374">
        <v>163</v>
      </c>
      <c r="M36" s="1374">
        <v>159</v>
      </c>
      <c r="N36" s="1374">
        <v>164</v>
      </c>
      <c r="O36" s="1374">
        <v>148</v>
      </c>
      <c r="P36" s="1375">
        <v>174</v>
      </c>
      <c r="Q36" s="1375">
        <v>144</v>
      </c>
      <c r="R36" s="1376">
        <v>141</v>
      </c>
      <c r="S36" s="1383">
        <v>37</v>
      </c>
      <c r="T36" s="1384">
        <v>30</v>
      </c>
      <c r="U36" s="1384">
        <v>38</v>
      </c>
      <c r="V36" s="1384">
        <v>24</v>
      </c>
      <c r="W36" s="1384">
        <v>29</v>
      </c>
      <c r="X36" s="1384">
        <v>30</v>
      </c>
      <c r="Y36" s="1384">
        <v>27</v>
      </c>
      <c r="Z36" s="1384">
        <v>45</v>
      </c>
      <c r="AA36" s="1384">
        <v>44</v>
      </c>
      <c r="AB36" s="1384">
        <v>49</v>
      </c>
      <c r="AC36" s="1384">
        <v>54</v>
      </c>
      <c r="AD36" s="1384">
        <v>47</v>
      </c>
      <c r="AE36" s="1384">
        <v>58</v>
      </c>
      <c r="AF36" s="1384">
        <v>39</v>
      </c>
      <c r="AG36" s="1385">
        <v>49</v>
      </c>
      <c r="AH36" s="1393">
        <f t="shared" si="0"/>
        <v>0.25342465753424659</v>
      </c>
      <c r="AI36" s="1394">
        <f t="shared" si="2"/>
        <v>0.19736842105263158</v>
      </c>
      <c r="AJ36" s="1394">
        <f t="shared" si="3"/>
        <v>0.24050632911392406</v>
      </c>
      <c r="AK36" s="1394">
        <f t="shared" si="4"/>
        <v>0.17391304347826086</v>
      </c>
      <c r="AL36" s="1394">
        <f t="shared" si="5"/>
        <v>0.18354430379746836</v>
      </c>
      <c r="AM36" s="1394">
        <f t="shared" si="6"/>
        <v>0.20547945205479451</v>
      </c>
      <c r="AN36" s="1394">
        <f t="shared" si="7"/>
        <v>0.15976331360946747</v>
      </c>
      <c r="AO36" s="1394">
        <f t="shared" si="8"/>
        <v>0.28301886792452829</v>
      </c>
      <c r="AP36" s="1394">
        <f t="shared" si="9"/>
        <v>0.26993865030674846</v>
      </c>
      <c r="AQ36" s="1394">
        <f t="shared" si="10"/>
        <v>0.3081761006289308</v>
      </c>
      <c r="AR36" s="1394">
        <f t="shared" si="11"/>
        <v>0.32926829268292684</v>
      </c>
      <c r="AS36" s="1394">
        <f t="shared" si="12"/>
        <v>0.31756756756756754</v>
      </c>
      <c r="AT36" s="1394">
        <f t="shared" si="13"/>
        <v>0.33333333333333331</v>
      </c>
      <c r="AU36" s="1394">
        <f t="shared" si="14"/>
        <v>0.27083333333333331</v>
      </c>
      <c r="AV36" s="1395">
        <f t="shared" si="15"/>
        <v>0.3475177304964539</v>
      </c>
    </row>
    <row r="37" spans="1:48" s="142" customFormat="1" ht="15.75" customHeight="1">
      <c r="A37" s="149" t="s">
        <v>80</v>
      </c>
      <c r="B37" s="189" t="s">
        <v>81</v>
      </c>
      <c r="C37" s="150" t="s">
        <v>266</v>
      </c>
      <c r="D37" s="1359">
        <v>202</v>
      </c>
      <c r="E37" s="1360">
        <v>219</v>
      </c>
      <c r="F37" s="1361">
        <v>219</v>
      </c>
      <c r="G37" s="1360">
        <v>227</v>
      </c>
      <c r="H37" s="1361">
        <v>301</v>
      </c>
      <c r="I37" s="1360">
        <v>304</v>
      </c>
      <c r="J37" s="1361">
        <v>349</v>
      </c>
      <c r="K37" s="1360">
        <v>355</v>
      </c>
      <c r="L37" s="1374">
        <v>340</v>
      </c>
      <c r="M37" s="1374">
        <v>352</v>
      </c>
      <c r="N37" s="1374">
        <v>323</v>
      </c>
      <c r="O37" s="1374">
        <v>294</v>
      </c>
      <c r="P37" s="1375">
        <v>300</v>
      </c>
      <c r="Q37" s="1375">
        <v>278</v>
      </c>
      <c r="R37" s="1376">
        <v>258</v>
      </c>
      <c r="S37" s="1383">
        <v>39</v>
      </c>
      <c r="T37" s="1384">
        <v>56</v>
      </c>
      <c r="U37" s="1384">
        <v>56</v>
      </c>
      <c r="V37" s="1384">
        <v>54</v>
      </c>
      <c r="W37" s="1384">
        <v>69</v>
      </c>
      <c r="X37" s="1384">
        <v>82</v>
      </c>
      <c r="Y37" s="1384">
        <v>96</v>
      </c>
      <c r="Z37" s="1384">
        <v>92</v>
      </c>
      <c r="AA37" s="1384">
        <v>96</v>
      </c>
      <c r="AB37" s="1384">
        <v>96</v>
      </c>
      <c r="AC37" s="1384">
        <v>89</v>
      </c>
      <c r="AD37" s="1384">
        <v>65</v>
      </c>
      <c r="AE37" s="1384">
        <v>94</v>
      </c>
      <c r="AF37" s="1384">
        <v>82</v>
      </c>
      <c r="AG37" s="1385">
        <v>87</v>
      </c>
      <c r="AH37" s="1393">
        <f t="shared" ref="AH37:AH68" si="16">S37/D37</f>
        <v>0.19306930693069307</v>
      </c>
      <c r="AI37" s="1394">
        <f t="shared" si="2"/>
        <v>0.25570776255707761</v>
      </c>
      <c r="AJ37" s="1394">
        <f t="shared" si="3"/>
        <v>0.25570776255707761</v>
      </c>
      <c r="AK37" s="1394">
        <f t="shared" si="4"/>
        <v>0.23788546255506607</v>
      </c>
      <c r="AL37" s="1394">
        <f t="shared" si="5"/>
        <v>0.2292358803986711</v>
      </c>
      <c r="AM37" s="1394">
        <f t="shared" si="6"/>
        <v>0.26973684210526316</v>
      </c>
      <c r="AN37" s="1394">
        <f t="shared" si="7"/>
        <v>0.27507163323782235</v>
      </c>
      <c r="AO37" s="1394">
        <f t="shared" si="8"/>
        <v>0.25915492957746478</v>
      </c>
      <c r="AP37" s="1394">
        <f t="shared" si="9"/>
        <v>0.28235294117647058</v>
      </c>
      <c r="AQ37" s="1394">
        <f t="shared" si="10"/>
        <v>0.27272727272727271</v>
      </c>
      <c r="AR37" s="1394">
        <f t="shared" si="11"/>
        <v>0.27554179566563469</v>
      </c>
      <c r="AS37" s="1394">
        <f t="shared" si="12"/>
        <v>0.22108843537414966</v>
      </c>
      <c r="AT37" s="1394">
        <f t="shared" si="13"/>
        <v>0.31333333333333335</v>
      </c>
      <c r="AU37" s="1394">
        <f t="shared" si="14"/>
        <v>0.29496402877697842</v>
      </c>
      <c r="AV37" s="1395">
        <f t="shared" si="15"/>
        <v>0.33720930232558138</v>
      </c>
    </row>
    <row r="38" spans="1:48" s="142" customFormat="1" ht="15.75" customHeight="1">
      <c r="A38" s="149" t="s">
        <v>84</v>
      </c>
      <c r="B38" s="189" t="s">
        <v>85</v>
      </c>
      <c r="C38" s="150" t="s">
        <v>265</v>
      </c>
      <c r="D38" s="1359">
        <v>460</v>
      </c>
      <c r="E38" s="1360">
        <v>515</v>
      </c>
      <c r="F38" s="1361">
        <v>534</v>
      </c>
      <c r="G38" s="1360">
        <v>552</v>
      </c>
      <c r="H38" s="1361">
        <v>518</v>
      </c>
      <c r="I38" s="1360">
        <v>511</v>
      </c>
      <c r="J38" s="1361">
        <v>530</v>
      </c>
      <c r="K38" s="1360">
        <v>542</v>
      </c>
      <c r="L38" s="1374">
        <v>574</v>
      </c>
      <c r="M38" s="1374">
        <v>599</v>
      </c>
      <c r="N38" s="1374">
        <v>595</v>
      </c>
      <c r="O38" s="1374">
        <v>593</v>
      </c>
      <c r="P38" s="1375">
        <v>512</v>
      </c>
      <c r="Q38" s="1375">
        <v>523</v>
      </c>
      <c r="R38" s="1376">
        <v>533</v>
      </c>
      <c r="S38" s="1383">
        <v>123</v>
      </c>
      <c r="T38" s="1384">
        <v>150</v>
      </c>
      <c r="U38" s="1384">
        <v>163</v>
      </c>
      <c r="V38" s="1384">
        <v>168</v>
      </c>
      <c r="W38" s="1384">
        <v>151</v>
      </c>
      <c r="X38" s="1384">
        <v>162</v>
      </c>
      <c r="Y38" s="1384">
        <v>165</v>
      </c>
      <c r="Z38" s="1384">
        <v>194</v>
      </c>
      <c r="AA38" s="1384">
        <v>218</v>
      </c>
      <c r="AB38" s="1384">
        <v>219</v>
      </c>
      <c r="AC38" s="1384">
        <v>228</v>
      </c>
      <c r="AD38" s="1384">
        <v>233</v>
      </c>
      <c r="AE38" s="1384">
        <v>191</v>
      </c>
      <c r="AF38" s="1384">
        <v>224</v>
      </c>
      <c r="AG38" s="1385">
        <v>239</v>
      </c>
      <c r="AH38" s="1393">
        <f t="shared" si="16"/>
        <v>0.2673913043478261</v>
      </c>
      <c r="AI38" s="1394">
        <f t="shared" ref="AI38:AI69" si="17">T38/E38</f>
        <v>0.29126213592233008</v>
      </c>
      <c r="AJ38" s="1394">
        <f t="shared" ref="AJ38:AJ69" si="18">U38/F38</f>
        <v>0.30524344569288392</v>
      </c>
      <c r="AK38" s="1394">
        <f t="shared" ref="AK38:AK69" si="19">V38/G38</f>
        <v>0.30434782608695654</v>
      </c>
      <c r="AL38" s="1394">
        <f t="shared" ref="AL38:AL69" si="20">W38/H38</f>
        <v>0.29150579150579148</v>
      </c>
      <c r="AM38" s="1394">
        <f t="shared" ref="AM38:AM69" si="21">X38/I38</f>
        <v>0.31702544031311153</v>
      </c>
      <c r="AN38" s="1394">
        <f t="shared" ref="AN38:AN69" si="22">Y38/J38</f>
        <v>0.31132075471698112</v>
      </c>
      <c r="AO38" s="1394">
        <f t="shared" ref="AO38:AO69" si="23">Z38/K38</f>
        <v>0.35793357933579334</v>
      </c>
      <c r="AP38" s="1394">
        <f t="shared" ref="AP38:AP69" si="24">AA38/L38</f>
        <v>0.37979094076655051</v>
      </c>
      <c r="AQ38" s="1394">
        <f t="shared" ref="AQ38:AQ69" si="25">AB38/M38</f>
        <v>0.36560934891485808</v>
      </c>
      <c r="AR38" s="1394">
        <f t="shared" ref="AR38:AR69" si="26">AC38/N38</f>
        <v>0.3831932773109244</v>
      </c>
      <c r="AS38" s="1394">
        <f t="shared" ref="AS38:AS69" si="27">AD38/O38</f>
        <v>0.39291736930860033</v>
      </c>
      <c r="AT38" s="1394">
        <f t="shared" ref="AT38:AT69" si="28">AE38/P38</f>
        <v>0.373046875</v>
      </c>
      <c r="AU38" s="1394">
        <f t="shared" ref="AU38:AU69" si="29">AF38/Q38</f>
        <v>0.42829827915869984</v>
      </c>
      <c r="AV38" s="1395">
        <f t="shared" ref="AV38:AV69" si="30">AG38/R38</f>
        <v>0.44840525328330205</v>
      </c>
    </row>
    <row r="39" spans="1:48" s="142" customFormat="1" ht="15.75" customHeight="1">
      <c r="A39" s="149" t="s">
        <v>86</v>
      </c>
      <c r="B39" s="189" t="s">
        <v>87</v>
      </c>
      <c r="C39" s="150" t="s">
        <v>267</v>
      </c>
      <c r="D39" s="1359">
        <v>759</v>
      </c>
      <c r="E39" s="1360">
        <v>724</v>
      </c>
      <c r="F39" s="1361">
        <v>837</v>
      </c>
      <c r="G39" s="1360">
        <v>695</v>
      </c>
      <c r="H39" s="1361">
        <v>822</v>
      </c>
      <c r="I39" s="1360">
        <v>858</v>
      </c>
      <c r="J39" s="1361">
        <v>922</v>
      </c>
      <c r="K39" s="1360">
        <v>920</v>
      </c>
      <c r="L39" s="1374">
        <v>964</v>
      </c>
      <c r="M39" s="1374">
        <v>962</v>
      </c>
      <c r="N39" s="1374">
        <v>984</v>
      </c>
      <c r="O39" s="1374">
        <v>918</v>
      </c>
      <c r="P39" s="1375">
        <v>915</v>
      </c>
      <c r="Q39" s="1375">
        <v>887</v>
      </c>
      <c r="R39" s="1376">
        <v>921</v>
      </c>
      <c r="S39" s="1383">
        <v>201</v>
      </c>
      <c r="T39" s="1384">
        <v>186</v>
      </c>
      <c r="U39" s="1384">
        <v>220</v>
      </c>
      <c r="V39" s="1384">
        <v>179</v>
      </c>
      <c r="W39" s="1384">
        <v>228</v>
      </c>
      <c r="X39" s="1384">
        <v>254</v>
      </c>
      <c r="Y39" s="1384">
        <v>257</v>
      </c>
      <c r="Z39" s="1384">
        <v>270</v>
      </c>
      <c r="AA39" s="1384">
        <v>315</v>
      </c>
      <c r="AB39" s="1384">
        <v>324</v>
      </c>
      <c r="AC39" s="1384">
        <v>369</v>
      </c>
      <c r="AD39" s="1384">
        <v>341</v>
      </c>
      <c r="AE39" s="1384">
        <v>335</v>
      </c>
      <c r="AF39" s="1384">
        <v>307</v>
      </c>
      <c r="AG39" s="1385">
        <v>341</v>
      </c>
      <c r="AH39" s="1393">
        <f t="shared" si="16"/>
        <v>0.2648221343873518</v>
      </c>
      <c r="AI39" s="1394">
        <f t="shared" si="17"/>
        <v>0.25690607734806631</v>
      </c>
      <c r="AJ39" s="1394">
        <f t="shared" si="18"/>
        <v>0.26284348864994028</v>
      </c>
      <c r="AK39" s="1394">
        <f t="shared" si="19"/>
        <v>0.25755395683453236</v>
      </c>
      <c r="AL39" s="1394">
        <f t="shared" si="20"/>
        <v>0.27737226277372262</v>
      </c>
      <c r="AM39" s="1394">
        <f t="shared" si="21"/>
        <v>0.29603729603729606</v>
      </c>
      <c r="AN39" s="1394">
        <f t="shared" si="22"/>
        <v>0.27874186550976138</v>
      </c>
      <c r="AO39" s="1394">
        <f t="shared" si="23"/>
        <v>0.29347826086956524</v>
      </c>
      <c r="AP39" s="1394">
        <f t="shared" si="24"/>
        <v>0.32676348547717843</v>
      </c>
      <c r="AQ39" s="1394">
        <f t="shared" si="25"/>
        <v>0.33679833679833682</v>
      </c>
      <c r="AR39" s="1394">
        <f t="shared" si="26"/>
        <v>0.375</v>
      </c>
      <c r="AS39" s="1394">
        <f t="shared" si="27"/>
        <v>0.37145969498910675</v>
      </c>
      <c r="AT39" s="1394">
        <f t="shared" si="28"/>
        <v>0.36612021857923499</v>
      </c>
      <c r="AU39" s="1394">
        <f t="shared" si="29"/>
        <v>0.34611048478015782</v>
      </c>
      <c r="AV39" s="1395">
        <f t="shared" si="30"/>
        <v>0.37024972855591748</v>
      </c>
    </row>
    <row r="40" spans="1:48" s="142" customFormat="1" ht="15.75" customHeight="1">
      <c r="A40" s="149" t="s">
        <v>92</v>
      </c>
      <c r="B40" s="189" t="s">
        <v>93</v>
      </c>
      <c r="C40" s="150" t="s">
        <v>268</v>
      </c>
      <c r="D40" s="1359">
        <v>208</v>
      </c>
      <c r="E40" s="1360">
        <v>203</v>
      </c>
      <c r="F40" s="1361">
        <v>254</v>
      </c>
      <c r="G40" s="1360">
        <v>204</v>
      </c>
      <c r="H40" s="1361">
        <v>212</v>
      </c>
      <c r="I40" s="1360">
        <v>178</v>
      </c>
      <c r="J40" s="1361">
        <v>189</v>
      </c>
      <c r="K40" s="1360">
        <v>161</v>
      </c>
      <c r="L40" s="1374">
        <v>181</v>
      </c>
      <c r="M40" s="1374">
        <v>190</v>
      </c>
      <c r="N40" s="1374">
        <v>164</v>
      </c>
      <c r="O40" s="1374">
        <v>173</v>
      </c>
      <c r="P40" s="1375">
        <v>196</v>
      </c>
      <c r="Q40" s="1375">
        <v>179</v>
      </c>
      <c r="R40" s="1376">
        <v>189</v>
      </c>
      <c r="S40" s="1383">
        <v>50</v>
      </c>
      <c r="T40" s="1384">
        <v>48</v>
      </c>
      <c r="U40" s="1384">
        <v>66</v>
      </c>
      <c r="V40" s="1384">
        <v>53</v>
      </c>
      <c r="W40" s="1384">
        <v>53</v>
      </c>
      <c r="X40" s="1384">
        <v>45</v>
      </c>
      <c r="Y40" s="1384">
        <v>46</v>
      </c>
      <c r="Z40" s="1384">
        <v>41</v>
      </c>
      <c r="AA40" s="1384">
        <v>60</v>
      </c>
      <c r="AB40" s="1384">
        <v>70</v>
      </c>
      <c r="AC40" s="1384">
        <v>70</v>
      </c>
      <c r="AD40" s="1384">
        <v>61</v>
      </c>
      <c r="AE40" s="1384">
        <v>89</v>
      </c>
      <c r="AF40" s="1384">
        <v>74</v>
      </c>
      <c r="AG40" s="1385">
        <v>75</v>
      </c>
      <c r="AH40" s="1393">
        <f t="shared" si="16"/>
        <v>0.24038461538461539</v>
      </c>
      <c r="AI40" s="1394">
        <f t="shared" si="17"/>
        <v>0.23645320197044334</v>
      </c>
      <c r="AJ40" s="1394">
        <f t="shared" si="18"/>
        <v>0.25984251968503935</v>
      </c>
      <c r="AK40" s="1394">
        <f t="shared" si="19"/>
        <v>0.25980392156862747</v>
      </c>
      <c r="AL40" s="1394">
        <f t="shared" si="20"/>
        <v>0.25</v>
      </c>
      <c r="AM40" s="1394">
        <f t="shared" si="21"/>
        <v>0.25280898876404495</v>
      </c>
      <c r="AN40" s="1394">
        <f t="shared" si="22"/>
        <v>0.24338624338624337</v>
      </c>
      <c r="AO40" s="1394">
        <f t="shared" si="23"/>
        <v>0.25465838509316768</v>
      </c>
      <c r="AP40" s="1394">
        <f t="shared" si="24"/>
        <v>0.33149171270718231</v>
      </c>
      <c r="AQ40" s="1394">
        <f t="shared" si="25"/>
        <v>0.36842105263157893</v>
      </c>
      <c r="AR40" s="1394">
        <f t="shared" si="26"/>
        <v>0.42682926829268292</v>
      </c>
      <c r="AS40" s="1394">
        <f t="shared" si="27"/>
        <v>0.35260115606936415</v>
      </c>
      <c r="AT40" s="1394">
        <f t="shared" si="28"/>
        <v>0.45408163265306123</v>
      </c>
      <c r="AU40" s="1394">
        <f t="shared" si="29"/>
        <v>0.41340782122905029</v>
      </c>
      <c r="AV40" s="1395">
        <f t="shared" si="30"/>
        <v>0.3968253968253968</v>
      </c>
    </row>
    <row r="41" spans="1:48" s="142" customFormat="1" ht="15.75" customHeight="1">
      <c r="A41" s="149" t="s">
        <v>94</v>
      </c>
      <c r="B41" s="189" t="s">
        <v>95</v>
      </c>
      <c r="C41" s="150" t="s">
        <v>264</v>
      </c>
      <c r="D41" s="1359">
        <v>386</v>
      </c>
      <c r="E41" s="1360">
        <v>381</v>
      </c>
      <c r="F41" s="1361">
        <v>405</v>
      </c>
      <c r="G41" s="1360">
        <v>399</v>
      </c>
      <c r="H41" s="1361">
        <v>413</v>
      </c>
      <c r="I41" s="1360">
        <v>381</v>
      </c>
      <c r="J41" s="1361">
        <v>417</v>
      </c>
      <c r="K41" s="1360">
        <v>405</v>
      </c>
      <c r="L41" s="1374">
        <v>359</v>
      </c>
      <c r="M41" s="1374">
        <v>393</v>
      </c>
      <c r="N41" s="1374">
        <v>374</v>
      </c>
      <c r="O41" s="1374">
        <v>365</v>
      </c>
      <c r="P41" s="1375">
        <v>359</v>
      </c>
      <c r="Q41" s="1375">
        <v>341</v>
      </c>
      <c r="R41" s="1376">
        <v>355</v>
      </c>
      <c r="S41" s="1383">
        <v>102</v>
      </c>
      <c r="T41" s="1384">
        <v>101</v>
      </c>
      <c r="U41" s="1384">
        <v>113</v>
      </c>
      <c r="V41" s="1384">
        <v>130</v>
      </c>
      <c r="W41" s="1384">
        <v>127</v>
      </c>
      <c r="X41" s="1384">
        <v>108</v>
      </c>
      <c r="Y41" s="1384">
        <v>142</v>
      </c>
      <c r="Z41" s="1384">
        <v>126</v>
      </c>
      <c r="AA41" s="1384">
        <v>114</v>
      </c>
      <c r="AB41" s="1384">
        <v>115</v>
      </c>
      <c r="AC41" s="1384">
        <v>127</v>
      </c>
      <c r="AD41" s="1384">
        <v>133</v>
      </c>
      <c r="AE41" s="1384">
        <v>133</v>
      </c>
      <c r="AF41" s="1384">
        <v>122</v>
      </c>
      <c r="AG41" s="1385">
        <v>152</v>
      </c>
      <c r="AH41" s="1393">
        <f t="shared" si="16"/>
        <v>0.26424870466321243</v>
      </c>
      <c r="AI41" s="1394">
        <f t="shared" si="17"/>
        <v>0.26509186351706038</v>
      </c>
      <c r="AJ41" s="1394">
        <f t="shared" si="18"/>
        <v>0.27901234567901234</v>
      </c>
      <c r="AK41" s="1394">
        <f t="shared" si="19"/>
        <v>0.32581453634085211</v>
      </c>
      <c r="AL41" s="1394">
        <f t="shared" si="20"/>
        <v>0.30750605326876512</v>
      </c>
      <c r="AM41" s="1394">
        <f t="shared" si="21"/>
        <v>0.28346456692913385</v>
      </c>
      <c r="AN41" s="1394">
        <f t="shared" si="22"/>
        <v>0.34052757793764987</v>
      </c>
      <c r="AO41" s="1394">
        <f t="shared" si="23"/>
        <v>0.31111111111111112</v>
      </c>
      <c r="AP41" s="1394">
        <f t="shared" si="24"/>
        <v>0.31754874651810583</v>
      </c>
      <c r="AQ41" s="1394">
        <f t="shared" si="25"/>
        <v>0.29262086513994912</v>
      </c>
      <c r="AR41" s="1394">
        <f t="shared" si="26"/>
        <v>0.33957219251336901</v>
      </c>
      <c r="AS41" s="1394">
        <f t="shared" si="27"/>
        <v>0.36438356164383562</v>
      </c>
      <c r="AT41" s="1394">
        <f t="shared" si="28"/>
        <v>0.37047353760445684</v>
      </c>
      <c r="AU41" s="1394">
        <f t="shared" si="29"/>
        <v>0.35777126099706746</v>
      </c>
      <c r="AV41" s="1395">
        <f t="shared" si="30"/>
        <v>0.42816901408450703</v>
      </c>
    </row>
    <row r="42" spans="1:48" s="142" customFormat="1" ht="15.75" customHeight="1">
      <c r="A42" s="149" t="s">
        <v>96</v>
      </c>
      <c r="B42" s="189" t="s">
        <v>97</v>
      </c>
      <c r="C42" s="150" t="s">
        <v>266</v>
      </c>
      <c r="D42" s="1359">
        <v>185</v>
      </c>
      <c r="E42" s="1360">
        <v>167</v>
      </c>
      <c r="F42" s="1361">
        <v>203</v>
      </c>
      <c r="G42" s="1360">
        <v>200</v>
      </c>
      <c r="H42" s="1361">
        <v>190</v>
      </c>
      <c r="I42" s="1360">
        <v>174</v>
      </c>
      <c r="J42" s="1361">
        <v>181</v>
      </c>
      <c r="K42" s="1360">
        <v>198</v>
      </c>
      <c r="L42" s="1374">
        <v>213</v>
      </c>
      <c r="M42" s="1374">
        <v>194</v>
      </c>
      <c r="N42" s="1374">
        <v>209</v>
      </c>
      <c r="O42" s="1374">
        <v>179</v>
      </c>
      <c r="P42" s="1375">
        <v>173</v>
      </c>
      <c r="Q42" s="1375">
        <v>151</v>
      </c>
      <c r="R42" s="1376">
        <v>165</v>
      </c>
      <c r="S42" s="1383">
        <v>43</v>
      </c>
      <c r="T42" s="1384">
        <v>27</v>
      </c>
      <c r="U42" s="1384">
        <v>38</v>
      </c>
      <c r="V42" s="1384">
        <v>37</v>
      </c>
      <c r="W42" s="1384">
        <v>34</v>
      </c>
      <c r="X42" s="1384">
        <v>25</v>
      </c>
      <c r="Y42" s="1384">
        <v>37</v>
      </c>
      <c r="Z42" s="1384">
        <v>35</v>
      </c>
      <c r="AA42" s="1384">
        <v>47</v>
      </c>
      <c r="AB42" s="1384">
        <v>37</v>
      </c>
      <c r="AC42" s="1384">
        <v>47</v>
      </c>
      <c r="AD42" s="1384">
        <v>37</v>
      </c>
      <c r="AE42" s="1384">
        <v>43</v>
      </c>
      <c r="AF42" s="1384">
        <v>36</v>
      </c>
      <c r="AG42" s="1385">
        <v>36</v>
      </c>
      <c r="AH42" s="1393">
        <f t="shared" si="16"/>
        <v>0.23243243243243245</v>
      </c>
      <c r="AI42" s="1394">
        <f t="shared" si="17"/>
        <v>0.16167664670658682</v>
      </c>
      <c r="AJ42" s="1394">
        <f t="shared" si="18"/>
        <v>0.18719211822660098</v>
      </c>
      <c r="AK42" s="1394">
        <f t="shared" si="19"/>
        <v>0.185</v>
      </c>
      <c r="AL42" s="1394">
        <f t="shared" si="20"/>
        <v>0.17894736842105263</v>
      </c>
      <c r="AM42" s="1394">
        <f t="shared" si="21"/>
        <v>0.14367816091954022</v>
      </c>
      <c r="AN42" s="1394">
        <f t="shared" si="22"/>
        <v>0.20441988950276244</v>
      </c>
      <c r="AO42" s="1394">
        <f t="shared" si="23"/>
        <v>0.17676767676767677</v>
      </c>
      <c r="AP42" s="1394">
        <f t="shared" si="24"/>
        <v>0.22065727699530516</v>
      </c>
      <c r="AQ42" s="1394">
        <f t="shared" si="25"/>
        <v>0.19072164948453607</v>
      </c>
      <c r="AR42" s="1394">
        <f t="shared" si="26"/>
        <v>0.22488038277511962</v>
      </c>
      <c r="AS42" s="1394">
        <f t="shared" si="27"/>
        <v>0.20670391061452514</v>
      </c>
      <c r="AT42" s="1394">
        <f t="shared" si="28"/>
        <v>0.24855491329479767</v>
      </c>
      <c r="AU42" s="1394">
        <f t="shared" si="29"/>
        <v>0.23841059602649006</v>
      </c>
      <c r="AV42" s="1395">
        <f t="shared" si="30"/>
        <v>0.21818181818181817</v>
      </c>
    </row>
    <row r="43" spans="1:48" s="142" customFormat="1" ht="15.75" customHeight="1">
      <c r="A43" s="149" t="s">
        <v>98</v>
      </c>
      <c r="B43" s="189" t="s">
        <v>99</v>
      </c>
      <c r="C43" s="150" t="s">
        <v>268</v>
      </c>
      <c r="D43" s="1359">
        <v>151</v>
      </c>
      <c r="E43" s="1360">
        <v>184</v>
      </c>
      <c r="F43" s="1361">
        <v>172</v>
      </c>
      <c r="G43" s="1360">
        <v>154</v>
      </c>
      <c r="H43" s="1361">
        <v>170</v>
      </c>
      <c r="I43" s="1360">
        <v>152</v>
      </c>
      <c r="J43" s="1361">
        <v>130</v>
      </c>
      <c r="K43" s="1360">
        <v>146</v>
      </c>
      <c r="L43" s="1374">
        <v>161</v>
      </c>
      <c r="M43" s="1374">
        <v>157</v>
      </c>
      <c r="N43" s="1374">
        <v>156</v>
      </c>
      <c r="O43" s="1374">
        <v>122</v>
      </c>
      <c r="P43" s="1375">
        <v>139</v>
      </c>
      <c r="Q43" s="1375">
        <v>117</v>
      </c>
      <c r="R43" s="1376">
        <v>142</v>
      </c>
      <c r="S43" s="1383">
        <v>42</v>
      </c>
      <c r="T43" s="1384">
        <v>47</v>
      </c>
      <c r="U43" s="1384">
        <v>38</v>
      </c>
      <c r="V43" s="1384">
        <v>35</v>
      </c>
      <c r="W43" s="1384">
        <v>44</v>
      </c>
      <c r="X43" s="1384">
        <v>43</v>
      </c>
      <c r="Y43" s="1384">
        <v>39</v>
      </c>
      <c r="Z43" s="1384">
        <v>45</v>
      </c>
      <c r="AA43" s="1384">
        <v>60</v>
      </c>
      <c r="AB43" s="1384">
        <v>55</v>
      </c>
      <c r="AC43" s="1384">
        <v>55</v>
      </c>
      <c r="AD43" s="1384">
        <v>48</v>
      </c>
      <c r="AE43" s="1384">
        <v>50</v>
      </c>
      <c r="AF43" s="1384">
        <v>53</v>
      </c>
      <c r="AG43" s="1385">
        <v>58</v>
      </c>
      <c r="AH43" s="1393">
        <f t="shared" si="16"/>
        <v>0.27814569536423839</v>
      </c>
      <c r="AI43" s="1394">
        <f t="shared" si="17"/>
        <v>0.25543478260869568</v>
      </c>
      <c r="AJ43" s="1394">
        <f t="shared" si="18"/>
        <v>0.22093023255813954</v>
      </c>
      <c r="AK43" s="1394">
        <f t="shared" si="19"/>
        <v>0.22727272727272727</v>
      </c>
      <c r="AL43" s="1394">
        <f t="shared" si="20"/>
        <v>0.25882352941176473</v>
      </c>
      <c r="AM43" s="1394">
        <f t="shared" si="21"/>
        <v>0.28289473684210525</v>
      </c>
      <c r="AN43" s="1394">
        <f t="shared" si="22"/>
        <v>0.3</v>
      </c>
      <c r="AO43" s="1394">
        <f t="shared" si="23"/>
        <v>0.30821917808219179</v>
      </c>
      <c r="AP43" s="1394">
        <f t="shared" si="24"/>
        <v>0.37267080745341613</v>
      </c>
      <c r="AQ43" s="1394">
        <f t="shared" si="25"/>
        <v>0.3503184713375796</v>
      </c>
      <c r="AR43" s="1394">
        <f t="shared" si="26"/>
        <v>0.35256410256410259</v>
      </c>
      <c r="AS43" s="1394">
        <f t="shared" si="27"/>
        <v>0.39344262295081966</v>
      </c>
      <c r="AT43" s="1394">
        <f t="shared" si="28"/>
        <v>0.35971223021582732</v>
      </c>
      <c r="AU43" s="1394">
        <f t="shared" si="29"/>
        <v>0.45299145299145299</v>
      </c>
      <c r="AV43" s="1395">
        <f t="shared" si="30"/>
        <v>0.40845070422535212</v>
      </c>
    </row>
    <row r="44" spans="1:48" s="142" customFormat="1" ht="15.75" customHeight="1">
      <c r="A44" s="149" t="s">
        <v>100</v>
      </c>
      <c r="B44" s="189" t="s">
        <v>101</v>
      </c>
      <c r="C44" s="150" t="s">
        <v>267</v>
      </c>
      <c r="D44" s="1359">
        <v>209</v>
      </c>
      <c r="E44" s="1360">
        <v>243</v>
      </c>
      <c r="F44" s="1361">
        <v>225</v>
      </c>
      <c r="G44" s="1360">
        <v>246</v>
      </c>
      <c r="H44" s="1361">
        <v>245</v>
      </c>
      <c r="I44" s="1360">
        <v>252</v>
      </c>
      <c r="J44" s="1361">
        <v>263</v>
      </c>
      <c r="K44" s="1360">
        <v>270</v>
      </c>
      <c r="L44" s="1374">
        <v>279</v>
      </c>
      <c r="M44" s="1374">
        <v>276</v>
      </c>
      <c r="N44" s="1374">
        <v>245</v>
      </c>
      <c r="O44" s="1374">
        <v>254</v>
      </c>
      <c r="P44" s="1375">
        <v>226</v>
      </c>
      <c r="Q44" s="1375">
        <v>227</v>
      </c>
      <c r="R44" s="1376">
        <v>236</v>
      </c>
      <c r="S44" s="1383">
        <v>66</v>
      </c>
      <c r="T44" s="1384">
        <v>62</v>
      </c>
      <c r="U44" s="1384">
        <v>62</v>
      </c>
      <c r="V44" s="1384">
        <v>70</v>
      </c>
      <c r="W44" s="1384">
        <v>73</v>
      </c>
      <c r="X44" s="1384">
        <v>79</v>
      </c>
      <c r="Y44" s="1384">
        <v>76</v>
      </c>
      <c r="Z44" s="1384">
        <v>86</v>
      </c>
      <c r="AA44" s="1384">
        <v>92</v>
      </c>
      <c r="AB44" s="1384">
        <v>76</v>
      </c>
      <c r="AC44" s="1384">
        <v>86</v>
      </c>
      <c r="AD44" s="1384">
        <v>90</v>
      </c>
      <c r="AE44" s="1384">
        <v>64</v>
      </c>
      <c r="AF44" s="1384">
        <v>81</v>
      </c>
      <c r="AG44" s="1385">
        <v>87</v>
      </c>
      <c r="AH44" s="1393">
        <f t="shared" si="16"/>
        <v>0.31578947368421051</v>
      </c>
      <c r="AI44" s="1394">
        <f t="shared" si="17"/>
        <v>0.2551440329218107</v>
      </c>
      <c r="AJ44" s="1394">
        <f t="shared" si="18"/>
        <v>0.27555555555555555</v>
      </c>
      <c r="AK44" s="1394">
        <f t="shared" si="19"/>
        <v>0.28455284552845528</v>
      </c>
      <c r="AL44" s="1394">
        <f t="shared" si="20"/>
        <v>0.29795918367346941</v>
      </c>
      <c r="AM44" s="1394">
        <f t="shared" si="21"/>
        <v>0.31349206349206349</v>
      </c>
      <c r="AN44" s="1394">
        <f t="shared" si="22"/>
        <v>0.28897338403041822</v>
      </c>
      <c r="AO44" s="1394">
        <f t="shared" si="23"/>
        <v>0.31851851851851853</v>
      </c>
      <c r="AP44" s="1394">
        <f t="shared" si="24"/>
        <v>0.32974910394265233</v>
      </c>
      <c r="AQ44" s="1394">
        <f t="shared" si="25"/>
        <v>0.27536231884057971</v>
      </c>
      <c r="AR44" s="1394">
        <f t="shared" si="26"/>
        <v>0.3510204081632653</v>
      </c>
      <c r="AS44" s="1394">
        <f t="shared" si="27"/>
        <v>0.3543307086614173</v>
      </c>
      <c r="AT44" s="1394">
        <f t="shared" si="28"/>
        <v>0.2831858407079646</v>
      </c>
      <c r="AU44" s="1394">
        <f t="shared" si="29"/>
        <v>0.35682819383259912</v>
      </c>
      <c r="AV44" s="1395">
        <f t="shared" si="30"/>
        <v>0.36864406779661019</v>
      </c>
    </row>
    <row r="45" spans="1:48" s="142" customFormat="1" ht="15.75" customHeight="1">
      <c r="A45" s="149" t="s">
        <v>102</v>
      </c>
      <c r="B45" s="189" t="s">
        <v>282</v>
      </c>
      <c r="C45" s="150" t="s">
        <v>264</v>
      </c>
      <c r="D45" s="1359">
        <v>168</v>
      </c>
      <c r="E45" s="1360">
        <v>172</v>
      </c>
      <c r="F45" s="1361">
        <v>191</v>
      </c>
      <c r="G45" s="1360">
        <v>193</v>
      </c>
      <c r="H45" s="1361">
        <v>204</v>
      </c>
      <c r="I45" s="1360">
        <v>188</v>
      </c>
      <c r="J45" s="1361">
        <v>187</v>
      </c>
      <c r="K45" s="1360">
        <v>193</v>
      </c>
      <c r="L45" s="1374">
        <v>208</v>
      </c>
      <c r="M45" s="1374">
        <v>200</v>
      </c>
      <c r="N45" s="1374">
        <v>215</v>
      </c>
      <c r="O45" s="1374">
        <v>165</v>
      </c>
      <c r="P45" s="1375">
        <v>179</v>
      </c>
      <c r="Q45" s="1375">
        <v>180</v>
      </c>
      <c r="R45" s="1376">
        <v>162</v>
      </c>
      <c r="S45" s="1383">
        <v>92</v>
      </c>
      <c r="T45" s="1384">
        <v>100</v>
      </c>
      <c r="U45" s="1384">
        <v>110</v>
      </c>
      <c r="V45" s="1384">
        <v>117</v>
      </c>
      <c r="W45" s="1384">
        <v>124</v>
      </c>
      <c r="X45" s="1384">
        <v>101</v>
      </c>
      <c r="Y45" s="1384">
        <v>111</v>
      </c>
      <c r="Z45" s="1384">
        <v>125</v>
      </c>
      <c r="AA45" s="1384">
        <v>134</v>
      </c>
      <c r="AB45" s="1384">
        <v>135</v>
      </c>
      <c r="AC45" s="1384">
        <v>154</v>
      </c>
      <c r="AD45" s="1384">
        <v>114</v>
      </c>
      <c r="AE45" s="1384">
        <v>121</v>
      </c>
      <c r="AF45" s="1384">
        <v>130</v>
      </c>
      <c r="AG45" s="1385">
        <v>116</v>
      </c>
      <c r="AH45" s="1393">
        <f t="shared" si="16"/>
        <v>0.54761904761904767</v>
      </c>
      <c r="AI45" s="1394">
        <f t="shared" si="17"/>
        <v>0.58139534883720934</v>
      </c>
      <c r="AJ45" s="1394">
        <f t="shared" si="18"/>
        <v>0.5759162303664922</v>
      </c>
      <c r="AK45" s="1394">
        <f t="shared" si="19"/>
        <v>0.60621761658031093</v>
      </c>
      <c r="AL45" s="1394">
        <f t="shared" si="20"/>
        <v>0.60784313725490191</v>
      </c>
      <c r="AM45" s="1394">
        <f t="shared" si="21"/>
        <v>0.53723404255319152</v>
      </c>
      <c r="AN45" s="1394">
        <f t="shared" si="22"/>
        <v>0.5935828877005348</v>
      </c>
      <c r="AO45" s="1394">
        <f t="shared" si="23"/>
        <v>0.64766839378238339</v>
      </c>
      <c r="AP45" s="1394">
        <f t="shared" si="24"/>
        <v>0.64423076923076927</v>
      </c>
      <c r="AQ45" s="1394">
        <f t="shared" si="25"/>
        <v>0.67500000000000004</v>
      </c>
      <c r="AR45" s="1394">
        <f t="shared" si="26"/>
        <v>0.71627906976744182</v>
      </c>
      <c r="AS45" s="1394">
        <f t="shared" si="27"/>
        <v>0.69090909090909092</v>
      </c>
      <c r="AT45" s="1394">
        <f t="shared" si="28"/>
        <v>0.67597765363128492</v>
      </c>
      <c r="AU45" s="1394">
        <f t="shared" si="29"/>
        <v>0.72222222222222221</v>
      </c>
      <c r="AV45" s="1395">
        <f t="shared" si="30"/>
        <v>0.71604938271604934</v>
      </c>
    </row>
    <row r="46" spans="1:48" s="142" customFormat="1" ht="15.75" customHeight="1">
      <c r="A46" s="149" t="s">
        <v>104</v>
      </c>
      <c r="B46" s="189" t="s">
        <v>105</v>
      </c>
      <c r="C46" s="150" t="s">
        <v>265</v>
      </c>
      <c r="D46" s="1359">
        <v>440</v>
      </c>
      <c r="E46" s="1360">
        <v>445</v>
      </c>
      <c r="F46" s="1361">
        <v>473</v>
      </c>
      <c r="G46" s="1360">
        <v>422</v>
      </c>
      <c r="H46" s="1361">
        <v>421</v>
      </c>
      <c r="I46" s="1360">
        <v>439</v>
      </c>
      <c r="J46" s="1361">
        <v>394</v>
      </c>
      <c r="K46" s="1360">
        <v>401</v>
      </c>
      <c r="L46" s="1374">
        <v>399</v>
      </c>
      <c r="M46" s="1374">
        <v>419</v>
      </c>
      <c r="N46" s="1374">
        <v>387</v>
      </c>
      <c r="O46" s="1374">
        <v>388</v>
      </c>
      <c r="P46" s="1375">
        <v>365</v>
      </c>
      <c r="Q46" s="1375">
        <v>316</v>
      </c>
      <c r="R46" s="1376">
        <v>341</v>
      </c>
      <c r="S46" s="1383">
        <v>187</v>
      </c>
      <c r="T46" s="1384">
        <v>203</v>
      </c>
      <c r="U46" s="1384">
        <v>204</v>
      </c>
      <c r="V46" s="1384">
        <v>179</v>
      </c>
      <c r="W46" s="1384">
        <v>183</v>
      </c>
      <c r="X46" s="1384">
        <v>185</v>
      </c>
      <c r="Y46" s="1384">
        <v>196</v>
      </c>
      <c r="Z46" s="1384">
        <v>177</v>
      </c>
      <c r="AA46" s="1384">
        <v>186</v>
      </c>
      <c r="AB46" s="1384">
        <v>217</v>
      </c>
      <c r="AC46" s="1384">
        <v>194</v>
      </c>
      <c r="AD46" s="1384">
        <v>188</v>
      </c>
      <c r="AE46" s="1384">
        <v>185</v>
      </c>
      <c r="AF46" s="1384">
        <v>157</v>
      </c>
      <c r="AG46" s="1385">
        <v>173</v>
      </c>
      <c r="AH46" s="1393">
        <f t="shared" si="16"/>
        <v>0.42499999999999999</v>
      </c>
      <c r="AI46" s="1394">
        <f t="shared" si="17"/>
        <v>0.45617977528089887</v>
      </c>
      <c r="AJ46" s="1394">
        <f t="shared" si="18"/>
        <v>0.43128964059196617</v>
      </c>
      <c r="AK46" s="1394">
        <f t="shared" si="19"/>
        <v>0.42417061611374407</v>
      </c>
      <c r="AL46" s="1394">
        <f t="shared" si="20"/>
        <v>0.43467933491686461</v>
      </c>
      <c r="AM46" s="1394">
        <f t="shared" si="21"/>
        <v>0.42141230068337132</v>
      </c>
      <c r="AN46" s="1394">
        <f t="shared" si="22"/>
        <v>0.49746192893401014</v>
      </c>
      <c r="AO46" s="1394">
        <f t="shared" si="23"/>
        <v>0.44139650872817954</v>
      </c>
      <c r="AP46" s="1394">
        <f t="shared" si="24"/>
        <v>0.46616541353383456</v>
      </c>
      <c r="AQ46" s="1394">
        <f t="shared" si="25"/>
        <v>0.5178997613365155</v>
      </c>
      <c r="AR46" s="1394">
        <f t="shared" si="26"/>
        <v>0.50129198966408273</v>
      </c>
      <c r="AS46" s="1394">
        <f t="shared" si="27"/>
        <v>0.4845360824742268</v>
      </c>
      <c r="AT46" s="1394">
        <f t="shared" si="28"/>
        <v>0.50684931506849318</v>
      </c>
      <c r="AU46" s="1394">
        <f t="shared" si="29"/>
        <v>0.49683544303797467</v>
      </c>
      <c r="AV46" s="1395">
        <f t="shared" si="30"/>
        <v>0.50733137829912023</v>
      </c>
    </row>
    <row r="47" spans="1:48" s="142" customFormat="1" ht="15.75" customHeight="1">
      <c r="A47" s="149" t="s">
        <v>108</v>
      </c>
      <c r="B47" s="189" t="s">
        <v>109</v>
      </c>
      <c r="C47" s="150" t="s">
        <v>266</v>
      </c>
      <c r="D47" s="1359">
        <v>1004</v>
      </c>
      <c r="E47" s="1360">
        <v>1123</v>
      </c>
      <c r="F47" s="1361">
        <v>1060</v>
      </c>
      <c r="G47" s="1360">
        <v>1091</v>
      </c>
      <c r="H47" s="1361">
        <v>1069</v>
      </c>
      <c r="I47" s="1360">
        <v>1063</v>
      </c>
      <c r="J47" s="1361">
        <v>1131</v>
      </c>
      <c r="K47" s="1360">
        <v>1049</v>
      </c>
      <c r="L47" s="1374">
        <v>1100</v>
      </c>
      <c r="M47" s="1374">
        <v>1004</v>
      </c>
      <c r="N47" s="1374">
        <v>1032</v>
      </c>
      <c r="O47" s="1374">
        <v>970</v>
      </c>
      <c r="P47" s="1375">
        <v>918</v>
      </c>
      <c r="Q47" s="1375">
        <v>877</v>
      </c>
      <c r="R47" s="1376">
        <v>861</v>
      </c>
      <c r="S47" s="1383">
        <v>155</v>
      </c>
      <c r="T47" s="1384">
        <v>161</v>
      </c>
      <c r="U47" s="1384">
        <v>166</v>
      </c>
      <c r="V47" s="1384">
        <v>164</v>
      </c>
      <c r="W47" s="1384">
        <v>179</v>
      </c>
      <c r="X47" s="1384">
        <v>172</v>
      </c>
      <c r="Y47" s="1384">
        <v>191</v>
      </c>
      <c r="Z47" s="1384">
        <v>207</v>
      </c>
      <c r="AA47" s="1384">
        <v>222</v>
      </c>
      <c r="AB47" s="1384">
        <v>227</v>
      </c>
      <c r="AC47" s="1384">
        <v>248</v>
      </c>
      <c r="AD47" s="1384">
        <v>270</v>
      </c>
      <c r="AE47" s="1384">
        <v>262</v>
      </c>
      <c r="AF47" s="1384">
        <v>237</v>
      </c>
      <c r="AG47" s="1385">
        <v>228</v>
      </c>
      <c r="AH47" s="1393">
        <f t="shared" si="16"/>
        <v>0.15438247011952191</v>
      </c>
      <c r="AI47" s="1394">
        <f t="shared" si="17"/>
        <v>0.14336598397150491</v>
      </c>
      <c r="AJ47" s="1394">
        <f t="shared" si="18"/>
        <v>0.15660377358490565</v>
      </c>
      <c r="AK47" s="1394">
        <f t="shared" si="19"/>
        <v>0.15032080659945005</v>
      </c>
      <c r="AL47" s="1394">
        <f t="shared" si="20"/>
        <v>0.16744621141253507</v>
      </c>
      <c r="AM47" s="1394">
        <f t="shared" si="21"/>
        <v>0.16180620884289745</v>
      </c>
      <c r="AN47" s="1394">
        <f t="shared" si="22"/>
        <v>0.16887709991158267</v>
      </c>
      <c r="AO47" s="1394">
        <f t="shared" si="23"/>
        <v>0.19733079122974262</v>
      </c>
      <c r="AP47" s="1394">
        <f t="shared" si="24"/>
        <v>0.20181818181818181</v>
      </c>
      <c r="AQ47" s="1394">
        <f t="shared" si="25"/>
        <v>0.22609561752988047</v>
      </c>
      <c r="AR47" s="1394">
        <f t="shared" si="26"/>
        <v>0.24031007751937986</v>
      </c>
      <c r="AS47" s="1394">
        <f t="shared" si="27"/>
        <v>0.27835051546391754</v>
      </c>
      <c r="AT47" s="1394">
        <f t="shared" si="28"/>
        <v>0.28540305010893247</v>
      </c>
      <c r="AU47" s="1394">
        <f t="shared" si="29"/>
        <v>0.27023945267958949</v>
      </c>
      <c r="AV47" s="1395">
        <f t="shared" si="30"/>
        <v>0.26480836236933797</v>
      </c>
    </row>
    <row r="48" spans="1:48" s="142" customFormat="1" ht="15.75" customHeight="1">
      <c r="A48" s="149" t="s">
        <v>110</v>
      </c>
      <c r="B48" s="189" t="s">
        <v>111</v>
      </c>
      <c r="C48" s="150" t="s">
        <v>266</v>
      </c>
      <c r="D48" s="1359">
        <v>3545</v>
      </c>
      <c r="E48" s="1360">
        <v>3634</v>
      </c>
      <c r="F48" s="1361">
        <v>3700</v>
      </c>
      <c r="G48" s="1360">
        <v>3574</v>
      </c>
      <c r="H48" s="1361">
        <v>3703</v>
      </c>
      <c r="I48" s="1360">
        <v>3728</v>
      </c>
      <c r="J48" s="1361">
        <v>3951</v>
      </c>
      <c r="K48" s="1360">
        <v>4098</v>
      </c>
      <c r="L48" s="1374">
        <v>4136</v>
      </c>
      <c r="M48" s="1374">
        <v>4098</v>
      </c>
      <c r="N48" s="1374">
        <v>3991</v>
      </c>
      <c r="O48" s="1374">
        <v>4086</v>
      </c>
      <c r="P48" s="1375">
        <v>3890</v>
      </c>
      <c r="Q48" s="1375">
        <v>3939</v>
      </c>
      <c r="R48" s="1376">
        <v>3969</v>
      </c>
      <c r="S48" s="1383">
        <v>1027</v>
      </c>
      <c r="T48" s="1384">
        <v>953</v>
      </c>
      <c r="U48" s="1384">
        <v>1023</v>
      </c>
      <c r="V48" s="1384">
        <v>956</v>
      </c>
      <c r="W48" s="1384">
        <v>1035</v>
      </c>
      <c r="X48" s="1384">
        <v>1120</v>
      </c>
      <c r="Y48" s="1384">
        <v>1194</v>
      </c>
      <c r="Z48" s="1384">
        <v>1321</v>
      </c>
      <c r="AA48" s="1384">
        <v>1374</v>
      </c>
      <c r="AB48" s="1384">
        <v>1378</v>
      </c>
      <c r="AC48" s="1384">
        <v>1482</v>
      </c>
      <c r="AD48" s="1384">
        <v>1456</v>
      </c>
      <c r="AE48" s="1384">
        <v>1358</v>
      </c>
      <c r="AF48" s="1384">
        <v>1354</v>
      </c>
      <c r="AG48" s="1385">
        <v>1389</v>
      </c>
      <c r="AH48" s="1393">
        <f t="shared" si="16"/>
        <v>0.28970380818053598</v>
      </c>
      <c r="AI48" s="1394">
        <f t="shared" si="17"/>
        <v>0.26224545954870665</v>
      </c>
      <c r="AJ48" s="1394">
        <f t="shared" si="18"/>
        <v>0.27648648648648649</v>
      </c>
      <c r="AK48" s="1394">
        <f t="shared" si="19"/>
        <v>0.26748740906547286</v>
      </c>
      <c r="AL48" s="1394">
        <f t="shared" si="20"/>
        <v>0.27950310559006208</v>
      </c>
      <c r="AM48" s="1394">
        <f t="shared" si="21"/>
        <v>0.30042918454935624</v>
      </c>
      <c r="AN48" s="1394">
        <f t="shared" si="22"/>
        <v>0.30220197418375094</v>
      </c>
      <c r="AO48" s="1394">
        <f t="shared" si="23"/>
        <v>0.32235236700829673</v>
      </c>
      <c r="AP48" s="1394">
        <f t="shared" si="24"/>
        <v>0.33220502901353965</v>
      </c>
      <c r="AQ48" s="1394">
        <f t="shared" si="25"/>
        <v>0.33626159102000974</v>
      </c>
      <c r="AR48" s="1394">
        <f t="shared" si="26"/>
        <v>0.37133550488599348</v>
      </c>
      <c r="AS48" s="1394">
        <f t="shared" si="27"/>
        <v>0.35633871757219776</v>
      </c>
      <c r="AT48" s="1394">
        <f t="shared" si="28"/>
        <v>0.34910025706940873</v>
      </c>
      <c r="AU48" s="1394">
        <f t="shared" si="29"/>
        <v>0.34374206651434375</v>
      </c>
      <c r="AV48" s="1395">
        <f t="shared" si="30"/>
        <v>0.34996220710506426</v>
      </c>
    </row>
    <row r="49" spans="1:48" s="142" customFormat="1" ht="15.75" customHeight="1">
      <c r="A49" s="149" t="s">
        <v>112</v>
      </c>
      <c r="B49" s="189" t="s">
        <v>300</v>
      </c>
      <c r="C49" s="150" t="s">
        <v>265</v>
      </c>
      <c r="D49" s="1359">
        <v>784</v>
      </c>
      <c r="E49" s="1360">
        <v>827</v>
      </c>
      <c r="F49" s="1361">
        <v>871</v>
      </c>
      <c r="G49" s="1360">
        <v>816</v>
      </c>
      <c r="H49" s="1361">
        <v>791</v>
      </c>
      <c r="I49" s="1360">
        <v>759</v>
      </c>
      <c r="J49" s="1361">
        <v>760</v>
      </c>
      <c r="K49" s="1360">
        <v>777</v>
      </c>
      <c r="L49" s="1374">
        <v>842</v>
      </c>
      <c r="M49" s="1374">
        <v>840</v>
      </c>
      <c r="N49" s="1374">
        <v>816</v>
      </c>
      <c r="O49" s="1374">
        <v>762</v>
      </c>
      <c r="P49" s="1375">
        <v>732</v>
      </c>
      <c r="Q49" s="1375">
        <v>750</v>
      </c>
      <c r="R49" s="1376">
        <v>683</v>
      </c>
      <c r="S49" s="1383">
        <v>315</v>
      </c>
      <c r="T49" s="1384">
        <v>340</v>
      </c>
      <c r="U49" s="1384">
        <v>356</v>
      </c>
      <c r="V49" s="1384">
        <v>346</v>
      </c>
      <c r="W49" s="1384">
        <v>349</v>
      </c>
      <c r="X49" s="1384">
        <v>369</v>
      </c>
      <c r="Y49" s="1384">
        <v>400</v>
      </c>
      <c r="Z49" s="1384">
        <v>408</v>
      </c>
      <c r="AA49" s="1384">
        <v>460</v>
      </c>
      <c r="AB49" s="1384">
        <v>456</v>
      </c>
      <c r="AC49" s="1384">
        <v>439</v>
      </c>
      <c r="AD49" s="1384">
        <v>433</v>
      </c>
      <c r="AE49" s="1384">
        <v>423</v>
      </c>
      <c r="AF49" s="1384">
        <v>429</v>
      </c>
      <c r="AG49" s="1385">
        <v>374</v>
      </c>
      <c r="AH49" s="1393">
        <f t="shared" si="16"/>
        <v>0.4017857142857143</v>
      </c>
      <c r="AI49" s="1394">
        <f t="shared" si="17"/>
        <v>0.41112454655380892</v>
      </c>
      <c r="AJ49" s="1394">
        <f t="shared" si="18"/>
        <v>0.4087256027554535</v>
      </c>
      <c r="AK49" s="1394">
        <f t="shared" si="19"/>
        <v>0.42401960784313725</v>
      </c>
      <c r="AL49" s="1394">
        <f t="shared" si="20"/>
        <v>0.44121365360303416</v>
      </c>
      <c r="AM49" s="1394">
        <f t="shared" si="21"/>
        <v>0.48616600790513836</v>
      </c>
      <c r="AN49" s="1394">
        <f t="shared" si="22"/>
        <v>0.52631578947368418</v>
      </c>
      <c r="AO49" s="1394">
        <f t="shared" si="23"/>
        <v>0.52509652509652505</v>
      </c>
      <c r="AP49" s="1394">
        <f t="shared" si="24"/>
        <v>0.54631828978622332</v>
      </c>
      <c r="AQ49" s="1394">
        <f t="shared" si="25"/>
        <v>0.54285714285714282</v>
      </c>
      <c r="AR49" s="1394">
        <f t="shared" si="26"/>
        <v>0.53799019607843135</v>
      </c>
      <c r="AS49" s="1394">
        <f t="shared" si="27"/>
        <v>0.56824146981627299</v>
      </c>
      <c r="AT49" s="1394">
        <f t="shared" si="28"/>
        <v>0.57786885245901642</v>
      </c>
      <c r="AU49" s="1394">
        <f t="shared" si="29"/>
        <v>0.57199999999999995</v>
      </c>
      <c r="AV49" s="1395">
        <f t="shared" si="30"/>
        <v>0.54758418740849191</v>
      </c>
    </row>
    <row r="50" spans="1:48" s="142" customFormat="1" ht="15.75" customHeight="1">
      <c r="A50" s="149" t="s">
        <v>114</v>
      </c>
      <c r="B50" s="189" t="s">
        <v>115</v>
      </c>
      <c r="C50" s="150" t="s">
        <v>265</v>
      </c>
      <c r="D50" s="1359">
        <v>11</v>
      </c>
      <c r="E50" s="1360">
        <v>19</v>
      </c>
      <c r="F50" s="1361">
        <v>14</v>
      </c>
      <c r="G50" s="1360">
        <v>20</v>
      </c>
      <c r="H50" s="1361">
        <v>16</v>
      </c>
      <c r="I50" s="1360">
        <v>12</v>
      </c>
      <c r="J50" s="1361">
        <v>14</v>
      </c>
      <c r="K50" s="1360">
        <v>14</v>
      </c>
      <c r="L50" s="1374">
        <v>9</v>
      </c>
      <c r="M50" s="1374">
        <v>20</v>
      </c>
      <c r="N50" s="1374">
        <v>14</v>
      </c>
      <c r="O50" s="1374">
        <v>14</v>
      </c>
      <c r="P50" s="1375">
        <v>16</v>
      </c>
      <c r="Q50" s="1375">
        <v>14</v>
      </c>
      <c r="R50" s="1376">
        <v>12</v>
      </c>
      <c r="S50" s="1383">
        <v>2</v>
      </c>
      <c r="T50" s="1384">
        <v>2</v>
      </c>
      <c r="U50" s="1384">
        <v>3</v>
      </c>
      <c r="V50" s="1384">
        <v>6</v>
      </c>
      <c r="W50" s="1384">
        <v>3</v>
      </c>
      <c r="X50" s="1384">
        <v>3</v>
      </c>
      <c r="Y50" s="1384">
        <v>5</v>
      </c>
      <c r="Z50" s="1384">
        <v>2</v>
      </c>
      <c r="AA50" s="1384">
        <v>3</v>
      </c>
      <c r="AB50" s="1384">
        <v>5</v>
      </c>
      <c r="AC50" s="1384">
        <v>2</v>
      </c>
      <c r="AD50" s="1384">
        <v>2</v>
      </c>
      <c r="AE50" s="1384">
        <v>2</v>
      </c>
      <c r="AF50" s="1384">
        <v>2</v>
      </c>
      <c r="AG50" s="1385">
        <v>0</v>
      </c>
      <c r="AH50" s="1393">
        <f t="shared" si="16"/>
        <v>0.18181818181818182</v>
      </c>
      <c r="AI50" s="1394">
        <f t="shared" si="17"/>
        <v>0.10526315789473684</v>
      </c>
      <c r="AJ50" s="1394">
        <f t="shared" si="18"/>
        <v>0.21428571428571427</v>
      </c>
      <c r="AK50" s="1394">
        <f t="shared" si="19"/>
        <v>0.3</v>
      </c>
      <c r="AL50" s="1394">
        <f t="shared" si="20"/>
        <v>0.1875</v>
      </c>
      <c r="AM50" s="1394">
        <f t="shared" si="21"/>
        <v>0.25</v>
      </c>
      <c r="AN50" s="1394">
        <f t="shared" si="22"/>
        <v>0.35714285714285715</v>
      </c>
      <c r="AO50" s="1394">
        <f t="shared" si="23"/>
        <v>0.14285714285714285</v>
      </c>
      <c r="AP50" s="1394">
        <f t="shared" si="24"/>
        <v>0.33333333333333331</v>
      </c>
      <c r="AQ50" s="1394">
        <f t="shared" si="25"/>
        <v>0.25</v>
      </c>
      <c r="AR50" s="1394">
        <f t="shared" si="26"/>
        <v>0.14285714285714285</v>
      </c>
      <c r="AS50" s="1394">
        <f t="shared" si="27"/>
        <v>0.14285714285714285</v>
      </c>
      <c r="AT50" s="1394">
        <f t="shared" si="28"/>
        <v>0.125</v>
      </c>
      <c r="AU50" s="1394">
        <f t="shared" si="29"/>
        <v>0.14285714285714285</v>
      </c>
      <c r="AV50" s="1395">
        <f t="shared" si="30"/>
        <v>0</v>
      </c>
    </row>
    <row r="51" spans="1:48" s="142" customFormat="1" ht="15.75" customHeight="1">
      <c r="A51" s="149" t="s">
        <v>118</v>
      </c>
      <c r="B51" s="189" t="s">
        <v>270</v>
      </c>
      <c r="C51" s="150" t="s">
        <v>264</v>
      </c>
      <c r="D51" s="1359">
        <v>358</v>
      </c>
      <c r="E51" s="1360">
        <v>336</v>
      </c>
      <c r="F51" s="1361">
        <v>364</v>
      </c>
      <c r="G51" s="1360">
        <v>338</v>
      </c>
      <c r="H51" s="1361">
        <v>358</v>
      </c>
      <c r="I51" s="1360">
        <v>322</v>
      </c>
      <c r="J51" s="1361">
        <v>355</v>
      </c>
      <c r="K51" s="1360">
        <v>347</v>
      </c>
      <c r="L51" s="1374">
        <v>390</v>
      </c>
      <c r="M51" s="1374">
        <v>355</v>
      </c>
      <c r="N51" s="1374">
        <v>384</v>
      </c>
      <c r="O51" s="1374">
        <v>370</v>
      </c>
      <c r="P51" s="1375">
        <v>340</v>
      </c>
      <c r="Q51" s="1375">
        <v>319</v>
      </c>
      <c r="R51" s="1376">
        <v>300</v>
      </c>
      <c r="S51" s="1383">
        <v>107</v>
      </c>
      <c r="T51" s="1384">
        <v>124</v>
      </c>
      <c r="U51" s="1384">
        <v>114</v>
      </c>
      <c r="V51" s="1384">
        <v>137</v>
      </c>
      <c r="W51" s="1384">
        <v>128</v>
      </c>
      <c r="X51" s="1384">
        <v>119</v>
      </c>
      <c r="Y51" s="1384">
        <v>113</v>
      </c>
      <c r="Z51" s="1384">
        <v>127</v>
      </c>
      <c r="AA51" s="1384">
        <v>133</v>
      </c>
      <c r="AB51" s="1384">
        <v>122</v>
      </c>
      <c r="AC51" s="1384">
        <v>138</v>
      </c>
      <c r="AD51" s="1384">
        <v>133</v>
      </c>
      <c r="AE51" s="1384">
        <v>120</v>
      </c>
      <c r="AF51" s="1384">
        <v>129</v>
      </c>
      <c r="AG51" s="1385">
        <v>107</v>
      </c>
      <c r="AH51" s="1393">
        <f t="shared" si="16"/>
        <v>0.2988826815642458</v>
      </c>
      <c r="AI51" s="1394">
        <f t="shared" si="17"/>
        <v>0.36904761904761907</v>
      </c>
      <c r="AJ51" s="1394">
        <f t="shared" si="18"/>
        <v>0.31318681318681318</v>
      </c>
      <c r="AK51" s="1394">
        <f t="shared" si="19"/>
        <v>0.40532544378698226</v>
      </c>
      <c r="AL51" s="1394">
        <f t="shared" si="20"/>
        <v>0.35754189944134079</v>
      </c>
      <c r="AM51" s="1394">
        <f t="shared" si="21"/>
        <v>0.36956521739130432</v>
      </c>
      <c r="AN51" s="1394">
        <f t="shared" si="22"/>
        <v>0.3183098591549296</v>
      </c>
      <c r="AO51" s="1394">
        <f t="shared" si="23"/>
        <v>0.36599423631123917</v>
      </c>
      <c r="AP51" s="1394">
        <f t="shared" si="24"/>
        <v>0.34102564102564104</v>
      </c>
      <c r="AQ51" s="1394">
        <f t="shared" si="25"/>
        <v>0.3436619718309859</v>
      </c>
      <c r="AR51" s="1394">
        <f t="shared" si="26"/>
        <v>0.359375</v>
      </c>
      <c r="AS51" s="1394">
        <f t="shared" si="27"/>
        <v>0.35945945945945945</v>
      </c>
      <c r="AT51" s="1394">
        <f t="shared" si="28"/>
        <v>0.35294117647058826</v>
      </c>
      <c r="AU51" s="1394">
        <f t="shared" si="29"/>
        <v>0.40438871473354232</v>
      </c>
      <c r="AV51" s="1395">
        <f t="shared" si="30"/>
        <v>0.35666666666666669</v>
      </c>
    </row>
    <row r="52" spans="1:48" s="142" customFormat="1" ht="15.75" customHeight="1">
      <c r="A52" s="149" t="s">
        <v>120</v>
      </c>
      <c r="B52" s="189" t="s">
        <v>121</v>
      </c>
      <c r="C52" s="150" t="s">
        <v>264</v>
      </c>
      <c r="D52" s="1359">
        <v>423</v>
      </c>
      <c r="E52" s="1360">
        <v>487</v>
      </c>
      <c r="F52" s="1361">
        <v>487</v>
      </c>
      <c r="G52" s="1360">
        <v>502</v>
      </c>
      <c r="H52" s="1361">
        <v>466</v>
      </c>
      <c r="I52" s="1360">
        <v>532</v>
      </c>
      <c r="J52" s="1361">
        <v>504</v>
      </c>
      <c r="K52" s="1360">
        <v>502</v>
      </c>
      <c r="L52" s="1374">
        <v>576</v>
      </c>
      <c r="M52" s="1374">
        <v>569</v>
      </c>
      <c r="N52" s="1374">
        <v>602</v>
      </c>
      <c r="O52" s="1374">
        <v>644</v>
      </c>
      <c r="P52" s="1375">
        <v>721</v>
      </c>
      <c r="Q52" s="1375">
        <v>735</v>
      </c>
      <c r="R52" s="1376">
        <v>691</v>
      </c>
      <c r="S52" s="1383">
        <v>119</v>
      </c>
      <c r="T52" s="1384">
        <v>151</v>
      </c>
      <c r="U52" s="1384">
        <v>140</v>
      </c>
      <c r="V52" s="1384">
        <v>118</v>
      </c>
      <c r="W52" s="1384">
        <v>110</v>
      </c>
      <c r="X52" s="1384">
        <v>135</v>
      </c>
      <c r="Y52" s="1384">
        <v>134</v>
      </c>
      <c r="Z52" s="1384">
        <v>151</v>
      </c>
      <c r="AA52" s="1384">
        <v>189</v>
      </c>
      <c r="AB52" s="1384">
        <v>186</v>
      </c>
      <c r="AC52" s="1384">
        <v>192</v>
      </c>
      <c r="AD52" s="1384">
        <v>217</v>
      </c>
      <c r="AE52" s="1384">
        <v>252</v>
      </c>
      <c r="AF52" s="1384">
        <v>247</v>
      </c>
      <c r="AG52" s="1385">
        <v>239</v>
      </c>
      <c r="AH52" s="1393">
        <f t="shared" si="16"/>
        <v>0.28132387706855794</v>
      </c>
      <c r="AI52" s="1394">
        <f t="shared" si="17"/>
        <v>0.31006160164271046</v>
      </c>
      <c r="AJ52" s="1394">
        <f t="shared" si="18"/>
        <v>0.28747433264887062</v>
      </c>
      <c r="AK52" s="1394">
        <f t="shared" si="19"/>
        <v>0.23505976095617531</v>
      </c>
      <c r="AL52" s="1394">
        <f t="shared" si="20"/>
        <v>0.23605150214592274</v>
      </c>
      <c r="AM52" s="1394">
        <f t="shared" si="21"/>
        <v>0.25375939849624063</v>
      </c>
      <c r="AN52" s="1394">
        <f t="shared" si="22"/>
        <v>0.26587301587301587</v>
      </c>
      <c r="AO52" s="1394">
        <f t="shared" si="23"/>
        <v>0.30079681274900399</v>
      </c>
      <c r="AP52" s="1394">
        <f t="shared" si="24"/>
        <v>0.328125</v>
      </c>
      <c r="AQ52" s="1394">
        <f t="shared" si="25"/>
        <v>0.32688927943760981</v>
      </c>
      <c r="AR52" s="1394">
        <f t="shared" si="26"/>
        <v>0.31893687707641194</v>
      </c>
      <c r="AS52" s="1394">
        <f t="shared" si="27"/>
        <v>0.33695652173913043</v>
      </c>
      <c r="AT52" s="1394">
        <f t="shared" si="28"/>
        <v>0.34951456310679613</v>
      </c>
      <c r="AU52" s="1394">
        <f t="shared" si="29"/>
        <v>0.33605442176870748</v>
      </c>
      <c r="AV52" s="1395">
        <f t="shared" si="30"/>
        <v>0.34587554269175108</v>
      </c>
    </row>
    <row r="53" spans="1:48" s="142" customFormat="1" ht="15.75" customHeight="1">
      <c r="A53" s="149" t="s">
        <v>122</v>
      </c>
      <c r="B53" s="189" t="s">
        <v>271</v>
      </c>
      <c r="C53" s="150" t="s">
        <v>266</v>
      </c>
      <c r="D53" s="1359">
        <v>70</v>
      </c>
      <c r="E53" s="1360">
        <v>62</v>
      </c>
      <c r="F53" s="1361">
        <v>63</v>
      </c>
      <c r="G53" s="1360">
        <v>69</v>
      </c>
      <c r="H53" s="1361">
        <v>63</v>
      </c>
      <c r="I53" s="1360">
        <v>74</v>
      </c>
      <c r="J53" s="1361">
        <v>68</v>
      </c>
      <c r="K53" s="1360">
        <v>82</v>
      </c>
      <c r="L53" s="1374">
        <v>75</v>
      </c>
      <c r="M53" s="1374">
        <v>77</v>
      </c>
      <c r="N53" s="1374">
        <v>66</v>
      </c>
      <c r="O53" s="1374">
        <v>52</v>
      </c>
      <c r="P53" s="1375">
        <v>66</v>
      </c>
      <c r="Q53" s="1375">
        <v>70</v>
      </c>
      <c r="R53" s="1376">
        <v>62</v>
      </c>
      <c r="S53" s="1383">
        <v>20</v>
      </c>
      <c r="T53" s="1384">
        <v>28</v>
      </c>
      <c r="U53" s="1384">
        <v>31</v>
      </c>
      <c r="V53" s="1384">
        <v>27</v>
      </c>
      <c r="W53" s="1384">
        <v>24</v>
      </c>
      <c r="X53" s="1384">
        <v>38</v>
      </c>
      <c r="Y53" s="1384">
        <v>28</v>
      </c>
      <c r="Z53" s="1384">
        <v>40</v>
      </c>
      <c r="AA53" s="1384">
        <v>39</v>
      </c>
      <c r="AB53" s="1384">
        <v>35</v>
      </c>
      <c r="AC53" s="1384">
        <v>30</v>
      </c>
      <c r="AD53" s="1384">
        <v>25</v>
      </c>
      <c r="AE53" s="1384">
        <v>36</v>
      </c>
      <c r="AF53" s="1384">
        <v>37</v>
      </c>
      <c r="AG53" s="1385">
        <v>31</v>
      </c>
      <c r="AH53" s="1393">
        <f t="shared" si="16"/>
        <v>0.2857142857142857</v>
      </c>
      <c r="AI53" s="1394">
        <f t="shared" si="17"/>
        <v>0.45161290322580644</v>
      </c>
      <c r="AJ53" s="1394">
        <f t="shared" si="18"/>
        <v>0.49206349206349204</v>
      </c>
      <c r="AK53" s="1394">
        <f t="shared" si="19"/>
        <v>0.39130434782608697</v>
      </c>
      <c r="AL53" s="1394">
        <f t="shared" si="20"/>
        <v>0.38095238095238093</v>
      </c>
      <c r="AM53" s="1394">
        <f t="shared" si="21"/>
        <v>0.51351351351351349</v>
      </c>
      <c r="AN53" s="1394">
        <f t="shared" si="22"/>
        <v>0.41176470588235292</v>
      </c>
      <c r="AO53" s="1394">
        <f t="shared" si="23"/>
        <v>0.48780487804878048</v>
      </c>
      <c r="AP53" s="1394">
        <f t="shared" si="24"/>
        <v>0.52</v>
      </c>
      <c r="AQ53" s="1394">
        <f t="shared" si="25"/>
        <v>0.45454545454545453</v>
      </c>
      <c r="AR53" s="1394">
        <f t="shared" si="26"/>
        <v>0.45454545454545453</v>
      </c>
      <c r="AS53" s="1394">
        <f t="shared" si="27"/>
        <v>0.48076923076923078</v>
      </c>
      <c r="AT53" s="1394">
        <f t="shared" si="28"/>
        <v>0.54545454545454541</v>
      </c>
      <c r="AU53" s="1394">
        <f t="shared" si="29"/>
        <v>0.52857142857142858</v>
      </c>
      <c r="AV53" s="1395">
        <f t="shared" si="30"/>
        <v>0.5</v>
      </c>
    </row>
    <row r="54" spans="1:48" s="142" customFormat="1" ht="15.75" customHeight="1">
      <c r="A54" s="149" t="s">
        <v>124</v>
      </c>
      <c r="B54" s="189" t="s">
        <v>125</v>
      </c>
      <c r="C54" s="150" t="s">
        <v>267</v>
      </c>
      <c r="D54" s="1359">
        <v>257</v>
      </c>
      <c r="E54" s="1360">
        <v>233</v>
      </c>
      <c r="F54" s="1361">
        <v>243</v>
      </c>
      <c r="G54" s="1360">
        <v>218</v>
      </c>
      <c r="H54" s="1361">
        <v>254</v>
      </c>
      <c r="I54" s="1360">
        <v>275</v>
      </c>
      <c r="J54" s="1361">
        <v>326</v>
      </c>
      <c r="K54" s="1360">
        <v>334</v>
      </c>
      <c r="L54" s="1374">
        <v>288</v>
      </c>
      <c r="M54" s="1374">
        <v>387</v>
      </c>
      <c r="N54" s="1374">
        <v>373</v>
      </c>
      <c r="O54" s="1374">
        <v>288</v>
      </c>
      <c r="P54" s="1375">
        <v>305</v>
      </c>
      <c r="Q54" s="1375">
        <v>312</v>
      </c>
      <c r="R54" s="1376">
        <v>325</v>
      </c>
      <c r="S54" s="1383">
        <v>75</v>
      </c>
      <c r="T54" s="1384">
        <v>68</v>
      </c>
      <c r="U54" s="1384">
        <v>73</v>
      </c>
      <c r="V54" s="1384">
        <v>77</v>
      </c>
      <c r="W54" s="1384">
        <v>95</v>
      </c>
      <c r="X54" s="1384">
        <v>87</v>
      </c>
      <c r="Y54" s="1384">
        <v>89</v>
      </c>
      <c r="Z54" s="1384">
        <v>75</v>
      </c>
      <c r="AA54" s="1384">
        <v>84</v>
      </c>
      <c r="AB54" s="1384">
        <v>108</v>
      </c>
      <c r="AC54" s="1384">
        <v>106</v>
      </c>
      <c r="AD54" s="1384">
        <v>94</v>
      </c>
      <c r="AE54" s="1384">
        <v>101</v>
      </c>
      <c r="AF54" s="1384">
        <v>94</v>
      </c>
      <c r="AG54" s="1385">
        <v>108</v>
      </c>
      <c r="AH54" s="1393">
        <f t="shared" si="16"/>
        <v>0.29182879377431908</v>
      </c>
      <c r="AI54" s="1394">
        <f t="shared" si="17"/>
        <v>0.29184549356223177</v>
      </c>
      <c r="AJ54" s="1394">
        <f t="shared" si="18"/>
        <v>0.30041152263374488</v>
      </c>
      <c r="AK54" s="1394">
        <f t="shared" si="19"/>
        <v>0.35321100917431192</v>
      </c>
      <c r="AL54" s="1394">
        <f t="shared" si="20"/>
        <v>0.37401574803149606</v>
      </c>
      <c r="AM54" s="1394">
        <f t="shared" si="21"/>
        <v>0.31636363636363635</v>
      </c>
      <c r="AN54" s="1394">
        <f t="shared" si="22"/>
        <v>0.27300613496932513</v>
      </c>
      <c r="AO54" s="1394">
        <f t="shared" si="23"/>
        <v>0.22455089820359281</v>
      </c>
      <c r="AP54" s="1394">
        <f t="shared" si="24"/>
        <v>0.29166666666666669</v>
      </c>
      <c r="AQ54" s="1394">
        <f t="shared" si="25"/>
        <v>0.27906976744186046</v>
      </c>
      <c r="AR54" s="1394">
        <f t="shared" si="26"/>
        <v>0.28418230563002683</v>
      </c>
      <c r="AS54" s="1394">
        <f t="shared" si="27"/>
        <v>0.3263888888888889</v>
      </c>
      <c r="AT54" s="1394">
        <f t="shared" si="28"/>
        <v>0.33114754098360655</v>
      </c>
      <c r="AU54" s="1394">
        <f t="shared" si="29"/>
        <v>0.30128205128205127</v>
      </c>
      <c r="AV54" s="1395">
        <f t="shared" si="30"/>
        <v>0.3323076923076923</v>
      </c>
    </row>
    <row r="55" spans="1:48" s="142" customFormat="1" ht="15.75" customHeight="1">
      <c r="A55" s="149" t="s">
        <v>126</v>
      </c>
      <c r="B55" s="189" t="s">
        <v>127</v>
      </c>
      <c r="C55" s="150" t="s">
        <v>266</v>
      </c>
      <c r="D55" s="1359">
        <v>149</v>
      </c>
      <c r="E55" s="1360">
        <v>187</v>
      </c>
      <c r="F55" s="1361">
        <v>197</v>
      </c>
      <c r="G55" s="1360">
        <v>179</v>
      </c>
      <c r="H55" s="1361">
        <v>194</v>
      </c>
      <c r="I55" s="1360">
        <v>180</v>
      </c>
      <c r="J55" s="1361">
        <v>184</v>
      </c>
      <c r="K55" s="1360">
        <v>189</v>
      </c>
      <c r="L55" s="1374">
        <v>209</v>
      </c>
      <c r="M55" s="1374">
        <v>212</v>
      </c>
      <c r="N55" s="1374">
        <v>207</v>
      </c>
      <c r="O55" s="1374">
        <v>211</v>
      </c>
      <c r="P55" s="1375">
        <v>203</v>
      </c>
      <c r="Q55" s="1375">
        <v>183</v>
      </c>
      <c r="R55" s="1376">
        <v>189</v>
      </c>
      <c r="S55" s="1383">
        <v>45</v>
      </c>
      <c r="T55" s="1384">
        <v>46</v>
      </c>
      <c r="U55" s="1384">
        <v>65</v>
      </c>
      <c r="V55" s="1384">
        <v>54</v>
      </c>
      <c r="W55" s="1384">
        <v>57</v>
      </c>
      <c r="X55" s="1384">
        <v>59</v>
      </c>
      <c r="Y55" s="1384">
        <v>61</v>
      </c>
      <c r="Z55" s="1384">
        <v>58</v>
      </c>
      <c r="AA55" s="1384">
        <v>56</v>
      </c>
      <c r="AB55" s="1384">
        <v>60</v>
      </c>
      <c r="AC55" s="1384">
        <v>69</v>
      </c>
      <c r="AD55" s="1384">
        <v>66</v>
      </c>
      <c r="AE55" s="1384">
        <v>63</v>
      </c>
      <c r="AF55" s="1384">
        <v>59</v>
      </c>
      <c r="AG55" s="1385">
        <v>64</v>
      </c>
      <c r="AH55" s="1393">
        <f t="shared" si="16"/>
        <v>0.30201342281879195</v>
      </c>
      <c r="AI55" s="1394">
        <f t="shared" si="17"/>
        <v>0.24598930481283424</v>
      </c>
      <c r="AJ55" s="1394">
        <f t="shared" si="18"/>
        <v>0.32994923857868019</v>
      </c>
      <c r="AK55" s="1394">
        <f t="shared" si="19"/>
        <v>0.3016759776536313</v>
      </c>
      <c r="AL55" s="1394">
        <f t="shared" si="20"/>
        <v>0.29381443298969073</v>
      </c>
      <c r="AM55" s="1394">
        <f t="shared" si="21"/>
        <v>0.32777777777777778</v>
      </c>
      <c r="AN55" s="1394">
        <f t="shared" si="22"/>
        <v>0.33152173913043476</v>
      </c>
      <c r="AO55" s="1394">
        <f t="shared" si="23"/>
        <v>0.30687830687830686</v>
      </c>
      <c r="AP55" s="1394">
        <f t="shared" si="24"/>
        <v>0.26794258373205743</v>
      </c>
      <c r="AQ55" s="1394">
        <f t="shared" si="25"/>
        <v>0.28301886792452829</v>
      </c>
      <c r="AR55" s="1394">
        <f t="shared" si="26"/>
        <v>0.33333333333333331</v>
      </c>
      <c r="AS55" s="1394">
        <f t="shared" si="27"/>
        <v>0.3127962085308057</v>
      </c>
      <c r="AT55" s="1394">
        <f t="shared" si="28"/>
        <v>0.31034482758620691</v>
      </c>
      <c r="AU55" s="1394">
        <f t="shared" si="29"/>
        <v>0.32240437158469948</v>
      </c>
      <c r="AV55" s="1395">
        <f t="shared" si="30"/>
        <v>0.33862433862433861</v>
      </c>
    </row>
    <row r="56" spans="1:48" s="142" customFormat="1" ht="15.75" customHeight="1">
      <c r="A56" s="149" t="s">
        <v>128</v>
      </c>
      <c r="B56" s="189" t="s">
        <v>129</v>
      </c>
      <c r="C56" s="150" t="s">
        <v>266</v>
      </c>
      <c r="D56" s="1359">
        <v>117</v>
      </c>
      <c r="E56" s="1360">
        <v>101</v>
      </c>
      <c r="F56" s="1361">
        <v>111</v>
      </c>
      <c r="G56" s="1360">
        <v>110</v>
      </c>
      <c r="H56" s="1361">
        <v>108</v>
      </c>
      <c r="I56" s="1360">
        <v>105</v>
      </c>
      <c r="J56" s="1361">
        <v>96</v>
      </c>
      <c r="K56" s="1360">
        <v>96</v>
      </c>
      <c r="L56" s="1374">
        <v>103</v>
      </c>
      <c r="M56" s="1374">
        <v>125</v>
      </c>
      <c r="N56" s="1374">
        <v>95</v>
      </c>
      <c r="O56" s="1374">
        <v>80</v>
      </c>
      <c r="P56" s="1375">
        <v>100</v>
      </c>
      <c r="Q56" s="1375">
        <v>83</v>
      </c>
      <c r="R56" s="1376">
        <v>84</v>
      </c>
      <c r="S56" s="1383">
        <v>61</v>
      </c>
      <c r="T56" s="1384">
        <v>55</v>
      </c>
      <c r="U56" s="1384">
        <v>55</v>
      </c>
      <c r="V56" s="1384">
        <v>52</v>
      </c>
      <c r="W56" s="1384">
        <v>53</v>
      </c>
      <c r="X56" s="1384">
        <v>50</v>
      </c>
      <c r="Y56" s="1384">
        <v>49</v>
      </c>
      <c r="Z56" s="1384">
        <v>52</v>
      </c>
      <c r="AA56" s="1384">
        <v>62</v>
      </c>
      <c r="AB56" s="1384">
        <v>78</v>
      </c>
      <c r="AC56" s="1384">
        <v>59</v>
      </c>
      <c r="AD56" s="1384">
        <v>50</v>
      </c>
      <c r="AE56" s="1384">
        <v>58</v>
      </c>
      <c r="AF56" s="1384">
        <v>56</v>
      </c>
      <c r="AG56" s="1385">
        <v>52</v>
      </c>
      <c r="AH56" s="1393">
        <f t="shared" si="16"/>
        <v>0.5213675213675214</v>
      </c>
      <c r="AI56" s="1394">
        <f t="shared" si="17"/>
        <v>0.54455445544554459</v>
      </c>
      <c r="AJ56" s="1394">
        <f t="shared" si="18"/>
        <v>0.49549549549549549</v>
      </c>
      <c r="AK56" s="1394">
        <f t="shared" si="19"/>
        <v>0.47272727272727272</v>
      </c>
      <c r="AL56" s="1394">
        <f t="shared" si="20"/>
        <v>0.49074074074074076</v>
      </c>
      <c r="AM56" s="1394">
        <f t="shared" si="21"/>
        <v>0.47619047619047616</v>
      </c>
      <c r="AN56" s="1394">
        <f t="shared" si="22"/>
        <v>0.51041666666666663</v>
      </c>
      <c r="AO56" s="1394">
        <f t="shared" si="23"/>
        <v>0.54166666666666663</v>
      </c>
      <c r="AP56" s="1394">
        <f t="shared" si="24"/>
        <v>0.60194174757281549</v>
      </c>
      <c r="AQ56" s="1394">
        <f t="shared" si="25"/>
        <v>0.624</v>
      </c>
      <c r="AR56" s="1394">
        <f t="shared" si="26"/>
        <v>0.62105263157894741</v>
      </c>
      <c r="AS56" s="1394">
        <f t="shared" si="27"/>
        <v>0.625</v>
      </c>
      <c r="AT56" s="1394">
        <f t="shared" si="28"/>
        <v>0.57999999999999996</v>
      </c>
      <c r="AU56" s="1394">
        <f t="shared" si="29"/>
        <v>0.67469879518072284</v>
      </c>
      <c r="AV56" s="1395">
        <f t="shared" si="30"/>
        <v>0.61904761904761907</v>
      </c>
    </row>
    <row r="57" spans="1:48" s="142" customFormat="1" ht="15.75" customHeight="1">
      <c r="A57" s="149" t="s">
        <v>130</v>
      </c>
      <c r="B57" s="189" t="s">
        <v>131</v>
      </c>
      <c r="C57" s="150" t="s">
        <v>268</v>
      </c>
      <c r="D57" s="1359">
        <v>252</v>
      </c>
      <c r="E57" s="1360">
        <v>236</v>
      </c>
      <c r="F57" s="1361">
        <v>237</v>
      </c>
      <c r="G57" s="1360">
        <v>240</v>
      </c>
      <c r="H57" s="1361">
        <v>243</v>
      </c>
      <c r="I57" s="1360">
        <v>251</v>
      </c>
      <c r="J57" s="1361">
        <v>234</v>
      </c>
      <c r="K57" s="1360">
        <v>251</v>
      </c>
      <c r="L57" s="1374">
        <v>240</v>
      </c>
      <c r="M57" s="1374">
        <v>265</v>
      </c>
      <c r="N57" s="1374">
        <v>250</v>
      </c>
      <c r="O57" s="1374">
        <v>265</v>
      </c>
      <c r="P57" s="1375">
        <v>250</v>
      </c>
      <c r="Q57" s="1375">
        <v>267</v>
      </c>
      <c r="R57" s="1376">
        <v>267</v>
      </c>
      <c r="S57" s="1383">
        <v>64</v>
      </c>
      <c r="T57" s="1384">
        <v>76</v>
      </c>
      <c r="U57" s="1384">
        <v>55</v>
      </c>
      <c r="V57" s="1384">
        <v>60</v>
      </c>
      <c r="W57" s="1384">
        <v>70</v>
      </c>
      <c r="X57" s="1384">
        <v>85</v>
      </c>
      <c r="Y57" s="1384">
        <v>66</v>
      </c>
      <c r="Z57" s="1384">
        <v>80</v>
      </c>
      <c r="AA57" s="1384">
        <v>69</v>
      </c>
      <c r="AB57" s="1384">
        <v>86</v>
      </c>
      <c r="AC57" s="1384">
        <v>80</v>
      </c>
      <c r="AD57" s="1384">
        <v>96</v>
      </c>
      <c r="AE57" s="1384">
        <v>95</v>
      </c>
      <c r="AF57" s="1384">
        <v>99</v>
      </c>
      <c r="AG57" s="1385">
        <v>104</v>
      </c>
      <c r="AH57" s="1393">
        <f t="shared" si="16"/>
        <v>0.25396825396825395</v>
      </c>
      <c r="AI57" s="1394">
        <f t="shared" si="17"/>
        <v>0.32203389830508472</v>
      </c>
      <c r="AJ57" s="1394">
        <f t="shared" si="18"/>
        <v>0.2320675105485232</v>
      </c>
      <c r="AK57" s="1394">
        <f t="shared" si="19"/>
        <v>0.25</v>
      </c>
      <c r="AL57" s="1394">
        <f t="shared" si="20"/>
        <v>0.2880658436213992</v>
      </c>
      <c r="AM57" s="1394">
        <f t="shared" si="21"/>
        <v>0.3386454183266932</v>
      </c>
      <c r="AN57" s="1394">
        <f t="shared" si="22"/>
        <v>0.28205128205128205</v>
      </c>
      <c r="AO57" s="1394">
        <f t="shared" si="23"/>
        <v>0.31872509960159362</v>
      </c>
      <c r="AP57" s="1394">
        <f t="shared" si="24"/>
        <v>0.28749999999999998</v>
      </c>
      <c r="AQ57" s="1394">
        <f t="shared" si="25"/>
        <v>0.32452830188679244</v>
      </c>
      <c r="AR57" s="1394">
        <f t="shared" si="26"/>
        <v>0.32</v>
      </c>
      <c r="AS57" s="1394">
        <f t="shared" si="27"/>
        <v>0.3622641509433962</v>
      </c>
      <c r="AT57" s="1394">
        <f t="shared" si="28"/>
        <v>0.38</v>
      </c>
      <c r="AU57" s="1394">
        <f t="shared" si="29"/>
        <v>0.3707865168539326</v>
      </c>
      <c r="AV57" s="1395">
        <f t="shared" si="30"/>
        <v>0.38951310861423222</v>
      </c>
    </row>
    <row r="58" spans="1:48" s="142" customFormat="1" ht="15.75" customHeight="1">
      <c r="A58" s="149" t="s">
        <v>132</v>
      </c>
      <c r="B58" s="189" t="s">
        <v>133</v>
      </c>
      <c r="C58" s="150" t="s">
        <v>267</v>
      </c>
      <c r="D58" s="1359">
        <v>2838</v>
      </c>
      <c r="E58" s="1360">
        <v>3057</v>
      </c>
      <c r="F58" s="1361">
        <v>3646</v>
      </c>
      <c r="G58" s="1360">
        <v>3857</v>
      </c>
      <c r="H58" s="1361">
        <v>4192</v>
      </c>
      <c r="I58" s="1360">
        <v>4444</v>
      </c>
      <c r="J58" s="1361">
        <v>4816</v>
      </c>
      <c r="K58" s="1360">
        <v>5153</v>
      </c>
      <c r="L58" s="1374">
        <v>5076</v>
      </c>
      <c r="M58" s="1374">
        <v>5160</v>
      </c>
      <c r="N58" s="1374">
        <v>5284</v>
      </c>
      <c r="O58" s="1374">
        <v>5030</v>
      </c>
      <c r="P58" s="1375">
        <v>5068</v>
      </c>
      <c r="Q58" s="1375">
        <v>4970</v>
      </c>
      <c r="R58" s="1376">
        <v>4902</v>
      </c>
      <c r="S58" s="1383">
        <v>302</v>
      </c>
      <c r="T58" s="1384">
        <v>344</v>
      </c>
      <c r="U58" s="1384">
        <v>391</v>
      </c>
      <c r="V58" s="1384">
        <v>392</v>
      </c>
      <c r="W58" s="1384">
        <v>471</v>
      </c>
      <c r="X58" s="1384">
        <v>448</v>
      </c>
      <c r="Y58" s="1384">
        <v>555</v>
      </c>
      <c r="Z58" s="1384">
        <v>659</v>
      </c>
      <c r="AA58" s="1384">
        <v>743</v>
      </c>
      <c r="AB58" s="1384">
        <v>837</v>
      </c>
      <c r="AC58" s="1384">
        <v>804</v>
      </c>
      <c r="AD58" s="1384">
        <v>777</v>
      </c>
      <c r="AE58" s="1384">
        <v>824</v>
      </c>
      <c r="AF58" s="1384">
        <v>780</v>
      </c>
      <c r="AG58" s="1385">
        <v>757</v>
      </c>
      <c r="AH58" s="1393">
        <f t="shared" si="16"/>
        <v>0.10641296687808316</v>
      </c>
      <c r="AI58" s="1394">
        <f t="shared" si="17"/>
        <v>0.11252862283284265</v>
      </c>
      <c r="AJ58" s="1394">
        <f t="shared" si="18"/>
        <v>0.10724081184860121</v>
      </c>
      <c r="AK58" s="1394">
        <f t="shared" si="19"/>
        <v>0.10163339382940109</v>
      </c>
      <c r="AL58" s="1394">
        <f t="shared" si="20"/>
        <v>0.11235687022900763</v>
      </c>
      <c r="AM58" s="1394">
        <f t="shared" si="21"/>
        <v>0.10081008100810081</v>
      </c>
      <c r="AN58" s="1394">
        <f t="shared" si="22"/>
        <v>0.11524086378737541</v>
      </c>
      <c r="AO58" s="1394">
        <f t="shared" si="23"/>
        <v>0.1278866679604114</v>
      </c>
      <c r="AP58" s="1394">
        <f t="shared" si="24"/>
        <v>0.14637509850275807</v>
      </c>
      <c r="AQ58" s="1394">
        <f t="shared" si="25"/>
        <v>0.16220930232558139</v>
      </c>
      <c r="AR58" s="1394">
        <f t="shared" si="26"/>
        <v>0.15215745647236942</v>
      </c>
      <c r="AS58" s="1394">
        <f t="shared" si="27"/>
        <v>0.15447316103379721</v>
      </c>
      <c r="AT58" s="1394">
        <f t="shared" si="28"/>
        <v>0.16258879242304658</v>
      </c>
      <c r="AU58" s="1394">
        <f t="shared" si="29"/>
        <v>0.15694164989939638</v>
      </c>
      <c r="AV58" s="1395">
        <f t="shared" si="30"/>
        <v>0.15442676458588331</v>
      </c>
    </row>
    <row r="59" spans="1:48" s="142" customFormat="1" ht="15.75" customHeight="1">
      <c r="A59" s="149" t="s">
        <v>134</v>
      </c>
      <c r="B59" s="189" t="s">
        <v>135</v>
      </c>
      <c r="C59" s="150" t="s">
        <v>267</v>
      </c>
      <c r="D59" s="1359">
        <v>305</v>
      </c>
      <c r="E59" s="1360">
        <v>311</v>
      </c>
      <c r="F59" s="1361">
        <v>328</v>
      </c>
      <c r="G59" s="1360">
        <v>321</v>
      </c>
      <c r="H59" s="1361">
        <v>333</v>
      </c>
      <c r="I59" s="1360">
        <v>295</v>
      </c>
      <c r="J59" s="1361">
        <v>357</v>
      </c>
      <c r="K59" s="1360">
        <v>385</v>
      </c>
      <c r="L59" s="1374">
        <v>372</v>
      </c>
      <c r="M59" s="1374">
        <v>452</v>
      </c>
      <c r="N59" s="1374">
        <v>396</v>
      </c>
      <c r="O59" s="1374">
        <v>399</v>
      </c>
      <c r="P59" s="1375">
        <v>368</v>
      </c>
      <c r="Q59" s="1375">
        <v>374</v>
      </c>
      <c r="R59" s="1376">
        <v>382</v>
      </c>
      <c r="S59" s="1383">
        <v>120</v>
      </c>
      <c r="T59" s="1384">
        <v>116</v>
      </c>
      <c r="U59" s="1384">
        <v>122</v>
      </c>
      <c r="V59" s="1384">
        <v>133</v>
      </c>
      <c r="W59" s="1384">
        <v>115</v>
      </c>
      <c r="X59" s="1384">
        <v>98</v>
      </c>
      <c r="Y59" s="1384">
        <v>115</v>
      </c>
      <c r="Z59" s="1384">
        <v>129</v>
      </c>
      <c r="AA59" s="1384">
        <v>138</v>
      </c>
      <c r="AB59" s="1384">
        <v>152</v>
      </c>
      <c r="AC59" s="1384">
        <v>165</v>
      </c>
      <c r="AD59" s="1384">
        <v>155</v>
      </c>
      <c r="AE59" s="1384">
        <v>146</v>
      </c>
      <c r="AF59" s="1384">
        <v>138</v>
      </c>
      <c r="AG59" s="1385">
        <v>162</v>
      </c>
      <c r="AH59" s="1393">
        <f t="shared" si="16"/>
        <v>0.39344262295081966</v>
      </c>
      <c r="AI59" s="1394">
        <f t="shared" si="17"/>
        <v>0.37299035369774919</v>
      </c>
      <c r="AJ59" s="1394">
        <f t="shared" si="18"/>
        <v>0.37195121951219512</v>
      </c>
      <c r="AK59" s="1394">
        <f t="shared" si="19"/>
        <v>0.41433021806853582</v>
      </c>
      <c r="AL59" s="1394">
        <f t="shared" si="20"/>
        <v>0.34534534534534533</v>
      </c>
      <c r="AM59" s="1394">
        <f t="shared" si="21"/>
        <v>0.33220338983050846</v>
      </c>
      <c r="AN59" s="1394">
        <f t="shared" si="22"/>
        <v>0.32212885154061627</v>
      </c>
      <c r="AO59" s="1394">
        <f t="shared" si="23"/>
        <v>0.33506493506493507</v>
      </c>
      <c r="AP59" s="1394">
        <f t="shared" si="24"/>
        <v>0.37096774193548387</v>
      </c>
      <c r="AQ59" s="1394">
        <f t="shared" si="25"/>
        <v>0.33628318584070799</v>
      </c>
      <c r="AR59" s="1394">
        <f t="shared" si="26"/>
        <v>0.41666666666666669</v>
      </c>
      <c r="AS59" s="1394">
        <f t="shared" si="27"/>
        <v>0.38847117794486213</v>
      </c>
      <c r="AT59" s="1394">
        <f t="shared" si="28"/>
        <v>0.39673913043478259</v>
      </c>
      <c r="AU59" s="1394">
        <f t="shared" si="29"/>
        <v>0.36898395721925131</v>
      </c>
      <c r="AV59" s="1395">
        <f t="shared" si="30"/>
        <v>0.42408376963350786</v>
      </c>
    </row>
    <row r="60" spans="1:48" s="142" customFormat="1" ht="15.75" customHeight="1">
      <c r="A60" s="149" t="s">
        <v>136</v>
      </c>
      <c r="B60" s="189" t="s">
        <v>137</v>
      </c>
      <c r="C60" s="150" t="s">
        <v>266</v>
      </c>
      <c r="D60" s="1359">
        <v>116</v>
      </c>
      <c r="E60" s="1360">
        <v>106</v>
      </c>
      <c r="F60" s="1361">
        <v>95</v>
      </c>
      <c r="G60" s="1360">
        <v>116</v>
      </c>
      <c r="H60" s="1361">
        <v>109</v>
      </c>
      <c r="I60" s="1360">
        <v>140</v>
      </c>
      <c r="J60" s="1361">
        <v>131</v>
      </c>
      <c r="K60" s="1360">
        <v>156</v>
      </c>
      <c r="L60" s="1374">
        <v>138</v>
      </c>
      <c r="M60" s="1374">
        <v>127</v>
      </c>
      <c r="N60" s="1374">
        <v>128</v>
      </c>
      <c r="O60" s="1374">
        <v>133</v>
      </c>
      <c r="P60" s="1375">
        <v>108</v>
      </c>
      <c r="Q60" s="1375">
        <v>117</v>
      </c>
      <c r="R60" s="1376">
        <v>118</v>
      </c>
      <c r="S60" s="1383">
        <v>52</v>
      </c>
      <c r="T60" s="1384">
        <v>44</v>
      </c>
      <c r="U60" s="1384">
        <v>35</v>
      </c>
      <c r="V60" s="1384">
        <v>53</v>
      </c>
      <c r="W60" s="1384">
        <v>54</v>
      </c>
      <c r="X60" s="1384">
        <v>73</v>
      </c>
      <c r="Y60" s="1384">
        <v>64</v>
      </c>
      <c r="Z60" s="1384">
        <v>70</v>
      </c>
      <c r="AA60" s="1384">
        <v>69</v>
      </c>
      <c r="AB60" s="1384">
        <v>59</v>
      </c>
      <c r="AC60" s="1384">
        <v>72</v>
      </c>
      <c r="AD60" s="1384">
        <v>68</v>
      </c>
      <c r="AE60" s="1384">
        <v>49</v>
      </c>
      <c r="AF60" s="1384">
        <v>65</v>
      </c>
      <c r="AG60" s="1385">
        <v>80</v>
      </c>
      <c r="AH60" s="1393">
        <f t="shared" si="16"/>
        <v>0.44827586206896552</v>
      </c>
      <c r="AI60" s="1394">
        <f t="shared" si="17"/>
        <v>0.41509433962264153</v>
      </c>
      <c r="AJ60" s="1394">
        <f t="shared" si="18"/>
        <v>0.36842105263157893</v>
      </c>
      <c r="AK60" s="1394">
        <f t="shared" si="19"/>
        <v>0.45689655172413796</v>
      </c>
      <c r="AL60" s="1394">
        <f t="shared" si="20"/>
        <v>0.49541284403669728</v>
      </c>
      <c r="AM60" s="1394">
        <f t="shared" si="21"/>
        <v>0.52142857142857146</v>
      </c>
      <c r="AN60" s="1394">
        <f t="shared" si="22"/>
        <v>0.48854961832061067</v>
      </c>
      <c r="AO60" s="1394">
        <f t="shared" si="23"/>
        <v>0.44871794871794873</v>
      </c>
      <c r="AP60" s="1394">
        <f t="shared" si="24"/>
        <v>0.5</v>
      </c>
      <c r="AQ60" s="1394">
        <f t="shared" si="25"/>
        <v>0.46456692913385828</v>
      </c>
      <c r="AR60" s="1394">
        <f t="shared" si="26"/>
        <v>0.5625</v>
      </c>
      <c r="AS60" s="1394">
        <f t="shared" si="27"/>
        <v>0.51127819548872178</v>
      </c>
      <c r="AT60" s="1394">
        <f t="shared" si="28"/>
        <v>0.45370370370370372</v>
      </c>
      <c r="AU60" s="1394">
        <f t="shared" si="29"/>
        <v>0.55555555555555558</v>
      </c>
      <c r="AV60" s="1395">
        <f t="shared" si="30"/>
        <v>0.67796610169491522</v>
      </c>
    </row>
    <row r="61" spans="1:48" s="142" customFormat="1" ht="15.75" customHeight="1">
      <c r="A61" s="149" t="s">
        <v>140</v>
      </c>
      <c r="B61" s="189" t="s">
        <v>141</v>
      </c>
      <c r="C61" s="150" t="s">
        <v>267</v>
      </c>
      <c r="D61" s="1359">
        <v>132</v>
      </c>
      <c r="E61" s="1360">
        <v>105</v>
      </c>
      <c r="F61" s="1361">
        <v>111</v>
      </c>
      <c r="G61" s="1360">
        <v>133</v>
      </c>
      <c r="H61" s="1361">
        <v>157</v>
      </c>
      <c r="I61" s="1360">
        <v>135</v>
      </c>
      <c r="J61" s="1361">
        <v>135</v>
      </c>
      <c r="K61" s="1360">
        <v>162</v>
      </c>
      <c r="L61" s="1374">
        <v>157</v>
      </c>
      <c r="M61" s="1374">
        <v>154</v>
      </c>
      <c r="N61" s="1374">
        <v>143</v>
      </c>
      <c r="O61" s="1374">
        <v>139</v>
      </c>
      <c r="P61" s="1375">
        <v>146</v>
      </c>
      <c r="Q61" s="1375">
        <v>130</v>
      </c>
      <c r="R61" s="1376">
        <v>121</v>
      </c>
      <c r="S61" s="1383">
        <v>39</v>
      </c>
      <c r="T61" s="1384">
        <v>29</v>
      </c>
      <c r="U61" s="1384">
        <v>34</v>
      </c>
      <c r="V61" s="1384">
        <v>43</v>
      </c>
      <c r="W61" s="1384">
        <v>44</v>
      </c>
      <c r="X61" s="1384">
        <v>37</v>
      </c>
      <c r="Y61" s="1384">
        <v>39</v>
      </c>
      <c r="Z61" s="1384">
        <v>48</v>
      </c>
      <c r="AA61" s="1384">
        <v>41</v>
      </c>
      <c r="AB61" s="1384">
        <v>47</v>
      </c>
      <c r="AC61" s="1384">
        <v>44</v>
      </c>
      <c r="AD61" s="1384">
        <v>47</v>
      </c>
      <c r="AE61" s="1384">
        <v>51</v>
      </c>
      <c r="AF61" s="1384">
        <v>37</v>
      </c>
      <c r="AG61" s="1385">
        <v>44</v>
      </c>
      <c r="AH61" s="1393">
        <f t="shared" si="16"/>
        <v>0.29545454545454547</v>
      </c>
      <c r="AI61" s="1394">
        <f t="shared" si="17"/>
        <v>0.27619047619047621</v>
      </c>
      <c r="AJ61" s="1394">
        <f t="shared" si="18"/>
        <v>0.30630630630630629</v>
      </c>
      <c r="AK61" s="1394">
        <f t="shared" si="19"/>
        <v>0.32330827067669171</v>
      </c>
      <c r="AL61" s="1394">
        <f t="shared" si="20"/>
        <v>0.28025477707006369</v>
      </c>
      <c r="AM61" s="1394">
        <f t="shared" si="21"/>
        <v>0.27407407407407408</v>
      </c>
      <c r="AN61" s="1394">
        <f t="shared" si="22"/>
        <v>0.28888888888888886</v>
      </c>
      <c r="AO61" s="1394">
        <f t="shared" si="23"/>
        <v>0.29629629629629628</v>
      </c>
      <c r="AP61" s="1394">
        <f t="shared" si="24"/>
        <v>0.26114649681528662</v>
      </c>
      <c r="AQ61" s="1394">
        <f t="shared" si="25"/>
        <v>0.30519480519480519</v>
      </c>
      <c r="AR61" s="1394">
        <f t="shared" si="26"/>
        <v>0.30769230769230771</v>
      </c>
      <c r="AS61" s="1394">
        <f t="shared" si="27"/>
        <v>0.33812949640287771</v>
      </c>
      <c r="AT61" s="1394">
        <f t="shared" si="28"/>
        <v>0.34931506849315069</v>
      </c>
      <c r="AU61" s="1394">
        <f t="shared" si="29"/>
        <v>0.2846153846153846</v>
      </c>
      <c r="AV61" s="1395">
        <f t="shared" si="30"/>
        <v>0.36363636363636365</v>
      </c>
    </row>
    <row r="62" spans="1:48" s="142" customFormat="1" ht="15.75" customHeight="1">
      <c r="A62" s="149" t="s">
        <v>146</v>
      </c>
      <c r="B62" s="189" t="s">
        <v>147</v>
      </c>
      <c r="C62" s="150" t="s">
        <v>264</v>
      </c>
      <c r="D62" s="1359">
        <v>74</v>
      </c>
      <c r="E62" s="1360">
        <v>55</v>
      </c>
      <c r="F62" s="1361">
        <v>75</v>
      </c>
      <c r="G62" s="1360">
        <v>66</v>
      </c>
      <c r="H62" s="1361">
        <v>91</v>
      </c>
      <c r="I62" s="1360">
        <v>71</v>
      </c>
      <c r="J62" s="1361">
        <v>56</v>
      </c>
      <c r="K62" s="1360">
        <v>54</v>
      </c>
      <c r="L62" s="1374">
        <v>80</v>
      </c>
      <c r="M62" s="1374">
        <v>67</v>
      </c>
      <c r="N62" s="1374">
        <v>72</v>
      </c>
      <c r="O62" s="1374">
        <v>68</v>
      </c>
      <c r="P62" s="1375">
        <v>63</v>
      </c>
      <c r="Q62" s="1375">
        <v>64</v>
      </c>
      <c r="R62" s="1376">
        <v>71</v>
      </c>
      <c r="S62" s="1383">
        <v>19</v>
      </c>
      <c r="T62" s="1384">
        <v>13</v>
      </c>
      <c r="U62" s="1384">
        <v>22</v>
      </c>
      <c r="V62" s="1384">
        <v>19</v>
      </c>
      <c r="W62" s="1384">
        <v>27</v>
      </c>
      <c r="X62" s="1384">
        <v>20</v>
      </c>
      <c r="Y62" s="1384">
        <v>17</v>
      </c>
      <c r="Z62" s="1384">
        <v>22</v>
      </c>
      <c r="AA62" s="1384">
        <v>35</v>
      </c>
      <c r="AB62" s="1384">
        <v>22</v>
      </c>
      <c r="AC62" s="1384">
        <v>27</v>
      </c>
      <c r="AD62" s="1384">
        <v>28</v>
      </c>
      <c r="AE62" s="1384">
        <v>25</v>
      </c>
      <c r="AF62" s="1384">
        <v>25</v>
      </c>
      <c r="AG62" s="1385">
        <v>24</v>
      </c>
      <c r="AH62" s="1393">
        <f t="shared" si="16"/>
        <v>0.25675675675675674</v>
      </c>
      <c r="AI62" s="1394">
        <f t="shared" si="17"/>
        <v>0.23636363636363636</v>
      </c>
      <c r="AJ62" s="1394">
        <f t="shared" si="18"/>
        <v>0.29333333333333333</v>
      </c>
      <c r="AK62" s="1394">
        <f t="shared" si="19"/>
        <v>0.2878787878787879</v>
      </c>
      <c r="AL62" s="1394">
        <f t="shared" si="20"/>
        <v>0.2967032967032967</v>
      </c>
      <c r="AM62" s="1394">
        <f t="shared" si="21"/>
        <v>0.28169014084507044</v>
      </c>
      <c r="AN62" s="1394">
        <f t="shared" si="22"/>
        <v>0.30357142857142855</v>
      </c>
      <c r="AO62" s="1394">
        <f t="shared" si="23"/>
        <v>0.40740740740740738</v>
      </c>
      <c r="AP62" s="1394">
        <f t="shared" si="24"/>
        <v>0.4375</v>
      </c>
      <c r="AQ62" s="1394">
        <f t="shared" si="25"/>
        <v>0.32835820895522388</v>
      </c>
      <c r="AR62" s="1394">
        <f t="shared" si="26"/>
        <v>0.375</v>
      </c>
      <c r="AS62" s="1394">
        <f t="shared" si="27"/>
        <v>0.41176470588235292</v>
      </c>
      <c r="AT62" s="1394">
        <f t="shared" si="28"/>
        <v>0.3968253968253968</v>
      </c>
      <c r="AU62" s="1394">
        <f t="shared" si="29"/>
        <v>0.390625</v>
      </c>
      <c r="AV62" s="1395">
        <f t="shared" si="30"/>
        <v>0.3380281690140845</v>
      </c>
    </row>
    <row r="63" spans="1:48" s="142" customFormat="1" ht="15.75" customHeight="1">
      <c r="A63" s="149" t="s">
        <v>148</v>
      </c>
      <c r="B63" s="189" t="s">
        <v>149</v>
      </c>
      <c r="C63" s="150" t="s">
        <v>265</v>
      </c>
      <c r="D63" s="1359">
        <v>372</v>
      </c>
      <c r="E63" s="1360">
        <v>359</v>
      </c>
      <c r="F63" s="1361">
        <v>332</v>
      </c>
      <c r="G63" s="1360">
        <v>356</v>
      </c>
      <c r="H63" s="1361">
        <v>344</v>
      </c>
      <c r="I63" s="1360">
        <v>383</v>
      </c>
      <c r="J63" s="1361">
        <v>325</v>
      </c>
      <c r="K63" s="1360">
        <v>328</v>
      </c>
      <c r="L63" s="1374">
        <v>347</v>
      </c>
      <c r="M63" s="1374">
        <v>317</v>
      </c>
      <c r="N63" s="1374">
        <v>303</v>
      </c>
      <c r="O63" s="1374">
        <v>313</v>
      </c>
      <c r="P63" s="1375">
        <v>305</v>
      </c>
      <c r="Q63" s="1375">
        <v>294</v>
      </c>
      <c r="R63" s="1376">
        <v>293</v>
      </c>
      <c r="S63" s="1383">
        <v>197</v>
      </c>
      <c r="T63" s="1384">
        <v>174</v>
      </c>
      <c r="U63" s="1384">
        <v>176</v>
      </c>
      <c r="V63" s="1384">
        <v>197</v>
      </c>
      <c r="W63" s="1384">
        <v>178</v>
      </c>
      <c r="X63" s="1384">
        <v>190</v>
      </c>
      <c r="Y63" s="1384">
        <v>172</v>
      </c>
      <c r="Z63" s="1384">
        <v>167</v>
      </c>
      <c r="AA63" s="1384">
        <v>162</v>
      </c>
      <c r="AB63" s="1384">
        <v>178</v>
      </c>
      <c r="AC63" s="1384">
        <v>163</v>
      </c>
      <c r="AD63" s="1384">
        <v>194</v>
      </c>
      <c r="AE63" s="1384">
        <v>168</v>
      </c>
      <c r="AF63" s="1384">
        <v>178</v>
      </c>
      <c r="AG63" s="1385">
        <v>168</v>
      </c>
      <c r="AH63" s="1393">
        <f t="shared" si="16"/>
        <v>0.52956989247311825</v>
      </c>
      <c r="AI63" s="1394">
        <f t="shared" si="17"/>
        <v>0.48467966573816157</v>
      </c>
      <c r="AJ63" s="1394">
        <f t="shared" si="18"/>
        <v>0.53012048192771088</v>
      </c>
      <c r="AK63" s="1394">
        <f t="shared" si="19"/>
        <v>0.5533707865168539</v>
      </c>
      <c r="AL63" s="1394">
        <f t="shared" si="20"/>
        <v>0.51744186046511631</v>
      </c>
      <c r="AM63" s="1394">
        <f t="shared" si="21"/>
        <v>0.4960835509138381</v>
      </c>
      <c r="AN63" s="1394">
        <f t="shared" si="22"/>
        <v>0.52923076923076928</v>
      </c>
      <c r="AO63" s="1394">
        <f t="shared" si="23"/>
        <v>0.50914634146341464</v>
      </c>
      <c r="AP63" s="1394">
        <f t="shared" si="24"/>
        <v>0.4668587896253602</v>
      </c>
      <c r="AQ63" s="1394">
        <f t="shared" si="25"/>
        <v>0.56151419558359617</v>
      </c>
      <c r="AR63" s="1394">
        <f t="shared" si="26"/>
        <v>0.53795379537953791</v>
      </c>
      <c r="AS63" s="1394">
        <f t="shared" si="27"/>
        <v>0.61980830670926512</v>
      </c>
      <c r="AT63" s="1394">
        <f t="shared" si="28"/>
        <v>0.55081967213114758</v>
      </c>
      <c r="AU63" s="1394">
        <f t="shared" si="29"/>
        <v>0.60544217687074831</v>
      </c>
      <c r="AV63" s="1395">
        <f t="shared" si="30"/>
        <v>0.57337883959044367</v>
      </c>
    </row>
    <row r="64" spans="1:48" s="142" customFormat="1" ht="15.75" customHeight="1">
      <c r="A64" s="149" t="s">
        <v>150</v>
      </c>
      <c r="B64" s="189" t="s">
        <v>151</v>
      </c>
      <c r="C64" s="150" t="s">
        <v>266</v>
      </c>
      <c r="D64" s="1359">
        <v>72</v>
      </c>
      <c r="E64" s="1360">
        <v>85</v>
      </c>
      <c r="F64" s="1361">
        <v>83</v>
      </c>
      <c r="G64" s="1360">
        <v>76</v>
      </c>
      <c r="H64" s="1361">
        <v>76</v>
      </c>
      <c r="I64" s="1360">
        <v>71</v>
      </c>
      <c r="J64" s="1361">
        <v>82</v>
      </c>
      <c r="K64" s="1360">
        <v>75</v>
      </c>
      <c r="L64" s="1374">
        <v>68</v>
      </c>
      <c r="M64" s="1374">
        <v>96</v>
      </c>
      <c r="N64" s="1374">
        <v>87</v>
      </c>
      <c r="O64" s="1374">
        <v>88</v>
      </c>
      <c r="P64" s="1375">
        <v>81</v>
      </c>
      <c r="Q64" s="1375">
        <v>94</v>
      </c>
      <c r="R64" s="1376">
        <v>99</v>
      </c>
      <c r="S64" s="1383">
        <v>30</v>
      </c>
      <c r="T64" s="1384">
        <v>28</v>
      </c>
      <c r="U64" s="1384">
        <v>21</v>
      </c>
      <c r="V64" s="1384">
        <v>31</v>
      </c>
      <c r="W64" s="1384">
        <v>29</v>
      </c>
      <c r="X64" s="1384">
        <v>34</v>
      </c>
      <c r="Y64" s="1384">
        <v>31</v>
      </c>
      <c r="Z64" s="1384">
        <v>26</v>
      </c>
      <c r="AA64" s="1384">
        <v>28</v>
      </c>
      <c r="AB64" s="1384">
        <v>41</v>
      </c>
      <c r="AC64" s="1384">
        <v>37</v>
      </c>
      <c r="AD64" s="1384">
        <v>38</v>
      </c>
      <c r="AE64" s="1384">
        <v>38</v>
      </c>
      <c r="AF64" s="1384">
        <v>35</v>
      </c>
      <c r="AG64" s="1385">
        <v>46</v>
      </c>
      <c r="AH64" s="1393">
        <f t="shared" si="16"/>
        <v>0.41666666666666669</v>
      </c>
      <c r="AI64" s="1394">
        <f t="shared" si="17"/>
        <v>0.32941176470588235</v>
      </c>
      <c r="AJ64" s="1394">
        <f t="shared" si="18"/>
        <v>0.25301204819277107</v>
      </c>
      <c r="AK64" s="1394">
        <f t="shared" si="19"/>
        <v>0.40789473684210525</v>
      </c>
      <c r="AL64" s="1394">
        <f t="shared" si="20"/>
        <v>0.38157894736842107</v>
      </c>
      <c r="AM64" s="1394">
        <f t="shared" si="21"/>
        <v>0.47887323943661969</v>
      </c>
      <c r="AN64" s="1394">
        <f t="shared" si="22"/>
        <v>0.37804878048780488</v>
      </c>
      <c r="AO64" s="1394">
        <f t="shared" si="23"/>
        <v>0.34666666666666668</v>
      </c>
      <c r="AP64" s="1394">
        <f t="shared" si="24"/>
        <v>0.41176470588235292</v>
      </c>
      <c r="AQ64" s="1394">
        <f t="shared" si="25"/>
        <v>0.42708333333333331</v>
      </c>
      <c r="AR64" s="1394">
        <f t="shared" si="26"/>
        <v>0.42528735632183906</v>
      </c>
      <c r="AS64" s="1394">
        <f t="shared" si="27"/>
        <v>0.43181818181818182</v>
      </c>
      <c r="AT64" s="1394">
        <f t="shared" si="28"/>
        <v>0.46913580246913578</v>
      </c>
      <c r="AU64" s="1394">
        <f t="shared" si="29"/>
        <v>0.37234042553191488</v>
      </c>
      <c r="AV64" s="1395">
        <f t="shared" si="30"/>
        <v>0.46464646464646464</v>
      </c>
    </row>
    <row r="65" spans="1:48" s="142" customFormat="1" ht="15.75" customHeight="1">
      <c r="A65" s="149" t="s">
        <v>152</v>
      </c>
      <c r="B65" s="189" t="s">
        <v>153</v>
      </c>
      <c r="C65" s="150" t="s">
        <v>268</v>
      </c>
      <c r="D65" s="1359">
        <v>791</v>
      </c>
      <c r="E65" s="1360">
        <v>814</v>
      </c>
      <c r="F65" s="1361">
        <v>822</v>
      </c>
      <c r="G65" s="1360">
        <v>782</v>
      </c>
      <c r="H65" s="1361">
        <v>779</v>
      </c>
      <c r="I65" s="1360">
        <v>832</v>
      </c>
      <c r="J65" s="1361">
        <v>840</v>
      </c>
      <c r="K65" s="1360">
        <v>821</v>
      </c>
      <c r="L65" s="1374">
        <v>887</v>
      </c>
      <c r="M65" s="1374">
        <v>967</v>
      </c>
      <c r="N65" s="1374">
        <v>895</v>
      </c>
      <c r="O65" s="1374">
        <v>840</v>
      </c>
      <c r="P65" s="1375">
        <v>877</v>
      </c>
      <c r="Q65" s="1375">
        <v>891</v>
      </c>
      <c r="R65" s="1376">
        <v>961</v>
      </c>
      <c r="S65" s="1383">
        <v>168</v>
      </c>
      <c r="T65" s="1384">
        <v>168</v>
      </c>
      <c r="U65" s="1384">
        <v>196</v>
      </c>
      <c r="V65" s="1384">
        <v>158</v>
      </c>
      <c r="W65" s="1384">
        <v>162</v>
      </c>
      <c r="X65" s="1384">
        <v>196</v>
      </c>
      <c r="Y65" s="1384">
        <v>193</v>
      </c>
      <c r="Z65" s="1384">
        <v>218</v>
      </c>
      <c r="AA65" s="1384">
        <v>216</v>
      </c>
      <c r="AB65" s="1384">
        <v>265</v>
      </c>
      <c r="AC65" s="1384">
        <v>265</v>
      </c>
      <c r="AD65" s="1384">
        <v>245</v>
      </c>
      <c r="AE65" s="1384">
        <v>243</v>
      </c>
      <c r="AF65" s="1384">
        <v>247</v>
      </c>
      <c r="AG65" s="1385">
        <v>240</v>
      </c>
      <c r="AH65" s="1393">
        <f t="shared" si="16"/>
        <v>0.21238938053097345</v>
      </c>
      <c r="AI65" s="1394">
        <f t="shared" si="17"/>
        <v>0.20638820638820637</v>
      </c>
      <c r="AJ65" s="1394">
        <f t="shared" si="18"/>
        <v>0.23844282238442821</v>
      </c>
      <c r="AK65" s="1394">
        <f t="shared" si="19"/>
        <v>0.20204603580562661</v>
      </c>
      <c r="AL65" s="1394">
        <f t="shared" si="20"/>
        <v>0.2079589216944801</v>
      </c>
      <c r="AM65" s="1394">
        <f t="shared" si="21"/>
        <v>0.23557692307692307</v>
      </c>
      <c r="AN65" s="1394">
        <f t="shared" si="22"/>
        <v>0.22976190476190475</v>
      </c>
      <c r="AO65" s="1394">
        <f t="shared" si="23"/>
        <v>0.26552984165651644</v>
      </c>
      <c r="AP65" s="1394">
        <f t="shared" si="24"/>
        <v>0.24351747463359638</v>
      </c>
      <c r="AQ65" s="1394">
        <f t="shared" si="25"/>
        <v>0.27404343329886244</v>
      </c>
      <c r="AR65" s="1394">
        <f t="shared" si="26"/>
        <v>0.29608938547486036</v>
      </c>
      <c r="AS65" s="1394">
        <f t="shared" si="27"/>
        <v>0.29166666666666669</v>
      </c>
      <c r="AT65" s="1394">
        <f t="shared" si="28"/>
        <v>0.27708095781071834</v>
      </c>
      <c r="AU65" s="1394">
        <f t="shared" si="29"/>
        <v>0.2772166105499439</v>
      </c>
      <c r="AV65" s="1395">
        <f t="shared" si="30"/>
        <v>0.2497398543184183</v>
      </c>
    </row>
    <row r="66" spans="1:48" s="142" customFormat="1" ht="15.75" customHeight="1">
      <c r="A66" s="149" t="s">
        <v>154</v>
      </c>
      <c r="B66" s="189" t="s">
        <v>155</v>
      </c>
      <c r="C66" s="150" t="s">
        <v>265</v>
      </c>
      <c r="D66" s="1359">
        <v>181</v>
      </c>
      <c r="E66" s="1360">
        <v>160</v>
      </c>
      <c r="F66" s="1361">
        <v>158</v>
      </c>
      <c r="G66" s="1360">
        <v>155</v>
      </c>
      <c r="H66" s="1361">
        <v>147</v>
      </c>
      <c r="I66" s="1360">
        <v>164</v>
      </c>
      <c r="J66" s="1361">
        <v>154</v>
      </c>
      <c r="K66" s="1360">
        <v>147</v>
      </c>
      <c r="L66" s="1374">
        <v>143</v>
      </c>
      <c r="M66" s="1374">
        <v>159</v>
      </c>
      <c r="N66" s="1374">
        <v>168</v>
      </c>
      <c r="O66" s="1374">
        <v>141</v>
      </c>
      <c r="P66" s="1375">
        <v>146</v>
      </c>
      <c r="Q66" s="1375">
        <v>125</v>
      </c>
      <c r="R66" s="1376">
        <v>137</v>
      </c>
      <c r="S66" s="1383">
        <v>63</v>
      </c>
      <c r="T66" s="1384">
        <v>49</v>
      </c>
      <c r="U66" s="1384">
        <v>68</v>
      </c>
      <c r="V66" s="1384">
        <v>48</v>
      </c>
      <c r="W66" s="1384">
        <v>47</v>
      </c>
      <c r="X66" s="1384">
        <v>56</v>
      </c>
      <c r="Y66" s="1384">
        <v>48</v>
      </c>
      <c r="Z66" s="1384">
        <v>56</v>
      </c>
      <c r="AA66" s="1384">
        <v>53</v>
      </c>
      <c r="AB66" s="1384">
        <v>77</v>
      </c>
      <c r="AC66" s="1384">
        <v>63</v>
      </c>
      <c r="AD66" s="1384">
        <v>66</v>
      </c>
      <c r="AE66" s="1384">
        <v>57</v>
      </c>
      <c r="AF66" s="1384">
        <v>54</v>
      </c>
      <c r="AG66" s="1385">
        <v>52</v>
      </c>
      <c r="AH66" s="1393">
        <f t="shared" si="16"/>
        <v>0.34806629834254144</v>
      </c>
      <c r="AI66" s="1394">
        <f t="shared" si="17"/>
        <v>0.30625000000000002</v>
      </c>
      <c r="AJ66" s="1394">
        <f t="shared" si="18"/>
        <v>0.43037974683544306</v>
      </c>
      <c r="AK66" s="1394">
        <f t="shared" si="19"/>
        <v>0.30967741935483872</v>
      </c>
      <c r="AL66" s="1394">
        <f t="shared" si="20"/>
        <v>0.31972789115646261</v>
      </c>
      <c r="AM66" s="1394">
        <f t="shared" si="21"/>
        <v>0.34146341463414637</v>
      </c>
      <c r="AN66" s="1394">
        <f t="shared" si="22"/>
        <v>0.31168831168831168</v>
      </c>
      <c r="AO66" s="1394">
        <f t="shared" si="23"/>
        <v>0.38095238095238093</v>
      </c>
      <c r="AP66" s="1394">
        <f t="shared" si="24"/>
        <v>0.37062937062937062</v>
      </c>
      <c r="AQ66" s="1394">
        <f t="shared" si="25"/>
        <v>0.48427672955974843</v>
      </c>
      <c r="AR66" s="1394">
        <f t="shared" si="26"/>
        <v>0.375</v>
      </c>
      <c r="AS66" s="1394">
        <f t="shared" si="27"/>
        <v>0.46808510638297873</v>
      </c>
      <c r="AT66" s="1394">
        <f t="shared" si="28"/>
        <v>0.3904109589041096</v>
      </c>
      <c r="AU66" s="1394">
        <f t="shared" si="29"/>
        <v>0.432</v>
      </c>
      <c r="AV66" s="1395">
        <f t="shared" si="30"/>
        <v>0.37956204379562042</v>
      </c>
    </row>
    <row r="67" spans="1:48" s="142" customFormat="1" ht="15.75" customHeight="1">
      <c r="A67" s="149" t="s">
        <v>156</v>
      </c>
      <c r="B67" s="189" t="s">
        <v>157</v>
      </c>
      <c r="C67" s="150" t="s">
        <v>266</v>
      </c>
      <c r="D67" s="1359">
        <v>140</v>
      </c>
      <c r="E67" s="1360">
        <v>135</v>
      </c>
      <c r="F67" s="1361">
        <v>157</v>
      </c>
      <c r="G67" s="1360">
        <v>137</v>
      </c>
      <c r="H67" s="1361">
        <v>159</v>
      </c>
      <c r="I67" s="1360">
        <v>141</v>
      </c>
      <c r="J67" s="1361">
        <v>175</v>
      </c>
      <c r="K67" s="1360">
        <v>174</v>
      </c>
      <c r="L67" s="1374">
        <v>172</v>
      </c>
      <c r="M67" s="1374">
        <v>180</v>
      </c>
      <c r="N67" s="1374">
        <v>156</v>
      </c>
      <c r="O67" s="1374">
        <v>172</v>
      </c>
      <c r="P67" s="1375">
        <v>191</v>
      </c>
      <c r="Q67" s="1375">
        <v>191</v>
      </c>
      <c r="R67" s="1376">
        <v>190</v>
      </c>
      <c r="S67" s="1383">
        <v>34</v>
      </c>
      <c r="T67" s="1384">
        <v>28</v>
      </c>
      <c r="U67" s="1384">
        <v>29</v>
      </c>
      <c r="V67" s="1384">
        <v>32</v>
      </c>
      <c r="W67" s="1384">
        <v>39</v>
      </c>
      <c r="X67" s="1384">
        <v>23</v>
      </c>
      <c r="Y67" s="1384">
        <v>35</v>
      </c>
      <c r="Z67" s="1384">
        <v>43</v>
      </c>
      <c r="AA67" s="1384">
        <v>42</v>
      </c>
      <c r="AB67" s="1384">
        <v>44</v>
      </c>
      <c r="AC67" s="1384">
        <v>45</v>
      </c>
      <c r="AD67" s="1384">
        <v>53</v>
      </c>
      <c r="AE67" s="1384">
        <v>60</v>
      </c>
      <c r="AF67" s="1384">
        <v>49</v>
      </c>
      <c r="AG67" s="1385">
        <v>49</v>
      </c>
      <c r="AH67" s="1393">
        <f t="shared" si="16"/>
        <v>0.24285714285714285</v>
      </c>
      <c r="AI67" s="1394">
        <f t="shared" si="17"/>
        <v>0.2074074074074074</v>
      </c>
      <c r="AJ67" s="1394">
        <f t="shared" si="18"/>
        <v>0.18471337579617833</v>
      </c>
      <c r="AK67" s="1394">
        <f t="shared" si="19"/>
        <v>0.23357664233576642</v>
      </c>
      <c r="AL67" s="1394">
        <f t="shared" si="20"/>
        <v>0.24528301886792453</v>
      </c>
      <c r="AM67" s="1394">
        <f t="shared" si="21"/>
        <v>0.16312056737588654</v>
      </c>
      <c r="AN67" s="1394">
        <f t="shared" si="22"/>
        <v>0.2</v>
      </c>
      <c r="AO67" s="1394">
        <f t="shared" si="23"/>
        <v>0.2471264367816092</v>
      </c>
      <c r="AP67" s="1394">
        <f t="shared" si="24"/>
        <v>0.2441860465116279</v>
      </c>
      <c r="AQ67" s="1394">
        <f t="shared" si="25"/>
        <v>0.24444444444444444</v>
      </c>
      <c r="AR67" s="1394">
        <f t="shared" si="26"/>
        <v>0.28846153846153844</v>
      </c>
      <c r="AS67" s="1394">
        <f t="shared" si="27"/>
        <v>0.30813953488372092</v>
      </c>
      <c r="AT67" s="1394">
        <f t="shared" si="28"/>
        <v>0.31413612565445026</v>
      </c>
      <c r="AU67" s="1394">
        <f t="shared" si="29"/>
        <v>0.25654450261780104</v>
      </c>
      <c r="AV67" s="1395">
        <f t="shared" si="30"/>
        <v>0.25789473684210529</v>
      </c>
    </row>
    <row r="68" spans="1:48" s="142" customFormat="1" ht="15.75" customHeight="1">
      <c r="A68" s="149" t="s">
        <v>162</v>
      </c>
      <c r="B68" s="189" t="s">
        <v>163</v>
      </c>
      <c r="C68" s="150" t="s">
        <v>264</v>
      </c>
      <c r="D68" s="1359">
        <v>147</v>
      </c>
      <c r="E68" s="1360">
        <v>188</v>
      </c>
      <c r="F68" s="1361">
        <v>151</v>
      </c>
      <c r="G68" s="1360">
        <v>188</v>
      </c>
      <c r="H68" s="1361">
        <v>135</v>
      </c>
      <c r="I68" s="1360">
        <v>166</v>
      </c>
      <c r="J68" s="1361">
        <v>162</v>
      </c>
      <c r="K68" s="1360">
        <v>165</v>
      </c>
      <c r="L68" s="1374">
        <v>165</v>
      </c>
      <c r="M68" s="1374">
        <v>173</v>
      </c>
      <c r="N68" s="1374">
        <v>165</v>
      </c>
      <c r="O68" s="1374">
        <v>128</v>
      </c>
      <c r="P68" s="1375">
        <v>159</v>
      </c>
      <c r="Q68" s="1375">
        <v>162</v>
      </c>
      <c r="R68" s="1376">
        <v>118</v>
      </c>
      <c r="S68" s="1383">
        <v>87</v>
      </c>
      <c r="T68" s="1384">
        <v>94</v>
      </c>
      <c r="U68" s="1384">
        <v>93</v>
      </c>
      <c r="V68" s="1384">
        <v>102</v>
      </c>
      <c r="W68" s="1384">
        <v>82</v>
      </c>
      <c r="X68" s="1384">
        <v>85</v>
      </c>
      <c r="Y68" s="1384">
        <v>86</v>
      </c>
      <c r="Z68" s="1384">
        <v>100</v>
      </c>
      <c r="AA68" s="1384">
        <v>103</v>
      </c>
      <c r="AB68" s="1384">
        <v>100</v>
      </c>
      <c r="AC68" s="1384">
        <v>103</v>
      </c>
      <c r="AD68" s="1384">
        <v>77</v>
      </c>
      <c r="AE68" s="1384">
        <v>95</v>
      </c>
      <c r="AF68" s="1384">
        <v>110</v>
      </c>
      <c r="AG68" s="1385">
        <v>69</v>
      </c>
      <c r="AH68" s="1393">
        <f t="shared" si="16"/>
        <v>0.59183673469387754</v>
      </c>
      <c r="AI68" s="1394">
        <f t="shared" si="17"/>
        <v>0.5</v>
      </c>
      <c r="AJ68" s="1394">
        <f t="shared" si="18"/>
        <v>0.61589403973509937</v>
      </c>
      <c r="AK68" s="1394">
        <f t="shared" si="19"/>
        <v>0.54255319148936165</v>
      </c>
      <c r="AL68" s="1394">
        <f t="shared" si="20"/>
        <v>0.6074074074074074</v>
      </c>
      <c r="AM68" s="1394">
        <f t="shared" si="21"/>
        <v>0.51204819277108438</v>
      </c>
      <c r="AN68" s="1394">
        <f t="shared" si="22"/>
        <v>0.53086419753086422</v>
      </c>
      <c r="AO68" s="1394">
        <f t="shared" si="23"/>
        <v>0.60606060606060608</v>
      </c>
      <c r="AP68" s="1394">
        <f t="shared" si="24"/>
        <v>0.62424242424242427</v>
      </c>
      <c r="AQ68" s="1394">
        <f t="shared" si="25"/>
        <v>0.5780346820809249</v>
      </c>
      <c r="AR68" s="1394">
        <f t="shared" si="26"/>
        <v>0.62424242424242427</v>
      </c>
      <c r="AS68" s="1394">
        <f t="shared" si="27"/>
        <v>0.6015625</v>
      </c>
      <c r="AT68" s="1394">
        <f t="shared" si="28"/>
        <v>0.59748427672955973</v>
      </c>
      <c r="AU68" s="1394">
        <f t="shared" si="29"/>
        <v>0.67901234567901236</v>
      </c>
      <c r="AV68" s="1395">
        <f t="shared" si="30"/>
        <v>0.5847457627118644</v>
      </c>
    </row>
    <row r="69" spans="1:48" s="142" customFormat="1" ht="15.75" customHeight="1">
      <c r="A69" s="149" t="s">
        <v>164</v>
      </c>
      <c r="B69" s="189" t="s">
        <v>165</v>
      </c>
      <c r="C69" s="150" t="s">
        <v>266</v>
      </c>
      <c r="D69" s="1359">
        <v>95</v>
      </c>
      <c r="E69" s="1360">
        <v>118</v>
      </c>
      <c r="F69" s="1361">
        <v>99</v>
      </c>
      <c r="G69" s="1360">
        <v>124</v>
      </c>
      <c r="H69" s="1361">
        <v>108</v>
      </c>
      <c r="I69" s="1360">
        <v>97</v>
      </c>
      <c r="J69" s="1361">
        <v>109</v>
      </c>
      <c r="K69" s="1360">
        <v>121</v>
      </c>
      <c r="L69" s="1374">
        <v>110</v>
      </c>
      <c r="M69" s="1374">
        <v>105</v>
      </c>
      <c r="N69" s="1374">
        <v>101</v>
      </c>
      <c r="O69" s="1374">
        <v>111</v>
      </c>
      <c r="P69" s="1375">
        <v>103</v>
      </c>
      <c r="Q69" s="1375">
        <v>90</v>
      </c>
      <c r="R69" s="1376">
        <v>96</v>
      </c>
      <c r="S69" s="1383">
        <v>42</v>
      </c>
      <c r="T69" s="1384">
        <v>54</v>
      </c>
      <c r="U69" s="1384">
        <v>47</v>
      </c>
      <c r="V69" s="1384">
        <v>60</v>
      </c>
      <c r="W69" s="1384">
        <v>62</v>
      </c>
      <c r="X69" s="1384">
        <v>50</v>
      </c>
      <c r="Y69" s="1384">
        <v>50</v>
      </c>
      <c r="Z69" s="1384">
        <v>63</v>
      </c>
      <c r="AA69" s="1384">
        <v>60</v>
      </c>
      <c r="AB69" s="1384">
        <v>62</v>
      </c>
      <c r="AC69" s="1384">
        <v>57</v>
      </c>
      <c r="AD69" s="1384">
        <v>67</v>
      </c>
      <c r="AE69" s="1384">
        <v>55</v>
      </c>
      <c r="AF69" s="1384">
        <v>51</v>
      </c>
      <c r="AG69" s="1385">
        <v>55</v>
      </c>
      <c r="AH69" s="1393">
        <f t="shared" ref="AH69:AH100" si="31">S69/D69</f>
        <v>0.44210526315789472</v>
      </c>
      <c r="AI69" s="1394">
        <f t="shared" si="17"/>
        <v>0.4576271186440678</v>
      </c>
      <c r="AJ69" s="1394">
        <f t="shared" si="18"/>
        <v>0.47474747474747475</v>
      </c>
      <c r="AK69" s="1394">
        <f t="shared" si="19"/>
        <v>0.4838709677419355</v>
      </c>
      <c r="AL69" s="1394">
        <f t="shared" si="20"/>
        <v>0.57407407407407407</v>
      </c>
      <c r="AM69" s="1394">
        <f t="shared" si="21"/>
        <v>0.51546391752577314</v>
      </c>
      <c r="AN69" s="1394">
        <f t="shared" si="22"/>
        <v>0.45871559633027525</v>
      </c>
      <c r="AO69" s="1394">
        <f t="shared" si="23"/>
        <v>0.52066115702479343</v>
      </c>
      <c r="AP69" s="1394">
        <f t="shared" si="24"/>
        <v>0.54545454545454541</v>
      </c>
      <c r="AQ69" s="1394">
        <f t="shared" si="25"/>
        <v>0.59047619047619049</v>
      </c>
      <c r="AR69" s="1394">
        <f t="shared" si="26"/>
        <v>0.5643564356435643</v>
      </c>
      <c r="AS69" s="1394">
        <f t="shared" si="27"/>
        <v>0.60360360360360366</v>
      </c>
      <c r="AT69" s="1394">
        <f t="shared" si="28"/>
        <v>0.53398058252427183</v>
      </c>
      <c r="AU69" s="1394">
        <f t="shared" si="29"/>
        <v>0.56666666666666665</v>
      </c>
      <c r="AV69" s="1395">
        <f t="shared" si="30"/>
        <v>0.57291666666666663</v>
      </c>
    </row>
    <row r="70" spans="1:48" s="142" customFormat="1" ht="15.75" customHeight="1">
      <c r="A70" s="149" t="s">
        <v>168</v>
      </c>
      <c r="B70" s="189" t="s">
        <v>169</v>
      </c>
      <c r="C70" s="150" t="s">
        <v>266</v>
      </c>
      <c r="D70" s="1359">
        <v>165</v>
      </c>
      <c r="E70" s="1360">
        <v>193</v>
      </c>
      <c r="F70" s="1361">
        <v>188</v>
      </c>
      <c r="G70" s="1360">
        <v>163</v>
      </c>
      <c r="H70" s="1361">
        <v>196</v>
      </c>
      <c r="I70" s="1360">
        <v>162</v>
      </c>
      <c r="J70" s="1361">
        <v>184</v>
      </c>
      <c r="K70" s="1360">
        <v>181</v>
      </c>
      <c r="L70" s="1374">
        <v>171</v>
      </c>
      <c r="M70" s="1374">
        <v>161</v>
      </c>
      <c r="N70" s="1374">
        <v>192</v>
      </c>
      <c r="O70" s="1374">
        <v>184</v>
      </c>
      <c r="P70" s="1375">
        <v>159</v>
      </c>
      <c r="Q70" s="1375">
        <v>165</v>
      </c>
      <c r="R70" s="1376">
        <v>187</v>
      </c>
      <c r="S70" s="1383">
        <v>73</v>
      </c>
      <c r="T70" s="1384">
        <v>91</v>
      </c>
      <c r="U70" s="1384">
        <v>88</v>
      </c>
      <c r="V70" s="1384">
        <v>79</v>
      </c>
      <c r="W70" s="1384">
        <v>94</v>
      </c>
      <c r="X70" s="1384">
        <v>78</v>
      </c>
      <c r="Y70" s="1384">
        <v>77</v>
      </c>
      <c r="Z70" s="1384">
        <v>79</v>
      </c>
      <c r="AA70" s="1384">
        <v>92</v>
      </c>
      <c r="AB70" s="1384">
        <v>84</v>
      </c>
      <c r="AC70" s="1384">
        <v>116</v>
      </c>
      <c r="AD70" s="1384">
        <v>106</v>
      </c>
      <c r="AE70" s="1384">
        <v>84</v>
      </c>
      <c r="AF70" s="1384">
        <v>91</v>
      </c>
      <c r="AG70" s="1385">
        <v>112</v>
      </c>
      <c r="AH70" s="1393">
        <f t="shared" si="31"/>
        <v>0.44242424242424244</v>
      </c>
      <c r="AI70" s="1394">
        <f t="shared" ref="AI70:AI101" si="32">T70/E70</f>
        <v>0.47150259067357514</v>
      </c>
      <c r="AJ70" s="1394">
        <f t="shared" ref="AJ70:AJ101" si="33">U70/F70</f>
        <v>0.46808510638297873</v>
      </c>
      <c r="AK70" s="1394">
        <f t="shared" ref="AK70:AK101" si="34">V70/G70</f>
        <v>0.48466257668711654</v>
      </c>
      <c r="AL70" s="1394">
        <f t="shared" ref="AL70:AL101" si="35">W70/H70</f>
        <v>0.47959183673469385</v>
      </c>
      <c r="AM70" s="1394">
        <f t="shared" ref="AM70:AM101" si="36">X70/I70</f>
        <v>0.48148148148148145</v>
      </c>
      <c r="AN70" s="1394">
        <f t="shared" ref="AN70:AN101" si="37">Y70/J70</f>
        <v>0.41847826086956524</v>
      </c>
      <c r="AO70" s="1394">
        <f t="shared" ref="AO70:AO101" si="38">Z70/K70</f>
        <v>0.43646408839779005</v>
      </c>
      <c r="AP70" s="1394">
        <f t="shared" ref="AP70:AP101" si="39">AA70/L70</f>
        <v>0.53801169590643272</v>
      </c>
      <c r="AQ70" s="1394">
        <f t="shared" ref="AQ70:AQ101" si="40">AB70/M70</f>
        <v>0.52173913043478259</v>
      </c>
      <c r="AR70" s="1394">
        <f t="shared" ref="AR70:AR101" si="41">AC70/N70</f>
        <v>0.60416666666666663</v>
      </c>
      <c r="AS70" s="1394">
        <f t="shared" ref="AS70:AS101" si="42">AD70/O70</f>
        <v>0.57608695652173914</v>
      </c>
      <c r="AT70" s="1394">
        <f t="shared" ref="AT70:AT101" si="43">AE70/P70</f>
        <v>0.52830188679245282</v>
      </c>
      <c r="AU70" s="1394">
        <f t="shared" ref="AU70:AU101" si="44">AF70/Q70</f>
        <v>0.55151515151515151</v>
      </c>
      <c r="AV70" s="1395">
        <f t="shared" ref="AV70:AV101" si="45">AG70/R70</f>
        <v>0.59893048128342241</v>
      </c>
    </row>
    <row r="71" spans="1:48" s="142" customFormat="1" ht="15.75" customHeight="1">
      <c r="A71" s="149" t="s">
        <v>170</v>
      </c>
      <c r="B71" s="189" t="s">
        <v>171</v>
      </c>
      <c r="C71" s="150" t="s">
        <v>267</v>
      </c>
      <c r="D71" s="1359">
        <v>307</v>
      </c>
      <c r="E71" s="1360">
        <v>339</v>
      </c>
      <c r="F71" s="1361">
        <v>324</v>
      </c>
      <c r="G71" s="1360">
        <v>302</v>
      </c>
      <c r="H71" s="1361">
        <v>324</v>
      </c>
      <c r="I71" s="1360">
        <v>301</v>
      </c>
      <c r="J71" s="1361">
        <v>355</v>
      </c>
      <c r="K71" s="1360">
        <v>381</v>
      </c>
      <c r="L71" s="1374">
        <v>374</v>
      </c>
      <c r="M71" s="1374">
        <v>410</v>
      </c>
      <c r="N71" s="1374">
        <v>419</v>
      </c>
      <c r="O71" s="1374">
        <v>351</v>
      </c>
      <c r="P71" s="1375">
        <v>390</v>
      </c>
      <c r="Q71" s="1375">
        <v>413</v>
      </c>
      <c r="R71" s="1376">
        <v>369</v>
      </c>
      <c r="S71" s="1383">
        <v>105</v>
      </c>
      <c r="T71" s="1384">
        <v>107</v>
      </c>
      <c r="U71" s="1384">
        <v>122</v>
      </c>
      <c r="V71" s="1384">
        <v>109</v>
      </c>
      <c r="W71" s="1384">
        <v>115</v>
      </c>
      <c r="X71" s="1384">
        <v>104</v>
      </c>
      <c r="Y71" s="1384">
        <v>117</v>
      </c>
      <c r="Z71" s="1384">
        <v>133</v>
      </c>
      <c r="AA71" s="1384">
        <v>120</v>
      </c>
      <c r="AB71" s="1384">
        <v>148</v>
      </c>
      <c r="AC71" s="1384">
        <v>161</v>
      </c>
      <c r="AD71" s="1384">
        <v>133</v>
      </c>
      <c r="AE71" s="1384">
        <v>144</v>
      </c>
      <c r="AF71" s="1384">
        <v>159</v>
      </c>
      <c r="AG71" s="1385">
        <v>135</v>
      </c>
      <c r="AH71" s="1393">
        <f t="shared" si="31"/>
        <v>0.34201954397394135</v>
      </c>
      <c r="AI71" s="1394">
        <f t="shared" si="32"/>
        <v>0.31563421828908556</v>
      </c>
      <c r="AJ71" s="1394">
        <f t="shared" si="33"/>
        <v>0.37654320987654322</v>
      </c>
      <c r="AK71" s="1394">
        <f t="shared" si="34"/>
        <v>0.36092715231788081</v>
      </c>
      <c r="AL71" s="1394">
        <f t="shared" si="35"/>
        <v>0.35493827160493829</v>
      </c>
      <c r="AM71" s="1394">
        <f t="shared" si="36"/>
        <v>0.34551495016611294</v>
      </c>
      <c r="AN71" s="1394">
        <f t="shared" si="37"/>
        <v>0.3295774647887324</v>
      </c>
      <c r="AO71" s="1394">
        <f t="shared" si="38"/>
        <v>0.34908136482939633</v>
      </c>
      <c r="AP71" s="1394">
        <f t="shared" si="39"/>
        <v>0.32085561497326204</v>
      </c>
      <c r="AQ71" s="1394">
        <f t="shared" si="40"/>
        <v>0.36097560975609755</v>
      </c>
      <c r="AR71" s="1394">
        <f t="shared" si="41"/>
        <v>0.38424821002386633</v>
      </c>
      <c r="AS71" s="1394">
        <f t="shared" si="42"/>
        <v>0.37891737891737892</v>
      </c>
      <c r="AT71" s="1394">
        <f t="shared" si="43"/>
        <v>0.36923076923076925</v>
      </c>
      <c r="AU71" s="1394">
        <f t="shared" si="44"/>
        <v>0.38498789346246975</v>
      </c>
      <c r="AV71" s="1395">
        <f t="shared" si="45"/>
        <v>0.36585365853658536</v>
      </c>
    </row>
    <row r="72" spans="1:48" s="142" customFormat="1" ht="15.75" customHeight="1">
      <c r="A72" s="149" t="s">
        <v>172</v>
      </c>
      <c r="B72" s="189" t="s">
        <v>173</v>
      </c>
      <c r="C72" s="150" t="s">
        <v>267</v>
      </c>
      <c r="D72" s="1359">
        <v>245</v>
      </c>
      <c r="E72" s="1360">
        <v>256</v>
      </c>
      <c r="F72" s="1361">
        <v>266</v>
      </c>
      <c r="G72" s="1360">
        <v>274</v>
      </c>
      <c r="H72" s="1361">
        <v>284</v>
      </c>
      <c r="I72" s="1360">
        <v>278</v>
      </c>
      <c r="J72" s="1361">
        <v>276</v>
      </c>
      <c r="K72" s="1360">
        <v>252</v>
      </c>
      <c r="L72" s="1374">
        <v>278</v>
      </c>
      <c r="M72" s="1374">
        <v>225</v>
      </c>
      <c r="N72" s="1374">
        <v>264</v>
      </c>
      <c r="O72" s="1374">
        <v>243</v>
      </c>
      <c r="P72" s="1375">
        <v>233</v>
      </c>
      <c r="Q72" s="1375">
        <v>229</v>
      </c>
      <c r="R72" s="1376">
        <v>232</v>
      </c>
      <c r="S72" s="1383">
        <v>95</v>
      </c>
      <c r="T72" s="1384">
        <v>90</v>
      </c>
      <c r="U72" s="1384">
        <v>94</v>
      </c>
      <c r="V72" s="1384">
        <v>102</v>
      </c>
      <c r="W72" s="1384">
        <v>101</v>
      </c>
      <c r="X72" s="1384">
        <v>94</v>
      </c>
      <c r="Y72" s="1384">
        <v>107</v>
      </c>
      <c r="Z72" s="1384">
        <v>92</v>
      </c>
      <c r="AA72" s="1384">
        <v>115</v>
      </c>
      <c r="AB72" s="1384">
        <v>88</v>
      </c>
      <c r="AC72" s="1384">
        <v>122</v>
      </c>
      <c r="AD72" s="1384">
        <v>106</v>
      </c>
      <c r="AE72" s="1384">
        <v>95</v>
      </c>
      <c r="AF72" s="1384">
        <v>117</v>
      </c>
      <c r="AG72" s="1385">
        <v>123</v>
      </c>
      <c r="AH72" s="1393">
        <f t="shared" si="31"/>
        <v>0.38775510204081631</v>
      </c>
      <c r="AI72" s="1394">
        <f t="shared" si="32"/>
        <v>0.3515625</v>
      </c>
      <c r="AJ72" s="1394">
        <f t="shared" si="33"/>
        <v>0.35338345864661652</v>
      </c>
      <c r="AK72" s="1394">
        <f t="shared" si="34"/>
        <v>0.37226277372262773</v>
      </c>
      <c r="AL72" s="1394">
        <f t="shared" si="35"/>
        <v>0.35563380281690143</v>
      </c>
      <c r="AM72" s="1394">
        <f t="shared" si="36"/>
        <v>0.33812949640287771</v>
      </c>
      <c r="AN72" s="1394">
        <f t="shared" si="37"/>
        <v>0.38768115942028986</v>
      </c>
      <c r="AO72" s="1394">
        <f t="shared" si="38"/>
        <v>0.36507936507936506</v>
      </c>
      <c r="AP72" s="1394">
        <f t="shared" si="39"/>
        <v>0.41366906474820142</v>
      </c>
      <c r="AQ72" s="1394">
        <f t="shared" si="40"/>
        <v>0.39111111111111113</v>
      </c>
      <c r="AR72" s="1394">
        <f t="shared" si="41"/>
        <v>0.4621212121212121</v>
      </c>
      <c r="AS72" s="1394">
        <f t="shared" si="42"/>
        <v>0.43621399176954734</v>
      </c>
      <c r="AT72" s="1394">
        <f t="shared" si="43"/>
        <v>0.40772532188841204</v>
      </c>
      <c r="AU72" s="1394">
        <f t="shared" si="44"/>
        <v>0.51091703056768556</v>
      </c>
      <c r="AV72" s="1395">
        <f t="shared" si="45"/>
        <v>0.53017241379310343</v>
      </c>
    </row>
    <row r="73" spans="1:48" s="142" customFormat="1" ht="15.75" customHeight="1">
      <c r="A73" s="149" t="s">
        <v>174</v>
      </c>
      <c r="B73" s="189" t="s">
        <v>175</v>
      </c>
      <c r="C73" s="150" t="s">
        <v>268</v>
      </c>
      <c r="D73" s="1359">
        <v>192</v>
      </c>
      <c r="E73" s="1360">
        <v>183</v>
      </c>
      <c r="F73" s="1361">
        <v>171</v>
      </c>
      <c r="G73" s="1360">
        <v>160</v>
      </c>
      <c r="H73" s="1361">
        <v>169</v>
      </c>
      <c r="I73" s="1360">
        <v>170</v>
      </c>
      <c r="J73" s="1361">
        <v>184</v>
      </c>
      <c r="K73" s="1360">
        <v>189</v>
      </c>
      <c r="L73" s="1374">
        <v>174</v>
      </c>
      <c r="M73" s="1374">
        <v>154</v>
      </c>
      <c r="N73" s="1374">
        <v>173</v>
      </c>
      <c r="O73" s="1374">
        <v>143</v>
      </c>
      <c r="P73" s="1375">
        <v>173</v>
      </c>
      <c r="Q73" s="1375">
        <v>143</v>
      </c>
      <c r="R73" s="1376">
        <v>156</v>
      </c>
      <c r="S73" s="1383">
        <v>55</v>
      </c>
      <c r="T73" s="1384">
        <v>38</v>
      </c>
      <c r="U73" s="1384">
        <v>29</v>
      </c>
      <c r="V73" s="1384">
        <v>48</v>
      </c>
      <c r="W73" s="1384">
        <v>48</v>
      </c>
      <c r="X73" s="1384">
        <v>44</v>
      </c>
      <c r="Y73" s="1384">
        <v>46</v>
      </c>
      <c r="Z73" s="1384">
        <v>57</v>
      </c>
      <c r="AA73" s="1384">
        <v>50</v>
      </c>
      <c r="AB73" s="1384">
        <v>39</v>
      </c>
      <c r="AC73" s="1384">
        <v>48</v>
      </c>
      <c r="AD73" s="1384">
        <v>54</v>
      </c>
      <c r="AE73" s="1384">
        <v>57</v>
      </c>
      <c r="AF73" s="1384">
        <v>54</v>
      </c>
      <c r="AG73" s="1385">
        <v>58</v>
      </c>
      <c r="AH73" s="1393">
        <f t="shared" si="31"/>
        <v>0.28645833333333331</v>
      </c>
      <c r="AI73" s="1394">
        <f t="shared" si="32"/>
        <v>0.20765027322404372</v>
      </c>
      <c r="AJ73" s="1394">
        <f t="shared" si="33"/>
        <v>0.16959064327485379</v>
      </c>
      <c r="AK73" s="1394">
        <f t="shared" si="34"/>
        <v>0.3</v>
      </c>
      <c r="AL73" s="1394">
        <f t="shared" si="35"/>
        <v>0.28402366863905326</v>
      </c>
      <c r="AM73" s="1394">
        <f t="shared" si="36"/>
        <v>0.25882352941176473</v>
      </c>
      <c r="AN73" s="1394">
        <f t="shared" si="37"/>
        <v>0.25</v>
      </c>
      <c r="AO73" s="1394">
        <f t="shared" si="38"/>
        <v>0.30158730158730157</v>
      </c>
      <c r="AP73" s="1394">
        <f t="shared" si="39"/>
        <v>0.28735632183908044</v>
      </c>
      <c r="AQ73" s="1394">
        <f t="shared" si="40"/>
        <v>0.25324675324675322</v>
      </c>
      <c r="AR73" s="1394">
        <f t="shared" si="41"/>
        <v>0.2774566473988439</v>
      </c>
      <c r="AS73" s="1394">
        <f t="shared" si="42"/>
        <v>0.3776223776223776</v>
      </c>
      <c r="AT73" s="1394">
        <f t="shared" si="43"/>
        <v>0.32947976878612717</v>
      </c>
      <c r="AU73" s="1394">
        <f t="shared" si="44"/>
        <v>0.3776223776223776</v>
      </c>
      <c r="AV73" s="1395">
        <f t="shared" si="45"/>
        <v>0.37179487179487181</v>
      </c>
    </row>
    <row r="74" spans="1:48" s="142" customFormat="1" ht="15.75" customHeight="1">
      <c r="A74" s="149" t="s">
        <v>178</v>
      </c>
      <c r="B74" s="189" t="s">
        <v>179</v>
      </c>
      <c r="C74" s="150" t="s">
        <v>265</v>
      </c>
      <c r="D74" s="1359">
        <v>671</v>
      </c>
      <c r="E74" s="1360">
        <v>753</v>
      </c>
      <c r="F74" s="1361">
        <v>749</v>
      </c>
      <c r="G74" s="1360">
        <v>699</v>
      </c>
      <c r="H74" s="1361">
        <v>658</v>
      </c>
      <c r="I74" s="1360">
        <v>674</v>
      </c>
      <c r="J74" s="1361">
        <v>652</v>
      </c>
      <c r="K74" s="1360">
        <v>665</v>
      </c>
      <c r="L74" s="1374">
        <v>644</v>
      </c>
      <c r="M74" s="1374">
        <v>638</v>
      </c>
      <c r="N74" s="1374">
        <v>622</v>
      </c>
      <c r="O74" s="1374">
        <v>574</v>
      </c>
      <c r="P74" s="1375">
        <v>508</v>
      </c>
      <c r="Q74" s="1375">
        <v>450</v>
      </c>
      <c r="R74" s="1376">
        <v>540</v>
      </c>
      <c r="S74" s="1383">
        <v>204</v>
      </c>
      <c r="T74" s="1384">
        <v>252</v>
      </c>
      <c r="U74" s="1384">
        <v>249</v>
      </c>
      <c r="V74" s="1384">
        <v>223</v>
      </c>
      <c r="W74" s="1384">
        <v>216</v>
      </c>
      <c r="X74" s="1384">
        <v>233</v>
      </c>
      <c r="Y74" s="1384">
        <v>234</v>
      </c>
      <c r="Z74" s="1384">
        <v>271</v>
      </c>
      <c r="AA74" s="1384">
        <v>261</v>
      </c>
      <c r="AB74" s="1384">
        <v>285</v>
      </c>
      <c r="AC74" s="1384">
        <v>248</v>
      </c>
      <c r="AD74" s="1384">
        <v>241</v>
      </c>
      <c r="AE74" s="1384">
        <v>216</v>
      </c>
      <c r="AF74" s="1384">
        <v>196</v>
      </c>
      <c r="AG74" s="1385">
        <v>244</v>
      </c>
      <c r="AH74" s="1393">
        <f t="shared" si="31"/>
        <v>0.30402384500745155</v>
      </c>
      <c r="AI74" s="1394">
        <f t="shared" si="32"/>
        <v>0.33466135458167329</v>
      </c>
      <c r="AJ74" s="1394">
        <f t="shared" si="33"/>
        <v>0.33244325767690253</v>
      </c>
      <c r="AK74" s="1394">
        <f t="shared" si="34"/>
        <v>0.31902718168812588</v>
      </c>
      <c r="AL74" s="1394">
        <f t="shared" si="35"/>
        <v>0.32826747720364741</v>
      </c>
      <c r="AM74" s="1394">
        <f t="shared" si="36"/>
        <v>0.3456973293768546</v>
      </c>
      <c r="AN74" s="1394">
        <f t="shared" si="37"/>
        <v>0.35889570552147237</v>
      </c>
      <c r="AO74" s="1394">
        <f t="shared" si="38"/>
        <v>0.40751879699248122</v>
      </c>
      <c r="AP74" s="1394">
        <f t="shared" si="39"/>
        <v>0.40527950310559008</v>
      </c>
      <c r="AQ74" s="1394">
        <f t="shared" si="40"/>
        <v>0.44670846394984326</v>
      </c>
      <c r="AR74" s="1394">
        <f t="shared" si="41"/>
        <v>0.3987138263665595</v>
      </c>
      <c r="AS74" s="1394">
        <f t="shared" si="42"/>
        <v>0.41986062717770034</v>
      </c>
      <c r="AT74" s="1394">
        <f t="shared" si="43"/>
        <v>0.42519685039370081</v>
      </c>
      <c r="AU74" s="1394">
        <f t="shared" si="44"/>
        <v>0.43555555555555553</v>
      </c>
      <c r="AV74" s="1395">
        <f t="shared" si="45"/>
        <v>0.45185185185185184</v>
      </c>
    </row>
    <row r="75" spans="1:48" s="142" customFormat="1" ht="15.75" customHeight="1">
      <c r="A75" s="149" t="s">
        <v>182</v>
      </c>
      <c r="B75" s="189" t="s">
        <v>183</v>
      </c>
      <c r="C75" s="150" t="s">
        <v>266</v>
      </c>
      <c r="D75" s="1359">
        <v>246</v>
      </c>
      <c r="E75" s="1360">
        <v>263</v>
      </c>
      <c r="F75" s="1361">
        <v>259</v>
      </c>
      <c r="G75" s="1360">
        <v>270</v>
      </c>
      <c r="H75" s="1361">
        <v>279</v>
      </c>
      <c r="I75" s="1360">
        <v>264</v>
      </c>
      <c r="J75" s="1361">
        <v>259</v>
      </c>
      <c r="K75" s="1360">
        <v>282</v>
      </c>
      <c r="L75" s="1374">
        <v>247</v>
      </c>
      <c r="M75" s="1374">
        <v>254</v>
      </c>
      <c r="N75" s="1374">
        <v>265</v>
      </c>
      <c r="O75" s="1374">
        <v>243</v>
      </c>
      <c r="P75" s="1375">
        <v>223</v>
      </c>
      <c r="Q75" s="1375">
        <v>233</v>
      </c>
      <c r="R75" s="1376">
        <v>245</v>
      </c>
      <c r="S75" s="1383">
        <v>44</v>
      </c>
      <c r="T75" s="1384">
        <v>50</v>
      </c>
      <c r="U75" s="1384">
        <v>46</v>
      </c>
      <c r="V75" s="1384">
        <v>40</v>
      </c>
      <c r="W75" s="1384">
        <v>44</v>
      </c>
      <c r="X75" s="1384">
        <v>46</v>
      </c>
      <c r="Y75" s="1384">
        <v>45</v>
      </c>
      <c r="Z75" s="1384">
        <v>45</v>
      </c>
      <c r="AA75" s="1384">
        <v>44</v>
      </c>
      <c r="AB75" s="1384">
        <v>58</v>
      </c>
      <c r="AC75" s="1384">
        <v>63</v>
      </c>
      <c r="AD75" s="1384">
        <v>54</v>
      </c>
      <c r="AE75" s="1384">
        <v>59</v>
      </c>
      <c r="AF75" s="1384">
        <v>63</v>
      </c>
      <c r="AG75" s="1385">
        <v>67</v>
      </c>
      <c r="AH75" s="1393">
        <f t="shared" si="31"/>
        <v>0.17886178861788618</v>
      </c>
      <c r="AI75" s="1394">
        <f t="shared" si="32"/>
        <v>0.19011406844106463</v>
      </c>
      <c r="AJ75" s="1394">
        <f t="shared" si="33"/>
        <v>0.17760617760617761</v>
      </c>
      <c r="AK75" s="1394">
        <f t="shared" si="34"/>
        <v>0.14814814814814814</v>
      </c>
      <c r="AL75" s="1394">
        <f t="shared" si="35"/>
        <v>0.15770609318996415</v>
      </c>
      <c r="AM75" s="1394">
        <f t="shared" si="36"/>
        <v>0.17424242424242425</v>
      </c>
      <c r="AN75" s="1394">
        <f t="shared" si="37"/>
        <v>0.17374517374517376</v>
      </c>
      <c r="AO75" s="1394">
        <f t="shared" si="38"/>
        <v>0.15957446808510639</v>
      </c>
      <c r="AP75" s="1394">
        <f t="shared" si="39"/>
        <v>0.17813765182186234</v>
      </c>
      <c r="AQ75" s="1394">
        <f t="shared" si="40"/>
        <v>0.2283464566929134</v>
      </c>
      <c r="AR75" s="1394">
        <f t="shared" si="41"/>
        <v>0.23773584905660378</v>
      </c>
      <c r="AS75" s="1394">
        <f t="shared" si="42"/>
        <v>0.22222222222222221</v>
      </c>
      <c r="AT75" s="1394">
        <f t="shared" si="43"/>
        <v>0.26457399103139012</v>
      </c>
      <c r="AU75" s="1394">
        <f t="shared" si="44"/>
        <v>0.27038626609442062</v>
      </c>
      <c r="AV75" s="1395">
        <f t="shared" si="45"/>
        <v>0.27346938775510204</v>
      </c>
    </row>
    <row r="76" spans="1:48" s="142" customFormat="1" ht="15.75" customHeight="1">
      <c r="A76" s="149" t="s">
        <v>184</v>
      </c>
      <c r="B76" s="189" t="s">
        <v>185</v>
      </c>
      <c r="C76" s="150" t="s">
        <v>266</v>
      </c>
      <c r="D76" s="1359">
        <v>206</v>
      </c>
      <c r="E76" s="1360">
        <v>211</v>
      </c>
      <c r="F76" s="1361">
        <v>216</v>
      </c>
      <c r="G76" s="1360">
        <v>232</v>
      </c>
      <c r="H76" s="1361">
        <v>195</v>
      </c>
      <c r="I76" s="1360">
        <v>186</v>
      </c>
      <c r="J76" s="1361">
        <v>203</v>
      </c>
      <c r="K76" s="1360">
        <v>195</v>
      </c>
      <c r="L76" s="1374">
        <v>185</v>
      </c>
      <c r="M76" s="1374">
        <v>215</v>
      </c>
      <c r="N76" s="1374">
        <v>215</v>
      </c>
      <c r="O76" s="1374">
        <v>208</v>
      </c>
      <c r="P76" s="1375">
        <v>221</v>
      </c>
      <c r="Q76" s="1375">
        <v>203</v>
      </c>
      <c r="R76" s="1376">
        <v>204</v>
      </c>
      <c r="S76" s="1383">
        <v>92</v>
      </c>
      <c r="T76" s="1384">
        <v>93</v>
      </c>
      <c r="U76" s="1384">
        <v>84</v>
      </c>
      <c r="V76" s="1384">
        <v>94</v>
      </c>
      <c r="W76" s="1384">
        <v>92</v>
      </c>
      <c r="X76" s="1384">
        <v>84</v>
      </c>
      <c r="Y76" s="1384">
        <v>99</v>
      </c>
      <c r="Z76" s="1384">
        <v>101</v>
      </c>
      <c r="AA76" s="1384">
        <v>98</v>
      </c>
      <c r="AB76" s="1384">
        <v>109</v>
      </c>
      <c r="AC76" s="1384">
        <v>127</v>
      </c>
      <c r="AD76" s="1384">
        <v>104</v>
      </c>
      <c r="AE76" s="1384">
        <v>123</v>
      </c>
      <c r="AF76" s="1384">
        <v>104</v>
      </c>
      <c r="AG76" s="1385">
        <v>118</v>
      </c>
      <c r="AH76" s="1393">
        <f t="shared" si="31"/>
        <v>0.44660194174757284</v>
      </c>
      <c r="AI76" s="1394">
        <f t="shared" si="32"/>
        <v>0.44075829383886256</v>
      </c>
      <c r="AJ76" s="1394">
        <f t="shared" si="33"/>
        <v>0.3888888888888889</v>
      </c>
      <c r="AK76" s="1394">
        <f t="shared" si="34"/>
        <v>0.40517241379310343</v>
      </c>
      <c r="AL76" s="1394">
        <f t="shared" si="35"/>
        <v>0.47179487179487178</v>
      </c>
      <c r="AM76" s="1394">
        <f t="shared" si="36"/>
        <v>0.45161290322580644</v>
      </c>
      <c r="AN76" s="1394">
        <f t="shared" si="37"/>
        <v>0.48768472906403942</v>
      </c>
      <c r="AO76" s="1394">
        <f t="shared" si="38"/>
        <v>0.517948717948718</v>
      </c>
      <c r="AP76" s="1394">
        <f t="shared" si="39"/>
        <v>0.52972972972972976</v>
      </c>
      <c r="AQ76" s="1394">
        <f t="shared" si="40"/>
        <v>0.50697674418604655</v>
      </c>
      <c r="AR76" s="1394">
        <f t="shared" si="41"/>
        <v>0.59069767441860466</v>
      </c>
      <c r="AS76" s="1394">
        <f t="shared" si="42"/>
        <v>0.5</v>
      </c>
      <c r="AT76" s="1394">
        <f t="shared" si="43"/>
        <v>0.5565610859728507</v>
      </c>
      <c r="AU76" s="1394">
        <f t="shared" si="44"/>
        <v>0.51231527093596063</v>
      </c>
      <c r="AV76" s="1395">
        <f t="shared" si="45"/>
        <v>0.57843137254901966</v>
      </c>
    </row>
    <row r="77" spans="1:48" s="142" customFormat="1" ht="15.75" customHeight="1">
      <c r="A77" s="149" t="s">
        <v>186</v>
      </c>
      <c r="B77" s="189" t="s">
        <v>187</v>
      </c>
      <c r="C77" s="150" t="s">
        <v>264</v>
      </c>
      <c r="D77" s="1359">
        <v>345</v>
      </c>
      <c r="E77" s="1360">
        <v>378</v>
      </c>
      <c r="F77" s="1361">
        <v>406</v>
      </c>
      <c r="G77" s="1360">
        <v>379</v>
      </c>
      <c r="H77" s="1361">
        <v>348</v>
      </c>
      <c r="I77" s="1360">
        <v>388</v>
      </c>
      <c r="J77" s="1361">
        <v>368</v>
      </c>
      <c r="K77" s="1360">
        <v>326</v>
      </c>
      <c r="L77" s="1374">
        <v>356</v>
      </c>
      <c r="M77" s="1374">
        <v>375</v>
      </c>
      <c r="N77" s="1374">
        <v>369</v>
      </c>
      <c r="O77" s="1374">
        <v>403</v>
      </c>
      <c r="P77" s="1375">
        <v>344</v>
      </c>
      <c r="Q77" s="1375">
        <v>327</v>
      </c>
      <c r="R77" s="1376">
        <v>344</v>
      </c>
      <c r="S77" s="1383">
        <v>80</v>
      </c>
      <c r="T77" s="1384">
        <v>92</v>
      </c>
      <c r="U77" s="1384">
        <v>88</v>
      </c>
      <c r="V77" s="1384">
        <v>83</v>
      </c>
      <c r="W77" s="1384">
        <v>94</v>
      </c>
      <c r="X77" s="1384">
        <v>98</v>
      </c>
      <c r="Y77" s="1384">
        <v>98</v>
      </c>
      <c r="Z77" s="1384">
        <v>79</v>
      </c>
      <c r="AA77" s="1384">
        <v>91</v>
      </c>
      <c r="AB77" s="1384">
        <v>129</v>
      </c>
      <c r="AC77" s="1384">
        <v>116</v>
      </c>
      <c r="AD77" s="1384">
        <v>120</v>
      </c>
      <c r="AE77" s="1384">
        <v>92</v>
      </c>
      <c r="AF77" s="1384">
        <v>90</v>
      </c>
      <c r="AG77" s="1385">
        <v>115</v>
      </c>
      <c r="AH77" s="1393">
        <f t="shared" si="31"/>
        <v>0.2318840579710145</v>
      </c>
      <c r="AI77" s="1394">
        <f t="shared" si="32"/>
        <v>0.24338624338624337</v>
      </c>
      <c r="AJ77" s="1394">
        <f t="shared" si="33"/>
        <v>0.21674876847290642</v>
      </c>
      <c r="AK77" s="1394">
        <f t="shared" si="34"/>
        <v>0.21899736147757257</v>
      </c>
      <c r="AL77" s="1394">
        <f t="shared" si="35"/>
        <v>0.27011494252873564</v>
      </c>
      <c r="AM77" s="1394">
        <f t="shared" si="36"/>
        <v>0.25257731958762886</v>
      </c>
      <c r="AN77" s="1394">
        <f t="shared" si="37"/>
        <v>0.26630434782608697</v>
      </c>
      <c r="AO77" s="1394">
        <f t="shared" si="38"/>
        <v>0.24233128834355827</v>
      </c>
      <c r="AP77" s="1394">
        <f t="shared" si="39"/>
        <v>0.2556179775280899</v>
      </c>
      <c r="AQ77" s="1394">
        <f t="shared" si="40"/>
        <v>0.34399999999999997</v>
      </c>
      <c r="AR77" s="1394">
        <f t="shared" si="41"/>
        <v>0.3143631436314363</v>
      </c>
      <c r="AS77" s="1394">
        <f t="shared" si="42"/>
        <v>0.29776674937965258</v>
      </c>
      <c r="AT77" s="1394">
        <f t="shared" si="43"/>
        <v>0.26744186046511625</v>
      </c>
      <c r="AU77" s="1394">
        <f t="shared" si="44"/>
        <v>0.27522935779816515</v>
      </c>
      <c r="AV77" s="1395">
        <f t="shared" si="45"/>
        <v>0.33430232558139533</v>
      </c>
    </row>
    <row r="78" spans="1:48" s="142" customFormat="1" ht="15.75" customHeight="1">
      <c r="A78" s="149" t="s">
        <v>188</v>
      </c>
      <c r="B78" s="189" t="s">
        <v>189</v>
      </c>
      <c r="C78" s="150" t="s">
        <v>267</v>
      </c>
      <c r="D78" s="1359">
        <v>4640</v>
      </c>
      <c r="E78" s="1360">
        <v>4716</v>
      </c>
      <c r="F78" s="1361">
        <v>5046</v>
      </c>
      <c r="G78" s="1360">
        <v>5466</v>
      </c>
      <c r="H78" s="1361">
        <v>5655</v>
      </c>
      <c r="I78" s="1360">
        <v>5958</v>
      </c>
      <c r="J78" s="1361">
        <v>6445</v>
      </c>
      <c r="K78" s="1360">
        <v>6626</v>
      </c>
      <c r="L78" s="1374">
        <v>7042</v>
      </c>
      <c r="M78" s="1374">
        <v>6797</v>
      </c>
      <c r="N78" s="1374">
        <v>6397</v>
      </c>
      <c r="O78" s="1374">
        <v>6622</v>
      </c>
      <c r="P78" s="1375">
        <v>6647</v>
      </c>
      <c r="Q78" s="1375">
        <v>6691</v>
      </c>
      <c r="R78" s="1376">
        <v>6873</v>
      </c>
      <c r="S78" s="1383">
        <v>1099</v>
      </c>
      <c r="T78" s="1384">
        <v>1172</v>
      </c>
      <c r="U78" s="1384">
        <v>1249</v>
      </c>
      <c r="V78" s="1384">
        <v>1336</v>
      </c>
      <c r="W78" s="1384">
        <v>1322</v>
      </c>
      <c r="X78" s="1384">
        <v>1525</v>
      </c>
      <c r="Y78" s="1384">
        <v>1656</v>
      </c>
      <c r="Z78" s="1384">
        <v>1824</v>
      </c>
      <c r="AA78" s="1384">
        <v>2185</v>
      </c>
      <c r="AB78" s="1384">
        <v>2087</v>
      </c>
      <c r="AC78" s="1384">
        <v>1809</v>
      </c>
      <c r="AD78" s="1384">
        <v>1932</v>
      </c>
      <c r="AE78" s="1384">
        <v>1985</v>
      </c>
      <c r="AF78" s="1384">
        <v>1985</v>
      </c>
      <c r="AG78" s="1385">
        <v>2043</v>
      </c>
      <c r="AH78" s="1393">
        <f t="shared" si="31"/>
        <v>0.23685344827586208</v>
      </c>
      <c r="AI78" s="1394">
        <f t="shared" si="32"/>
        <v>0.24851569126378287</v>
      </c>
      <c r="AJ78" s="1394">
        <f t="shared" si="33"/>
        <v>0.24752279032897345</v>
      </c>
      <c r="AK78" s="1394">
        <f t="shared" si="34"/>
        <v>0.24442005122575924</v>
      </c>
      <c r="AL78" s="1394">
        <f t="shared" si="35"/>
        <v>0.23377541998231655</v>
      </c>
      <c r="AM78" s="1394">
        <f t="shared" si="36"/>
        <v>0.25595837529372273</v>
      </c>
      <c r="AN78" s="1394">
        <f t="shared" si="37"/>
        <v>0.25694336695112491</v>
      </c>
      <c r="AO78" s="1394">
        <f t="shared" si="38"/>
        <v>0.27527920313914883</v>
      </c>
      <c r="AP78" s="1394">
        <f t="shared" si="39"/>
        <v>0.31028117012212442</v>
      </c>
      <c r="AQ78" s="1394">
        <f t="shared" si="40"/>
        <v>0.30704722671766954</v>
      </c>
      <c r="AR78" s="1394">
        <f t="shared" si="41"/>
        <v>0.28278880725340005</v>
      </c>
      <c r="AS78" s="1394">
        <f t="shared" si="42"/>
        <v>0.29175475687103591</v>
      </c>
      <c r="AT78" s="1394">
        <f t="shared" si="43"/>
        <v>0.29863096133594103</v>
      </c>
      <c r="AU78" s="1394">
        <f t="shared" si="44"/>
        <v>0.29666716484830369</v>
      </c>
      <c r="AV78" s="1395">
        <f t="shared" si="45"/>
        <v>0.29725010912265387</v>
      </c>
    </row>
    <row r="79" spans="1:48" s="142" customFormat="1" ht="15.75" customHeight="1">
      <c r="A79" s="149" t="s">
        <v>190</v>
      </c>
      <c r="B79" s="189" t="s">
        <v>191</v>
      </c>
      <c r="C79" s="150" t="s">
        <v>268</v>
      </c>
      <c r="D79" s="1359">
        <v>419</v>
      </c>
      <c r="E79" s="1360">
        <v>383</v>
      </c>
      <c r="F79" s="1361">
        <v>411</v>
      </c>
      <c r="G79" s="1360">
        <v>369</v>
      </c>
      <c r="H79" s="1361">
        <v>324</v>
      </c>
      <c r="I79" s="1360">
        <v>338</v>
      </c>
      <c r="J79" s="1361">
        <v>345</v>
      </c>
      <c r="K79" s="1360">
        <v>344</v>
      </c>
      <c r="L79" s="1374">
        <v>336</v>
      </c>
      <c r="M79" s="1374">
        <v>358</v>
      </c>
      <c r="N79" s="1374">
        <v>362</v>
      </c>
      <c r="O79" s="1374">
        <v>321</v>
      </c>
      <c r="P79" s="1375">
        <v>281</v>
      </c>
      <c r="Q79" s="1375">
        <v>288</v>
      </c>
      <c r="R79" s="1376">
        <v>348</v>
      </c>
      <c r="S79" s="1383">
        <v>120</v>
      </c>
      <c r="T79" s="1384">
        <v>111</v>
      </c>
      <c r="U79" s="1384">
        <v>125</v>
      </c>
      <c r="V79" s="1384">
        <v>115</v>
      </c>
      <c r="W79" s="1384">
        <v>112</v>
      </c>
      <c r="X79" s="1384">
        <v>115</v>
      </c>
      <c r="Y79" s="1384">
        <v>106</v>
      </c>
      <c r="Z79" s="1384">
        <v>129</v>
      </c>
      <c r="AA79" s="1384">
        <v>124</v>
      </c>
      <c r="AB79" s="1384">
        <v>155</v>
      </c>
      <c r="AC79" s="1384">
        <v>149</v>
      </c>
      <c r="AD79" s="1384">
        <v>144</v>
      </c>
      <c r="AE79" s="1384">
        <v>116</v>
      </c>
      <c r="AF79" s="1384">
        <v>120</v>
      </c>
      <c r="AG79" s="1385">
        <v>147</v>
      </c>
      <c r="AH79" s="1393">
        <f t="shared" si="31"/>
        <v>0.28639618138424822</v>
      </c>
      <c r="AI79" s="1394">
        <f t="shared" si="32"/>
        <v>0.28981723237597912</v>
      </c>
      <c r="AJ79" s="1394">
        <f t="shared" si="33"/>
        <v>0.30413625304136255</v>
      </c>
      <c r="AK79" s="1394">
        <f t="shared" si="34"/>
        <v>0.31165311653116529</v>
      </c>
      <c r="AL79" s="1394">
        <f t="shared" si="35"/>
        <v>0.34567901234567899</v>
      </c>
      <c r="AM79" s="1394">
        <f t="shared" si="36"/>
        <v>0.34023668639053256</v>
      </c>
      <c r="AN79" s="1394">
        <f t="shared" si="37"/>
        <v>0.30724637681159422</v>
      </c>
      <c r="AO79" s="1394">
        <f t="shared" si="38"/>
        <v>0.375</v>
      </c>
      <c r="AP79" s="1394">
        <f t="shared" si="39"/>
        <v>0.36904761904761907</v>
      </c>
      <c r="AQ79" s="1394">
        <f t="shared" si="40"/>
        <v>0.43296089385474862</v>
      </c>
      <c r="AR79" s="1394">
        <f t="shared" si="41"/>
        <v>0.41160220994475138</v>
      </c>
      <c r="AS79" s="1394">
        <f t="shared" si="42"/>
        <v>0.44859813084112149</v>
      </c>
      <c r="AT79" s="1394">
        <f t="shared" si="43"/>
        <v>0.41281138790035588</v>
      </c>
      <c r="AU79" s="1394">
        <f t="shared" si="44"/>
        <v>0.41666666666666669</v>
      </c>
      <c r="AV79" s="1395">
        <f t="shared" si="45"/>
        <v>0.42241379310344829</v>
      </c>
    </row>
    <row r="80" spans="1:48" s="142" customFormat="1" ht="15.75" customHeight="1">
      <c r="A80" s="149" t="s">
        <v>194</v>
      </c>
      <c r="B80" s="189" t="s">
        <v>195</v>
      </c>
      <c r="C80" s="150" t="s">
        <v>267</v>
      </c>
      <c r="D80" s="1359">
        <v>89</v>
      </c>
      <c r="E80" s="1360">
        <v>105</v>
      </c>
      <c r="F80" s="1361">
        <v>98</v>
      </c>
      <c r="G80" s="1360">
        <v>79</v>
      </c>
      <c r="H80" s="1361">
        <v>77</v>
      </c>
      <c r="I80" s="1360">
        <v>64</v>
      </c>
      <c r="J80" s="1361">
        <v>79</v>
      </c>
      <c r="K80" s="1360">
        <v>69</v>
      </c>
      <c r="L80" s="1374">
        <v>72</v>
      </c>
      <c r="M80" s="1374">
        <v>68</v>
      </c>
      <c r="N80" s="1374">
        <v>77</v>
      </c>
      <c r="O80" s="1374">
        <v>70</v>
      </c>
      <c r="P80" s="1375">
        <v>67</v>
      </c>
      <c r="Q80" s="1375">
        <v>55</v>
      </c>
      <c r="R80" s="1376">
        <v>56</v>
      </c>
      <c r="S80" s="1383">
        <v>18</v>
      </c>
      <c r="T80" s="1384">
        <v>23</v>
      </c>
      <c r="U80" s="1384">
        <v>15</v>
      </c>
      <c r="V80" s="1384">
        <v>16</v>
      </c>
      <c r="W80" s="1384">
        <v>21</v>
      </c>
      <c r="X80" s="1384">
        <v>12</v>
      </c>
      <c r="Y80" s="1384">
        <v>23</v>
      </c>
      <c r="Z80" s="1384">
        <v>22</v>
      </c>
      <c r="AA80" s="1384">
        <v>30</v>
      </c>
      <c r="AB80" s="1384">
        <v>23</v>
      </c>
      <c r="AC80" s="1384">
        <v>29</v>
      </c>
      <c r="AD80" s="1384">
        <v>22</v>
      </c>
      <c r="AE80" s="1384">
        <v>20</v>
      </c>
      <c r="AF80" s="1384">
        <v>28</v>
      </c>
      <c r="AG80" s="1385">
        <v>17</v>
      </c>
      <c r="AH80" s="1393">
        <f t="shared" si="31"/>
        <v>0.20224719101123595</v>
      </c>
      <c r="AI80" s="1394">
        <f t="shared" si="32"/>
        <v>0.21904761904761905</v>
      </c>
      <c r="AJ80" s="1394">
        <f t="shared" si="33"/>
        <v>0.15306122448979592</v>
      </c>
      <c r="AK80" s="1394">
        <f t="shared" si="34"/>
        <v>0.20253164556962025</v>
      </c>
      <c r="AL80" s="1394">
        <f t="shared" si="35"/>
        <v>0.27272727272727271</v>
      </c>
      <c r="AM80" s="1394">
        <f t="shared" si="36"/>
        <v>0.1875</v>
      </c>
      <c r="AN80" s="1394">
        <f t="shared" si="37"/>
        <v>0.29113924050632911</v>
      </c>
      <c r="AO80" s="1394">
        <f t="shared" si="38"/>
        <v>0.3188405797101449</v>
      </c>
      <c r="AP80" s="1394">
        <f t="shared" si="39"/>
        <v>0.41666666666666669</v>
      </c>
      <c r="AQ80" s="1394">
        <f t="shared" si="40"/>
        <v>0.33823529411764708</v>
      </c>
      <c r="AR80" s="1394">
        <f t="shared" si="41"/>
        <v>0.37662337662337664</v>
      </c>
      <c r="AS80" s="1394">
        <f t="shared" si="42"/>
        <v>0.31428571428571428</v>
      </c>
      <c r="AT80" s="1394">
        <f t="shared" si="43"/>
        <v>0.29850746268656714</v>
      </c>
      <c r="AU80" s="1394">
        <f t="shared" si="44"/>
        <v>0.50909090909090904</v>
      </c>
      <c r="AV80" s="1395">
        <f t="shared" si="45"/>
        <v>0.30357142857142855</v>
      </c>
    </row>
    <row r="81" spans="1:48" s="142" customFormat="1" ht="15.75" customHeight="1">
      <c r="A81" s="149" t="s">
        <v>198</v>
      </c>
      <c r="B81" s="189" t="s">
        <v>272</v>
      </c>
      <c r="C81" s="150" t="s">
        <v>266</v>
      </c>
      <c r="D81" s="1359">
        <v>71</v>
      </c>
      <c r="E81" s="1360">
        <v>79</v>
      </c>
      <c r="F81" s="1361">
        <v>81</v>
      </c>
      <c r="G81" s="1360">
        <v>77</v>
      </c>
      <c r="H81" s="1361">
        <v>92</v>
      </c>
      <c r="I81" s="1360">
        <v>82</v>
      </c>
      <c r="J81" s="1361">
        <v>95</v>
      </c>
      <c r="K81" s="1360">
        <v>90</v>
      </c>
      <c r="L81" s="1374">
        <v>95</v>
      </c>
      <c r="M81" s="1374">
        <v>123</v>
      </c>
      <c r="N81" s="1374">
        <v>69</v>
      </c>
      <c r="O81" s="1374">
        <v>76</v>
      </c>
      <c r="P81" s="1375">
        <v>75</v>
      </c>
      <c r="Q81" s="1375">
        <v>71</v>
      </c>
      <c r="R81" s="1376">
        <v>72</v>
      </c>
      <c r="S81" s="1383">
        <v>27</v>
      </c>
      <c r="T81" s="1384">
        <v>35</v>
      </c>
      <c r="U81" s="1384">
        <v>33</v>
      </c>
      <c r="V81" s="1384">
        <v>38</v>
      </c>
      <c r="W81" s="1384">
        <v>41</v>
      </c>
      <c r="X81" s="1384">
        <v>27</v>
      </c>
      <c r="Y81" s="1384">
        <v>43</v>
      </c>
      <c r="Z81" s="1384">
        <v>36</v>
      </c>
      <c r="AA81" s="1384">
        <v>52</v>
      </c>
      <c r="AB81" s="1384">
        <v>54</v>
      </c>
      <c r="AC81" s="1384">
        <v>26</v>
      </c>
      <c r="AD81" s="1384">
        <v>40</v>
      </c>
      <c r="AE81" s="1384">
        <v>34</v>
      </c>
      <c r="AF81" s="1384">
        <v>29</v>
      </c>
      <c r="AG81" s="1385">
        <v>41</v>
      </c>
      <c r="AH81" s="1393">
        <f t="shared" si="31"/>
        <v>0.38028169014084506</v>
      </c>
      <c r="AI81" s="1394">
        <f t="shared" si="32"/>
        <v>0.44303797468354428</v>
      </c>
      <c r="AJ81" s="1394">
        <f t="shared" si="33"/>
        <v>0.40740740740740738</v>
      </c>
      <c r="AK81" s="1394">
        <f t="shared" si="34"/>
        <v>0.4935064935064935</v>
      </c>
      <c r="AL81" s="1394">
        <f t="shared" si="35"/>
        <v>0.44565217391304346</v>
      </c>
      <c r="AM81" s="1394">
        <f t="shared" si="36"/>
        <v>0.32926829268292684</v>
      </c>
      <c r="AN81" s="1394">
        <f t="shared" si="37"/>
        <v>0.45263157894736844</v>
      </c>
      <c r="AO81" s="1394">
        <f t="shared" si="38"/>
        <v>0.4</v>
      </c>
      <c r="AP81" s="1394">
        <f t="shared" si="39"/>
        <v>0.54736842105263162</v>
      </c>
      <c r="AQ81" s="1394">
        <f t="shared" si="40"/>
        <v>0.43902439024390244</v>
      </c>
      <c r="AR81" s="1394">
        <f t="shared" si="41"/>
        <v>0.37681159420289856</v>
      </c>
      <c r="AS81" s="1394">
        <f t="shared" si="42"/>
        <v>0.52631578947368418</v>
      </c>
      <c r="AT81" s="1394">
        <f t="shared" si="43"/>
        <v>0.45333333333333331</v>
      </c>
      <c r="AU81" s="1394">
        <f t="shared" si="44"/>
        <v>0.40845070422535212</v>
      </c>
      <c r="AV81" s="1395">
        <f t="shared" si="45"/>
        <v>0.56944444444444442</v>
      </c>
    </row>
    <row r="82" spans="1:48" s="142" customFormat="1" ht="15.75" customHeight="1">
      <c r="A82" s="149" t="s">
        <v>202</v>
      </c>
      <c r="B82" s="189" t="s">
        <v>301</v>
      </c>
      <c r="C82" s="150" t="s">
        <v>265</v>
      </c>
      <c r="D82" s="1359">
        <v>1112</v>
      </c>
      <c r="E82" s="1360">
        <v>1094</v>
      </c>
      <c r="F82" s="1361">
        <v>1130</v>
      </c>
      <c r="G82" s="1360">
        <v>1246</v>
      </c>
      <c r="H82" s="1361">
        <v>1239</v>
      </c>
      <c r="I82" s="1360">
        <v>1126</v>
      </c>
      <c r="J82" s="1361">
        <v>1621</v>
      </c>
      <c r="K82" s="1360">
        <v>1292</v>
      </c>
      <c r="L82" s="1374">
        <v>1249</v>
      </c>
      <c r="M82" s="1374">
        <v>1130</v>
      </c>
      <c r="N82" s="1374">
        <v>1133</v>
      </c>
      <c r="O82" s="1374">
        <v>1158</v>
      </c>
      <c r="P82" s="1375">
        <v>1045</v>
      </c>
      <c r="Q82" s="1375">
        <v>1128</v>
      </c>
      <c r="R82" s="1376">
        <v>1085</v>
      </c>
      <c r="S82" s="1383">
        <v>210</v>
      </c>
      <c r="T82" s="1384">
        <v>245</v>
      </c>
      <c r="U82" s="1384">
        <v>256</v>
      </c>
      <c r="V82" s="1384">
        <v>359</v>
      </c>
      <c r="W82" s="1384">
        <v>305</v>
      </c>
      <c r="X82" s="1384">
        <v>297</v>
      </c>
      <c r="Y82" s="1384">
        <v>491</v>
      </c>
      <c r="Z82" s="1384">
        <v>385</v>
      </c>
      <c r="AA82" s="1384">
        <v>372</v>
      </c>
      <c r="AB82" s="1384">
        <v>325</v>
      </c>
      <c r="AC82" s="1384">
        <v>381</v>
      </c>
      <c r="AD82" s="1384">
        <v>359</v>
      </c>
      <c r="AE82" s="1384">
        <v>326</v>
      </c>
      <c r="AF82" s="1384">
        <v>357</v>
      </c>
      <c r="AG82" s="1385">
        <v>361</v>
      </c>
      <c r="AH82" s="1393">
        <f t="shared" si="31"/>
        <v>0.18884892086330934</v>
      </c>
      <c r="AI82" s="1394">
        <f t="shared" si="32"/>
        <v>0.22394881170018283</v>
      </c>
      <c r="AJ82" s="1394">
        <f t="shared" si="33"/>
        <v>0.22654867256637168</v>
      </c>
      <c r="AK82" s="1394">
        <f t="shared" si="34"/>
        <v>0.2881219903691814</v>
      </c>
      <c r="AL82" s="1394">
        <f t="shared" si="35"/>
        <v>0.24616626311541565</v>
      </c>
      <c r="AM82" s="1394">
        <f t="shared" si="36"/>
        <v>0.26376554174067496</v>
      </c>
      <c r="AN82" s="1394">
        <f t="shared" si="37"/>
        <v>0.3028994447871684</v>
      </c>
      <c r="AO82" s="1394">
        <f t="shared" si="38"/>
        <v>0.29798761609907121</v>
      </c>
      <c r="AP82" s="1394">
        <f t="shared" si="39"/>
        <v>0.29783827061649321</v>
      </c>
      <c r="AQ82" s="1394">
        <f t="shared" si="40"/>
        <v>0.28761061946902655</v>
      </c>
      <c r="AR82" s="1394">
        <f t="shared" si="41"/>
        <v>0.33627537511032657</v>
      </c>
      <c r="AS82" s="1394">
        <f t="shared" si="42"/>
        <v>0.31001727115716754</v>
      </c>
      <c r="AT82" s="1394">
        <f t="shared" si="43"/>
        <v>0.31196172248803827</v>
      </c>
      <c r="AU82" s="1394">
        <f t="shared" si="44"/>
        <v>0.31648936170212766</v>
      </c>
      <c r="AV82" s="1395">
        <f t="shared" si="45"/>
        <v>0.33271889400921661</v>
      </c>
    </row>
    <row r="83" spans="1:48" s="142" customFormat="1" ht="15.75" customHeight="1">
      <c r="A83" s="149" t="s">
        <v>204</v>
      </c>
      <c r="B83" s="189" t="s">
        <v>293</v>
      </c>
      <c r="C83" s="150" t="s">
        <v>265</v>
      </c>
      <c r="D83" s="1359">
        <v>330</v>
      </c>
      <c r="E83" s="1360">
        <v>351</v>
      </c>
      <c r="F83" s="1361">
        <v>346</v>
      </c>
      <c r="G83" s="1360">
        <v>324</v>
      </c>
      <c r="H83" s="1361">
        <v>308</v>
      </c>
      <c r="I83" s="1360">
        <v>331</v>
      </c>
      <c r="J83" s="1361">
        <v>348</v>
      </c>
      <c r="K83" s="1360">
        <v>345</v>
      </c>
      <c r="L83" s="1374">
        <v>328</v>
      </c>
      <c r="M83" s="1374">
        <v>390</v>
      </c>
      <c r="N83" s="1374">
        <v>322</v>
      </c>
      <c r="O83" s="1374">
        <v>329</v>
      </c>
      <c r="P83" s="1375">
        <v>304</v>
      </c>
      <c r="Q83" s="1375">
        <v>305</v>
      </c>
      <c r="R83" s="1376">
        <v>352</v>
      </c>
      <c r="S83" s="1383">
        <v>107</v>
      </c>
      <c r="T83" s="1384">
        <v>88</v>
      </c>
      <c r="U83" s="1384">
        <v>86</v>
      </c>
      <c r="V83" s="1384">
        <v>94</v>
      </c>
      <c r="W83" s="1384">
        <v>105</v>
      </c>
      <c r="X83" s="1384">
        <v>105</v>
      </c>
      <c r="Y83" s="1384">
        <v>130</v>
      </c>
      <c r="Z83" s="1384">
        <v>131</v>
      </c>
      <c r="AA83" s="1384">
        <v>108</v>
      </c>
      <c r="AB83" s="1384">
        <v>131</v>
      </c>
      <c r="AC83" s="1384">
        <v>119</v>
      </c>
      <c r="AD83" s="1384">
        <v>123</v>
      </c>
      <c r="AE83" s="1384">
        <v>103</v>
      </c>
      <c r="AF83" s="1384">
        <v>121</v>
      </c>
      <c r="AG83" s="1385">
        <v>138</v>
      </c>
      <c r="AH83" s="1393">
        <f t="shared" si="31"/>
        <v>0.32424242424242422</v>
      </c>
      <c r="AI83" s="1394">
        <f t="shared" si="32"/>
        <v>0.25071225071225073</v>
      </c>
      <c r="AJ83" s="1394">
        <f t="shared" si="33"/>
        <v>0.24855491329479767</v>
      </c>
      <c r="AK83" s="1394">
        <f t="shared" si="34"/>
        <v>0.29012345679012347</v>
      </c>
      <c r="AL83" s="1394">
        <f t="shared" si="35"/>
        <v>0.34090909090909088</v>
      </c>
      <c r="AM83" s="1394">
        <f t="shared" si="36"/>
        <v>0.31722054380664655</v>
      </c>
      <c r="AN83" s="1394">
        <f t="shared" si="37"/>
        <v>0.37356321839080459</v>
      </c>
      <c r="AO83" s="1394">
        <f t="shared" si="38"/>
        <v>0.37971014492753624</v>
      </c>
      <c r="AP83" s="1394">
        <f t="shared" si="39"/>
        <v>0.32926829268292684</v>
      </c>
      <c r="AQ83" s="1394">
        <f t="shared" si="40"/>
        <v>0.33589743589743587</v>
      </c>
      <c r="AR83" s="1394">
        <f t="shared" si="41"/>
        <v>0.36956521739130432</v>
      </c>
      <c r="AS83" s="1394">
        <f t="shared" si="42"/>
        <v>0.37386018237082069</v>
      </c>
      <c r="AT83" s="1394">
        <f t="shared" si="43"/>
        <v>0.33881578947368424</v>
      </c>
      <c r="AU83" s="1394">
        <f t="shared" si="44"/>
        <v>0.39672131147540984</v>
      </c>
      <c r="AV83" s="1395">
        <f t="shared" si="45"/>
        <v>0.39204545454545453</v>
      </c>
    </row>
    <row r="84" spans="1:48" s="142" customFormat="1" ht="15.75" customHeight="1">
      <c r="A84" s="149" t="s">
        <v>206</v>
      </c>
      <c r="B84" s="189" t="s">
        <v>294</v>
      </c>
      <c r="C84" s="150" t="s">
        <v>267</v>
      </c>
      <c r="D84" s="1359">
        <v>1184</v>
      </c>
      <c r="E84" s="1360">
        <v>1312</v>
      </c>
      <c r="F84" s="1361">
        <v>1309</v>
      </c>
      <c r="G84" s="1360">
        <v>1347</v>
      </c>
      <c r="H84" s="1361">
        <v>1404</v>
      </c>
      <c r="I84" s="1360">
        <v>1364</v>
      </c>
      <c r="J84" s="1361">
        <v>1426</v>
      </c>
      <c r="K84" s="1360">
        <v>1423</v>
      </c>
      <c r="L84" s="1374">
        <v>1432</v>
      </c>
      <c r="M84" s="1374">
        <v>1427</v>
      </c>
      <c r="N84" s="1374">
        <v>1340</v>
      </c>
      <c r="O84" s="1374">
        <v>1385</v>
      </c>
      <c r="P84" s="1375">
        <v>1414</v>
      </c>
      <c r="Q84" s="1375">
        <v>1363</v>
      </c>
      <c r="R84" s="1376">
        <v>1392</v>
      </c>
      <c r="S84" s="1383">
        <v>346</v>
      </c>
      <c r="T84" s="1384">
        <v>390</v>
      </c>
      <c r="U84" s="1384">
        <v>390</v>
      </c>
      <c r="V84" s="1384">
        <v>379</v>
      </c>
      <c r="W84" s="1384">
        <v>391</v>
      </c>
      <c r="X84" s="1384">
        <v>423</v>
      </c>
      <c r="Y84" s="1384">
        <v>460</v>
      </c>
      <c r="Z84" s="1384">
        <v>499</v>
      </c>
      <c r="AA84" s="1384">
        <v>493</v>
      </c>
      <c r="AB84" s="1384">
        <v>484</v>
      </c>
      <c r="AC84" s="1384">
        <v>489</v>
      </c>
      <c r="AD84" s="1384">
        <v>498</v>
      </c>
      <c r="AE84" s="1384">
        <v>508</v>
      </c>
      <c r="AF84" s="1384">
        <v>472</v>
      </c>
      <c r="AG84" s="1385">
        <v>474</v>
      </c>
      <c r="AH84" s="1393">
        <f t="shared" si="31"/>
        <v>0.29222972972972971</v>
      </c>
      <c r="AI84" s="1394">
        <f t="shared" si="32"/>
        <v>0.2972560975609756</v>
      </c>
      <c r="AJ84" s="1394">
        <f t="shared" si="33"/>
        <v>0.29793735676088617</v>
      </c>
      <c r="AK84" s="1394">
        <f t="shared" si="34"/>
        <v>0.28136599851521898</v>
      </c>
      <c r="AL84" s="1394">
        <f t="shared" si="35"/>
        <v>0.27849002849002846</v>
      </c>
      <c r="AM84" s="1394">
        <f t="shared" si="36"/>
        <v>0.31011730205278593</v>
      </c>
      <c r="AN84" s="1394">
        <f t="shared" si="37"/>
        <v>0.32258064516129031</v>
      </c>
      <c r="AO84" s="1394">
        <f t="shared" si="38"/>
        <v>0.35066760365425159</v>
      </c>
      <c r="AP84" s="1394">
        <f t="shared" si="39"/>
        <v>0.34427374301675978</v>
      </c>
      <c r="AQ84" s="1394">
        <f t="shared" si="40"/>
        <v>0.33917309039943938</v>
      </c>
      <c r="AR84" s="1394">
        <f t="shared" si="41"/>
        <v>0.36492537313432838</v>
      </c>
      <c r="AS84" s="1394">
        <f t="shared" si="42"/>
        <v>0.35956678700361011</v>
      </c>
      <c r="AT84" s="1394">
        <f t="shared" si="43"/>
        <v>0.35926449787835929</v>
      </c>
      <c r="AU84" s="1394">
        <f t="shared" si="44"/>
        <v>0.34629493763756419</v>
      </c>
      <c r="AV84" s="1395">
        <f t="shared" si="45"/>
        <v>0.34051724137931033</v>
      </c>
    </row>
    <row r="85" spans="1:48" s="142" customFormat="1" ht="15.75" customHeight="1">
      <c r="A85" s="149" t="s">
        <v>208</v>
      </c>
      <c r="B85" s="189" t="s">
        <v>209</v>
      </c>
      <c r="C85" s="150" t="s">
        <v>268</v>
      </c>
      <c r="D85" s="1359">
        <v>293</v>
      </c>
      <c r="E85" s="1360">
        <v>327</v>
      </c>
      <c r="F85" s="1361">
        <v>275</v>
      </c>
      <c r="G85" s="1360">
        <v>319</v>
      </c>
      <c r="H85" s="1361">
        <v>305</v>
      </c>
      <c r="I85" s="1360">
        <v>312</v>
      </c>
      <c r="J85" s="1361">
        <v>262</v>
      </c>
      <c r="K85" s="1360">
        <v>304</v>
      </c>
      <c r="L85" s="1374">
        <v>284</v>
      </c>
      <c r="M85" s="1374">
        <v>298</v>
      </c>
      <c r="N85" s="1374">
        <v>339</v>
      </c>
      <c r="O85" s="1374">
        <v>303</v>
      </c>
      <c r="P85" s="1375">
        <v>278</v>
      </c>
      <c r="Q85" s="1375">
        <v>263</v>
      </c>
      <c r="R85" s="1376">
        <v>277</v>
      </c>
      <c r="S85" s="1383">
        <v>63</v>
      </c>
      <c r="T85" s="1384">
        <v>83</v>
      </c>
      <c r="U85" s="1384">
        <v>63</v>
      </c>
      <c r="V85" s="1384">
        <v>76</v>
      </c>
      <c r="W85" s="1384">
        <v>67</v>
      </c>
      <c r="X85" s="1384">
        <v>74</v>
      </c>
      <c r="Y85" s="1384">
        <v>56</v>
      </c>
      <c r="Z85" s="1384">
        <v>70</v>
      </c>
      <c r="AA85" s="1384">
        <v>80</v>
      </c>
      <c r="AB85" s="1384">
        <v>84</v>
      </c>
      <c r="AC85" s="1384">
        <v>100</v>
      </c>
      <c r="AD85" s="1384">
        <v>94</v>
      </c>
      <c r="AE85" s="1384">
        <v>98</v>
      </c>
      <c r="AF85" s="1384">
        <v>93</v>
      </c>
      <c r="AG85" s="1385">
        <v>88</v>
      </c>
      <c r="AH85" s="1393">
        <f t="shared" si="31"/>
        <v>0.21501706484641639</v>
      </c>
      <c r="AI85" s="1394">
        <f t="shared" si="32"/>
        <v>0.25382262996941896</v>
      </c>
      <c r="AJ85" s="1394">
        <f t="shared" si="33"/>
        <v>0.2290909090909091</v>
      </c>
      <c r="AK85" s="1394">
        <f t="shared" si="34"/>
        <v>0.23824451410658307</v>
      </c>
      <c r="AL85" s="1394">
        <f t="shared" si="35"/>
        <v>0.21967213114754097</v>
      </c>
      <c r="AM85" s="1394">
        <f t="shared" si="36"/>
        <v>0.23717948717948717</v>
      </c>
      <c r="AN85" s="1394">
        <f t="shared" si="37"/>
        <v>0.21374045801526717</v>
      </c>
      <c r="AO85" s="1394">
        <f t="shared" si="38"/>
        <v>0.23026315789473684</v>
      </c>
      <c r="AP85" s="1394">
        <f t="shared" si="39"/>
        <v>0.28169014084507044</v>
      </c>
      <c r="AQ85" s="1394">
        <f t="shared" si="40"/>
        <v>0.28187919463087246</v>
      </c>
      <c r="AR85" s="1394">
        <f t="shared" si="41"/>
        <v>0.29498525073746312</v>
      </c>
      <c r="AS85" s="1394">
        <f t="shared" si="42"/>
        <v>0.31023102310231021</v>
      </c>
      <c r="AT85" s="1394">
        <f t="shared" si="43"/>
        <v>0.35251798561151076</v>
      </c>
      <c r="AU85" s="1394">
        <f t="shared" si="44"/>
        <v>0.35361216730038025</v>
      </c>
      <c r="AV85" s="1395">
        <f t="shared" si="45"/>
        <v>0.3176895306859206</v>
      </c>
    </row>
    <row r="86" spans="1:48" s="142" customFormat="1" ht="15.75" customHeight="1">
      <c r="A86" s="149" t="s">
        <v>210</v>
      </c>
      <c r="B86" s="189" t="s">
        <v>211</v>
      </c>
      <c r="C86" s="150" t="s">
        <v>268</v>
      </c>
      <c r="D86" s="1359">
        <v>246</v>
      </c>
      <c r="E86" s="1360">
        <v>233</v>
      </c>
      <c r="F86" s="1361">
        <v>248</v>
      </c>
      <c r="G86" s="1360">
        <v>217</v>
      </c>
      <c r="H86" s="1361">
        <v>215</v>
      </c>
      <c r="I86" s="1360">
        <v>215</v>
      </c>
      <c r="J86" s="1361">
        <v>225</v>
      </c>
      <c r="K86" s="1360">
        <v>217</v>
      </c>
      <c r="L86" s="1374">
        <v>241</v>
      </c>
      <c r="M86" s="1374">
        <v>207</v>
      </c>
      <c r="N86" s="1374">
        <v>229</v>
      </c>
      <c r="O86" s="1374">
        <v>224</v>
      </c>
      <c r="P86" s="1375">
        <v>222</v>
      </c>
      <c r="Q86" s="1375">
        <v>205</v>
      </c>
      <c r="R86" s="1376">
        <v>194</v>
      </c>
      <c r="S86" s="1383">
        <v>57</v>
      </c>
      <c r="T86" s="1384">
        <v>51</v>
      </c>
      <c r="U86" s="1384">
        <v>54</v>
      </c>
      <c r="V86" s="1384">
        <v>52</v>
      </c>
      <c r="W86" s="1384">
        <v>58</v>
      </c>
      <c r="X86" s="1384">
        <v>39</v>
      </c>
      <c r="Y86" s="1384">
        <v>47</v>
      </c>
      <c r="Z86" s="1384">
        <v>58</v>
      </c>
      <c r="AA86" s="1384">
        <v>66</v>
      </c>
      <c r="AB86" s="1384">
        <v>69</v>
      </c>
      <c r="AC86" s="1384">
        <v>71</v>
      </c>
      <c r="AD86" s="1384">
        <v>75</v>
      </c>
      <c r="AE86" s="1384">
        <v>77</v>
      </c>
      <c r="AF86" s="1384">
        <v>93</v>
      </c>
      <c r="AG86" s="1385">
        <v>73</v>
      </c>
      <c r="AH86" s="1393">
        <f t="shared" si="31"/>
        <v>0.23170731707317074</v>
      </c>
      <c r="AI86" s="1394">
        <f t="shared" si="32"/>
        <v>0.21888412017167383</v>
      </c>
      <c r="AJ86" s="1394">
        <f t="shared" si="33"/>
        <v>0.21774193548387097</v>
      </c>
      <c r="AK86" s="1394">
        <f t="shared" si="34"/>
        <v>0.23963133640552994</v>
      </c>
      <c r="AL86" s="1394">
        <f t="shared" si="35"/>
        <v>0.26976744186046514</v>
      </c>
      <c r="AM86" s="1394">
        <f t="shared" si="36"/>
        <v>0.18139534883720931</v>
      </c>
      <c r="AN86" s="1394">
        <f t="shared" si="37"/>
        <v>0.2088888888888889</v>
      </c>
      <c r="AO86" s="1394">
        <f t="shared" si="38"/>
        <v>0.26728110599078342</v>
      </c>
      <c r="AP86" s="1394">
        <f t="shared" si="39"/>
        <v>0.27385892116182575</v>
      </c>
      <c r="AQ86" s="1394">
        <f t="shared" si="40"/>
        <v>0.33333333333333331</v>
      </c>
      <c r="AR86" s="1394">
        <f t="shared" si="41"/>
        <v>0.31004366812227074</v>
      </c>
      <c r="AS86" s="1394">
        <f t="shared" si="42"/>
        <v>0.33482142857142855</v>
      </c>
      <c r="AT86" s="1394">
        <f t="shared" si="43"/>
        <v>0.34684684684684686</v>
      </c>
      <c r="AU86" s="1394">
        <f t="shared" si="44"/>
        <v>0.45365853658536587</v>
      </c>
      <c r="AV86" s="1395">
        <f t="shared" si="45"/>
        <v>0.37628865979381443</v>
      </c>
    </row>
    <row r="87" spans="1:48" s="142" customFormat="1" ht="15.75" customHeight="1">
      <c r="A87" s="149" t="s">
        <v>212</v>
      </c>
      <c r="B87" s="189" t="s">
        <v>213</v>
      </c>
      <c r="C87" s="150" t="s">
        <v>267</v>
      </c>
      <c r="D87" s="1359">
        <v>384</v>
      </c>
      <c r="E87" s="1360">
        <v>375</v>
      </c>
      <c r="F87" s="1361">
        <v>399</v>
      </c>
      <c r="G87" s="1360">
        <v>459</v>
      </c>
      <c r="H87" s="1361">
        <v>412</v>
      </c>
      <c r="I87" s="1360">
        <v>455</v>
      </c>
      <c r="J87" s="1361">
        <v>462</v>
      </c>
      <c r="K87" s="1360">
        <v>480</v>
      </c>
      <c r="L87" s="1374">
        <v>537</v>
      </c>
      <c r="M87" s="1374">
        <v>538</v>
      </c>
      <c r="N87" s="1374">
        <v>491</v>
      </c>
      <c r="O87" s="1374">
        <v>455</v>
      </c>
      <c r="P87" s="1375">
        <v>485</v>
      </c>
      <c r="Q87" s="1375">
        <v>464</v>
      </c>
      <c r="R87" s="1376">
        <v>482</v>
      </c>
      <c r="S87" s="1383">
        <v>132</v>
      </c>
      <c r="T87" s="1384">
        <v>101</v>
      </c>
      <c r="U87" s="1384">
        <v>108</v>
      </c>
      <c r="V87" s="1384">
        <v>150</v>
      </c>
      <c r="W87" s="1384">
        <v>142</v>
      </c>
      <c r="X87" s="1384">
        <v>158</v>
      </c>
      <c r="Y87" s="1384">
        <v>159</v>
      </c>
      <c r="Z87" s="1384">
        <v>175</v>
      </c>
      <c r="AA87" s="1384">
        <v>217</v>
      </c>
      <c r="AB87" s="1384">
        <v>201</v>
      </c>
      <c r="AC87" s="1384">
        <v>191</v>
      </c>
      <c r="AD87" s="1384">
        <v>181</v>
      </c>
      <c r="AE87" s="1384">
        <v>207</v>
      </c>
      <c r="AF87" s="1384">
        <v>171</v>
      </c>
      <c r="AG87" s="1385">
        <v>194</v>
      </c>
      <c r="AH87" s="1393">
        <f t="shared" si="31"/>
        <v>0.34375</v>
      </c>
      <c r="AI87" s="1394">
        <f t="shared" si="32"/>
        <v>0.26933333333333331</v>
      </c>
      <c r="AJ87" s="1394">
        <f t="shared" si="33"/>
        <v>0.27067669172932329</v>
      </c>
      <c r="AK87" s="1394">
        <f t="shared" si="34"/>
        <v>0.32679738562091504</v>
      </c>
      <c r="AL87" s="1394">
        <f t="shared" si="35"/>
        <v>0.3446601941747573</v>
      </c>
      <c r="AM87" s="1394">
        <f t="shared" si="36"/>
        <v>0.34725274725274724</v>
      </c>
      <c r="AN87" s="1394">
        <f t="shared" si="37"/>
        <v>0.34415584415584416</v>
      </c>
      <c r="AO87" s="1394">
        <f t="shared" si="38"/>
        <v>0.36458333333333331</v>
      </c>
      <c r="AP87" s="1394">
        <f t="shared" si="39"/>
        <v>0.40409683426443205</v>
      </c>
      <c r="AQ87" s="1394">
        <f t="shared" si="40"/>
        <v>0.37360594795539032</v>
      </c>
      <c r="AR87" s="1394">
        <f t="shared" si="41"/>
        <v>0.38900203665987781</v>
      </c>
      <c r="AS87" s="1394">
        <f t="shared" si="42"/>
        <v>0.39780219780219778</v>
      </c>
      <c r="AT87" s="1394">
        <f t="shared" si="43"/>
        <v>0.42680412371134019</v>
      </c>
      <c r="AU87" s="1394">
        <f t="shared" si="44"/>
        <v>0.36853448275862066</v>
      </c>
      <c r="AV87" s="1395">
        <f t="shared" si="45"/>
        <v>0.40248962655601661</v>
      </c>
    </row>
    <row r="88" spans="1:48" s="142" customFormat="1" ht="15.75" customHeight="1">
      <c r="A88" s="149" t="s">
        <v>214</v>
      </c>
      <c r="B88" s="189" t="s">
        <v>215</v>
      </c>
      <c r="C88" s="150" t="s">
        <v>268</v>
      </c>
      <c r="D88" s="1359">
        <v>351</v>
      </c>
      <c r="E88" s="1360">
        <v>365</v>
      </c>
      <c r="F88" s="1361">
        <v>361</v>
      </c>
      <c r="G88" s="1360">
        <v>356</v>
      </c>
      <c r="H88" s="1361">
        <v>320</v>
      </c>
      <c r="I88" s="1360">
        <v>352</v>
      </c>
      <c r="J88" s="1361">
        <v>296</v>
      </c>
      <c r="K88" s="1360">
        <v>347</v>
      </c>
      <c r="L88" s="1374">
        <v>370</v>
      </c>
      <c r="M88" s="1374">
        <v>351</v>
      </c>
      <c r="N88" s="1374">
        <v>369</v>
      </c>
      <c r="O88" s="1374">
        <v>321</v>
      </c>
      <c r="P88" s="1375">
        <v>316</v>
      </c>
      <c r="Q88" s="1375">
        <v>327</v>
      </c>
      <c r="R88" s="1376">
        <v>287</v>
      </c>
      <c r="S88" s="1383">
        <v>94</v>
      </c>
      <c r="T88" s="1384">
        <v>102</v>
      </c>
      <c r="U88" s="1384">
        <v>94</v>
      </c>
      <c r="V88" s="1384">
        <v>92</v>
      </c>
      <c r="W88" s="1384">
        <v>94</v>
      </c>
      <c r="X88" s="1384">
        <v>129</v>
      </c>
      <c r="Y88" s="1384">
        <v>83</v>
      </c>
      <c r="Z88" s="1384">
        <v>110</v>
      </c>
      <c r="AA88" s="1384">
        <v>141</v>
      </c>
      <c r="AB88" s="1384">
        <v>144</v>
      </c>
      <c r="AC88" s="1384">
        <v>155</v>
      </c>
      <c r="AD88" s="1384">
        <v>137</v>
      </c>
      <c r="AE88" s="1384">
        <v>147</v>
      </c>
      <c r="AF88" s="1384">
        <v>156</v>
      </c>
      <c r="AG88" s="1385">
        <v>128</v>
      </c>
      <c r="AH88" s="1393">
        <f t="shared" si="31"/>
        <v>0.26780626780626782</v>
      </c>
      <c r="AI88" s="1394">
        <f t="shared" si="32"/>
        <v>0.27945205479452057</v>
      </c>
      <c r="AJ88" s="1394">
        <f t="shared" si="33"/>
        <v>0.26038781163434904</v>
      </c>
      <c r="AK88" s="1394">
        <f t="shared" si="34"/>
        <v>0.25842696629213485</v>
      </c>
      <c r="AL88" s="1394">
        <f t="shared" si="35"/>
        <v>0.29375000000000001</v>
      </c>
      <c r="AM88" s="1394">
        <f t="shared" si="36"/>
        <v>0.36647727272727271</v>
      </c>
      <c r="AN88" s="1394">
        <f t="shared" si="37"/>
        <v>0.28040540540540543</v>
      </c>
      <c r="AO88" s="1394">
        <f t="shared" si="38"/>
        <v>0.31700288184438041</v>
      </c>
      <c r="AP88" s="1394">
        <f t="shared" si="39"/>
        <v>0.38108108108108107</v>
      </c>
      <c r="AQ88" s="1394">
        <f t="shared" si="40"/>
        <v>0.41025641025641024</v>
      </c>
      <c r="AR88" s="1394">
        <f t="shared" si="41"/>
        <v>0.42005420054200543</v>
      </c>
      <c r="AS88" s="1394">
        <f t="shared" si="42"/>
        <v>0.42679127725856697</v>
      </c>
      <c r="AT88" s="1394">
        <f t="shared" si="43"/>
        <v>0.4651898734177215</v>
      </c>
      <c r="AU88" s="1394">
        <f t="shared" si="44"/>
        <v>0.47706422018348627</v>
      </c>
      <c r="AV88" s="1395">
        <f t="shared" si="45"/>
        <v>0.44599303135888502</v>
      </c>
    </row>
    <row r="89" spans="1:48" s="142" customFormat="1" ht="15.75" customHeight="1">
      <c r="A89" s="149" t="s">
        <v>216</v>
      </c>
      <c r="B89" s="189" t="s">
        <v>217</v>
      </c>
      <c r="C89" s="150" t="s">
        <v>264</v>
      </c>
      <c r="D89" s="1359">
        <v>184</v>
      </c>
      <c r="E89" s="1360">
        <v>179</v>
      </c>
      <c r="F89" s="1361">
        <v>160</v>
      </c>
      <c r="G89" s="1360">
        <v>207</v>
      </c>
      <c r="H89" s="1361">
        <v>133</v>
      </c>
      <c r="I89" s="1360">
        <v>172</v>
      </c>
      <c r="J89" s="1361">
        <v>172</v>
      </c>
      <c r="K89" s="1360">
        <v>149</v>
      </c>
      <c r="L89" s="1374">
        <v>183</v>
      </c>
      <c r="M89" s="1374">
        <v>171</v>
      </c>
      <c r="N89" s="1374">
        <v>205</v>
      </c>
      <c r="O89" s="1374">
        <v>169</v>
      </c>
      <c r="P89" s="1375">
        <v>144</v>
      </c>
      <c r="Q89" s="1375">
        <v>133</v>
      </c>
      <c r="R89" s="1376">
        <v>141</v>
      </c>
      <c r="S89" s="1383">
        <v>70</v>
      </c>
      <c r="T89" s="1384">
        <v>69</v>
      </c>
      <c r="U89" s="1384">
        <v>68</v>
      </c>
      <c r="V89" s="1384">
        <v>84</v>
      </c>
      <c r="W89" s="1384">
        <v>49</v>
      </c>
      <c r="X89" s="1384">
        <v>63</v>
      </c>
      <c r="Y89" s="1384">
        <v>71</v>
      </c>
      <c r="Z89" s="1384">
        <v>59</v>
      </c>
      <c r="AA89" s="1384">
        <v>90</v>
      </c>
      <c r="AB89" s="1384">
        <v>84</v>
      </c>
      <c r="AC89" s="1384">
        <v>97</v>
      </c>
      <c r="AD89" s="1384">
        <v>88</v>
      </c>
      <c r="AE89" s="1384">
        <v>61</v>
      </c>
      <c r="AF89" s="1384">
        <v>61</v>
      </c>
      <c r="AG89" s="1385">
        <v>60</v>
      </c>
      <c r="AH89" s="1393">
        <f t="shared" si="31"/>
        <v>0.38043478260869568</v>
      </c>
      <c r="AI89" s="1394">
        <f t="shared" si="32"/>
        <v>0.38547486033519551</v>
      </c>
      <c r="AJ89" s="1394">
        <f t="shared" si="33"/>
        <v>0.42499999999999999</v>
      </c>
      <c r="AK89" s="1394">
        <f t="shared" si="34"/>
        <v>0.40579710144927539</v>
      </c>
      <c r="AL89" s="1394">
        <f t="shared" si="35"/>
        <v>0.36842105263157893</v>
      </c>
      <c r="AM89" s="1394">
        <f t="shared" si="36"/>
        <v>0.36627906976744184</v>
      </c>
      <c r="AN89" s="1394">
        <f t="shared" si="37"/>
        <v>0.41279069767441862</v>
      </c>
      <c r="AO89" s="1394">
        <f t="shared" si="38"/>
        <v>0.39597315436241609</v>
      </c>
      <c r="AP89" s="1394">
        <f t="shared" si="39"/>
        <v>0.49180327868852458</v>
      </c>
      <c r="AQ89" s="1394">
        <f t="shared" si="40"/>
        <v>0.49122807017543857</v>
      </c>
      <c r="AR89" s="1394">
        <f t="shared" si="41"/>
        <v>0.47317073170731705</v>
      </c>
      <c r="AS89" s="1394">
        <f t="shared" si="42"/>
        <v>0.52071005917159763</v>
      </c>
      <c r="AT89" s="1394">
        <f t="shared" si="43"/>
        <v>0.4236111111111111</v>
      </c>
      <c r="AU89" s="1394">
        <f t="shared" si="44"/>
        <v>0.45864661654135336</v>
      </c>
      <c r="AV89" s="1395">
        <f t="shared" si="45"/>
        <v>0.42553191489361702</v>
      </c>
    </row>
    <row r="90" spans="1:48" s="142" customFormat="1" ht="15.75" customHeight="1">
      <c r="A90" s="149" t="s">
        <v>218</v>
      </c>
      <c r="B90" s="189" t="s">
        <v>219</v>
      </c>
      <c r="C90" s="150" t="s">
        <v>267</v>
      </c>
      <c r="D90" s="1359">
        <v>1194</v>
      </c>
      <c r="E90" s="1360">
        <v>1149</v>
      </c>
      <c r="F90" s="1361">
        <v>1309</v>
      </c>
      <c r="G90" s="1360">
        <v>1472</v>
      </c>
      <c r="H90" s="1361">
        <v>1617</v>
      </c>
      <c r="I90" s="1360">
        <v>1597</v>
      </c>
      <c r="J90" s="1361">
        <v>1706</v>
      </c>
      <c r="K90" s="1360">
        <v>1638</v>
      </c>
      <c r="L90" s="1374">
        <v>1749</v>
      </c>
      <c r="M90" s="1374">
        <v>1717</v>
      </c>
      <c r="N90" s="1374">
        <v>1673</v>
      </c>
      <c r="O90" s="1374">
        <v>1552</v>
      </c>
      <c r="P90" s="1375">
        <v>1595</v>
      </c>
      <c r="Q90" s="1375">
        <v>1559</v>
      </c>
      <c r="R90" s="1376">
        <v>1494</v>
      </c>
      <c r="S90" s="1383">
        <v>293</v>
      </c>
      <c r="T90" s="1384">
        <v>330</v>
      </c>
      <c r="U90" s="1384">
        <v>363</v>
      </c>
      <c r="V90" s="1384">
        <v>394</v>
      </c>
      <c r="W90" s="1384">
        <v>427</v>
      </c>
      <c r="X90" s="1384">
        <v>418</v>
      </c>
      <c r="Y90" s="1384">
        <v>477</v>
      </c>
      <c r="Z90" s="1384">
        <v>497</v>
      </c>
      <c r="AA90" s="1384">
        <v>539</v>
      </c>
      <c r="AB90" s="1384">
        <v>628</v>
      </c>
      <c r="AC90" s="1384">
        <v>616</v>
      </c>
      <c r="AD90" s="1384">
        <v>561</v>
      </c>
      <c r="AE90" s="1384">
        <v>580</v>
      </c>
      <c r="AF90" s="1384">
        <v>573</v>
      </c>
      <c r="AG90" s="1385">
        <v>534</v>
      </c>
      <c r="AH90" s="1393">
        <f t="shared" si="31"/>
        <v>0.24539363484087101</v>
      </c>
      <c r="AI90" s="1394">
        <f t="shared" si="32"/>
        <v>0.28720626631853785</v>
      </c>
      <c r="AJ90" s="1394">
        <f t="shared" si="33"/>
        <v>0.27731092436974791</v>
      </c>
      <c r="AK90" s="1394">
        <f t="shared" si="34"/>
        <v>0.26766304347826086</v>
      </c>
      <c r="AL90" s="1394">
        <f t="shared" si="35"/>
        <v>0.26406926406926406</v>
      </c>
      <c r="AM90" s="1394">
        <f t="shared" si="36"/>
        <v>0.26174076393237322</v>
      </c>
      <c r="AN90" s="1394">
        <f t="shared" si="37"/>
        <v>0.27960140679953105</v>
      </c>
      <c r="AO90" s="1394">
        <f t="shared" si="38"/>
        <v>0.3034188034188034</v>
      </c>
      <c r="AP90" s="1394">
        <f t="shared" si="39"/>
        <v>0.3081761006289308</v>
      </c>
      <c r="AQ90" s="1394">
        <f t="shared" si="40"/>
        <v>0.36575422248107164</v>
      </c>
      <c r="AR90" s="1394">
        <f t="shared" si="41"/>
        <v>0.3682008368200837</v>
      </c>
      <c r="AS90" s="1394">
        <f t="shared" si="42"/>
        <v>0.36146907216494845</v>
      </c>
      <c r="AT90" s="1394">
        <f t="shared" si="43"/>
        <v>0.36363636363636365</v>
      </c>
      <c r="AU90" s="1394">
        <f t="shared" si="44"/>
        <v>0.36754329698524696</v>
      </c>
      <c r="AV90" s="1395">
        <f t="shared" si="45"/>
        <v>0.35742971887550201</v>
      </c>
    </row>
    <row r="91" spans="1:48" s="142" customFormat="1" ht="15.75" customHeight="1">
      <c r="A91" s="149" t="s">
        <v>220</v>
      </c>
      <c r="B91" s="189" t="s">
        <v>221</v>
      </c>
      <c r="C91" s="150" t="s">
        <v>267</v>
      </c>
      <c r="D91" s="1359">
        <v>1293</v>
      </c>
      <c r="E91" s="1360">
        <v>1255</v>
      </c>
      <c r="F91" s="1361">
        <v>1379</v>
      </c>
      <c r="G91" s="1360">
        <v>1426</v>
      </c>
      <c r="H91" s="1361">
        <v>1531</v>
      </c>
      <c r="I91" s="1360">
        <v>1567</v>
      </c>
      <c r="J91" s="1361">
        <v>1621</v>
      </c>
      <c r="K91" s="1360">
        <v>1616</v>
      </c>
      <c r="L91" s="1374">
        <v>1694</v>
      </c>
      <c r="M91" s="1374">
        <v>1741</v>
      </c>
      <c r="N91" s="1374">
        <v>1693</v>
      </c>
      <c r="O91" s="1374">
        <v>1698</v>
      </c>
      <c r="P91" s="1375">
        <v>1671</v>
      </c>
      <c r="Q91" s="1375">
        <v>1683</v>
      </c>
      <c r="R91" s="1376">
        <v>1662</v>
      </c>
      <c r="S91" s="1383">
        <v>309</v>
      </c>
      <c r="T91" s="1384">
        <v>297</v>
      </c>
      <c r="U91" s="1384">
        <v>332</v>
      </c>
      <c r="V91" s="1384">
        <v>349</v>
      </c>
      <c r="W91" s="1384">
        <v>371</v>
      </c>
      <c r="X91" s="1384">
        <v>401</v>
      </c>
      <c r="Y91" s="1384">
        <v>410</v>
      </c>
      <c r="Z91" s="1384">
        <v>440</v>
      </c>
      <c r="AA91" s="1384">
        <v>498</v>
      </c>
      <c r="AB91" s="1384">
        <v>522</v>
      </c>
      <c r="AC91" s="1384">
        <v>497</v>
      </c>
      <c r="AD91" s="1384">
        <v>521</v>
      </c>
      <c r="AE91" s="1384">
        <v>481</v>
      </c>
      <c r="AF91" s="1384">
        <v>522</v>
      </c>
      <c r="AG91" s="1385">
        <v>491</v>
      </c>
      <c r="AH91" s="1393">
        <f t="shared" si="31"/>
        <v>0.23897911832946636</v>
      </c>
      <c r="AI91" s="1394">
        <f t="shared" si="32"/>
        <v>0.23665338645418327</v>
      </c>
      <c r="AJ91" s="1394">
        <f t="shared" si="33"/>
        <v>0.24075416968817984</v>
      </c>
      <c r="AK91" s="1394">
        <f t="shared" si="34"/>
        <v>0.2447405329593268</v>
      </c>
      <c r="AL91" s="1394">
        <f t="shared" si="35"/>
        <v>0.24232527759634226</v>
      </c>
      <c r="AM91" s="1394">
        <f t="shared" si="36"/>
        <v>0.25590299936183791</v>
      </c>
      <c r="AN91" s="1394">
        <f t="shared" si="37"/>
        <v>0.25293028994447869</v>
      </c>
      <c r="AO91" s="1394">
        <f t="shared" si="38"/>
        <v>0.2722772277227723</v>
      </c>
      <c r="AP91" s="1394">
        <f t="shared" si="39"/>
        <v>0.29397874852420308</v>
      </c>
      <c r="AQ91" s="1394">
        <f t="shared" si="40"/>
        <v>0.29982768523836878</v>
      </c>
      <c r="AR91" s="1394">
        <f t="shared" si="41"/>
        <v>0.29356172474896636</v>
      </c>
      <c r="AS91" s="1394">
        <f t="shared" si="42"/>
        <v>0.30683156654888105</v>
      </c>
      <c r="AT91" s="1394">
        <f t="shared" si="43"/>
        <v>0.28785158587672055</v>
      </c>
      <c r="AU91" s="1394">
        <f t="shared" si="44"/>
        <v>0.31016042780748665</v>
      </c>
      <c r="AV91" s="1395">
        <f t="shared" si="45"/>
        <v>0.29542719614921781</v>
      </c>
    </row>
    <row r="92" spans="1:48" s="142" customFormat="1" ht="15.75" customHeight="1">
      <c r="A92" s="149" t="s">
        <v>224</v>
      </c>
      <c r="B92" s="189" t="s">
        <v>225</v>
      </c>
      <c r="C92" s="150" t="s">
        <v>264</v>
      </c>
      <c r="D92" s="1359">
        <v>62</v>
      </c>
      <c r="E92" s="1360">
        <v>67</v>
      </c>
      <c r="F92" s="1361">
        <v>79</v>
      </c>
      <c r="G92" s="1360">
        <v>77</v>
      </c>
      <c r="H92" s="1361">
        <v>64</v>
      </c>
      <c r="I92" s="1360">
        <v>71</v>
      </c>
      <c r="J92" s="1361">
        <v>64</v>
      </c>
      <c r="K92" s="1360">
        <v>52</v>
      </c>
      <c r="L92" s="1374">
        <v>85</v>
      </c>
      <c r="M92" s="1374">
        <v>69</v>
      </c>
      <c r="N92" s="1374">
        <v>73</v>
      </c>
      <c r="O92" s="1374">
        <v>78</v>
      </c>
      <c r="P92" s="1375">
        <v>57</v>
      </c>
      <c r="Q92" s="1375">
        <v>58</v>
      </c>
      <c r="R92" s="1376">
        <v>64</v>
      </c>
      <c r="S92" s="1383">
        <v>27</v>
      </c>
      <c r="T92" s="1384">
        <v>30</v>
      </c>
      <c r="U92" s="1384">
        <v>35</v>
      </c>
      <c r="V92" s="1384">
        <v>42</v>
      </c>
      <c r="W92" s="1384">
        <v>31</v>
      </c>
      <c r="X92" s="1384">
        <v>31</v>
      </c>
      <c r="Y92" s="1384">
        <v>28</v>
      </c>
      <c r="Z92" s="1384">
        <v>24</v>
      </c>
      <c r="AA92" s="1384">
        <v>40</v>
      </c>
      <c r="AB92" s="1384">
        <v>28</v>
      </c>
      <c r="AC92" s="1384">
        <v>30</v>
      </c>
      <c r="AD92" s="1384">
        <v>41</v>
      </c>
      <c r="AE92" s="1384">
        <v>32</v>
      </c>
      <c r="AF92" s="1384">
        <v>28</v>
      </c>
      <c r="AG92" s="1385">
        <v>33</v>
      </c>
      <c r="AH92" s="1393">
        <f t="shared" si="31"/>
        <v>0.43548387096774194</v>
      </c>
      <c r="AI92" s="1394">
        <f t="shared" si="32"/>
        <v>0.44776119402985076</v>
      </c>
      <c r="AJ92" s="1394">
        <f t="shared" si="33"/>
        <v>0.44303797468354428</v>
      </c>
      <c r="AK92" s="1394">
        <f t="shared" si="34"/>
        <v>0.54545454545454541</v>
      </c>
      <c r="AL92" s="1394">
        <f t="shared" si="35"/>
        <v>0.484375</v>
      </c>
      <c r="AM92" s="1394">
        <f t="shared" si="36"/>
        <v>0.43661971830985913</v>
      </c>
      <c r="AN92" s="1394">
        <f t="shared" si="37"/>
        <v>0.4375</v>
      </c>
      <c r="AO92" s="1394">
        <f t="shared" si="38"/>
        <v>0.46153846153846156</v>
      </c>
      <c r="AP92" s="1394">
        <f t="shared" si="39"/>
        <v>0.47058823529411764</v>
      </c>
      <c r="AQ92" s="1394">
        <f t="shared" si="40"/>
        <v>0.40579710144927539</v>
      </c>
      <c r="AR92" s="1394">
        <f t="shared" si="41"/>
        <v>0.41095890410958902</v>
      </c>
      <c r="AS92" s="1394">
        <f t="shared" si="42"/>
        <v>0.52564102564102566</v>
      </c>
      <c r="AT92" s="1394">
        <f t="shared" si="43"/>
        <v>0.56140350877192979</v>
      </c>
      <c r="AU92" s="1394">
        <f t="shared" si="44"/>
        <v>0.48275862068965519</v>
      </c>
      <c r="AV92" s="1395">
        <f t="shared" si="45"/>
        <v>0.515625</v>
      </c>
    </row>
    <row r="93" spans="1:48" s="142" customFormat="1" ht="15.75" customHeight="1">
      <c r="A93" s="149" t="s">
        <v>226</v>
      </c>
      <c r="B93" s="189" t="s">
        <v>227</v>
      </c>
      <c r="C93" s="150" t="s">
        <v>264</v>
      </c>
      <c r="D93" s="1359">
        <v>114</v>
      </c>
      <c r="E93" s="1360">
        <v>130</v>
      </c>
      <c r="F93" s="1361">
        <v>138</v>
      </c>
      <c r="G93" s="1360">
        <v>112</v>
      </c>
      <c r="H93" s="1361">
        <v>115</v>
      </c>
      <c r="I93" s="1360">
        <v>114</v>
      </c>
      <c r="J93" s="1361">
        <v>123</v>
      </c>
      <c r="K93" s="1360">
        <v>119</v>
      </c>
      <c r="L93" s="1374">
        <v>106</v>
      </c>
      <c r="M93" s="1374">
        <v>130</v>
      </c>
      <c r="N93" s="1374">
        <v>116</v>
      </c>
      <c r="O93" s="1374">
        <v>117</v>
      </c>
      <c r="P93" s="1375">
        <v>95</v>
      </c>
      <c r="Q93" s="1375">
        <v>126</v>
      </c>
      <c r="R93" s="1376">
        <v>101</v>
      </c>
      <c r="S93" s="1383">
        <v>55</v>
      </c>
      <c r="T93" s="1384">
        <v>65</v>
      </c>
      <c r="U93" s="1384">
        <v>79</v>
      </c>
      <c r="V93" s="1384">
        <v>61</v>
      </c>
      <c r="W93" s="1384">
        <v>65</v>
      </c>
      <c r="X93" s="1384">
        <v>62</v>
      </c>
      <c r="Y93" s="1384">
        <v>65</v>
      </c>
      <c r="Z93" s="1384">
        <v>74</v>
      </c>
      <c r="AA93" s="1384">
        <v>62</v>
      </c>
      <c r="AB93" s="1384">
        <v>70</v>
      </c>
      <c r="AC93" s="1384">
        <v>68</v>
      </c>
      <c r="AD93" s="1384">
        <v>71</v>
      </c>
      <c r="AE93" s="1384">
        <v>57</v>
      </c>
      <c r="AF93" s="1384">
        <v>75</v>
      </c>
      <c r="AG93" s="1385">
        <v>63</v>
      </c>
      <c r="AH93" s="1393">
        <f t="shared" si="31"/>
        <v>0.48245614035087719</v>
      </c>
      <c r="AI93" s="1394">
        <f t="shared" si="32"/>
        <v>0.5</v>
      </c>
      <c r="AJ93" s="1394">
        <f t="shared" si="33"/>
        <v>0.57246376811594202</v>
      </c>
      <c r="AK93" s="1394">
        <f t="shared" si="34"/>
        <v>0.5446428571428571</v>
      </c>
      <c r="AL93" s="1394">
        <f t="shared" si="35"/>
        <v>0.56521739130434778</v>
      </c>
      <c r="AM93" s="1394">
        <f t="shared" si="36"/>
        <v>0.54385964912280704</v>
      </c>
      <c r="AN93" s="1394">
        <f t="shared" si="37"/>
        <v>0.52845528455284552</v>
      </c>
      <c r="AO93" s="1394">
        <f t="shared" si="38"/>
        <v>0.62184873949579833</v>
      </c>
      <c r="AP93" s="1394">
        <f t="shared" si="39"/>
        <v>0.58490566037735847</v>
      </c>
      <c r="AQ93" s="1394">
        <f t="shared" si="40"/>
        <v>0.53846153846153844</v>
      </c>
      <c r="AR93" s="1394">
        <f t="shared" si="41"/>
        <v>0.58620689655172409</v>
      </c>
      <c r="AS93" s="1394">
        <f t="shared" si="42"/>
        <v>0.60683760683760679</v>
      </c>
      <c r="AT93" s="1394">
        <f t="shared" si="43"/>
        <v>0.6</v>
      </c>
      <c r="AU93" s="1394">
        <f t="shared" si="44"/>
        <v>0.59523809523809523</v>
      </c>
      <c r="AV93" s="1395">
        <f t="shared" si="45"/>
        <v>0.62376237623762376</v>
      </c>
    </row>
    <row r="94" spans="1:48" s="142" customFormat="1" ht="15.75" customHeight="1">
      <c r="A94" s="149" t="s">
        <v>228</v>
      </c>
      <c r="B94" s="189" t="s">
        <v>229</v>
      </c>
      <c r="C94" s="150" t="s">
        <v>268</v>
      </c>
      <c r="D94" s="1359">
        <v>472</v>
      </c>
      <c r="E94" s="1360">
        <v>489</v>
      </c>
      <c r="F94" s="1361">
        <v>421</v>
      </c>
      <c r="G94" s="1360">
        <v>447</v>
      </c>
      <c r="H94" s="1361">
        <v>467</v>
      </c>
      <c r="I94" s="1360">
        <v>494</v>
      </c>
      <c r="J94" s="1361">
        <v>469</v>
      </c>
      <c r="K94" s="1360">
        <v>467</v>
      </c>
      <c r="L94" s="1374">
        <v>473</v>
      </c>
      <c r="M94" s="1374">
        <v>468</v>
      </c>
      <c r="N94" s="1374">
        <v>470</v>
      </c>
      <c r="O94" s="1374">
        <v>482</v>
      </c>
      <c r="P94" s="1375">
        <v>490</v>
      </c>
      <c r="Q94" s="1375">
        <v>418</v>
      </c>
      <c r="R94" s="1376">
        <v>457</v>
      </c>
      <c r="S94" s="1383">
        <v>126</v>
      </c>
      <c r="T94" s="1384">
        <v>138</v>
      </c>
      <c r="U94" s="1384">
        <v>111</v>
      </c>
      <c r="V94" s="1384">
        <v>113</v>
      </c>
      <c r="W94" s="1384">
        <v>126</v>
      </c>
      <c r="X94" s="1384">
        <v>143</v>
      </c>
      <c r="Y94" s="1384">
        <v>132</v>
      </c>
      <c r="Z94" s="1384">
        <v>135</v>
      </c>
      <c r="AA94" s="1384">
        <v>151</v>
      </c>
      <c r="AB94" s="1384">
        <v>159</v>
      </c>
      <c r="AC94" s="1384">
        <v>154</v>
      </c>
      <c r="AD94" s="1384">
        <v>169</v>
      </c>
      <c r="AE94" s="1384">
        <v>184</v>
      </c>
      <c r="AF94" s="1384">
        <v>152</v>
      </c>
      <c r="AG94" s="1385">
        <v>164</v>
      </c>
      <c r="AH94" s="1393">
        <f t="shared" si="31"/>
        <v>0.26694915254237289</v>
      </c>
      <c r="AI94" s="1394">
        <f t="shared" si="32"/>
        <v>0.2822085889570552</v>
      </c>
      <c r="AJ94" s="1394">
        <f t="shared" si="33"/>
        <v>0.26365795724465557</v>
      </c>
      <c r="AK94" s="1394">
        <f t="shared" si="34"/>
        <v>0.25279642058165547</v>
      </c>
      <c r="AL94" s="1394">
        <f t="shared" si="35"/>
        <v>0.26980728051391861</v>
      </c>
      <c r="AM94" s="1394">
        <f t="shared" si="36"/>
        <v>0.28947368421052633</v>
      </c>
      <c r="AN94" s="1394">
        <f t="shared" si="37"/>
        <v>0.28144989339019189</v>
      </c>
      <c r="AO94" s="1394">
        <f t="shared" si="38"/>
        <v>0.28907922912205569</v>
      </c>
      <c r="AP94" s="1394">
        <f t="shared" si="39"/>
        <v>0.31923890063424948</v>
      </c>
      <c r="AQ94" s="1394">
        <f t="shared" si="40"/>
        <v>0.33974358974358976</v>
      </c>
      <c r="AR94" s="1394">
        <f t="shared" si="41"/>
        <v>0.32765957446808508</v>
      </c>
      <c r="AS94" s="1394">
        <f t="shared" si="42"/>
        <v>0.35062240663900412</v>
      </c>
      <c r="AT94" s="1394">
        <f t="shared" si="43"/>
        <v>0.37551020408163266</v>
      </c>
      <c r="AU94" s="1394">
        <f t="shared" si="44"/>
        <v>0.36363636363636365</v>
      </c>
      <c r="AV94" s="1395">
        <f t="shared" si="45"/>
        <v>0.35886214442013131</v>
      </c>
    </row>
    <row r="95" spans="1:48" s="142" customFormat="1" ht="15.75" customHeight="1">
      <c r="A95" s="149" t="s">
        <v>232</v>
      </c>
      <c r="B95" s="189" t="s">
        <v>233</v>
      </c>
      <c r="C95" s="150" t="s">
        <v>267</v>
      </c>
      <c r="D95" s="1359">
        <v>399</v>
      </c>
      <c r="E95" s="1360">
        <v>442</v>
      </c>
      <c r="F95" s="1361">
        <v>426</v>
      </c>
      <c r="G95" s="1360">
        <v>425</v>
      </c>
      <c r="H95" s="1361">
        <v>437</v>
      </c>
      <c r="I95" s="1360">
        <v>481</v>
      </c>
      <c r="J95" s="1361">
        <v>445</v>
      </c>
      <c r="K95" s="1360">
        <v>508</v>
      </c>
      <c r="L95" s="1374">
        <v>520</v>
      </c>
      <c r="M95" s="1374">
        <v>522</v>
      </c>
      <c r="N95" s="1374">
        <v>505</v>
      </c>
      <c r="O95" s="1374">
        <v>454</v>
      </c>
      <c r="P95" s="1375">
        <v>430</v>
      </c>
      <c r="Q95" s="1375">
        <v>432</v>
      </c>
      <c r="R95" s="1376">
        <v>460</v>
      </c>
      <c r="S95" s="1383">
        <v>119</v>
      </c>
      <c r="T95" s="1384">
        <v>125</v>
      </c>
      <c r="U95" s="1384">
        <v>141</v>
      </c>
      <c r="V95" s="1384">
        <v>142</v>
      </c>
      <c r="W95" s="1384">
        <v>157</v>
      </c>
      <c r="X95" s="1384">
        <v>157</v>
      </c>
      <c r="Y95" s="1384">
        <v>140</v>
      </c>
      <c r="Z95" s="1384">
        <v>173</v>
      </c>
      <c r="AA95" s="1384">
        <v>196</v>
      </c>
      <c r="AB95" s="1384">
        <v>205</v>
      </c>
      <c r="AC95" s="1384">
        <v>197</v>
      </c>
      <c r="AD95" s="1384">
        <v>185</v>
      </c>
      <c r="AE95" s="1384">
        <v>163</v>
      </c>
      <c r="AF95" s="1384">
        <v>189</v>
      </c>
      <c r="AG95" s="1385">
        <v>191</v>
      </c>
      <c r="AH95" s="1393">
        <f t="shared" si="31"/>
        <v>0.2982456140350877</v>
      </c>
      <c r="AI95" s="1394">
        <f t="shared" si="32"/>
        <v>0.28280542986425339</v>
      </c>
      <c r="AJ95" s="1394">
        <f t="shared" si="33"/>
        <v>0.33098591549295775</v>
      </c>
      <c r="AK95" s="1394">
        <f t="shared" si="34"/>
        <v>0.33411764705882352</v>
      </c>
      <c r="AL95" s="1394">
        <f t="shared" si="35"/>
        <v>0.35926773455377575</v>
      </c>
      <c r="AM95" s="1394">
        <f t="shared" si="36"/>
        <v>0.32640332640332642</v>
      </c>
      <c r="AN95" s="1394">
        <f t="shared" si="37"/>
        <v>0.3146067415730337</v>
      </c>
      <c r="AO95" s="1394">
        <f t="shared" si="38"/>
        <v>0.34055118110236221</v>
      </c>
      <c r="AP95" s="1394">
        <f t="shared" si="39"/>
        <v>0.37692307692307692</v>
      </c>
      <c r="AQ95" s="1394">
        <f t="shared" si="40"/>
        <v>0.39272030651340994</v>
      </c>
      <c r="AR95" s="1394">
        <f t="shared" si="41"/>
        <v>0.39009900990099011</v>
      </c>
      <c r="AS95" s="1394">
        <f t="shared" si="42"/>
        <v>0.40748898678414097</v>
      </c>
      <c r="AT95" s="1394">
        <f t="shared" si="43"/>
        <v>0.37906976744186044</v>
      </c>
      <c r="AU95" s="1394">
        <f t="shared" si="44"/>
        <v>0.4375</v>
      </c>
      <c r="AV95" s="1395">
        <f t="shared" si="45"/>
        <v>0.41521739130434782</v>
      </c>
    </row>
    <row r="96" spans="1:48" s="142" customFormat="1" ht="15.75" customHeight="1">
      <c r="A96" s="149" t="s">
        <v>234</v>
      </c>
      <c r="B96" s="189" t="s">
        <v>235</v>
      </c>
      <c r="C96" s="150" t="s">
        <v>268</v>
      </c>
      <c r="D96" s="1359">
        <v>538</v>
      </c>
      <c r="E96" s="1360">
        <v>501</v>
      </c>
      <c r="F96" s="1361">
        <v>492</v>
      </c>
      <c r="G96" s="1360">
        <v>541</v>
      </c>
      <c r="H96" s="1361">
        <v>547</v>
      </c>
      <c r="I96" s="1360">
        <v>508</v>
      </c>
      <c r="J96" s="1361">
        <v>495</v>
      </c>
      <c r="K96" s="1360">
        <v>526</v>
      </c>
      <c r="L96" s="1374">
        <v>491</v>
      </c>
      <c r="M96" s="1374">
        <v>551</v>
      </c>
      <c r="N96" s="1374">
        <v>536</v>
      </c>
      <c r="O96" s="1374">
        <v>517</v>
      </c>
      <c r="P96" s="1375">
        <v>510</v>
      </c>
      <c r="Q96" s="1375">
        <v>539</v>
      </c>
      <c r="R96" s="1376">
        <v>513</v>
      </c>
      <c r="S96" s="1383">
        <v>134</v>
      </c>
      <c r="T96" s="1384">
        <v>107</v>
      </c>
      <c r="U96" s="1384">
        <v>107</v>
      </c>
      <c r="V96" s="1384">
        <v>126</v>
      </c>
      <c r="W96" s="1384">
        <v>136</v>
      </c>
      <c r="X96" s="1384">
        <v>111</v>
      </c>
      <c r="Y96" s="1384">
        <v>127</v>
      </c>
      <c r="Z96" s="1384">
        <v>155</v>
      </c>
      <c r="AA96" s="1384">
        <v>147</v>
      </c>
      <c r="AB96" s="1384">
        <v>183</v>
      </c>
      <c r="AC96" s="1384">
        <v>175</v>
      </c>
      <c r="AD96" s="1384">
        <v>175</v>
      </c>
      <c r="AE96" s="1384">
        <v>164</v>
      </c>
      <c r="AF96" s="1384">
        <v>197</v>
      </c>
      <c r="AG96" s="1385">
        <v>186</v>
      </c>
      <c r="AH96" s="1393">
        <f t="shared" si="31"/>
        <v>0.24907063197026022</v>
      </c>
      <c r="AI96" s="1394">
        <f t="shared" si="32"/>
        <v>0.21357285429141717</v>
      </c>
      <c r="AJ96" s="1394">
        <f t="shared" si="33"/>
        <v>0.21747967479674796</v>
      </c>
      <c r="AK96" s="1394">
        <f t="shared" si="34"/>
        <v>0.23290203327171904</v>
      </c>
      <c r="AL96" s="1394">
        <f t="shared" si="35"/>
        <v>0.24862888482632542</v>
      </c>
      <c r="AM96" s="1394">
        <f t="shared" si="36"/>
        <v>0.21850393700787402</v>
      </c>
      <c r="AN96" s="1394">
        <f t="shared" si="37"/>
        <v>0.25656565656565655</v>
      </c>
      <c r="AO96" s="1394">
        <f t="shared" si="38"/>
        <v>0.29467680608365021</v>
      </c>
      <c r="AP96" s="1394">
        <f t="shared" si="39"/>
        <v>0.29938900203665986</v>
      </c>
      <c r="AQ96" s="1394">
        <f t="shared" si="40"/>
        <v>0.33212341197822143</v>
      </c>
      <c r="AR96" s="1394">
        <f t="shared" si="41"/>
        <v>0.32649253731343286</v>
      </c>
      <c r="AS96" s="1394">
        <f t="shared" si="42"/>
        <v>0.33849129593810445</v>
      </c>
      <c r="AT96" s="1394">
        <f t="shared" si="43"/>
        <v>0.32156862745098042</v>
      </c>
      <c r="AU96" s="1394">
        <f t="shared" si="44"/>
        <v>0.36549165120593691</v>
      </c>
      <c r="AV96" s="1395">
        <f t="shared" si="45"/>
        <v>0.36257309941520466</v>
      </c>
    </row>
    <row r="97" spans="1:48" s="142" customFormat="1" ht="15.75" customHeight="1">
      <c r="A97" s="149" t="s">
        <v>236</v>
      </c>
      <c r="B97" s="189" t="s">
        <v>237</v>
      </c>
      <c r="C97" s="150" t="s">
        <v>266</v>
      </c>
      <c r="D97" s="1359">
        <v>204</v>
      </c>
      <c r="E97" s="1360">
        <v>201</v>
      </c>
      <c r="F97" s="1361">
        <v>168</v>
      </c>
      <c r="G97" s="1360">
        <v>184</v>
      </c>
      <c r="H97" s="1361">
        <v>204</v>
      </c>
      <c r="I97" s="1360">
        <v>173</v>
      </c>
      <c r="J97" s="1361">
        <v>179</v>
      </c>
      <c r="K97" s="1360">
        <v>183</v>
      </c>
      <c r="L97" s="1374">
        <v>188</v>
      </c>
      <c r="M97" s="1374">
        <v>207</v>
      </c>
      <c r="N97" s="1374">
        <v>194</v>
      </c>
      <c r="O97" s="1374">
        <v>193</v>
      </c>
      <c r="P97" s="1375">
        <v>181</v>
      </c>
      <c r="Q97" s="1375">
        <v>184</v>
      </c>
      <c r="R97" s="1376">
        <v>192</v>
      </c>
      <c r="S97" s="1383">
        <v>98</v>
      </c>
      <c r="T97" s="1384">
        <v>107</v>
      </c>
      <c r="U97" s="1384">
        <v>92</v>
      </c>
      <c r="V97" s="1384">
        <v>94</v>
      </c>
      <c r="W97" s="1384">
        <v>108</v>
      </c>
      <c r="X97" s="1384">
        <v>84</v>
      </c>
      <c r="Y97" s="1384">
        <v>96</v>
      </c>
      <c r="Z97" s="1384">
        <v>102</v>
      </c>
      <c r="AA97" s="1384">
        <v>96</v>
      </c>
      <c r="AB97" s="1384">
        <v>110</v>
      </c>
      <c r="AC97" s="1384">
        <v>103</v>
      </c>
      <c r="AD97" s="1384">
        <v>124</v>
      </c>
      <c r="AE97" s="1384">
        <v>100</v>
      </c>
      <c r="AF97" s="1384">
        <v>93</v>
      </c>
      <c r="AG97" s="1385">
        <v>100</v>
      </c>
      <c r="AH97" s="1393">
        <f t="shared" si="31"/>
        <v>0.48039215686274511</v>
      </c>
      <c r="AI97" s="1394">
        <f t="shared" si="32"/>
        <v>0.53233830845771146</v>
      </c>
      <c r="AJ97" s="1394">
        <f t="shared" si="33"/>
        <v>0.54761904761904767</v>
      </c>
      <c r="AK97" s="1394">
        <f t="shared" si="34"/>
        <v>0.51086956521739135</v>
      </c>
      <c r="AL97" s="1394">
        <f t="shared" si="35"/>
        <v>0.52941176470588236</v>
      </c>
      <c r="AM97" s="1394">
        <f t="shared" si="36"/>
        <v>0.48554913294797686</v>
      </c>
      <c r="AN97" s="1394">
        <f t="shared" si="37"/>
        <v>0.53631284916201116</v>
      </c>
      <c r="AO97" s="1394">
        <f t="shared" si="38"/>
        <v>0.55737704918032782</v>
      </c>
      <c r="AP97" s="1394">
        <f t="shared" si="39"/>
        <v>0.51063829787234039</v>
      </c>
      <c r="AQ97" s="1394">
        <f t="shared" si="40"/>
        <v>0.53140096618357491</v>
      </c>
      <c r="AR97" s="1394">
        <f t="shared" si="41"/>
        <v>0.53092783505154639</v>
      </c>
      <c r="AS97" s="1394">
        <f t="shared" si="42"/>
        <v>0.6424870466321243</v>
      </c>
      <c r="AT97" s="1394">
        <f t="shared" si="43"/>
        <v>0.5524861878453039</v>
      </c>
      <c r="AU97" s="1394">
        <f t="shared" si="44"/>
        <v>0.50543478260869568</v>
      </c>
      <c r="AV97" s="1395">
        <f t="shared" si="45"/>
        <v>0.52083333333333337</v>
      </c>
    </row>
    <row r="98" spans="1:48" s="142" customFormat="1" ht="15.75" customHeight="1">
      <c r="A98" s="149" t="s">
        <v>242</v>
      </c>
      <c r="B98" s="189" t="s">
        <v>243</v>
      </c>
      <c r="C98" s="150" t="s">
        <v>268</v>
      </c>
      <c r="D98" s="1359">
        <v>559</v>
      </c>
      <c r="E98" s="1360">
        <v>485</v>
      </c>
      <c r="F98" s="1361">
        <v>510</v>
      </c>
      <c r="G98" s="1360">
        <v>504</v>
      </c>
      <c r="H98" s="1361">
        <v>504</v>
      </c>
      <c r="I98" s="1360">
        <v>489</v>
      </c>
      <c r="J98" s="1361">
        <v>502</v>
      </c>
      <c r="K98" s="1360">
        <v>464</v>
      </c>
      <c r="L98" s="1374">
        <v>481</v>
      </c>
      <c r="M98" s="1374">
        <v>498</v>
      </c>
      <c r="N98" s="1374">
        <v>498</v>
      </c>
      <c r="O98" s="1374">
        <v>524</v>
      </c>
      <c r="P98" s="1375">
        <v>457</v>
      </c>
      <c r="Q98" s="1375">
        <v>396</v>
      </c>
      <c r="R98" s="1376">
        <v>419</v>
      </c>
      <c r="S98" s="1383">
        <v>173</v>
      </c>
      <c r="T98" s="1384">
        <v>141</v>
      </c>
      <c r="U98" s="1384">
        <v>152</v>
      </c>
      <c r="V98" s="1384">
        <v>153</v>
      </c>
      <c r="W98" s="1384">
        <v>163</v>
      </c>
      <c r="X98" s="1384">
        <v>158</v>
      </c>
      <c r="Y98" s="1384">
        <v>174</v>
      </c>
      <c r="Z98" s="1384">
        <v>169</v>
      </c>
      <c r="AA98" s="1384">
        <v>164</v>
      </c>
      <c r="AB98" s="1384">
        <v>190</v>
      </c>
      <c r="AC98" s="1384">
        <v>184</v>
      </c>
      <c r="AD98" s="1384">
        <v>204</v>
      </c>
      <c r="AE98" s="1384">
        <v>211</v>
      </c>
      <c r="AF98" s="1384">
        <v>159</v>
      </c>
      <c r="AG98" s="1385">
        <v>183</v>
      </c>
      <c r="AH98" s="1393">
        <f t="shared" si="31"/>
        <v>0.30948121645796062</v>
      </c>
      <c r="AI98" s="1394">
        <f t="shared" si="32"/>
        <v>0.2907216494845361</v>
      </c>
      <c r="AJ98" s="1394">
        <f t="shared" si="33"/>
        <v>0.29803921568627451</v>
      </c>
      <c r="AK98" s="1394">
        <f t="shared" si="34"/>
        <v>0.30357142857142855</v>
      </c>
      <c r="AL98" s="1394">
        <f t="shared" si="35"/>
        <v>0.32341269841269843</v>
      </c>
      <c r="AM98" s="1394">
        <f t="shared" si="36"/>
        <v>0.32310838445807771</v>
      </c>
      <c r="AN98" s="1394">
        <f t="shared" si="37"/>
        <v>0.34661354581673309</v>
      </c>
      <c r="AO98" s="1394">
        <f t="shared" si="38"/>
        <v>0.36422413793103448</v>
      </c>
      <c r="AP98" s="1394">
        <f t="shared" si="39"/>
        <v>0.34095634095634098</v>
      </c>
      <c r="AQ98" s="1394">
        <f t="shared" si="40"/>
        <v>0.38152610441767071</v>
      </c>
      <c r="AR98" s="1394">
        <f t="shared" si="41"/>
        <v>0.36947791164658633</v>
      </c>
      <c r="AS98" s="1394">
        <f t="shared" si="42"/>
        <v>0.38931297709923662</v>
      </c>
      <c r="AT98" s="1394">
        <f t="shared" si="43"/>
        <v>0.46170678336980309</v>
      </c>
      <c r="AU98" s="1394">
        <f t="shared" si="44"/>
        <v>0.40151515151515149</v>
      </c>
      <c r="AV98" s="1395">
        <f t="shared" si="45"/>
        <v>0.43675417661097854</v>
      </c>
    </row>
    <row r="99" spans="1:48" s="142" customFormat="1" ht="15.75" customHeight="1">
      <c r="A99" s="149" t="s">
        <v>244</v>
      </c>
      <c r="B99" s="189" t="s">
        <v>245</v>
      </c>
      <c r="C99" s="150" t="s">
        <v>268</v>
      </c>
      <c r="D99" s="1359">
        <v>276</v>
      </c>
      <c r="E99" s="1360">
        <v>340</v>
      </c>
      <c r="F99" s="1361">
        <v>336</v>
      </c>
      <c r="G99" s="1360">
        <v>315</v>
      </c>
      <c r="H99" s="1361">
        <v>325</v>
      </c>
      <c r="I99" s="1360">
        <v>333</v>
      </c>
      <c r="J99" s="1361">
        <v>332</v>
      </c>
      <c r="K99" s="1360">
        <v>328</v>
      </c>
      <c r="L99" s="1374">
        <v>333</v>
      </c>
      <c r="M99" s="1374">
        <v>321</v>
      </c>
      <c r="N99" s="1374">
        <v>290</v>
      </c>
      <c r="O99" s="1374">
        <v>278</v>
      </c>
      <c r="P99" s="1375">
        <v>281</v>
      </c>
      <c r="Q99" s="1375">
        <v>310</v>
      </c>
      <c r="R99" s="1376">
        <v>293</v>
      </c>
      <c r="S99" s="1383">
        <v>74</v>
      </c>
      <c r="T99" s="1384">
        <v>78</v>
      </c>
      <c r="U99" s="1384">
        <v>74</v>
      </c>
      <c r="V99" s="1384">
        <v>84</v>
      </c>
      <c r="W99" s="1384">
        <v>89</v>
      </c>
      <c r="X99" s="1384">
        <v>95</v>
      </c>
      <c r="Y99" s="1384">
        <v>106</v>
      </c>
      <c r="Z99" s="1384">
        <v>98</v>
      </c>
      <c r="AA99" s="1384">
        <v>108</v>
      </c>
      <c r="AB99" s="1384">
        <v>113</v>
      </c>
      <c r="AC99" s="1384">
        <v>112</v>
      </c>
      <c r="AD99" s="1384">
        <v>105</v>
      </c>
      <c r="AE99" s="1384">
        <v>96</v>
      </c>
      <c r="AF99" s="1384">
        <v>127</v>
      </c>
      <c r="AG99" s="1385">
        <v>134</v>
      </c>
      <c r="AH99" s="1393">
        <f t="shared" si="31"/>
        <v>0.26811594202898553</v>
      </c>
      <c r="AI99" s="1394">
        <f t="shared" si="32"/>
        <v>0.22941176470588234</v>
      </c>
      <c r="AJ99" s="1394">
        <f t="shared" si="33"/>
        <v>0.22023809523809523</v>
      </c>
      <c r="AK99" s="1394">
        <f t="shared" si="34"/>
        <v>0.26666666666666666</v>
      </c>
      <c r="AL99" s="1394">
        <f t="shared" si="35"/>
        <v>0.27384615384615385</v>
      </c>
      <c r="AM99" s="1394">
        <f t="shared" si="36"/>
        <v>0.28528528528528529</v>
      </c>
      <c r="AN99" s="1394">
        <f t="shared" si="37"/>
        <v>0.31927710843373491</v>
      </c>
      <c r="AO99" s="1394">
        <f t="shared" si="38"/>
        <v>0.29878048780487804</v>
      </c>
      <c r="AP99" s="1394">
        <f t="shared" si="39"/>
        <v>0.32432432432432434</v>
      </c>
      <c r="AQ99" s="1394">
        <f t="shared" si="40"/>
        <v>0.35202492211838005</v>
      </c>
      <c r="AR99" s="1394">
        <f t="shared" si="41"/>
        <v>0.38620689655172413</v>
      </c>
      <c r="AS99" s="1394">
        <f t="shared" si="42"/>
        <v>0.37769784172661869</v>
      </c>
      <c r="AT99" s="1394">
        <f t="shared" si="43"/>
        <v>0.34163701067615659</v>
      </c>
      <c r="AU99" s="1394">
        <f t="shared" si="44"/>
        <v>0.4096774193548387</v>
      </c>
      <c r="AV99" s="1395">
        <f t="shared" si="45"/>
        <v>0.45733788395904434</v>
      </c>
    </row>
    <row r="100" spans="1:48" s="142" customFormat="1" ht="15.75" customHeight="1">
      <c r="A100" s="149" t="s">
        <v>246</v>
      </c>
      <c r="B100" s="189" t="s">
        <v>247</v>
      </c>
      <c r="C100" s="150" t="s">
        <v>264</v>
      </c>
      <c r="D100" s="1359">
        <v>648</v>
      </c>
      <c r="E100" s="1360">
        <v>744</v>
      </c>
      <c r="F100" s="1361">
        <v>823</v>
      </c>
      <c r="G100" s="1360">
        <v>712</v>
      </c>
      <c r="H100" s="1361">
        <v>683</v>
      </c>
      <c r="I100" s="1360">
        <v>670</v>
      </c>
      <c r="J100" s="1361">
        <v>676</v>
      </c>
      <c r="K100" s="1360">
        <v>623</v>
      </c>
      <c r="L100" s="1374">
        <v>633</v>
      </c>
      <c r="M100" s="1374">
        <v>682</v>
      </c>
      <c r="N100" s="1374">
        <v>670</v>
      </c>
      <c r="O100" s="1374">
        <v>702</v>
      </c>
      <c r="P100" s="1375">
        <v>668</v>
      </c>
      <c r="Q100" s="1375">
        <v>678</v>
      </c>
      <c r="R100" s="1376">
        <v>658</v>
      </c>
      <c r="S100" s="1383">
        <v>114</v>
      </c>
      <c r="T100" s="1384">
        <v>150</v>
      </c>
      <c r="U100" s="1384">
        <v>176</v>
      </c>
      <c r="V100" s="1384">
        <v>149</v>
      </c>
      <c r="W100" s="1384">
        <v>120</v>
      </c>
      <c r="X100" s="1384">
        <v>125</v>
      </c>
      <c r="Y100" s="1384">
        <v>145</v>
      </c>
      <c r="Z100" s="1384">
        <v>120</v>
      </c>
      <c r="AA100" s="1384">
        <v>143</v>
      </c>
      <c r="AB100" s="1384">
        <v>136</v>
      </c>
      <c r="AC100" s="1384">
        <v>162</v>
      </c>
      <c r="AD100" s="1384">
        <v>158</v>
      </c>
      <c r="AE100" s="1384">
        <v>140</v>
      </c>
      <c r="AF100" s="1384">
        <v>163</v>
      </c>
      <c r="AG100" s="1385">
        <v>142</v>
      </c>
      <c r="AH100" s="1393">
        <f t="shared" si="31"/>
        <v>0.17592592592592593</v>
      </c>
      <c r="AI100" s="1394">
        <f t="shared" si="32"/>
        <v>0.20161290322580644</v>
      </c>
      <c r="AJ100" s="1394">
        <f t="shared" si="33"/>
        <v>0.21385176184690158</v>
      </c>
      <c r="AK100" s="1394">
        <f t="shared" si="34"/>
        <v>0.20926966292134833</v>
      </c>
      <c r="AL100" s="1394">
        <f t="shared" si="35"/>
        <v>0.17569546120058566</v>
      </c>
      <c r="AM100" s="1394">
        <f t="shared" si="36"/>
        <v>0.18656716417910449</v>
      </c>
      <c r="AN100" s="1394">
        <f t="shared" si="37"/>
        <v>0.21449704142011836</v>
      </c>
      <c r="AO100" s="1394">
        <f t="shared" si="38"/>
        <v>0.1926163723916533</v>
      </c>
      <c r="AP100" s="1394">
        <f t="shared" si="39"/>
        <v>0.2259083728278041</v>
      </c>
      <c r="AQ100" s="1394">
        <f t="shared" si="40"/>
        <v>0.19941348973607037</v>
      </c>
      <c r="AR100" s="1394">
        <f t="shared" si="41"/>
        <v>0.2417910447761194</v>
      </c>
      <c r="AS100" s="1394">
        <f t="shared" si="42"/>
        <v>0.22507122507122507</v>
      </c>
      <c r="AT100" s="1394">
        <f t="shared" si="43"/>
        <v>0.20958083832335328</v>
      </c>
      <c r="AU100" s="1394">
        <f t="shared" si="44"/>
        <v>0.24041297935103245</v>
      </c>
      <c r="AV100" s="1395">
        <f t="shared" si="45"/>
        <v>0.21580547112462006</v>
      </c>
    </row>
    <row r="101" spans="1:48" s="142" customFormat="1" ht="15.75" customHeight="1">
      <c r="A101" s="149" t="s">
        <v>14</v>
      </c>
      <c r="B101" s="189" t="s">
        <v>15</v>
      </c>
      <c r="C101" s="150" t="s">
        <v>267</v>
      </c>
      <c r="D101" s="1359">
        <v>2110</v>
      </c>
      <c r="E101" s="1360">
        <v>2125</v>
      </c>
      <c r="F101" s="1361">
        <v>2432</v>
      </c>
      <c r="G101" s="1360">
        <v>2424</v>
      </c>
      <c r="H101" s="1361">
        <v>2208</v>
      </c>
      <c r="I101" s="1360">
        <v>2333</v>
      </c>
      <c r="J101" s="1361">
        <v>2375</v>
      </c>
      <c r="K101" s="1360">
        <v>2451</v>
      </c>
      <c r="L101" s="1374">
        <v>2436</v>
      </c>
      <c r="M101" s="1374">
        <v>2525</v>
      </c>
      <c r="N101" s="1374">
        <v>2595</v>
      </c>
      <c r="O101" s="1374">
        <v>2558</v>
      </c>
      <c r="P101" s="1375">
        <v>2667</v>
      </c>
      <c r="Q101" s="1375">
        <v>2632</v>
      </c>
      <c r="R101" s="1376">
        <v>2763</v>
      </c>
      <c r="S101" s="1383">
        <v>566</v>
      </c>
      <c r="T101" s="1384">
        <v>654</v>
      </c>
      <c r="U101" s="1384">
        <v>699</v>
      </c>
      <c r="V101" s="1384">
        <v>693</v>
      </c>
      <c r="W101" s="1384">
        <v>586</v>
      </c>
      <c r="X101" s="1384">
        <v>632</v>
      </c>
      <c r="Y101" s="1384">
        <v>644</v>
      </c>
      <c r="Z101" s="1384">
        <v>739</v>
      </c>
      <c r="AA101" s="1384">
        <v>739</v>
      </c>
      <c r="AB101" s="1384">
        <v>789</v>
      </c>
      <c r="AC101" s="1384">
        <v>760</v>
      </c>
      <c r="AD101" s="1384">
        <v>751</v>
      </c>
      <c r="AE101" s="1384">
        <v>729</v>
      </c>
      <c r="AF101" s="1384">
        <v>746</v>
      </c>
      <c r="AG101" s="1385">
        <v>677</v>
      </c>
      <c r="AH101" s="1393">
        <f t="shared" ref="AH101:AH125" si="46">S101/D101</f>
        <v>0.26824644549763033</v>
      </c>
      <c r="AI101" s="1394">
        <f t="shared" si="32"/>
        <v>0.30776470588235294</v>
      </c>
      <c r="AJ101" s="1394">
        <f t="shared" si="33"/>
        <v>0.28741776315789475</v>
      </c>
      <c r="AK101" s="1394">
        <f t="shared" si="34"/>
        <v>0.28589108910891087</v>
      </c>
      <c r="AL101" s="1394">
        <f t="shared" si="35"/>
        <v>0.26539855072463769</v>
      </c>
      <c r="AM101" s="1394">
        <f t="shared" si="36"/>
        <v>0.27089584226318048</v>
      </c>
      <c r="AN101" s="1394">
        <f t="shared" si="37"/>
        <v>0.2711578947368421</v>
      </c>
      <c r="AO101" s="1394">
        <f t="shared" si="38"/>
        <v>0.30150958792329663</v>
      </c>
      <c r="AP101" s="1394">
        <f t="shared" si="39"/>
        <v>0.30336617405582922</v>
      </c>
      <c r="AQ101" s="1394">
        <f t="shared" si="40"/>
        <v>0.31247524752475248</v>
      </c>
      <c r="AR101" s="1394">
        <f t="shared" si="41"/>
        <v>0.2928709055876686</v>
      </c>
      <c r="AS101" s="1394">
        <f t="shared" si="42"/>
        <v>0.2935887412040657</v>
      </c>
      <c r="AT101" s="1394">
        <f t="shared" si="43"/>
        <v>0.27334083239595053</v>
      </c>
      <c r="AU101" s="1394">
        <f t="shared" si="44"/>
        <v>0.28343465045592703</v>
      </c>
      <c r="AV101" s="1395">
        <f t="shared" si="45"/>
        <v>0.24502352515381831</v>
      </c>
    </row>
    <row r="102" spans="1:48" s="142" customFormat="1" ht="15.75" customHeight="1">
      <c r="A102" s="149" t="s">
        <v>34</v>
      </c>
      <c r="B102" s="189" t="s">
        <v>35</v>
      </c>
      <c r="C102" s="150" t="s">
        <v>268</v>
      </c>
      <c r="D102" s="1359">
        <v>188</v>
      </c>
      <c r="E102" s="1360">
        <v>221</v>
      </c>
      <c r="F102" s="1361">
        <v>211</v>
      </c>
      <c r="G102" s="1360">
        <v>194</v>
      </c>
      <c r="H102" s="1361">
        <v>190</v>
      </c>
      <c r="I102" s="1360">
        <v>162</v>
      </c>
      <c r="J102" s="1361">
        <v>209</v>
      </c>
      <c r="K102" s="1360">
        <v>185</v>
      </c>
      <c r="L102" s="1374">
        <v>205</v>
      </c>
      <c r="M102" s="1374">
        <v>219</v>
      </c>
      <c r="N102" s="1374">
        <v>217</v>
      </c>
      <c r="O102" s="1374">
        <v>218</v>
      </c>
      <c r="P102" s="1375">
        <v>208</v>
      </c>
      <c r="Q102" s="1375">
        <v>143</v>
      </c>
      <c r="R102" s="1376">
        <v>173</v>
      </c>
      <c r="S102" s="1383">
        <v>58</v>
      </c>
      <c r="T102" s="1384">
        <v>69</v>
      </c>
      <c r="U102" s="1384">
        <v>67</v>
      </c>
      <c r="V102" s="1384">
        <v>71</v>
      </c>
      <c r="W102" s="1384">
        <v>73</v>
      </c>
      <c r="X102" s="1384">
        <v>60</v>
      </c>
      <c r="Y102" s="1384">
        <v>80</v>
      </c>
      <c r="Z102" s="1384">
        <v>85</v>
      </c>
      <c r="AA102" s="1384">
        <v>82</v>
      </c>
      <c r="AB102" s="1384">
        <v>104</v>
      </c>
      <c r="AC102" s="1384">
        <v>103</v>
      </c>
      <c r="AD102" s="1384">
        <v>127</v>
      </c>
      <c r="AE102" s="1384">
        <v>112</v>
      </c>
      <c r="AF102" s="1384">
        <v>66</v>
      </c>
      <c r="AG102" s="1385">
        <v>96</v>
      </c>
      <c r="AH102" s="1393">
        <f t="shared" si="46"/>
        <v>0.30851063829787234</v>
      </c>
      <c r="AI102" s="1394">
        <f t="shared" ref="AI102:AI125" si="47">T102/E102</f>
        <v>0.31221719457013575</v>
      </c>
      <c r="AJ102" s="1394">
        <f t="shared" ref="AJ102:AJ125" si="48">U102/F102</f>
        <v>0.31753554502369669</v>
      </c>
      <c r="AK102" s="1394">
        <f t="shared" ref="AK102:AK125" si="49">V102/G102</f>
        <v>0.36597938144329895</v>
      </c>
      <c r="AL102" s="1394">
        <f t="shared" ref="AL102:AL125" si="50">W102/H102</f>
        <v>0.38421052631578945</v>
      </c>
      <c r="AM102" s="1394">
        <f t="shared" ref="AM102:AM125" si="51">X102/I102</f>
        <v>0.37037037037037035</v>
      </c>
      <c r="AN102" s="1394">
        <f t="shared" ref="AN102:AN125" si="52">Y102/J102</f>
        <v>0.38277511961722488</v>
      </c>
      <c r="AO102" s="1394">
        <f t="shared" ref="AO102:AO125" si="53">Z102/K102</f>
        <v>0.45945945945945948</v>
      </c>
      <c r="AP102" s="1394">
        <f t="shared" ref="AP102:AP125" si="54">AA102/L102</f>
        <v>0.4</v>
      </c>
      <c r="AQ102" s="1394">
        <f t="shared" ref="AQ102:AQ125" si="55">AB102/M102</f>
        <v>0.47488584474885842</v>
      </c>
      <c r="AR102" s="1394">
        <f t="shared" ref="AR102:AR125" si="56">AC102/N102</f>
        <v>0.47465437788018433</v>
      </c>
      <c r="AS102" s="1394">
        <f t="shared" ref="AS102:AS125" si="57">AD102/O102</f>
        <v>0.58256880733944949</v>
      </c>
      <c r="AT102" s="1394">
        <f t="shared" ref="AT102:AT125" si="58">AE102/P102</f>
        <v>0.53846153846153844</v>
      </c>
      <c r="AU102" s="1394">
        <f t="shared" ref="AU102:AU125" si="59">AF102/Q102</f>
        <v>0.46153846153846156</v>
      </c>
      <c r="AV102" s="1395">
        <f t="shared" ref="AV102:AV125" si="60">AG102/R102</f>
        <v>0.55491329479768781</v>
      </c>
    </row>
    <row r="103" spans="1:48" s="142" customFormat="1" ht="15.75" customHeight="1">
      <c r="A103" s="149" t="s">
        <v>52</v>
      </c>
      <c r="B103" s="189" t="s">
        <v>53</v>
      </c>
      <c r="C103" s="150" t="s">
        <v>265</v>
      </c>
      <c r="D103" s="1359">
        <v>471</v>
      </c>
      <c r="E103" s="1360">
        <v>489</v>
      </c>
      <c r="F103" s="1361">
        <v>550</v>
      </c>
      <c r="G103" s="1360">
        <v>494</v>
      </c>
      <c r="H103" s="1361">
        <v>491</v>
      </c>
      <c r="I103" s="1360">
        <v>531</v>
      </c>
      <c r="J103" s="1361">
        <v>472</v>
      </c>
      <c r="K103" s="1360">
        <v>525</v>
      </c>
      <c r="L103" s="1374">
        <v>498</v>
      </c>
      <c r="M103" s="1374">
        <v>546</v>
      </c>
      <c r="N103" s="1374">
        <v>597</v>
      </c>
      <c r="O103" s="1374">
        <v>571</v>
      </c>
      <c r="P103" s="1375">
        <v>548</v>
      </c>
      <c r="Q103" s="1375">
        <v>499</v>
      </c>
      <c r="R103" s="1376">
        <v>575</v>
      </c>
      <c r="S103" s="1383">
        <v>192</v>
      </c>
      <c r="T103" s="1384">
        <v>196</v>
      </c>
      <c r="U103" s="1384">
        <v>235</v>
      </c>
      <c r="V103" s="1384">
        <v>186</v>
      </c>
      <c r="W103" s="1384">
        <v>189</v>
      </c>
      <c r="X103" s="1384">
        <v>190</v>
      </c>
      <c r="Y103" s="1384">
        <v>201</v>
      </c>
      <c r="Z103" s="1384">
        <v>218</v>
      </c>
      <c r="AA103" s="1384">
        <v>221</v>
      </c>
      <c r="AB103" s="1384">
        <v>260</v>
      </c>
      <c r="AC103" s="1384">
        <v>261</v>
      </c>
      <c r="AD103" s="1384">
        <v>240</v>
      </c>
      <c r="AE103" s="1384">
        <v>193</v>
      </c>
      <c r="AF103" s="1384">
        <v>175</v>
      </c>
      <c r="AG103" s="1385">
        <v>192</v>
      </c>
      <c r="AH103" s="1393">
        <f t="shared" si="46"/>
        <v>0.40764331210191085</v>
      </c>
      <c r="AI103" s="1394">
        <f t="shared" si="47"/>
        <v>0.40081799591002043</v>
      </c>
      <c r="AJ103" s="1394">
        <f t="shared" si="48"/>
        <v>0.42727272727272725</v>
      </c>
      <c r="AK103" s="1394">
        <f t="shared" si="49"/>
        <v>0.37651821862348178</v>
      </c>
      <c r="AL103" s="1394">
        <f t="shared" si="50"/>
        <v>0.38492871690427699</v>
      </c>
      <c r="AM103" s="1394">
        <f t="shared" si="51"/>
        <v>0.35781544256120529</v>
      </c>
      <c r="AN103" s="1394">
        <f t="shared" si="52"/>
        <v>0.42584745762711862</v>
      </c>
      <c r="AO103" s="1394">
        <f t="shared" si="53"/>
        <v>0.41523809523809524</v>
      </c>
      <c r="AP103" s="1394">
        <f t="shared" si="54"/>
        <v>0.44377510040160645</v>
      </c>
      <c r="AQ103" s="1394">
        <f t="shared" si="55"/>
        <v>0.47619047619047616</v>
      </c>
      <c r="AR103" s="1394">
        <f t="shared" si="56"/>
        <v>0.43718592964824121</v>
      </c>
      <c r="AS103" s="1394">
        <f t="shared" si="57"/>
        <v>0.42031523642732049</v>
      </c>
      <c r="AT103" s="1394">
        <f t="shared" si="58"/>
        <v>0.3521897810218978</v>
      </c>
      <c r="AU103" s="1394">
        <f t="shared" si="59"/>
        <v>0.35070140280561124</v>
      </c>
      <c r="AV103" s="1395">
        <f t="shared" si="60"/>
        <v>0.3339130434782609</v>
      </c>
    </row>
    <row r="104" spans="1:48" s="142" customFormat="1" ht="15.75" customHeight="1">
      <c r="A104" s="149" t="s">
        <v>54</v>
      </c>
      <c r="B104" s="189" t="s">
        <v>55</v>
      </c>
      <c r="C104" s="150" t="s">
        <v>264</v>
      </c>
      <c r="D104" s="1359">
        <v>2818</v>
      </c>
      <c r="E104" s="1360">
        <v>2805</v>
      </c>
      <c r="F104" s="1361">
        <v>2834</v>
      </c>
      <c r="G104" s="1360">
        <v>2741</v>
      </c>
      <c r="H104" s="1361">
        <v>2744</v>
      </c>
      <c r="I104" s="1360">
        <v>2860</v>
      </c>
      <c r="J104" s="1361">
        <v>2975</v>
      </c>
      <c r="K104" s="1360">
        <v>2896</v>
      </c>
      <c r="L104" s="1374">
        <v>2920</v>
      </c>
      <c r="M104" s="1374">
        <v>2996</v>
      </c>
      <c r="N104" s="1374">
        <v>2892</v>
      </c>
      <c r="O104" s="1374">
        <v>2785</v>
      </c>
      <c r="P104" s="1375">
        <v>2830</v>
      </c>
      <c r="Q104" s="1375">
        <v>2748</v>
      </c>
      <c r="R104" s="1376">
        <v>2805</v>
      </c>
      <c r="S104" s="1383">
        <v>848</v>
      </c>
      <c r="T104" s="1384">
        <v>905</v>
      </c>
      <c r="U104" s="1384">
        <v>877</v>
      </c>
      <c r="V104" s="1384">
        <v>894</v>
      </c>
      <c r="W104" s="1384">
        <v>926</v>
      </c>
      <c r="X104" s="1384">
        <v>940</v>
      </c>
      <c r="Y104" s="1384">
        <v>982</v>
      </c>
      <c r="Z104" s="1384">
        <v>939</v>
      </c>
      <c r="AA104" s="1384">
        <v>994</v>
      </c>
      <c r="AB104" s="1384">
        <v>1084</v>
      </c>
      <c r="AC104" s="1384">
        <v>1080</v>
      </c>
      <c r="AD104" s="1384">
        <v>1123</v>
      </c>
      <c r="AE104" s="1384">
        <v>1104</v>
      </c>
      <c r="AF104" s="1384">
        <v>1077</v>
      </c>
      <c r="AG104" s="1385">
        <v>1053</v>
      </c>
      <c r="AH104" s="1393">
        <f t="shared" si="46"/>
        <v>0.30092264017033354</v>
      </c>
      <c r="AI104" s="1394">
        <f t="shared" si="47"/>
        <v>0.32263814616755793</v>
      </c>
      <c r="AJ104" s="1394">
        <f t="shared" si="48"/>
        <v>0.30945659844742412</v>
      </c>
      <c r="AK104" s="1394">
        <f t="shared" si="49"/>
        <v>0.32615833637358627</v>
      </c>
      <c r="AL104" s="1394">
        <f t="shared" si="50"/>
        <v>0.33746355685131196</v>
      </c>
      <c r="AM104" s="1394">
        <f t="shared" si="51"/>
        <v>0.32867132867132864</v>
      </c>
      <c r="AN104" s="1394">
        <f t="shared" si="52"/>
        <v>0.3300840336134454</v>
      </c>
      <c r="AO104" s="1394">
        <f t="shared" si="53"/>
        <v>0.32424033149171272</v>
      </c>
      <c r="AP104" s="1394">
        <f t="shared" si="54"/>
        <v>0.34041095890410961</v>
      </c>
      <c r="AQ104" s="1394">
        <f t="shared" si="55"/>
        <v>0.36181575433911883</v>
      </c>
      <c r="AR104" s="1394">
        <f t="shared" si="56"/>
        <v>0.37344398340248963</v>
      </c>
      <c r="AS104" s="1394">
        <f t="shared" si="57"/>
        <v>0.40323159784560142</v>
      </c>
      <c r="AT104" s="1394">
        <f t="shared" si="58"/>
        <v>0.39010600706713783</v>
      </c>
      <c r="AU104" s="1394">
        <f t="shared" si="59"/>
        <v>0.39192139737991266</v>
      </c>
      <c r="AV104" s="1395">
        <f t="shared" si="60"/>
        <v>0.3754010695187166</v>
      </c>
    </row>
    <row r="105" spans="1:48" s="142" customFormat="1" ht="15.75" customHeight="1">
      <c r="A105" s="149" t="s">
        <v>66</v>
      </c>
      <c r="B105" s="189" t="s">
        <v>67</v>
      </c>
      <c r="C105" s="150" t="s">
        <v>265</v>
      </c>
      <c r="D105" s="1359">
        <v>686</v>
      </c>
      <c r="E105" s="1360">
        <v>588</v>
      </c>
      <c r="F105" s="1361">
        <v>585</v>
      </c>
      <c r="G105" s="1360">
        <v>589</v>
      </c>
      <c r="H105" s="1361">
        <v>588</v>
      </c>
      <c r="I105" s="1360">
        <v>583</v>
      </c>
      <c r="J105" s="1361">
        <v>568</v>
      </c>
      <c r="K105" s="1360">
        <v>583</v>
      </c>
      <c r="L105" s="1374">
        <v>650</v>
      </c>
      <c r="M105" s="1374">
        <v>566</v>
      </c>
      <c r="N105" s="1374">
        <v>636</v>
      </c>
      <c r="O105" s="1374">
        <v>640</v>
      </c>
      <c r="P105" s="1375">
        <v>557</v>
      </c>
      <c r="Q105" s="1375">
        <v>585</v>
      </c>
      <c r="R105" s="1376">
        <v>601</v>
      </c>
      <c r="S105" s="1383">
        <v>379</v>
      </c>
      <c r="T105" s="1384">
        <v>345</v>
      </c>
      <c r="U105" s="1384">
        <v>325</v>
      </c>
      <c r="V105" s="1384">
        <v>334</v>
      </c>
      <c r="W105" s="1384">
        <v>345</v>
      </c>
      <c r="X105" s="1384">
        <v>322</v>
      </c>
      <c r="Y105" s="1384">
        <v>350</v>
      </c>
      <c r="Z105" s="1384">
        <v>336</v>
      </c>
      <c r="AA105" s="1384">
        <v>404</v>
      </c>
      <c r="AB105" s="1384">
        <v>378</v>
      </c>
      <c r="AC105" s="1384">
        <v>412</v>
      </c>
      <c r="AD105" s="1384">
        <v>417</v>
      </c>
      <c r="AE105" s="1384">
        <v>369</v>
      </c>
      <c r="AF105" s="1384">
        <v>370</v>
      </c>
      <c r="AG105" s="1385">
        <v>385</v>
      </c>
      <c r="AH105" s="1393">
        <f t="shared" si="46"/>
        <v>0.55247813411078717</v>
      </c>
      <c r="AI105" s="1394">
        <f t="shared" si="47"/>
        <v>0.58673469387755106</v>
      </c>
      <c r="AJ105" s="1394">
        <f t="shared" si="48"/>
        <v>0.55555555555555558</v>
      </c>
      <c r="AK105" s="1394">
        <f t="shared" si="49"/>
        <v>0.56706281833616301</v>
      </c>
      <c r="AL105" s="1394">
        <f t="shared" si="50"/>
        <v>0.58673469387755106</v>
      </c>
      <c r="AM105" s="1394">
        <f t="shared" si="51"/>
        <v>0.55231560891938247</v>
      </c>
      <c r="AN105" s="1394">
        <f t="shared" si="52"/>
        <v>0.61619718309859151</v>
      </c>
      <c r="AO105" s="1394">
        <f t="shared" si="53"/>
        <v>0.57632933104631223</v>
      </c>
      <c r="AP105" s="1394">
        <f t="shared" si="54"/>
        <v>0.62153846153846148</v>
      </c>
      <c r="AQ105" s="1394">
        <f t="shared" si="55"/>
        <v>0.66784452296819785</v>
      </c>
      <c r="AR105" s="1394">
        <f t="shared" si="56"/>
        <v>0.64779874213836475</v>
      </c>
      <c r="AS105" s="1394">
        <f t="shared" si="57"/>
        <v>0.65156250000000004</v>
      </c>
      <c r="AT105" s="1394">
        <f t="shared" si="58"/>
        <v>0.66247755834829447</v>
      </c>
      <c r="AU105" s="1394">
        <f t="shared" si="59"/>
        <v>0.63247863247863245</v>
      </c>
      <c r="AV105" s="1395">
        <f t="shared" si="60"/>
        <v>0.6405990016638935</v>
      </c>
    </row>
    <row r="106" spans="1:48" s="142" customFormat="1" ht="15.75" customHeight="1">
      <c r="A106" s="149" t="s">
        <v>82</v>
      </c>
      <c r="B106" s="189" t="s">
        <v>83</v>
      </c>
      <c r="C106" s="150" t="s">
        <v>264</v>
      </c>
      <c r="D106" s="1359">
        <v>92</v>
      </c>
      <c r="E106" s="1360">
        <v>102</v>
      </c>
      <c r="F106" s="1361">
        <v>114</v>
      </c>
      <c r="G106" s="1360">
        <v>128</v>
      </c>
      <c r="H106" s="1361">
        <v>137</v>
      </c>
      <c r="I106" s="1360">
        <v>145</v>
      </c>
      <c r="J106" s="1361">
        <v>154</v>
      </c>
      <c r="K106" s="1360">
        <v>150</v>
      </c>
      <c r="L106" s="1374">
        <v>168</v>
      </c>
      <c r="M106" s="1374">
        <v>156</v>
      </c>
      <c r="N106" s="1374">
        <v>133</v>
      </c>
      <c r="O106" s="1374">
        <v>133</v>
      </c>
      <c r="P106" s="1375">
        <v>147</v>
      </c>
      <c r="Q106" s="1375">
        <v>167</v>
      </c>
      <c r="R106" s="1376">
        <v>154</v>
      </c>
      <c r="S106" s="1383">
        <v>51</v>
      </c>
      <c r="T106" s="1384">
        <v>60</v>
      </c>
      <c r="U106" s="1384">
        <v>67</v>
      </c>
      <c r="V106" s="1384">
        <v>62</v>
      </c>
      <c r="W106" s="1384">
        <v>67</v>
      </c>
      <c r="X106" s="1384">
        <v>78</v>
      </c>
      <c r="Y106" s="1384">
        <v>88</v>
      </c>
      <c r="Z106" s="1384">
        <v>81</v>
      </c>
      <c r="AA106" s="1384">
        <v>93</v>
      </c>
      <c r="AB106" s="1384">
        <v>95</v>
      </c>
      <c r="AC106" s="1384">
        <v>74</v>
      </c>
      <c r="AD106" s="1384">
        <v>92</v>
      </c>
      <c r="AE106" s="1384">
        <v>98</v>
      </c>
      <c r="AF106" s="1384">
        <v>111</v>
      </c>
      <c r="AG106" s="1385">
        <v>93</v>
      </c>
      <c r="AH106" s="1393">
        <f t="shared" si="46"/>
        <v>0.55434782608695654</v>
      </c>
      <c r="AI106" s="1394">
        <f t="shared" si="47"/>
        <v>0.58823529411764708</v>
      </c>
      <c r="AJ106" s="1394">
        <f t="shared" si="48"/>
        <v>0.58771929824561409</v>
      </c>
      <c r="AK106" s="1394">
        <f t="shared" si="49"/>
        <v>0.484375</v>
      </c>
      <c r="AL106" s="1394">
        <f t="shared" si="50"/>
        <v>0.48905109489051096</v>
      </c>
      <c r="AM106" s="1394">
        <f t="shared" si="51"/>
        <v>0.53793103448275859</v>
      </c>
      <c r="AN106" s="1394">
        <f t="shared" si="52"/>
        <v>0.5714285714285714</v>
      </c>
      <c r="AO106" s="1394">
        <f t="shared" si="53"/>
        <v>0.54</v>
      </c>
      <c r="AP106" s="1394">
        <f t="shared" si="54"/>
        <v>0.5535714285714286</v>
      </c>
      <c r="AQ106" s="1394">
        <f t="shared" si="55"/>
        <v>0.60897435897435892</v>
      </c>
      <c r="AR106" s="1394">
        <f t="shared" si="56"/>
        <v>0.55639097744360899</v>
      </c>
      <c r="AS106" s="1394">
        <f t="shared" si="57"/>
        <v>0.69172932330827064</v>
      </c>
      <c r="AT106" s="1394">
        <f t="shared" si="58"/>
        <v>0.66666666666666663</v>
      </c>
      <c r="AU106" s="1394">
        <f t="shared" si="59"/>
        <v>0.66467065868263475</v>
      </c>
      <c r="AV106" s="1395">
        <f t="shared" si="60"/>
        <v>0.60389610389610393</v>
      </c>
    </row>
    <row r="107" spans="1:48" s="142" customFormat="1" ht="15.75" customHeight="1">
      <c r="A107" s="149" t="s">
        <v>88</v>
      </c>
      <c r="B107" s="189" t="s">
        <v>89</v>
      </c>
      <c r="C107" s="150" t="s">
        <v>267</v>
      </c>
      <c r="D107" s="1359">
        <v>302</v>
      </c>
      <c r="E107" s="1360">
        <v>384</v>
      </c>
      <c r="F107" s="1361">
        <v>395</v>
      </c>
      <c r="G107" s="1360">
        <v>352</v>
      </c>
      <c r="H107" s="1361">
        <v>356</v>
      </c>
      <c r="I107" s="1360">
        <v>380</v>
      </c>
      <c r="J107" s="1361">
        <v>397</v>
      </c>
      <c r="K107" s="1360">
        <v>369</v>
      </c>
      <c r="L107" s="1374">
        <v>406</v>
      </c>
      <c r="M107" s="1374">
        <v>413</v>
      </c>
      <c r="N107" s="1374">
        <v>371</v>
      </c>
      <c r="O107" s="1374">
        <v>393</v>
      </c>
      <c r="P107" s="1375">
        <v>385</v>
      </c>
      <c r="Q107" s="1375">
        <v>411</v>
      </c>
      <c r="R107" s="1376">
        <v>425</v>
      </c>
      <c r="S107" s="1383">
        <v>146</v>
      </c>
      <c r="T107" s="1384">
        <v>178</v>
      </c>
      <c r="U107" s="1384">
        <v>155</v>
      </c>
      <c r="V107" s="1384">
        <v>164</v>
      </c>
      <c r="W107" s="1384">
        <v>173</v>
      </c>
      <c r="X107" s="1384">
        <v>190</v>
      </c>
      <c r="Y107" s="1384">
        <v>222</v>
      </c>
      <c r="Z107" s="1384">
        <v>206</v>
      </c>
      <c r="AA107" s="1384">
        <v>229</v>
      </c>
      <c r="AB107" s="1384">
        <v>223</v>
      </c>
      <c r="AC107" s="1384">
        <v>216</v>
      </c>
      <c r="AD107" s="1384">
        <v>197</v>
      </c>
      <c r="AE107" s="1384">
        <v>209</v>
      </c>
      <c r="AF107" s="1384">
        <v>220</v>
      </c>
      <c r="AG107" s="1385">
        <v>203</v>
      </c>
      <c r="AH107" s="1393">
        <f t="shared" si="46"/>
        <v>0.48344370860927155</v>
      </c>
      <c r="AI107" s="1394">
        <f t="shared" si="47"/>
        <v>0.46354166666666669</v>
      </c>
      <c r="AJ107" s="1394">
        <f t="shared" si="48"/>
        <v>0.39240506329113922</v>
      </c>
      <c r="AK107" s="1394">
        <f t="shared" si="49"/>
        <v>0.46590909090909088</v>
      </c>
      <c r="AL107" s="1394">
        <f t="shared" si="50"/>
        <v>0.4859550561797753</v>
      </c>
      <c r="AM107" s="1394">
        <f t="shared" si="51"/>
        <v>0.5</v>
      </c>
      <c r="AN107" s="1394">
        <f t="shared" si="52"/>
        <v>0.55919395465994959</v>
      </c>
      <c r="AO107" s="1394">
        <f t="shared" si="53"/>
        <v>0.5582655826558266</v>
      </c>
      <c r="AP107" s="1394">
        <f t="shared" si="54"/>
        <v>0.56403940886699511</v>
      </c>
      <c r="AQ107" s="1394">
        <f t="shared" si="55"/>
        <v>0.53995157384987891</v>
      </c>
      <c r="AR107" s="1394">
        <f t="shared" si="56"/>
        <v>0.58221024258760112</v>
      </c>
      <c r="AS107" s="1394">
        <f t="shared" si="57"/>
        <v>0.50127226463104324</v>
      </c>
      <c r="AT107" s="1394">
        <f t="shared" si="58"/>
        <v>0.54285714285714282</v>
      </c>
      <c r="AU107" s="1394">
        <f t="shared" si="59"/>
        <v>0.53527980535279807</v>
      </c>
      <c r="AV107" s="1395">
        <f t="shared" si="60"/>
        <v>0.47764705882352942</v>
      </c>
    </row>
    <row r="108" spans="1:48" s="142" customFormat="1" ht="15.75" customHeight="1">
      <c r="A108" s="149" t="s">
        <v>90</v>
      </c>
      <c r="B108" s="189" t="s">
        <v>91</v>
      </c>
      <c r="C108" s="150" t="s">
        <v>268</v>
      </c>
      <c r="D108" s="1359">
        <v>116</v>
      </c>
      <c r="E108" s="1360">
        <v>117</v>
      </c>
      <c r="F108" s="1361">
        <v>127</v>
      </c>
      <c r="G108" s="1360">
        <v>110</v>
      </c>
      <c r="H108" s="1361">
        <v>111</v>
      </c>
      <c r="I108" s="1360">
        <v>88</v>
      </c>
      <c r="J108" s="1361">
        <v>85</v>
      </c>
      <c r="K108" s="1360">
        <v>78</v>
      </c>
      <c r="L108" s="1374">
        <v>77</v>
      </c>
      <c r="M108" s="1374">
        <v>91</v>
      </c>
      <c r="N108" s="1374">
        <v>83</v>
      </c>
      <c r="O108" s="1374">
        <v>127</v>
      </c>
      <c r="P108" s="1375">
        <v>132</v>
      </c>
      <c r="Q108" s="1375">
        <v>111</v>
      </c>
      <c r="R108" s="1376">
        <v>122</v>
      </c>
      <c r="S108" s="1383">
        <v>50</v>
      </c>
      <c r="T108" s="1384">
        <v>38</v>
      </c>
      <c r="U108" s="1384">
        <v>51</v>
      </c>
      <c r="V108" s="1384">
        <v>54</v>
      </c>
      <c r="W108" s="1384">
        <v>57</v>
      </c>
      <c r="X108" s="1384">
        <v>48</v>
      </c>
      <c r="Y108" s="1384">
        <v>45</v>
      </c>
      <c r="Z108" s="1384">
        <v>39</v>
      </c>
      <c r="AA108" s="1384">
        <v>39</v>
      </c>
      <c r="AB108" s="1384">
        <v>55</v>
      </c>
      <c r="AC108" s="1384">
        <v>48</v>
      </c>
      <c r="AD108" s="1384">
        <v>81</v>
      </c>
      <c r="AE108" s="1384">
        <v>70</v>
      </c>
      <c r="AF108" s="1384">
        <v>51</v>
      </c>
      <c r="AG108" s="1385">
        <v>64</v>
      </c>
      <c r="AH108" s="1393">
        <f t="shared" si="46"/>
        <v>0.43103448275862066</v>
      </c>
      <c r="AI108" s="1394">
        <f t="shared" si="47"/>
        <v>0.3247863247863248</v>
      </c>
      <c r="AJ108" s="1394">
        <f t="shared" si="48"/>
        <v>0.40157480314960631</v>
      </c>
      <c r="AK108" s="1394">
        <f t="shared" si="49"/>
        <v>0.49090909090909091</v>
      </c>
      <c r="AL108" s="1394">
        <f t="shared" si="50"/>
        <v>0.51351351351351349</v>
      </c>
      <c r="AM108" s="1394">
        <f t="shared" si="51"/>
        <v>0.54545454545454541</v>
      </c>
      <c r="AN108" s="1394">
        <f t="shared" si="52"/>
        <v>0.52941176470588236</v>
      </c>
      <c r="AO108" s="1394">
        <f t="shared" si="53"/>
        <v>0.5</v>
      </c>
      <c r="AP108" s="1394">
        <f t="shared" si="54"/>
        <v>0.50649350649350644</v>
      </c>
      <c r="AQ108" s="1394">
        <f t="shared" si="55"/>
        <v>0.60439560439560436</v>
      </c>
      <c r="AR108" s="1394">
        <f t="shared" si="56"/>
        <v>0.57831325301204817</v>
      </c>
      <c r="AS108" s="1394">
        <f t="shared" si="57"/>
        <v>0.63779527559055116</v>
      </c>
      <c r="AT108" s="1394">
        <f t="shared" si="58"/>
        <v>0.53030303030303028</v>
      </c>
      <c r="AU108" s="1394">
        <f t="shared" si="59"/>
        <v>0.45945945945945948</v>
      </c>
      <c r="AV108" s="1395">
        <f t="shared" si="60"/>
        <v>0.52459016393442626</v>
      </c>
    </row>
    <row r="109" spans="1:48" s="142" customFormat="1" ht="15.75" customHeight="1">
      <c r="A109" s="149" t="s">
        <v>106</v>
      </c>
      <c r="B109" s="189" t="s">
        <v>107</v>
      </c>
      <c r="C109" s="150" t="s">
        <v>264</v>
      </c>
      <c r="D109" s="1359">
        <v>2038</v>
      </c>
      <c r="E109" s="1360">
        <v>2026</v>
      </c>
      <c r="F109" s="1361">
        <v>2023</v>
      </c>
      <c r="G109" s="1360">
        <v>1927</v>
      </c>
      <c r="H109" s="1361">
        <v>1867</v>
      </c>
      <c r="I109" s="1360">
        <v>1810</v>
      </c>
      <c r="J109" s="1361">
        <v>1977</v>
      </c>
      <c r="K109" s="1360">
        <v>2026</v>
      </c>
      <c r="L109" s="1374">
        <v>2122</v>
      </c>
      <c r="M109" s="1374">
        <v>2135</v>
      </c>
      <c r="N109" s="1374">
        <v>1978</v>
      </c>
      <c r="O109" s="1374">
        <v>1936</v>
      </c>
      <c r="P109" s="1375">
        <v>1794</v>
      </c>
      <c r="Q109" s="1375">
        <v>1729</v>
      </c>
      <c r="R109" s="1376">
        <v>1825</v>
      </c>
      <c r="S109" s="1383">
        <v>818</v>
      </c>
      <c r="T109" s="1384">
        <v>857</v>
      </c>
      <c r="U109" s="1384">
        <v>845</v>
      </c>
      <c r="V109" s="1384">
        <v>834</v>
      </c>
      <c r="W109" s="1384">
        <v>814</v>
      </c>
      <c r="X109" s="1384">
        <v>777</v>
      </c>
      <c r="Y109" s="1384">
        <v>877</v>
      </c>
      <c r="Z109" s="1384">
        <v>865</v>
      </c>
      <c r="AA109" s="1384">
        <v>883</v>
      </c>
      <c r="AB109" s="1384">
        <v>927</v>
      </c>
      <c r="AC109" s="1384">
        <v>881</v>
      </c>
      <c r="AD109" s="1384">
        <v>866</v>
      </c>
      <c r="AE109" s="1384">
        <v>821</v>
      </c>
      <c r="AF109" s="1384">
        <v>808</v>
      </c>
      <c r="AG109" s="1385">
        <v>861</v>
      </c>
      <c r="AH109" s="1393">
        <f t="shared" si="46"/>
        <v>0.40137389597644751</v>
      </c>
      <c r="AI109" s="1394">
        <f t="shared" si="47"/>
        <v>0.42300098716683121</v>
      </c>
      <c r="AJ109" s="1394">
        <f t="shared" si="48"/>
        <v>0.41769649036085021</v>
      </c>
      <c r="AK109" s="1394">
        <f t="shared" si="49"/>
        <v>0.43279709392838611</v>
      </c>
      <c r="AL109" s="1394">
        <f t="shared" si="50"/>
        <v>0.43599357257632565</v>
      </c>
      <c r="AM109" s="1394">
        <f t="shared" si="51"/>
        <v>0.42928176795580109</v>
      </c>
      <c r="AN109" s="1394">
        <f t="shared" si="52"/>
        <v>0.44360141628730398</v>
      </c>
      <c r="AO109" s="1394">
        <f t="shared" si="53"/>
        <v>0.4269496544916091</v>
      </c>
      <c r="AP109" s="1394">
        <f t="shared" si="54"/>
        <v>0.4161168708765316</v>
      </c>
      <c r="AQ109" s="1394">
        <f t="shared" si="55"/>
        <v>0.43419203747072599</v>
      </c>
      <c r="AR109" s="1394">
        <f t="shared" si="56"/>
        <v>0.44539939332659251</v>
      </c>
      <c r="AS109" s="1394">
        <f t="shared" si="57"/>
        <v>0.44731404958677684</v>
      </c>
      <c r="AT109" s="1394">
        <f t="shared" si="58"/>
        <v>0.4576365663322185</v>
      </c>
      <c r="AU109" s="1394">
        <f t="shared" si="59"/>
        <v>0.46732215153267787</v>
      </c>
      <c r="AV109" s="1395">
        <f t="shared" si="60"/>
        <v>0.47178082191780824</v>
      </c>
    </row>
    <row r="110" spans="1:48" s="142" customFormat="1" ht="15.75" customHeight="1">
      <c r="A110" s="149" t="s">
        <v>116</v>
      </c>
      <c r="B110" s="189" t="s">
        <v>117</v>
      </c>
      <c r="C110" s="150" t="s">
        <v>266</v>
      </c>
      <c r="D110" s="1359">
        <v>365</v>
      </c>
      <c r="E110" s="1360">
        <v>332</v>
      </c>
      <c r="F110" s="1361">
        <v>371</v>
      </c>
      <c r="G110" s="1360">
        <v>355</v>
      </c>
      <c r="H110" s="1361">
        <v>334</v>
      </c>
      <c r="I110" s="1360">
        <v>339</v>
      </c>
      <c r="J110" s="1361">
        <v>336</v>
      </c>
      <c r="K110" s="1360">
        <v>334</v>
      </c>
      <c r="L110" s="1374">
        <v>404</v>
      </c>
      <c r="M110" s="1374">
        <v>396</v>
      </c>
      <c r="N110" s="1374">
        <v>382</v>
      </c>
      <c r="O110" s="1374">
        <v>413</v>
      </c>
      <c r="P110" s="1375">
        <v>385</v>
      </c>
      <c r="Q110" s="1375">
        <v>339</v>
      </c>
      <c r="R110" s="1376">
        <v>367</v>
      </c>
      <c r="S110" s="1383">
        <v>193</v>
      </c>
      <c r="T110" s="1384">
        <v>190</v>
      </c>
      <c r="U110" s="1384">
        <v>209</v>
      </c>
      <c r="V110" s="1384">
        <v>177</v>
      </c>
      <c r="W110" s="1384">
        <v>189</v>
      </c>
      <c r="X110" s="1384">
        <v>216</v>
      </c>
      <c r="Y110" s="1384">
        <v>198</v>
      </c>
      <c r="Z110" s="1384">
        <v>203</v>
      </c>
      <c r="AA110" s="1384">
        <v>247</v>
      </c>
      <c r="AB110" s="1384">
        <v>248</v>
      </c>
      <c r="AC110" s="1384">
        <v>229</v>
      </c>
      <c r="AD110" s="1384">
        <v>285</v>
      </c>
      <c r="AE110" s="1384">
        <v>252</v>
      </c>
      <c r="AF110" s="1384">
        <v>232</v>
      </c>
      <c r="AG110" s="1385">
        <v>232</v>
      </c>
      <c r="AH110" s="1393">
        <f t="shared" si="46"/>
        <v>0.52876712328767128</v>
      </c>
      <c r="AI110" s="1394">
        <f t="shared" si="47"/>
        <v>0.57228915662650603</v>
      </c>
      <c r="AJ110" s="1394">
        <f t="shared" si="48"/>
        <v>0.56334231805929924</v>
      </c>
      <c r="AK110" s="1394">
        <f t="shared" si="49"/>
        <v>0.49859154929577465</v>
      </c>
      <c r="AL110" s="1394">
        <f t="shared" si="50"/>
        <v>0.56586826347305386</v>
      </c>
      <c r="AM110" s="1394">
        <f t="shared" si="51"/>
        <v>0.63716814159292035</v>
      </c>
      <c r="AN110" s="1394">
        <f t="shared" si="52"/>
        <v>0.5892857142857143</v>
      </c>
      <c r="AO110" s="1394">
        <f t="shared" si="53"/>
        <v>0.60778443113772451</v>
      </c>
      <c r="AP110" s="1394">
        <f t="shared" si="54"/>
        <v>0.61138613861386137</v>
      </c>
      <c r="AQ110" s="1394">
        <f t="shared" si="55"/>
        <v>0.6262626262626263</v>
      </c>
      <c r="AR110" s="1394">
        <f t="shared" si="56"/>
        <v>0.59947643979057597</v>
      </c>
      <c r="AS110" s="1394">
        <f t="shared" si="57"/>
        <v>0.69007263922518158</v>
      </c>
      <c r="AT110" s="1394">
        <f t="shared" si="58"/>
        <v>0.65454545454545454</v>
      </c>
      <c r="AU110" s="1394">
        <f t="shared" si="59"/>
        <v>0.68436578171091444</v>
      </c>
      <c r="AV110" s="1395">
        <f t="shared" si="60"/>
        <v>0.63215258855585832</v>
      </c>
    </row>
    <row r="111" spans="1:48" s="142" customFormat="1" ht="15.75" customHeight="1">
      <c r="A111" s="149" t="s">
        <v>138</v>
      </c>
      <c r="B111" s="189" t="s">
        <v>139</v>
      </c>
      <c r="C111" s="150" t="s">
        <v>265</v>
      </c>
      <c r="D111" s="1359">
        <v>738</v>
      </c>
      <c r="E111" s="1360">
        <v>792</v>
      </c>
      <c r="F111" s="1361">
        <v>845</v>
      </c>
      <c r="G111" s="1360">
        <v>834</v>
      </c>
      <c r="H111" s="1361">
        <v>887</v>
      </c>
      <c r="I111" s="1361">
        <v>861</v>
      </c>
      <c r="J111" s="1361">
        <v>831</v>
      </c>
      <c r="K111" s="1360">
        <v>945</v>
      </c>
      <c r="L111" s="1374">
        <v>964</v>
      </c>
      <c r="M111" s="1374">
        <v>1115</v>
      </c>
      <c r="N111" s="1374">
        <v>1038</v>
      </c>
      <c r="O111" s="1374">
        <v>1023</v>
      </c>
      <c r="P111" s="1375">
        <v>1124</v>
      </c>
      <c r="Q111" s="1375">
        <v>1074</v>
      </c>
      <c r="R111" s="1376">
        <v>1062</v>
      </c>
      <c r="S111" s="1383">
        <v>329</v>
      </c>
      <c r="T111" s="1384">
        <v>331</v>
      </c>
      <c r="U111" s="1384">
        <v>375</v>
      </c>
      <c r="V111" s="1384">
        <v>379</v>
      </c>
      <c r="W111" s="1384">
        <v>413</v>
      </c>
      <c r="X111" s="1384">
        <v>384</v>
      </c>
      <c r="Y111" s="1384">
        <v>362</v>
      </c>
      <c r="Z111" s="1384">
        <v>445</v>
      </c>
      <c r="AA111" s="1384">
        <v>441</v>
      </c>
      <c r="AB111" s="1384">
        <v>519</v>
      </c>
      <c r="AC111" s="1384">
        <v>473</v>
      </c>
      <c r="AD111" s="1384">
        <v>456</v>
      </c>
      <c r="AE111" s="1384">
        <v>495</v>
      </c>
      <c r="AF111" s="1384">
        <v>458</v>
      </c>
      <c r="AG111" s="1385">
        <v>444</v>
      </c>
      <c r="AH111" s="1393">
        <f t="shared" si="46"/>
        <v>0.44579945799457993</v>
      </c>
      <c r="AI111" s="1394">
        <f t="shared" si="47"/>
        <v>0.41792929292929293</v>
      </c>
      <c r="AJ111" s="1394">
        <f t="shared" si="48"/>
        <v>0.4437869822485207</v>
      </c>
      <c r="AK111" s="1394">
        <f t="shared" si="49"/>
        <v>0.45443645083932854</v>
      </c>
      <c r="AL111" s="1394">
        <f t="shared" si="50"/>
        <v>0.46561443066516345</v>
      </c>
      <c r="AM111" s="1394">
        <f t="shared" si="51"/>
        <v>0.44599303135888502</v>
      </c>
      <c r="AN111" s="1394">
        <f t="shared" si="52"/>
        <v>0.43561973525872444</v>
      </c>
      <c r="AO111" s="1394">
        <f t="shared" si="53"/>
        <v>0.47089947089947087</v>
      </c>
      <c r="AP111" s="1394">
        <f t="shared" si="54"/>
        <v>0.45746887966804978</v>
      </c>
      <c r="AQ111" s="1394">
        <f t="shared" si="55"/>
        <v>0.4654708520179372</v>
      </c>
      <c r="AR111" s="1394">
        <f t="shared" si="56"/>
        <v>0.45568400770712908</v>
      </c>
      <c r="AS111" s="1394">
        <f t="shared" si="57"/>
        <v>0.44574780058651026</v>
      </c>
      <c r="AT111" s="1394">
        <f t="shared" si="58"/>
        <v>0.44039145907473309</v>
      </c>
      <c r="AU111" s="1394">
        <f t="shared" si="59"/>
        <v>0.42644320297951582</v>
      </c>
      <c r="AV111" s="1395">
        <f t="shared" si="60"/>
        <v>0.41807909604519772</v>
      </c>
    </row>
    <row r="112" spans="1:48" s="142" customFormat="1" ht="15.75" customHeight="1">
      <c r="A112" s="149" t="s">
        <v>142</v>
      </c>
      <c r="B112" s="189" t="s">
        <v>273</v>
      </c>
      <c r="C112" s="150" t="s">
        <v>267</v>
      </c>
      <c r="D112" s="1359">
        <v>647</v>
      </c>
      <c r="E112" s="1360">
        <v>684</v>
      </c>
      <c r="F112" s="1361">
        <v>772</v>
      </c>
      <c r="G112" s="1360">
        <v>678</v>
      </c>
      <c r="H112" s="1361">
        <v>683</v>
      </c>
      <c r="I112" s="1360">
        <v>686</v>
      </c>
      <c r="J112" s="1361">
        <v>638</v>
      </c>
      <c r="K112" s="1360">
        <v>686</v>
      </c>
      <c r="L112" s="1374">
        <v>767</v>
      </c>
      <c r="M112" s="1374">
        <v>657</v>
      </c>
      <c r="N112" s="1374">
        <v>548</v>
      </c>
      <c r="O112" s="1374">
        <v>580</v>
      </c>
      <c r="P112" s="1375">
        <v>670</v>
      </c>
      <c r="Q112" s="1375">
        <v>721</v>
      </c>
      <c r="R112" s="1376">
        <v>755</v>
      </c>
      <c r="S112" s="1383">
        <v>164</v>
      </c>
      <c r="T112" s="1384">
        <v>195</v>
      </c>
      <c r="U112" s="1384">
        <v>221</v>
      </c>
      <c r="V112" s="1384">
        <v>202</v>
      </c>
      <c r="W112" s="1384">
        <v>205</v>
      </c>
      <c r="X112" s="1384">
        <v>235</v>
      </c>
      <c r="Y112" s="1384">
        <v>232</v>
      </c>
      <c r="Z112" s="1384">
        <v>248</v>
      </c>
      <c r="AA112" s="1384">
        <v>365</v>
      </c>
      <c r="AB112" s="1384">
        <v>293</v>
      </c>
      <c r="AC112" s="1384">
        <v>231</v>
      </c>
      <c r="AD112" s="1384">
        <v>237</v>
      </c>
      <c r="AE112" s="1384">
        <v>292</v>
      </c>
      <c r="AF112" s="1384">
        <v>292</v>
      </c>
      <c r="AG112" s="1385">
        <v>313</v>
      </c>
      <c r="AH112" s="1393">
        <f t="shared" si="46"/>
        <v>0.25347758887171562</v>
      </c>
      <c r="AI112" s="1394">
        <f t="shared" si="47"/>
        <v>0.28508771929824561</v>
      </c>
      <c r="AJ112" s="1394">
        <f t="shared" si="48"/>
        <v>0.28626943005181349</v>
      </c>
      <c r="AK112" s="1394">
        <f t="shared" si="49"/>
        <v>0.29793510324483774</v>
      </c>
      <c r="AL112" s="1394">
        <f t="shared" si="50"/>
        <v>0.3001464128843338</v>
      </c>
      <c r="AM112" s="1394">
        <f t="shared" si="51"/>
        <v>0.3425655976676385</v>
      </c>
      <c r="AN112" s="1394">
        <f t="shared" si="52"/>
        <v>0.36363636363636365</v>
      </c>
      <c r="AO112" s="1394">
        <f t="shared" si="53"/>
        <v>0.36151603498542273</v>
      </c>
      <c r="AP112" s="1394">
        <f t="shared" si="54"/>
        <v>0.47588005215123858</v>
      </c>
      <c r="AQ112" s="1394">
        <f t="shared" si="55"/>
        <v>0.44596651445966512</v>
      </c>
      <c r="AR112" s="1394">
        <f t="shared" si="56"/>
        <v>0.42153284671532848</v>
      </c>
      <c r="AS112" s="1394">
        <f t="shared" si="57"/>
        <v>0.4086206896551724</v>
      </c>
      <c r="AT112" s="1394">
        <f t="shared" si="58"/>
        <v>0.43582089552238806</v>
      </c>
      <c r="AU112" s="1394">
        <f t="shared" si="59"/>
        <v>0.40499306518723993</v>
      </c>
      <c r="AV112" s="1395">
        <f t="shared" si="60"/>
        <v>0.41456953642384103</v>
      </c>
    </row>
    <row r="113" spans="1:48" s="142" customFormat="1" ht="15.75" customHeight="1">
      <c r="A113" s="149" t="s">
        <v>144</v>
      </c>
      <c r="B113" s="189" t="s">
        <v>145</v>
      </c>
      <c r="C113" s="150" t="s">
        <v>267</v>
      </c>
      <c r="D113" s="1359">
        <v>183</v>
      </c>
      <c r="E113" s="1360">
        <v>207</v>
      </c>
      <c r="F113" s="1361">
        <v>208</v>
      </c>
      <c r="G113" s="1360">
        <v>208</v>
      </c>
      <c r="H113" s="1361">
        <v>241</v>
      </c>
      <c r="I113" s="1360">
        <v>215</v>
      </c>
      <c r="J113" s="1361">
        <v>294</v>
      </c>
      <c r="K113" s="1360">
        <v>277</v>
      </c>
      <c r="L113" s="1374">
        <v>322</v>
      </c>
      <c r="M113" s="1374">
        <v>235</v>
      </c>
      <c r="N113" s="1374">
        <v>226</v>
      </c>
      <c r="O113" s="1374">
        <v>228</v>
      </c>
      <c r="P113" s="1375">
        <v>21</v>
      </c>
      <c r="Q113" s="1375">
        <v>66</v>
      </c>
      <c r="R113" s="1376">
        <v>20</v>
      </c>
      <c r="S113" s="1383">
        <v>52</v>
      </c>
      <c r="T113" s="1384">
        <v>48</v>
      </c>
      <c r="U113" s="1384">
        <v>49</v>
      </c>
      <c r="V113" s="1384">
        <v>48</v>
      </c>
      <c r="W113" s="1384">
        <v>56</v>
      </c>
      <c r="X113" s="1384">
        <v>58</v>
      </c>
      <c r="Y113" s="1384">
        <v>106</v>
      </c>
      <c r="Z113" s="1384">
        <v>114</v>
      </c>
      <c r="AA113" s="1384">
        <v>134</v>
      </c>
      <c r="AB113" s="1384">
        <v>93</v>
      </c>
      <c r="AC113" s="1384">
        <v>86</v>
      </c>
      <c r="AD113" s="1384">
        <v>83</v>
      </c>
      <c r="AE113" s="1384">
        <v>7</v>
      </c>
      <c r="AF113" s="1384">
        <v>23</v>
      </c>
      <c r="AG113" s="1385">
        <v>6</v>
      </c>
      <c r="AH113" s="1393">
        <f t="shared" si="46"/>
        <v>0.28415300546448086</v>
      </c>
      <c r="AI113" s="1394">
        <f t="shared" si="47"/>
        <v>0.2318840579710145</v>
      </c>
      <c r="AJ113" s="1394">
        <f t="shared" si="48"/>
        <v>0.23557692307692307</v>
      </c>
      <c r="AK113" s="1394">
        <f t="shared" si="49"/>
        <v>0.23076923076923078</v>
      </c>
      <c r="AL113" s="1394">
        <f t="shared" si="50"/>
        <v>0.23236514522821577</v>
      </c>
      <c r="AM113" s="1394">
        <f t="shared" si="51"/>
        <v>0.26976744186046514</v>
      </c>
      <c r="AN113" s="1394">
        <f t="shared" si="52"/>
        <v>0.36054421768707484</v>
      </c>
      <c r="AO113" s="1394">
        <f t="shared" si="53"/>
        <v>0.41155234657039713</v>
      </c>
      <c r="AP113" s="1394">
        <f t="shared" si="54"/>
        <v>0.41614906832298137</v>
      </c>
      <c r="AQ113" s="1394">
        <f t="shared" si="55"/>
        <v>0.39574468085106385</v>
      </c>
      <c r="AR113" s="1394">
        <f t="shared" si="56"/>
        <v>0.38053097345132741</v>
      </c>
      <c r="AS113" s="1394">
        <f t="shared" si="57"/>
        <v>0.36403508771929827</v>
      </c>
      <c r="AT113" s="1394">
        <f t="shared" si="58"/>
        <v>0.33333333333333331</v>
      </c>
      <c r="AU113" s="1394">
        <f t="shared" si="59"/>
        <v>0.34848484848484851</v>
      </c>
      <c r="AV113" s="1395">
        <f t="shared" si="60"/>
        <v>0.3</v>
      </c>
    </row>
    <row r="114" spans="1:48" s="142" customFormat="1" ht="15.75" customHeight="1">
      <c r="A114" s="149" t="s">
        <v>158</v>
      </c>
      <c r="B114" s="189" t="s">
        <v>159</v>
      </c>
      <c r="C114" s="150" t="s">
        <v>264</v>
      </c>
      <c r="D114" s="1359">
        <v>3124</v>
      </c>
      <c r="E114" s="1360">
        <v>3183</v>
      </c>
      <c r="F114" s="1361">
        <v>3126</v>
      </c>
      <c r="G114" s="1360">
        <v>3194</v>
      </c>
      <c r="H114" s="1361">
        <v>3170</v>
      </c>
      <c r="I114" s="1360">
        <v>3212</v>
      </c>
      <c r="J114" s="1361">
        <v>3206</v>
      </c>
      <c r="K114" s="1360">
        <v>3223</v>
      </c>
      <c r="L114" s="1374">
        <v>3233</v>
      </c>
      <c r="M114" s="1374">
        <v>3231</v>
      </c>
      <c r="N114" s="1374">
        <v>3271</v>
      </c>
      <c r="O114" s="1374">
        <v>3206</v>
      </c>
      <c r="P114" s="1375">
        <v>3012</v>
      </c>
      <c r="Q114" s="1375">
        <v>3049</v>
      </c>
      <c r="R114" s="1376">
        <v>2905</v>
      </c>
      <c r="S114" s="1383">
        <v>1309</v>
      </c>
      <c r="T114" s="1384">
        <v>1329</v>
      </c>
      <c r="U114" s="1384">
        <v>1376</v>
      </c>
      <c r="V114" s="1384">
        <v>1407</v>
      </c>
      <c r="W114" s="1384">
        <v>1360</v>
      </c>
      <c r="X114" s="1384">
        <v>1436</v>
      </c>
      <c r="Y114" s="1384">
        <v>1406</v>
      </c>
      <c r="Z114" s="1384">
        <v>1441</v>
      </c>
      <c r="AA114" s="1384">
        <v>1517</v>
      </c>
      <c r="AB114" s="1384">
        <v>1582</v>
      </c>
      <c r="AC114" s="1384">
        <v>1618</v>
      </c>
      <c r="AD114" s="1384">
        <v>1524</v>
      </c>
      <c r="AE114" s="1384">
        <v>1461</v>
      </c>
      <c r="AF114" s="1384">
        <v>1516</v>
      </c>
      <c r="AG114" s="1385">
        <v>1463</v>
      </c>
      <c r="AH114" s="1393">
        <f t="shared" si="46"/>
        <v>0.41901408450704225</v>
      </c>
      <c r="AI114" s="1394">
        <f t="shared" si="47"/>
        <v>0.41753063147973613</v>
      </c>
      <c r="AJ114" s="1394">
        <f t="shared" si="48"/>
        <v>0.44017914267434421</v>
      </c>
      <c r="AK114" s="1394">
        <f t="shared" si="49"/>
        <v>0.44051346274264247</v>
      </c>
      <c r="AL114" s="1394">
        <f t="shared" si="50"/>
        <v>0.42902208201892744</v>
      </c>
      <c r="AM114" s="1394">
        <f t="shared" si="51"/>
        <v>0.44707347447073476</v>
      </c>
      <c r="AN114" s="1394">
        <f t="shared" si="52"/>
        <v>0.43855271366188397</v>
      </c>
      <c r="AO114" s="1394">
        <f t="shared" si="53"/>
        <v>0.44709897610921501</v>
      </c>
      <c r="AP114" s="1394">
        <f t="shared" si="54"/>
        <v>0.46922363130219608</v>
      </c>
      <c r="AQ114" s="1394">
        <f t="shared" si="55"/>
        <v>0.48963169297431136</v>
      </c>
      <c r="AR114" s="1394">
        <f t="shared" si="56"/>
        <v>0.4946499541424641</v>
      </c>
      <c r="AS114" s="1394">
        <f t="shared" si="57"/>
        <v>0.47535870243293826</v>
      </c>
      <c r="AT114" s="1394">
        <f t="shared" si="58"/>
        <v>0.48505976095617531</v>
      </c>
      <c r="AU114" s="1394">
        <f t="shared" si="59"/>
        <v>0.49721220072154804</v>
      </c>
      <c r="AV114" s="1395">
        <f t="shared" si="60"/>
        <v>0.5036144578313253</v>
      </c>
    </row>
    <row r="115" spans="1:48" s="142" customFormat="1" ht="15.75" customHeight="1">
      <c r="A115" s="149" t="s">
        <v>160</v>
      </c>
      <c r="B115" s="189" t="s">
        <v>161</v>
      </c>
      <c r="C115" s="150" t="s">
        <v>264</v>
      </c>
      <c r="D115" s="1359">
        <v>4018</v>
      </c>
      <c r="E115" s="1360">
        <v>3843</v>
      </c>
      <c r="F115" s="1361">
        <v>3984</v>
      </c>
      <c r="G115" s="1360">
        <v>4015</v>
      </c>
      <c r="H115" s="1361">
        <v>4119</v>
      </c>
      <c r="I115" s="1360">
        <v>3942</v>
      </c>
      <c r="J115" s="1361">
        <v>4094</v>
      </c>
      <c r="K115" s="1360">
        <v>4097</v>
      </c>
      <c r="L115" s="1374">
        <v>4036</v>
      </c>
      <c r="M115" s="1374">
        <v>4159</v>
      </c>
      <c r="N115" s="1374">
        <v>4088</v>
      </c>
      <c r="O115" s="1374">
        <v>3842</v>
      </c>
      <c r="P115" s="1375">
        <v>3791</v>
      </c>
      <c r="Q115" s="1375">
        <v>3718</v>
      </c>
      <c r="R115" s="1376">
        <v>3773</v>
      </c>
      <c r="S115" s="1383">
        <v>2011</v>
      </c>
      <c r="T115" s="1384">
        <v>1894</v>
      </c>
      <c r="U115" s="1384">
        <v>1876</v>
      </c>
      <c r="V115" s="1384">
        <v>2026</v>
      </c>
      <c r="W115" s="1384">
        <v>2003</v>
      </c>
      <c r="X115" s="1384">
        <v>1887</v>
      </c>
      <c r="Y115" s="1384">
        <v>1877</v>
      </c>
      <c r="Z115" s="1384">
        <v>1937</v>
      </c>
      <c r="AA115" s="1384">
        <v>1873</v>
      </c>
      <c r="AB115" s="1384">
        <v>2019</v>
      </c>
      <c r="AC115" s="1384">
        <v>2103</v>
      </c>
      <c r="AD115" s="1384">
        <v>1892</v>
      </c>
      <c r="AE115" s="1384">
        <v>1946</v>
      </c>
      <c r="AF115" s="1384">
        <v>1893</v>
      </c>
      <c r="AG115" s="1385">
        <v>1908</v>
      </c>
      <c r="AH115" s="1393">
        <f t="shared" si="46"/>
        <v>0.50049776007964164</v>
      </c>
      <c r="AI115" s="1394">
        <f t="shared" si="47"/>
        <v>0.49284413218839446</v>
      </c>
      <c r="AJ115" s="1394">
        <f t="shared" si="48"/>
        <v>0.47088353413654621</v>
      </c>
      <c r="AK115" s="1394">
        <f t="shared" si="49"/>
        <v>0.50460772104607721</v>
      </c>
      <c r="AL115" s="1394">
        <f t="shared" si="50"/>
        <v>0.48628307841709151</v>
      </c>
      <c r="AM115" s="1394">
        <f t="shared" si="51"/>
        <v>0.4786910197869102</v>
      </c>
      <c r="AN115" s="1394">
        <f t="shared" si="52"/>
        <v>0.45847581827063993</v>
      </c>
      <c r="AO115" s="1394">
        <f t="shared" si="53"/>
        <v>0.47278496460824992</v>
      </c>
      <c r="AP115" s="1394">
        <f t="shared" si="54"/>
        <v>0.46407333994053518</v>
      </c>
      <c r="AQ115" s="1394">
        <f t="shared" si="55"/>
        <v>0.48545323395046885</v>
      </c>
      <c r="AR115" s="1394">
        <f t="shared" si="56"/>
        <v>0.51443248532289632</v>
      </c>
      <c r="AS115" s="1394">
        <f t="shared" si="57"/>
        <v>0.49245184799583552</v>
      </c>
      <c r="AT115" s="1394">
        <f t="shared" si="58"/>
        <v>0.5133210234766552</v>
      </c>
      <c r="AU115" s="1394">
        <f t="shared" si="59"/>
        <v>0.50914470145239377</v>
      </c>
      <c r="AV115" s="1395">
        <f t="shared" si="60"/>
        <v>0.50569838324940364</v>
      </c>
    </row>
    <row r="116" spans="1:48" s="142" customFormat="1" ht="15.75" customHeight="1">
      <c r="A116" s="149" t="s">
        <v>166</v>
      </c>
      <c r="B116" s="189" t="s">
        <v>167</v>
      </c>
      <c r="C116" s="150" t="s">
        <v>268</v>
      </c>
      <c r="D116" s="1359">
        <v>45</v>
      </c>
      <c r="E116" s="1360">
        <v>59</v>
      </c>
      <c r="F116" s="1361">
        <v>62</v>
      </c>
      <c r="G116" s="1360">
        <v>39</v>
      </c>
      <c r="H116" s="1361">
        <v>23</v>
      </c>
      <c r="I116" s="1360">
        <v>43</v>
      </c>
      <c r="J116" s="1361">
        <v>37</v>
      </c>
      <c r="K116" s="1360">
        <v>30</v>
      </c>
      <c r="L116" s="1374">
        <v>36</v>
      </c>
      <c r="M116" s="1374">
        <v>45</v>
      </c>
      <c r="N116" s="1374">
        <v>41</v>
      </c>
      <c r="O116" s="1374">
        <v>62</v>
      </c>
      <c r="P116" s="1375">
        <v>77</v>
      </c>
      <c r="Q116" s="1375">
        <v>58</v>
      </c>
      <c r="R116" s="1376">
        <v>60</v>
      </c>
      <c r="S116" s="1383">
        <v>16</v>
      </c>
      <c r="T116" s="1384">
        <v>19</v>
      </c>
      <c r="U116" s="1384">
        <v>18</v>
      </c>
      <c r="V116" s="1384">
        <v>13</v>
      </c>
      <c r="W116" s="1384">
        <v>12</v>
      </c>
      <c r="X116" s="1384">
        <v>22</v>
      </c>
      <c r="Y116" s="1384">
        <v>24</v>
      </c>
      <c r="Z116" s="1384">
        <v>16</v>
      </c>
      <c r="AA116" s="1384">
        <v>18</v>
      </c>
      <c r="AB116" s="1384">
        <v>23</v>
      </c>
      <c r="AC116" s="1384">
        <v>19</v>
      </c>
      <c r="AD116" s="1384">
        <v>30</v>
      </c>
      <c r="AE116" s="1384">
        <v>35</v>
      </c>
      <c r="AF116" s="1384">
        <v>29</v>
      </c>
      <c r="AG116" s="1385">
        <v>35</v>
      </c>
      <c r="AH116" s="1393">
        <f t="shared" si="46"/>
        <v>0.35555555555555557</v>
      </c>
      <c r="AI116" s="1394">
        <f t="shared" si="47"/>
        <v>0.32203389830508472</v>
      </c>
      <c r="AJ116" s="1394">
        <f t="shared" si="48"/>
        <v>0.29032258064516131</v>
      </c>
      <c r="AK116" s="1394">
        <f t="shared" si="49"/>
        <v>0.33333333333333331</v>
      </c>
      <c r="AL116" s="1394">
        <f t="shared" si="50"/>
        <v>0.52173913043478259</v>
      </c>
      <c r="AM116" s="1394">
        <f t="shared" si="51"/>
        <v>0.51162790697674421</v>
      </c>
      <c r="AN116" s="1394">
        <f t="shared" si="52"/>
        <v>0.64864864864864868</v>
      </c>
      <c r="AO116" s="1394">
        <f t="shared" si="53"/>
        <v>0.53333333333333333</v>
      </c>
      <c r="AP116" s="1394">
        <f t="shared" si="54"/>
        <v>0.5</v>
      </c>
      <c r="AQ116" s="1394">
        <f t="shared" si="55"/>
        <v>0.51111111111111107</v>
      </c>
      <c r="AR116" s="1394">
        <f t="shared" si="56"/>
        <v>0.46341463414634149</v>
      </c>
      <c r="AS116" s="1394">
        <f t="shared" si="57"/>
        <v>0.4838709677419355</v>
      </c>
      <c r="AT116" s="1394">
        <f t="shared" si="58"/>
        <v>0.45454545454545453</v>
      </c>
      <c r="AU116" s="1394">
        <f t="shared" si="59"/>
        <v>0.5</v>
      </c>
      <c r="AV116" s="1395">
        <f t="shared" si="60"/>
        <v>0.58333333333333337</v>
      </c>
    </row>
    <row r="117" spans="1:48" s="142" customFormat="1" ht="15.75" customHeight="1">
      <c r="A117" s="149" t="s">
        <v>176</v>
      </c>
      <c r="B117" s="189" t="s">
        <v>177</v>
      </c>
      <c r="C117" s="150" t="s">
        <v>266</v>
      </c>
      <c r="D117" s="1359">
        <v>572</v>
      </c>
      <c r="E117" s="1360">
        <v>551</v>
      </c>
      <c r="F117" s="1361">
        <v>526</v>
      </c>
      <c r="G117" s="1360">
        <v>555</v>
      </c>
      <c r="H117" s="1361">
        <v>530</v>
      </c>
      <c r="I117" s="1360">
        <v>543</v>
      </c>
      <c r="J117" s="1361">
        <v>528</v>
      </c>
      <c r="K117" s="1360">
        <v>492</v>
      </c>
      <c r="L117" s="1374">
        <v>568</v>
      </c>
      <c r="M117" s="1374">
        <v>652</v>
      </c>
      <c r="N117" s="1374">
        <v>603</v>
      </c>
      <c r="O117" s="1374">
        <v>667</v>
      </c>
      <c r="P117" s="1375">
        <v>699</v>
      </c>
      <c r="Q117" s="1375">
        <v>659</v>
      </c>
      <c r="R117" s="1376">
        <v>612</v>
      </c>
      <c r="S117" s="1383">
        <v>376</v>
      </c>
      <c r="T117" s="1384">
        <v>380</v>
      </c>
      <c r="U117" s="1384">
        <v>385</v>
      </c>
      <c r="V117" s="1384">
        <v>393</v>
      </c>
      <c r="W117" s="1384">
        <v>377</v>
      </c>
      <c r="X117" s="1384">
        <v>394</v>
      </c>
      <c r="Y117" s="1384">
        <v>381</v>
      </c>
      <c r="Z117" s="1384">
        <v>362</v>
      </c>
      <c r="AA117" s="1384">
        <v>388</v>
      </c>
      <c r="AB117" s="1384">
        <v>457</v>
      </c>
      <c r="AC117" s="1384">
        <v>453</v>
      </c>
      <c r="AD117" s="1384">
        <v>498</v>
      </c>
      <c r="AE117" s="1384">
        <v>529</v>
      </c>
      <c r="AF117" s="1384">
        <v>489</v>
      </c>
      <c r="AG117" s="1385">
        <v>471</v>
      </c>
      <c r="AH117" s="1393">
        <f t="shared" si="46"/>
        <v>0.65734265734265729</v>
      </c>
      <c r="AI117" s="1394">
        <f t="shared" si="47"/>
        <v>0.68965517241379315</v>
      </c>
      <c r="AJ117" s="1394">
        <f t="shared" si="48"/>
        <v>0.73193916349809884</v>
      </c>
      <c r="AK117" s="1394">
        <f t="shared" si="49"/>
        <v>0.70810810810810809</v>
      </c>
      <c r="AL117" s="1394">
        <f t="shared" si="50"/>
        <v>0.71132075471698109</v>
      </c>
      <c r="AM117" s="1394">
        <f t="shared" si="51"/>
        <v>0.72559852670349911</v>
      </c>
      <c r="AN117" s="1394">
        <f t="shared" si="52"/>
        <v>0.72159090909090906</v>
      </c>
      <c r="AO117" s="1394">
        <f t="shared" si="53"/>
        <v>0.73577235772357719</v>
      </c>
      <c r="AP117" s="1394">
        <f t="shared" si="54"/>
        <v>0.68309859154929575</v>
      </c>
      <c r="AQ117" s="1394">
        <f t="shared" si="55"/>
        <v>0.70092024539877296</v>
      </c>
      <c r="AR117" s="1394">
        <f t="shared" si="56"/>
        <v>0.75124378109452739</v>
      </c>
      <c r="AS117" s="1394">
        <f t="shared" si="57"/>
        <v>0.74662668665667165</v>
      </c>
      <c r="AT117" s="1394">
        <f t="shared" si="58"/>
        <v>0.75679542203147354</v>
      </c>
      <c r="AU117" s="1394">
        <f t="shared" si="59"/>
        <v>0.74203338391502272</v>
      </c>
      <c r="AV117" s="1395">
        <f t="shared" si="60"/>
        <v>0.76960784313725494</v>
      </c>
    </row>
    <row r="118" spans="1:48" s="142" customFormat="1" ht="15.75" customHeight="1">
      <c r="A118" s="149" t="s">
        <v>180</v>
      </c>
      <c r="B118" s="189" t="s">
        <v>181</v>
      </c>
      <c r="C118" s="150" t="s">
        <v>264</v>
      </c>
      <c r="D118" s="1359">
        <v>1644</v>
      </c>
      <c r="E118" s="1360">
        <v>1604</v>
      </c>
      <c r="F118" s="1361">
        <v>1544</v>
      </c>
      <c r="G118" s="1360">
        <v>1585</v>
      </c>
      <c r="H118" s="1361">
        <v>1539</v>
      </c>
      <c r="I118" s="1360">
        <v>1597</v>
      </c>
      <c r="J118" s="1361">
        <v>1647</v>
      </c>
      <c r="K118" s="1360">
        <v>1620</v>
      </c>
      <c r="L118" s="1374">
        <v>1744</v>
      </c>
      <c r="M118" s="1374">
        <v>1642</v>
      </c>
      <c r="N118" s="1374">
        <v>1555</v>
      </c>
      <c r="O118" s="1374">
        <v>1623</v>
      </c>
      <c r="P118" s="1375">
        <v>1590</v>
      </c>
      <c r="Q118" s="1375">
        <v>1580</v>
      </c>
      <c r="R118" s="1376">
        <v>1534</v>
      </c>
      <c r="S118" s="1383">
        <v>865</v>
      </c>
      <c r="T118" s="1384">
        <v>847</v>
      </c>
      <c r="U118" s="1384">
        <v>819</v>
      </c>
      <c r="V118" s="1384">
        <v>852</v>
      </c>
      <c r="W118" s="1384">
        <v>795</v>
      </c>
      <c r="X118" s="1384">
        <v>791</v>
      </c>
      <c r="Y118" s="1384">
        <v>828</v>
      </c>
      <c r="Z118" s="1384">
        <v>815</v>
      </c>
      <c r="AA118" s="1384">
        <v>907</v>
      </c>
      <c r="AB118" s="1384">
        <v>850</v>
      </c>
      <c r="AC118" s="1384">
        <v>844</v>
      </c>
      <c r="AD118" s="1384">
        <v>904</v>
      </c>
      <c r="AE118" s="1384">
        <v>845</v>
      </c>
      <c r="AF118" s="1384">
        <v>898</v>
      </c>
      <c r="AG118" s="1385">
        <v>835</v>
      </c>
      <c r="AH118" s="1393">
        <f t="shared" si="46"/>
        <v>0.52615571776155723</v>
      </c>
      <c r="AI118" s="1394">
        <f t="shared" si="47"/>
        <v>0.52805486284289271</v>
      </c>
      <c r="AJ118" s="1394">
        <f t="shared" si="48"/>
        <v>0.53044041450777202</v>
      </c>
      <c r="AK118" s="1394">
        <f t="shared" si="49"/>
        <v>0.53753943217665612</v>
      </c>
      <c r="AL118" s="1394">
        <f t="shared" si="50"/>
        <v>0.51656920077972712</v>
      </c>
      <c r="AM118" s="1394">
        <f t="shared" si="51"/>
        <v>0.49530369442705074</v>
      </c>
      <c r="AN118" s="1394">
        <f t="shared" si="52"/>
        <v>0.50273224043715847</v>
      </c>
      <c r="AO118" s="1394">
        <f t="shared" si="53"/>
        <v>0.50308641975308643</v>
      </c>
      <c r="AP118" s="1394">
        <f t="shared" si="54"/>
        <v>0.52006880733944949</v>
      </c>
      <c r="AQ118" s="1394">
        <f t="shared" si="55"/>
        <v>0.51766138855054811</v>
      </c>
      <c r="AR118" s="1394">
        <f t="shared" si="56"/>
        <v>0.54276527331189706</v>
      </c>
      <c r="AS118" s="1394">
        <f t="shared" si="57"/>
        <v>0.55699322242760319</v>
      </c>
      <c r="AT118" s="1394">
        <f t="shared" si="58"/>
        <v>0.53144654088050314</v>
      </c>
      <c r="AU118" s="1394">
        <f t="shared" si="59"/>
        <v>0.56835443037974687</v>
      </c>
      <c r="AV118" s="1395">
        <f t="shared" si="60"/>
        <v>0.54432855280312908</v>
      </c>
    </row>
    <row r="119" spans="1:48" s="142" customFormat="1" ht="15.75" customHeight="1">
      <c r="A119" s="149" t="s">
        <v>192</v>
      </c>
      <c r="B119" s="189" t="s">
        <v>193</v>
      </c>
      <c r="C119" s="150" t="s">
        <v>268</v>
      </c>
      <c r="D119" s="1359">
        <v>123</v>
      </c>
      <c r="E119" s="1360">
        <v>146</v>
      </c>
      <c r="F119" s="1361">
        <v>159</v>
      </c>
      <c r="G119" s="1360">
        <v>135</v>
      </c>
      <c r="H119" s="1361">
        <v>127</v>
      </c>
      <c r="I119" s="1360">
        <v>126</v>
      </c>
      <c r="J119" s="1361">
        <v>111</v>
      </c>
      <c r="K119" s="1360">
        <v>129</v>
      </c>
      <c r="L119" s="1374">
        <v>139</v>
      </c>
      <c r="M119" s="1374">
        <v>149</v>
      </c>
      <c r="N119" s="1374">
        <v>127</v>
      </c>
      <c r="O119" s="1374">
        <v>133</v>
      </c>
      <c r="P119" s="1375">
        <v>139</v>
      </c>
      <c r="Q119" s="1375">
        <v>136</v>
      </c>
      <c r="R119" s="1376">
        <v>143</v>
      </c>
      <c r="S119" s="1383">
        <v>47</v>
      </c>
      <c r="T119" s="1384">
        <v>39</v>
      </c>
      <c r="U119" s="1384">
        <v>53</v>
      </c>
      <c r="V119" s="1384">
        <v>37</v>
      </c>
      <c r="W119" s="1384">
        <v>40</v>
      </c>
      <c r="X119" s="1384">
        <v>41</v>
      </c>
      <c r="Y119" s="1384">
        <v>42</v>
      </c>
      <c r="Z119" s="1384">
        <v>43</v>
      </c>
      <c r="AA119" s="1384">
        <v>55</v>
      </c>
      <c r="AB119" s="1384">
        <v>45</v>
      </c>
      <c r="AC119" s="1384">
        <v>50</v>
      </c>
      <c r="AD119" s="1384">
        <v>48</v>
      </c>
      <c r="AE119" s="1384">
        <v>68</v>
      </c>
      <c r="AF119" s="1384">
        <v>57</v>
      </c>
      <c r="AG119" s="1385">
        <v>67</v>
      </c>
      <c r="AH119" s="1393">
        <f t="shared" si="46"/>
        <v>0.38211382113821141</v>
      </c>
      <c r="AI119" s="1394">
        <f t="shared" si="47"/>
        <v>0.26712328767123289</v>
      </c>
      <c r="AJ119" s="1394">
        <f t="shared" si="48"/>
        <v>0.33333333333333331</v>
      </c>
      <c r="AK119" s="1394">
        <f t="shared" si="49"/>
        <v>0.27407407407407408</v>
      </c>
      <c r="AL119" s="1394">
        <f t="shared" si="50"/>
        <v>0.31496062992125984</v>
      </c>
      <c r="AM119" s="1394">
        <f t="shared" si="51"/>
        <v>0.32539682539682541</v>
      </c>
      <c r="AN119" s="1394">
        <f t="shared" si="52"/>
        <v>0.3783783783783784</v>
      </c>
      <c r="AO119" s="1394">
        <f t="shared" si="53"/>
        <v>0.33333333333333331</v>
      </c>
      <c r="AP119" s="1394">
        <f t="shared" si="54"/>
        <v>0.39568345323741005</v>
      </c>
      <c r="AQ119" s="1394">
        <f t="shared" si="55"/>
        <v>0.30201342281879195</v>
      </c>
      <c r="AR119" s="1394">
        <f t="shared" si="56"/>
        <v>0.39370078740157483</v>
      </c>
      <c r="AS119" s="1394">
        <f t="shared" si="57"/>
        <v>0.36090225563909772</v>
      </c>
      <c r="AT119" s="1394">
        <f t="shared" si="58"/>
        <v>0.48920863309352519</v>
      </c>
      <c r="AU119" s="1394">
        <f t="shared" si="59"/>
        <v>0.41911764705882354</v>
      </c>
      <c r="AV119" s="1395">
        <f t="shared" si="60"/>
        <v>0.46853146853146854</v>
      </c>
    </row>
    <row r="120" spans="1:48" s="142" customFormat="1" ht="15.75" customHeight="1">
      <c r="A120" s="149" t="s">
        <v>196</v>
      </c>
      <c r="B120" s="189" t="s">
        <v>197</v>
      </c>
      <c r="C120" s="150" t="s">
        <v>266</v>
      </c>
      <c r="D120" s="1359">
        <v>2847</v>
      </c>
      <c r="E120" s="1360">
        <v>2934</v>
      </c>
      <c r="F120" s="1361">
        <v>3057</v>
      </c>
      <c r="G120" s="1360">
        <v>3134</v>
      </c>
      <c r="H120" s="1361">
        <v>3081</v>
      </c>
      <c r="I120" s="1360">
        <v>3069</v>
      </c>
      <c r="J120" s="1361">
        <v>3005</v>
      </c>
      <c r="K120" s="1360">
        <v>3023</v>
      </c>
      <c r="L120" s="1374">
        <v>3032</v>
      </c>
      <c r="M120" s="1374">
        <v>3312</v>
      </c>
      <c r="N120" s="1374">
        <v>3306</v>
      </c>
      <c r="O120" s="1374">
        <v>3195</v>
      </c>
      <c r="P120" s="1375">
        <v>2958</v>
      </c>
      <c r="Q120" s="1375">
        <v>2981</v>
      </c>
      <c r="R120" s="1376">
        <v>2939</v>
      </c>
      <c r="S120" s="1383">
        <v>1822</v>
      </c>
      <c r="T120" s="1384">
        <v>1733</v>
      </c>
      <c r="U120" s="1384">
        <v>1876</v>
      </c>
      <c r="V120" s="1384">
        <v>1899</v>
      </c>
      <c r="W120" s="1384">
        <v>1848</v>
      </c>
      <c r="X120" s="1384">
        <v>1866</v>
      </c>
      <c r="Y120" s="1384">
        <v>1833</v>
      </c>
      <c r="Z120" s="1384">
        <v>1849</v>
      </c>
      <c r="AA120" s="1384">
        <v>1892</v>
      </c>
      <c r="AB120" s="1384">
        <v>2104</v>
      </c>
      <c r="AC120" s="1384">
        <v>2105</v>
      </c>
      <c r="AD120" s="1384">
        <v>2061</v>
      </c>
      <c r="AE120" s="1384">
        <v>1908</v>
      </c>
      <c r="AF120" s="1384">
        <v>1905</v>
      </c>
      <c r="AG120" s="1385">
        <v>1885</v>
      </c>
      <c r="AH120" s="1393">
        <f t="shared" si="46"/>
        <v>0.6399719002458728</v>
      </c>
      <c r="AI120" s="1394">
        <f t="shared" si="47"/>
        <v>0.59066121336059985</v>
      </c>
      <c r="AJ120" s="1394">
        <f t="shared" si="48"/>
        <v>0.61367353614654896</v>
      </c>
      <c r="AK120" s="1394">
        <f t="shared" si="49"/>
        <v>0.60593490746649648</v>
      </c>
      <c r="AL120" s="1394">
        <f t="shared" si="50"/>
        <v>0.59980525803310614</v>
      </c>
      <c r="AM120" s="1394">
        <f t="shared" si="51"/>
        <v>0.6080156402737048</v>
      </c>
      <c r="AN120" s="1394">
        <f t="shared" si="52"/>
        <v>0.60998336106489182</v>
      </c>
      <c r="AO120" s="1394">
        <f t="shared" si="53"/>
        <v>0.61164406218987766</v>
      </c>
      <c r="AP120" s="1394">
        <f t="shared" si="54"/>
        <v>0.62401055408970973</v>
      </c>
      <c r="AQ120" s="1394">
        <f t="shared" si="55"/>
        <v>0.63526570048309183</v>
      </c>
      <c r="AR120" s="1394">
        <f t="shared" si="56"/>
        <v>0.63672111312764668</v>
      </c>
      <c r="AS120" s="1394">
        <f t="shared" si="57"/>
        <v>0.6450704225352113</v>
      </c>
      <c r="AT120" s="1394">
        <f t="shared" si="58"/>
        <v>0.64503042596348881</v>
      </c>
      <c r="AU120" s="1394">
        <f t="shared" si="59"/>
        <v>0.63904729956390471</v>
      </c>
      <c r="AV120" s="1395">
        <f t="shared" si="60"/>
        <v>0.64137461721674038</v>
      </c>
    </row>
    <row r="121" spans="1:48" s="142" customFormat="1" ht="15.75" customHeight="1">
      <c r="A121" s="149" t="s">
        <v>200</v>
      </c>
      <c r="B121" s="189" t="s">
        <v>201</v>
      </c>
      <c r="C121" s="150" t="s">
        <v>265</v>
      </c>
      <c r="D121" s="1359">
        <v>1350</v>
      </c>
      <c r="E121" s="1360">
        <v>1380</v>
      </c>
      <c r="F121" s="1361">
        <v>1356</v>
      </c>
      <c r="G121" s="1360">
        <v>1276</v>
      </c>
      <c r="H121" s="1361">
        <v>1114</v>
      </c>
      <c r="I121" s="1360">
        <v>1331</v>
      </c>
      <c r="J121" s="1361">
        <v>950</v>
      </c>
      <c r="K121" s="1360">
        <v>1202</v>
      </c>
      <c r="L121" s="1374">
        <v>1422</v>
      </c>
      <c r="M121" s="1374">
        <v>1583</v>
      </c>
      <c r="N121" s="1374">
        <v>1587</v>
      </c>
      <c r="O121" s="1374">
        <v>1541</v>
      </c>
      <c r="P121" s="1375">
        <v>1453</v>
      </c>
      <c r="Q121" s="1375">
        <v>1492</v>
      </c>
      <c r="R121" s="1376">
        <v>1492</v>
      </c>
      <c r="S121" s="1383">
        <v>618</v>
      </c>
      <c r="T121" s="1384">
        <v>620</v>
      </c>
      <c r="U121" s="1384">
        <v>654</v>
      </c>
      <c r="V121" s="1384">
        <v>565</v>
      </c>
      <c r="W121" s="1384">
        <v>563</v>
      </c>
      <c r="X121" s="1384">
        <v>642</v>
      </c>
      <c r="Y121" s="1384">
        <v>487</v>
      </c>
      <c r="Z121" s="1384">
        <v>629</v>
      </c>
      <c r="AA121" s="1384">
        <v>774</v>
      </c>
      <c r="AB121" s="1384">
        <v>902</v>
      </c>
      <c r="AC121" s="1384">
        <v>911</v>
      </c>
      <c r="AD121" s="1384">
        <v>857</v>
      </c>
      <c r="AE121" s="1384">
        <v>815</v>
      </c>
      <c r="AF121" s="1384">
        <v>840</v>
      </c>
      <c r="AG121" s="1385">
        <v>843</v>
      </c>
      <c r="AH121" s="1393">
        <f t="shared" si="46"/>
        <v>0.45777777777777778</v>
      </c>
      <c r="AI121" s="1394">
        <f t="shared" si="47"/>
        <v>0.44927536231884058</v>
      </c>
      <c r="AJ121" s="1394">
        <f t="shared" si="48"/>
        <v>0.48230088495575218</v>
      </c>
      <c r="AK121" s="1394">
        <f t="shared" si="49"/>
        <v>0.44278996865203762</v>
      </c>
      <c r="AL121" s="1394">
        <f t="shared" si="50"/>
        <v>0.50538599640933568</v>
      </c>
      <c r="AM121" s="1394">
        <f t="shared" si="51"/>
        <v>0.48234410217881291</v>
      </c>
      <c r="AN121" s="1394">
        <f t="shared" si="52"/>
        <v>0.51263157894736844</v>
      </c>
      <c r="AO121" s="1394">
        <f t="shared" si="53"/>
        <v>0.52329450915141429</v>
      </c>
      <c r="AP121" s="1394">
        <f t="shared" si="54"/>
        <v>0.54430379746835444</v>
      </c>
      <c r="AQ121" s="1394">
        <f t="shared" si="55"/>
        <v>0.56980416929879973</v>
      </c>
      <c r="AR121" s="1394">
        <f t="shared" si="56"/>
        <v>0.5740390674228103</v>
      </c>
      <c r="AS121" s="1394">
        <f t="shared" si="57"/>
        <v>0.55613238157040878</v>
      </c>
      <c r="AT121" s="1394">
        <f t="shared" si="58"/>
        <v>0.56090846524432214</v>
      </c>
      <c r="AU121" s="1394">
        <f t="shared" si="59"/>
        <v>0.5630026809651475</v>
      </c>
      <c r="AV121" s="1395">
        <f t="shared" si="60"/>
        <v>0.56501340482573725</v>
      </c>
    </row>
    <row r="122" spans="1:48" s="142" customFormat="1" ht="15.75" customHeight="1">
      <c r="A122" s="149" t="s">
        <v>222</v>
      </c>
      <c r="B122" s="189" t="s">
        <v>223</v>
      </c>
      <c r="C122" s="150" t="s">
        <v>264</v>
      </c>
      <c r="D122" s="1359">
        <v>884</v>
      </c>
      <c r="E122" s="1360">
        <v>938</v>
      </c>
      <c r="F122" s="1361">
        <v>1008</v>
      </c>
      <c r="G122" s="1360">
        <v>953</v>
      </c>
      <c r="H122" s="1361">
        <v>1058</v>
      </c>
      <c r="I122" s="1360">
        <v>1087</v>
      </c>
      <c r="J122" s="1361">
        <v>1186</v>
      </c>
      <c r="K122" s="1360">
        <v>1180</v>
      </c>
      <c r="L122" s="1374">
        <v>1190</v>
      </c>
      <c r="M122" s="1374">
        <v>1205</v>
      </c>
      <c r="N122" s="1374">
        <v>1090</v>
      </c>
      <c r="O122" s="1374">
        <v>1158</v>
      </c>
      <c r="P122" s="1375">
        <v>1108</v>
      </c>
      <c r="Q122" s="1375">
        <v>1117</v>
      </c>
      <c r="R122" s="1376">
        <v>1087</v>
      </c>
      <c r="S122" s="1383">
        <v>404</v>
      </c>
      <c r="T122" s="1384">
        <v>370</v>
      </c>
      <c r="U122" s="1384">
        <v>370</v>
      </c>
      <c r="V122" s="1384">
        <v>370</v>
      </c>
      <c r="W122" s="1384">
        <v>398</v>
      </c>
      <c r="X122" s="1384">
        <v>395</v>
      </c>
      <c r="Y122" s="1384">
        <v>408</v>
      </c>
      <c r="Z122" s="1384">
        <v>417</v>
      </c>
      <c r="AA122" s="1384">
        <v>435</v>
      </c>
      <c r="AB122" s="1384">
        <v>453</v>
      </c>
      <c r="AC122" s="1384">
        <v>445</v>
      </c>
      <c r="AD122" s="1384">
        <v>495</v>
      </c>
      <c r="AE122" s="1384">
        <v>480</v>
      </c>
      <c r="AF122" s="1384">
        <v>435</v>
      </c>
      <c r="AG122" s="1385">
        <v>447</v>
      </c>
      <c r="AH122" s="1393">
        <f t="shared" si="46"/>
        <v>0.45701357466063347</v>
      </c>
      <c r="AI122" s="1394">
        <f t="shared" si="47"/>
        <v>0.39445628997867804</v>
      </c>
      <c r="AJ122" s="1394">
        <f t="shared" si="48"/>
        <v>0.36706349206349204</v>
      </c>
      <c r="AK122" s="1394">
        <f t="shared" si="49"/>
        <v>0.3882476390346275</v>
      </c>
      <c r="AL122" s="1394">
        <f t="shared" si="50"/>
        <v>0.37618147448015121</v>
      </c>
      <c r="AM122" s="1394">
        <f t="shared" si="51"/>
        <v>0.36338546458141674</v>
      </c>
      <c r="AN122" s="1394">
        <f t="shared" si="52"/>
        <v>0.34401349072512649</v>
      </c>
      <c r="AO122" s="1394">
        <f t="shared" si="53"/>
        <v>0.35338983050847456</v>
      </c>
      <c r="AP122" s="1394">
        <f t="shared" si="54"/>
        <v>0.36554621848739494</v>
      </c>
      <c r="AQ122" s="1394">
        <f t="shared" si="55"/>
        <v>0.37593360995850622</v>
      </c>
      <c r="AR122" s="1394">
        <f t="shared" si="56"/>
        <v>0.40825688073394495</v>
      </c>
      <c r="AS122" s="1394">
        <f t="shared" si="57"/>
        <v>0.42746113989637308</v>
      </c>
      <c r="AT122" s="1394">
        <f t="shared" si="58"/>
        <v>0.43321299638989169</v>
      </c>
      <c r="AU122" s="1394">
        <f t="shared" si="59"/>
        <v>0.38943598925693823</v>
      </c>
      <c r="AV122" s="1395">
        <f t="shared" si="60"/>
        <v>0.41122355105795766</v>
      </c>
    </row>
    <row r="123" spans="1:48" s="142" customFormat="1" ht="15.75" customHeight="1">
      <c r="A123" s="149" t="s">
        <v>230</v>
      </c>
      <c r="B123" s="189" t="s">
        <v>231</v>
      </c>
      <c r="C123" s="150" t="s">
        <v>264</v>
      </c>
      <c r="D123" s="1359">
        <v>6363</v>
      </c>
      <c r="E123" s="1360">
        <v>6201</v>
      </c>
      <c r="F123" s="1361">
        <v>6455</v>
      </c>
      <c r="G123" s="1360">
        <v>6173</v>
      </c>
      <c r="H123" s="1361">
        <v>6234</v>
      </c>
      <c r="I123" s="1360">
        <v>6370</v>
      </c>
      <c r="J123" s="1361">
        <v>6665</v>
      </c>
      <c r="K123" s="1360">
        <v>6382</v>
      </c>
      <c r="L123" s="1374">
        <v>6567</v>
      </c>
      <c r="M123" s="1374">
        <v>6513</v>
      </c>
      <c r="N123" s="1374">
        <v>6341</v>
      </c>
      <c r="O123" s="1374">
        <v>6324</v>
      </c>
      <c r="P123" s="1375">
        <v>6143</v>
      </c>
      <c r="Q123" s="1375">
        <v>6249</v>
      </c>
      <c r="R123" s="1376">
        <v>6270</v>
      </c>
      <c r="S123" s="1383">
        <v>1644</v>
      </c>
      <c r="T123" s="1384">
        <v>1644</v>
      </c>
      <c r="U123" s="1384">
        <v>1750</v>
      </c>
      <c r="V123" s="1384">
        <v>1808</v>
      </c>
      <c r="W123" s="1384">
        <v>1790</v>
      </c>
      <c r="X123" s="1384">
        <v>1762</v>
      </c>
      <c r="Y123" s="1384">
        <v>1886</v>
      </c>
      <c r="Z123" s="1384">
        <v>1820</v>
      </c>
      <c r="AA123" s="1384">
        <v>2001</v>
      </c>
      <c r="AB123" s="1384">
        <v>1983</v>
      </c>
      <c r="AC123" s="1384">
        <v>2018</v>
      </c>
      <c r="AD123" s="1384">
        <v>2077</v>
      </c>
      <c r="AE123" s="1384">
        <v>1955</v>
      </c>
      <c r="AF123" s="1384">
        <v>1934</v>
      </c>
      <c r="AG123" s="1385">
        <v>2021</v>
      </c>
      <c r="AH123" s="1393">
        <f t="shared" si="46"/>
        <v>0.25836869401225837</v>
      </c>
      <c r="AI123" s="1394">
        <f t="shared" si="47"/>
        <v>0.26511852926947266</v>
      </c>
      <c r="AJ123" s="1394">
        <f t="shared" si="48"/>
        <v>0.2711076684740511</v>
      </c>
      <c r="AK123" s="1394">
        <f t="shared" si="49"/>
        <v>0.29288838490199254</v>
      </c>
      <c r="AL123" s="1394">
        <f t="shared" si="50"/>
        <v>0.287135065768367</v>
      </c>
      <c r="AM123" s="1394">
        <f t="shared" si="51"/>
        <v>0.27660910518053378</v>
      </c>
      <c r="AN123" s="1394">
        <f t="shared" si="52"/>
        <v>0.28297074268567141</v>
      </c>
      <c r="AO123" s="1394">
        <f t="shared" si="53"/>
        <v>0.28517706048260733</v>
      </c>
      <c r="AP123" s="1394">
        <f t="shared" si="54"/>
        <v>0.30470534490634993</v>
      </c>
      <c r="AQ123" s="1394">
        <f t="shared" si="55"/>
        <v>0.30446798710271766</v>
      </c>
      <c r="AR123" s="1394">
        <f t="shared" si="56"/>
        <v>0.3182463333859013</v>
      </c>
      <c r="AS123" s="1394">
        <f t="shared" si="57"/>
        <v>0.32843137254901961</v>
      </c>
      <c r="AT123" s="1394">
        <f t="shared" si="58"/>
        <v>0.31824841282760868</v>
      </c>
      <c r="AU123" s="1394">
        <f t="shared" si="59"/>
        <v>0.30948951832293164</v>
      </c>
      <c r="AV123" s="1395">
        <f t="shared" si="60"/>
        <v>0.32232854864433813</v>
      </c>
    </row>
    <row r="124" spans="1:48" s="142" customFormat="1" ht="15.75" customHeight="1">
      <c r="A124" s="149" t="s">
        <v>238</v>
      </c>
      <c r="B124" s="189" t="s">
        <v>239</v>
      </c>
      <c r="C124" s="150" t="s">
        <v>264</v>
      </c>
      <c r="D124" s="1359">
        <v>144</v>
      </c>
      <c r="E124" s="1360">
        <v>72</v>
      </c>
      <c r="F124" s="1361">
        <v>59</v>
      </c>
      <c r="G124" s="1360">
        <v>96</v>
      </c>
      <c r="H124" s="1361">
        <v>129</v>
      </c>
      <c r="I124" s="1360">
        <v>188</v>
      </c>
      <c r="J124" s="1361">
        <v>172</v>
      </c>
      <c r="K124" s="1360">
        <v>233</v>
      </c>
      <c r="L124" s="1374">
        <v>192</v>
      </c>
      <c r="M124" s="1374">
        <v>161</v>
      </c>
      <c r="N124" s="1374">
        <v>186</v>
      </c>
      <c r="O124" s="1374">
        <v>142</v>
      </c>
      <c r="P124" s="1375">
        <v>86</v>
      </c>
      <c r="Q124" s="1375">
        <v>80</v>
      </c>
      <c r="R124" s="1376">
        <v>91</v>
      </c>
      <c r="S124" s="1383">
        <v>50</v>
      </c>
      <c r="T124" s="1384">
        <v>26</v>
      </c>
      <c r="U124" s="1384">
        <v>18</v>
      </c>
      <c r="V124" s="1384">
        <v>29</v>
      </c>
      <c r="W124" s="1384">
        <v>35</v>
      </c>
      <c r="X124" s="1384">
        <v>70</v>
      </c>
      <c r="Y124" s="1384">
        <v>48</v>
      </c>
      <c r="Z124" s="1384">
        <v>75</v>
      </c>
      <c r="AA124" s="1384">
        <v>72</v>
      </c>
      <c r="AB124" s="1384">
        <v>61</v>
      </c>
      <c r="AC124" s="1384">
        <v>70</v>
      </c>
      <c r="AD124" s="1384">
        <v>58</v>
      </c>
      <c r="AE124" s="1384">
        <v>32</v>
      </c>
      <c r="AF124" s="1384">
        <v>31</v>
      </c>
      <c r="AG124" s="1385">
        <v>38</v>
      </c>
      <c r="AH124" s="1393">
        <f t="shared" si="46"/>
        <v>0.34722222222222221</v>
      </c>
      <c r="AI124" s="1394">
        <f t="shared" si="47"/>
        <v>0.3611111111111111</v>
      </c>
      <c r="AJ124" s="1394">
        <f t="shared" si="48"/>
        <v>0.30508474576271188</v>
      </c>
      <c r="AK124" s="1394">
        <f t="shared" si="49"/>
        <v>0.30208333333333331</v>
      </c>
      <c r="AL124" s="1394">
        <f t="shared" si="50"/>
        <v>0.27131782945736432</v>
      </c>
      <c r="AM124" s="1394">
        <f t="shared" si="51"/>
        <v>0.37234042553191488</v>
      </c>
      <c r="AN124" s="1394">
        <f t="shared" si="52"/>
        <v>0.27906976744186046</v>
      </c>
      <c r="AO124" s="1394">
        <f t="shared" si="53"/>
        <v>0.32188841201716739</v>
      </c>
      <c r="AP124" s="1394">
        <f t="shared" si="54"/>
        <v>0.375</v>
      </c>
      <c r="AQ124" s="1394">
        <f t="shared" si="55"/>
        <v>0.37888198757763975</v>
      </c>
      <c r="AR124" s="1394">
        <f t="shared" si="56"/>
        <v>0.37634408602150538</v>
      </c>
      <c r="AS124" s="1394">
        <f t="shared" si="57"/>
        <v>0.40845070422535212</v>
      </c>
      <c r="AT124" s="1394">
        <f t="shared" si="58"/>
        <v>0.37209302325581395</v>
      </c>
      <c r="AU124" s="1394">
        <f t="shared" si="59"/>
        <v>0.38750000000000001</v>
      </c>
      <c r="AV124" s="1395">
        <f t="shared" si="60"/>
        <v>0.4175824175824176</v>
      </c>
    </row>
    <row r="125" spans="1:48" s="142" customFormat="1" ht="15.75" customHeight="1">
      <c r="A125" s="155" t="s">
        <v>240</v>
      </c>
      <c r="B125" s="191" t="s">
        <v>241</v>
      </c>
      <c r="C125" s="156" t="s">
        <v>267</v>
      </c>
      <c r="D125" s="1362">
        <v>312</v>
      </c>
      <c r="E125" s="1363">
        <v>313</v>
      </c>
      <c r="F125" s="1364">
        <v>335</v>
      </c>
      <c r="G125" s="1363">
        <v>373</v>
      </c>
      <c r="H125" s="1364">
        <v>348</v>
      </c>
      <c r="I125" s="1363">
        <v>398</v>
      </c>
      <c r="J125" s="1364">
        <v>413</v>
      </c>
      <c r="K125" s="1363">
        <v>435</v>
      </c>
      <c r="L125" s="1377">
        <v>434</v>
      </c>
      <c r="M125" s="1377">
        <v>495</v>
      </c>
      <c r="N125" s="1377">
        <v>404</v>
      </c>
      <c r="O125" s="1377">
        <v>392</v>
      </c>
      <c r="P125" s="1375">
        <v>446</v>
      </c>
      <c r="Q125" s="1375">
        <v>404</v>
      </c>
      <c r="R125" s="1376">
        <v>403</v>
      </c>
      <c r="S125" s="1383">
        <v>125</v>
      </c>
      <c r="T125" s="1384">
        <v>134</v>
      </c>
      <c r="U125" s="1384">
        <v>132</v>
      </c>
      <c r="V125" s="1384">
        <v>143</v>
      </c>
      <c r="W125" s="1384">
        <v>173</v>
      </c>
      <c r="X125" s="1384">
        <v>174</v>
      </c>
      <c r="Y125" s="1384">
        <v>198</v>
      </c>
      <c r="Z125" s="1384">
        <v>208</v>
      </c>
      <c r="AA125" s="1384">
        <v>217</v>
      </c>
      <c r="AB125" s="1384">
        <v>274</v>
      </c>
      <c r="AC125" s="1384">
        <v>212</v>
      </c>
      <c r="AD125" s="1384">
        <v>208</v>
      </c>
      <c r="AE125" s="1384">
        <v>241</v>
      </c>
      <c r="AF125" s="1384">
        <v>194</v>
      </c>
      <c r="AG125" s="1385">
        <v>200</v>
      </c>
      <c r="AH125" s="1393">
        <f t="shared" si="46"/>
        <v>0.40064102564102566</v>
      </c>
      <c r="AI125" s="1394">
        <f t="shared" si="47"/>
        <v>0.4281150159744409</v>
      </c>
      <c r="AJ125" s="1394">
        <f t="shared" si="48"/>
        <v>0.39402985074626867</v>
      </c>
      <c r="AK125" s="1394">
        <f t="shared" si="49"/>
        <v>0.38337801608579086</v>
      </c>
      <c r="AL125" s="1394">
        <f t="shared" si="50"/>
        <v>0.49712643678160917</v>
      </c>
      <c r="AM125" s="1394">
        <f t="shared" si="51"/>
        <v>0.43718592964824121</v>
      </c>
      <c r="AN125" s="1394">
        <f t="shared" si="52"/>
        <v>0.47941888619854722</v>
      </c>
      <c r="AO125" s="1394">
        <f t="shared" si="53"/>
        <v>0.47816091954022988</v>
      </c>
      <c r="AP125" s="1394">
        <f t="shared" si="54"/>
        <v>0.5</v>
      </c>
      <c r="AQ125" s="1394">
        <f t="shared" si="55"/>
        <v>0.55353535353535355</v>
      </c>
      <c r="AR125" s="1394">
        <f t="shared" si="56"/>
        <v>0.52475247524752477</v>
      </c>
      <c r="AS125" s="1394">
        <f t="shared" si="57"/>
        <v>0.53061224489795922</v>
      </c>
      <c r="AT125" s="1394">
        <f t="shared" si="58"/>
        <v>0.54035874439461884</v>
      </c>
      <c r="AU125" s="1394">
        <f t="shared" si="59"/>
        <v>0.48019801980198018</v>
      </c>
      <c r="AV125" s="1395">
        <f t="shared" si="60"/>
        <v>0.49627791563275436</v>
      </c>
    </row>
    <row r="126" spans="1:48" s="142" customFormat="1" ht="15.75" customHeight="1">
      <c r="A126" s="284"/>
      <c r="B126" s="236"/>
      <c r="C126" s="285"/>
      <c r="D126" s="152"/>
      <c r="E126" s="151"/>
      <c r="F126" s="152"/>
      <c r="G126" s="286"/>
      <c r="H126" s="152"/>
      <c r="I126" s="151"/>
      <c r="J126" s="152"/>
      <c r="K126" s="151"/>
      <c r="L126" s="287"/>
      <c r="M126" s="287"/>
      <c r="N126" s="287"/>
      <c r="O126" s="287"/>
    </row>
    <row r="127" spans="1:48" s="142" customFormat="1" ht="15.75" customHeight="1">
      <c r="A127" s="284" t="s">
        <v>266</v>
      </c>
      <c r="B127" s="236"/>
      <c r="C127" s="285"/>
      <c r="D127" s="1399">
        <v>14861</v>
      </c>
      <c r="E127" s="1400">
        <v>14898</v>
      </c>
      <c r="F127" s="1401">
        <v>15254</v>
      </c>
      <c r="G127" s="1400">
        <v>15253</v>
      </c>
      <c r="H127" s="1401">
        <v>15425</v>
      </c>
      <c r="I127" s="1400">
        <v>15516</v>
      </c>
      <c r="J127" s="1401">
        <v>16039</v>
      </c>
      <c r="K127" s="1400">
        <v>16219</v>
      </c>
      <c r="L127" s="1368">
        <v>16766</v>
      </c>
      <c r="M127" s="1368">
        <v>17109</v>
      </c>
      <c r="N127" s="1368">
        <v>16642</v>
      </c>
      <c r="O127" s="1368">
        <v>16614</v>
      </c>
      <c r="P127" s="1384">
        <v>15936</v>
      </c>
      <c r="Q127" s="1384">
        <v>15784</v>
      </c>
      <c r="R127" s="1385">
        <v>15814</v>
      </c>
      <c r="S127" s="1383">
        <v>5447</v>
      </c>
      <c r="T127" s="1384">
        <v>5289</v>
      </c>
      <c r="U127" s="1384">
        <v>5609</v>
      </c>
      <c r="V127" s="1384">
        <v>5598</v>
      </c>
      <c r="W127" s="1384">
        <v>5730</v>
      </c>
      <c r="X127" s="1384">
        <v>5905</v>
      </c>
      <c r="Y127" s="1384">
        <v>6071</v>
      </c>
      <c r="Z127" s="1384">
        <v>6314</v>
      </c>
      <c r="AA127" s="1384">
        <v>6689</v>
      </c>
      <c r="AB127" s="1384">
        <v>7088</v>
      </c>
      <c r="AC127" s="1384">
        <v>7257</v>
      </c>
      <c r="AD127" s="1384">
        <v>7331</v>
      </c>
      <c r="AE127" s="1384">
        <v>7026</v>
      </c>
      <c r="AF127" s="1384">
        <v>6938</v>
      </c>
      <c r="AG127" s="1385">
        <v>7073</v>
      </c>
      <c r="AH127" s="1393">
        <f t="shared" ref="AH127:AH131" si="61">S127/D127</f>
        <v>0.36652984321378101</v>
      </c>
      <c r="AI127" s="1394">
        <f t="shared" ref="AI127:AI131" si="62">T127/E127</f>
        <v>0.35501409585179217</v>
      </c>
      <c r="AJ127" s="1394">
        <f t="shared" ref="AJ127:AJ131" si="63">U127/F127</f>
        <v>0.36770683099514884</v>
      </c>
      <c r="AK127" s="1394">
        <f t="shared" ref="AK127:AK131" si="64">V127/G127</f>
        <v>0.36700976857011736</v>
      </c>
      <c r="AL127" s="1394">
        <f t="shared" ref="AL127:AL131" si="65">W127/H127</f>
        <v>0.37147487844408428</v>
      </c>
      <c r="AM127" s="1394">
        <f t="shared" ref="AM127:AM131" si="66">X127/I127</f>
        <v>0.38057489043567932</v>
      </c>
      <c r="AN127" s="1394">
        <f t="shared" ref="AN127:AN131" si="67">Y127/J127</f>
        <v>0.37851487000436435</v>
      </c>
      <c r="AO127" s="1394">
        <f t="shared" ref="AO127:AO131" si="68">Z127/K127</f>
        <v>0.3892965041001295</v>
      </c>
      <c r="AP127" s="1394">
        <f t="shared" ref="AP127:AP131" si="69">AA127/L127</f>
        <v>0.39896218537516404</v>
      </c>
      <c r="AQ127" s="1394">
        <f t="shared" ref="AQ127:AQ131" si="70">AB127/M127</f>
        <v>0.41428487930329067</v>
      </c>
      <c r="AR127" s="1394">
        <f t="shared" ref="AR127:AR131" si="71">AC127/N127</f>
        <v>0.43606537675760126</v>
      </c>
      <c r="AS127" s="1394">
        <f t="shared" ref="AS127:AS131" si="72">AD127/O127</f>
        <v>0.44125436378957505</v>
      </c>
      <c r="AT127" s="1394">
        <f t="shared" ref="AT127:AT131" si="73">AE127/P127</f>
        <v>0.44088855421686746</v>
      </c>
      <c r="AU127" s="1394">
        <f t="shared" ref="AU127:AU131" si="74">AF127/Q127</f>
        <v>0.43955904713634059</v>
      </c>
      <c r="AV127" s="1395">
        <f t="shared" ref="AV127:AV131" si="75">AG127/R127</f>
        <v>0.44726191981788288</v>
      </c>
    </row>
    <row r="128" spans="1:48" s="142" customFormat="1" ht="15.75" customHeight="1">
      <c r="A128" s="284" t="s">
        <v>264</v>
      </c>
      <c r="B128" s="236"/>
      <c r="C128" s="285"/>
      <c r="D128" s="1399">
        <v>24881</v>
      </c>
      <c r="E128" s="1400">
        <v>24733</v>
      </c>
      <c r="F128" s="1401">
        <v>25322</v>
      </c>
      <c r="G128" s="1400">
        <v>24848</v>
      </c>
      <c r="H128" s="1401">
        <v>24919</v>
      </c>
      <c r="I128" s="1400">
        <v>25143</v>
      </c>
      <c r="J128" s="1401">
        <v>26101</v>
      </c>
      <c r="K128" s="1400">
        <v>25645</v>
      </c>
      <c r="L128" s="1368">
        <v>26221</v>
      </c>
      <c r="M128" s="1368">
        <v>26325</v>
      </c>
      <c r="N128" s="1368">
        <v>25712</v>
      </c>
      <c r="O128" s="1368">
        <v>25179</v>
      </c>
      <c r="P128" s="1384">
        <v>24458</v>
      </c>
      <c r="Q128" s="1384">
        <v>24427</v>
      </c>
      <c r="R128" s="1385">
        <v>24262</v>
      </c>
      <c r="S128" s="1383">
        <v>9291</v>
      </c>
      <c r="T128" s="1384">
        <v>9330</v>
      </c>
      <c r="U128" s="1384">
        <v>9472</v>
      </c>
      <c r="V128" s="1384">
        <v>9748</v>
      </c>
      <c r="W128" s="1384">
        <v>9595</v>
      </c>
      <c r="X128" s="1384">
        <v>9540</v>
      </c>
      <c r="Y128" s="1384">
        <v>9892</v>
      </c>
      <c r="Z128" s="1384">
        <v>9869</v>
      </c>
      <c r="AA128" s="1384">
        <v>10432</v>
      </c>
      <c r="AB128" s="1384">
        <v>10719</v>
      </c>
      <c r="AC128" s="1384">
        <v>10880</v>
      </c>
      <c r="AD128" s="1384">
        <v>10686</v>
      </c>
      <c r="AE128" s="1384">
        <v>10343</v>
      </c>
      <c r="AF128" s="1384">
        <v>10366</v>
      </c>
      <c r="AG128" s="1385">
        <v>10274</v>
      </c>
      <c r="AH128" s="1393">
        <f t="shared" si="61"/>
        <v>0.37341746714360358</v>
      </c>
      <c r="AI128" s="1394">
        <f t="shared" si="62"/>
        <v>0.37722880362269035</v>
      </c>
      <c r="AJ128" s="1394">
        <f t="shared" si="63"/>
        <v>0.37406208040439143</v>
      </c>
      <c r="AK128" s="1394">
        <f t="shared" si="64"/>
        <v>0.3923052157115261</v>
      </c>
      <c r="AL128" s="1394">
        <f t="shared" si="65"/>
        <v>0.38504755407520364</v>
      </c>
      <c r="AM128" s="1394">
        <f t="shared" si="66"/>
        <v>0.37942966233146402</v>
      </c>
      <c r="AN128" s="1394">
        <f t="shared" si="67"/>
        <v>0.37898931075437725</v>
      </c>
      <c r="AO128" s="1394">
        <f t="shared" si="68"/>
        <v>0.38483135114057321</v>
      </c>
      <c r="AP128" s="1394">
        <f t="shared" si="69"/>
        <v>0.39784905228633538</v>
      </c>
      <c r="AQ128" s="1394">
        <f t="shared" si="70"/>
        <v>0.40717948717948715</v>
      </c>
      <c r="AR128" s="1394">
        <f t="shared" si="71"/>
        <v>0.42314872433105166</v>
      </c>
      <c r="AS128" s="1394">
        <f t="shared" si="72"/>
        <v>0.42440128678660788</v>
      </c>
      <c r="AT128" s="1394">
        <f t="shared" si="73"/>
        <v>0.42288821653446723</v>
      </c>
      <c r="AU128" s="1394">
        <f t="shared" si="74"/>
        <v>0.42436647971506941</v>
      </c>
      <c r="AV128" s="1395">
        <f t="shared" si="75"/>
        <v>0.42346055560135193</v>
      </c>
    </row>
    <row r="129" spans="1:48" s="142" customFormat="1" ht="15.75" customHeight="1">
      <c r="A129" s="284" t="s">
        <v>267</v>
      </c>
      <c r="B129" s="236"/>
      <c r="C129" s="285"/>
      <c r="D129" s="1399">
        <v>35694</v>
      </c>
      <c r="E129" s="1400">
        <v>36681</v>
      </c>
      <c r="F129" s="1401">
        <v>39163</v>
      </c>
      <c r="G129" s="1400">
        <v>40025</v>
      </c>
      <c r="H129" s="1401">
        <v>40777</v>
      </c>
      <c r="I129" s="1400">
        <v>41403</v>
      </c>
      <c r="J129" s="1401">
        <v>43538</v>
      </c>
      <c r="K129" s="1400">
        <v>44159</v>
      </c>
      <c r="L129" s="1368">
        <v>44509</v>
      </c>
      <c r="M129" s="1368">
        <v>45402</v>
      </c>
      <c r="N129" s="1368">
        <v>44861</v>
      </c>
      <c r="O129" s="1368">
        <v>44477</v>
      </c>
      <c r="P129" s="1384">
        <v>44469</v>
      </c>
      <c r="Q129" s="1384">
        <v>44386</v>
      </c>
      <c r="R129" s="1385">
        <v>44671</v>
      </c>
      <c r="S129" s="1383">
        <v>7391</v>
      </c>
      <c r="T129" s="1384">
        <v>7770</v>
      </c>
      <c r="U129" s="1384">
        <v>8404</v>
      </c>
      <c r="V129" s="1384">
        <v>8597</v>
      </c>
      <c r="W129" s="1384">
        <v>8836</v>
      </c>
      <c r="X129" s="1384">
        <v>9086</v>
      </c>
      <c r="Y129" s="1384">
        <v>9941</v>
      </c>
      <c r="Z129" s="1384">
        <v>10729</v>
      </c>
      <c r="AA129" s="1384">
        <v>12002</v>
      </c>
      <c r="AB129" s="1384">
        <v>12592</v>
      </c>
      <c r="AC129" s="1384">
        <v>12218</v>
      </c>
      <c r="AD129" s="1384">
        <v>11948</v>
      </c>
      <c r="AE129" s="1384">
        <v>11781</v>
      </c>
      <c r="AF129" s="1384">
        <v>11754</v>
      </c>
      <c r="AG129" s="1385">
        <v>11526</v>
      </c>
      <c r="AH129" s="1393">
        <f t="shared" si="61"/>
        <v>0.20706561326833642</v>
      </c>
      <c r="AI129" s="1394">
        <f t="shared" si="62"/>
        <v>0.21182628608816553</v>
      </c>
      <c r="AJ129" s="1394">
        <f t="shared" si="63"/>
        <v>0.21459030207083216</v>
      </c>
      <c r="AK129" s="1394">
        <f t="shared" si="64"/>
        <v>0.21479075577763898</v>
      </c>
      <c r="AL129" s="1394">
        <f t="shared" si="65"/>
        <v>0.21669078156804081</v>
      </c>
      <c r="AM129" s="1394">
        <f t="shared" si="66"/>
        <v>0.21945269666449291</v>
      </c>
      <c r="AN129" s="1394">
        <f t="shared" si="67"/>
        <v>0.22832927557535945</v>
      </c>
      <c r="AO129" s="1394">
        <f t="shared" si="68"/>
        <v>0.24296292941416245</v>
      </c>
      <c r="AP129" s="1394">
        <f t="shared" si="69"/>
        <v>0.26965332854029522</v>
      </c>
      <c r="AQ129" s="1394">
        <f t="shared" si="70"/>
        <v>0.27734461036958724</v>
      </c>
      <c r="AR129" s="1394">
        <f t="shared" si="71"/>
        <v>0.27235237734334944</v>
      </c>
      <c r="AS129" s="1394">
        <f t="shared" si="72"/>
        <v>0.26863322616183644</v>
      </c>
      <c r="AT129" s="1394">
        <f t="shared" si="73"/>
        <v>0.26492612831410645</v>
      </c>
      <c r="AU129" s="1394">
        <f t="shared" si="74"/>
        <v>0.26481322939665658</v>
      </c>
      <c r="AV129" s="1395">
        <f t="shared" si="75"/>
        <v>0.25801974435315977</v>
      </c>
    </row>
    <row r="130" spans="1:48" s="142" customFormat="1" ht="15.75" customHeight="1">
      <c r="A130" s="284" t="s">
        <v>265</v>
      </c>
      <c r="B130" s="236"/>
      <c r="C130" s="285"/>
      <c r="D130" s="1399">
        <v>12551</v>
      </c>
      <c r="E130" s="1400">
        <v>12673</v>
      </c>
      <c r="F130" s="1401">
        <v>12972</v>
      </c>
      <c r="G130" s="1400">
        <v>12464</v>
      </c>
      <c r="H130" s="1401">
        <v>12174</v>
      </c>
      <c r="I130" s="1400">
        <v>12548</v>
      </c>
      <c r="J130" s="1401">
        <v>12297</v>
      </c>
      <c r="K130" s="1400">
        <v>12569</v>
      </c>
      <c r="L130" s="1368">
        <v>12953</v>
      </c>
      <c r="M130" s="1368">
        <v>13375</v>
      </c>
      <c r="N130" s="1368">
        <v>13243</v>
      </c>
      <c r="O130" s="1368">
        <v>12806</v>
      </c>
      <c r="P130" s="1384">
        <v>12220</v>
      </c>
      <c r="Q130" s="1384">
        <v>12304</v>
      </c>
      <c r="R130" s="1385">
        <v>12217</v>
      </c>
      <c r="S130" s="1383">
        <v>4302</v>
      </c>
      <c r="T130" s="1384">
        <v>4338</v>
      </c>
      <c r="U130" s="1384">
        <v>4562</v>
      </c>
      <c r="V130" s="1384">
        <v>4439</v>
      </c>
      <c r="W130" s="1384">
        <v>4429</v>
      </c>
      <c r="X130" s="1384">
        <v>4560</v>
      </c>
      <c r="Y130" s="1384">
        <v>4642</v>
      </c>
      <c r="Z130" s="1384">
        <v>4964</v>
      </c>
      <c r="AA130" s="1384">
        <v>5262</v>
      </c>
      <c r="AB130" s="1384">
        <v>5732</v>
      </c>
      <c r="AC130" s="1384">
        <v>5718</v>
      </c>
      <c r="AD130" s="1384">
        <v>5446</v>
      </c>
      <c r="AE130" s="1384">
        <v>5163</v>
      </c>
      <c r="AF130" s="1384">
        <v>5213</v>
      </c>
      <c r="AG130" s="1385">
        <v>5201</v>
      </c>
      <c r="AH130" s="1393">
        <f t="shared" si="61"/>
        <v>0.34276153294558204</v>
      </c>
      <c r="AI130" s="1394">
        <f t="shared" si="62"/>
        <v>0.34230253294405427</v>
      </c>
      <c r="AJ130" s="1394">
        <f t="shared" si="63"/>
        <v>0.3516805427073697</v>
      </c>
      <c r="AK130" s="1394">
        <f t="shared" si="64"/>
        <v>0.3561456996148909</v>
      </c>
      <c r="AL130" s="1394">
        <f t="shared" si="65"/>
        <v>0.36380811565631677</v>
      </c>
      <c r="AM130" s="1394">
        <f t="shared" si="66"/>
        <v>0.36340452661778772</v>
      </c>
      <c r="AN130" s="1394">
        <f t="shared" si="67"/>
        <v>0.37749044482394079</v>
      </c>
      <c r="AO130" s="1394">
        <f t="shared" si="68"/>
        <v>0.39493993157769114</v>
      </c>
      <c r="AP130" s="1394">
        <f t="shared" si="69"/>
        <v>0.4062379371574153</v>
      </c>
      <c r="AQ130" s="1394">
        <f t="shared" si="70"/>
        <v>0.4285607476635514</v>
      </c>
      <c r="AR130" s="1394">
        <f t="shared" si="71"/>
        <v>0.43177527750509703</v>
      </c>
      <c r="AS130" s="1394">
        <f t="shared" si="72"/>
        <v>0.42526940496642202</v>
      </c>
      <c r="AT130" s="1394">
        <f t="shared" si="73"/>
        <v>0.42250409165302782</v>
      </c>
      <c r="AU130" s="1394">
        <f t="shared" si="74"/>
        <v>0.42368335500650195</v>
      </c>
      <c r="AV130" s="1395">
        <f t="shared" si="75"/>
        <v>0.42571826143897845</v>
      </c>
    </row>
    <row r="131" spans="1:48" s="142" customFormat="1" ht="15.75" customHeight="1">
      <c r="A131" s="284" t="s">
        <v>268</v>
      </c>
      <c r="B131" s="236"/>
      <c r="C131" s="285"/>
      <c r="D131" s="1399">
        <v>6127</v>
      </c>
      <c r="E131" s="1400">
        <v>6222</v>
      </c>
      <c r="F131" s="1401">
        <v>6151</v>
      </c>
      <c r="G131" s="1400">
        <v>5941</v>
      </c>
      <c r="H131" s="1401">
        <v>5940</v>
      </c>
      <c r="I131" s="1400">
        <v>5951</v>
      </c>
      <c r="J131" s="1401">
        <v>5855</v>
      </c>
      <c r="K131" s="1400">
        <v>5896</v>
      </c>
      <c r="L131" s="1368">
        <v>6025</v>
      </c>
      <c r="M131" s="1368">
        <v>6206</v>
      </c>
      <c r="N131" s="1368">
        <v>6120</v>
      </c>
      <c r="O131" s="1368">
        <v>5903</v>
      </c>
      <c r="P131" s="1384">
        <v>5851</v>
      </c>
      <c r="Q131" s="1384">
        <v>5624</v>
      </c>
      <c r="R131" s="1385">
        <v>5847</v>
      </c>
      <c r="S131" s="1383">
        <v>1626</v>
      </c>
      <c r="T131" s="1384">
        <v>1578</v>
      </c>
      <c r="U131" s="1384">
        <v>1587</v>
      </c>
      <c r="V131" s="1384">
        <v>1540</v>
      </c>
      <c r="W131" s="1384">
        <v>1633</v>
      </c>
      <c r="X131" s="1384">
        <v>1678</v>
      </c>
      <c r="Y131" s="1384">
        <v>1644</v>
      </c>
      <c r="Z131" s="1384">
        <v>1805</v>
      </c>
      <c r="AA131" s="1384">
        <v>1905</v>
      </c>
      <c r="AB131" s="1384">
        <v>2150</v>
      </c>
      <c r="AC131" s="1384">
        <v>2128</v>
      </c>
      <c r="AD131" s="1384">
        <v>2197</v>
      </c>
      <c r="AE131" s="1384">
        <v>2219</v>
      </c>
      <c r="AF131" s="1384">
        <v>2119</v>
      </c>
      <c r="AG131" s="1385">
        <v>2197</v>
      </c>
      <c r="AH131" s="1393">
        <f t="shared" si="61"/>
        <v>0.26538273216908764</v>
      </c>
      <c r="AI131" s="1394">
        <f t="shared" si="62"/>
        <v>0.25361620057859208</v>
      </c>
      <c r="AJ131" s="1394">
        <f t="shared" si="63"/>
        <v>0.25800682815802306</v>
      </c>
      <c r="AK131" s="1394">
        <f t="shared" si="64"/>
        <v>0.25921562026594852</v>
      </c>
      <c r="AL131" s="1394">
        <f t="shared" si="65"/>
        <v>0.27491582491582489</v>
      </c>
      <c r="AM131" s="1394">
        <f t="shared" si="66"/>
        <v>0.28196941690472188</v>
      </c>
      <c r="AN131" s="1394">
        <f t="shared" si="67"/>
        <v>0.28078565328778821</v>
      </c>
      <c r="AO131" s="1394">
        <f t="shared" si="68"/>
        <v>0.30613975576662145</v>
      </c>
      <c r="AP131" s="1394">
        <f t="shared" si="69"/>
        <v>0.31618257261410787</v>
      </c>
      <c r="AQ131" s="1394">
        <f t="shared" si="70"/>
        <v>0.34643893006767645</v>
      </c>
      <c r="AR131" s="1394">
        <f t="shared" si="71"/>
        <v>0.34771241830065358</v>
      </c>
      <c r="AS131" s="1394">
        <f t="shared" si="72"/>
        <v>0.37218363543960697</v>
      </c>
      <c r="AT131" s="1394">
        <f t="shared" si="73"/>
        <v>0.37925141001538198</v>
      </c>
      <c r="AU131" s="1394">
        <f t="shared" si="74"/>
        <v>0.37677809388335703</v>
      </c>
      <c r="AV131" s="1395">
        <f t="shared" si="75"/>
        <v>0.37574824696425518</v>
      </c>
    </row>
    <row r="132" spans="1:48" s="142" customFormat="1" ht="15.75" customHeight="1">
      <c r="A132" s="284"/>
      <c r="B132" s="236"/>
      <c r="C132" s="285"/>
      <c r="D132" s="152"/>
      <c r="E132" s="151"/>
      <c r="F132" s="152"/>
      <c r="G132" s="286"/>
      <c r="H132" s="152"/>
      <c r="I132" s="151"/>
      <c r="J132" s="152"/>
      <c r="K132" s="151"/>
      <c r="L132" s="287"/>
      <c r="M132" s="287"/>
      <c r="N132" s="287"/>
      <c r="O132" s="287"/>
    </row>
    <row r="133" spans="1:48" ht="18" customHeight="1">
      <c r="A133" s="1899" t="s">
        <v>671</v>
      </c>
      <c r="B133" s="1899"/>
      <c r="C133" s="1899"/>
      <c r="D133" s="1899"/>
      <c r="E133" s="1899"/>
      <c r="F133" s="1899"/>
      <c r="G133" s="1899"/>
    </row>
    <row r="134" spans="1:48" s="185" customFormat="1" ht="12.75">
      <c r="A134" s="185" t="s">
        <v>248</v>
      </c>
    </row>
    <row r="135" spans="1:48" s="185" customFormat="1" ht="12.75">
      <c r="A135" s="192" t="s">
        <v>249</v>
      </c>
      <c r="B135" s="170" t="s">
        <v>250</v>
      </c>
    </row>
  </sheetData>
  <autoFilter ref="A4:C125"/>
  <sortState ref="A6:AV125">
    <sortCondition ref="A6:A125"/>
  </sortState>
  <mergeCells count="5">
    <mergeCell ref="A133:G133"/>
    <mergeCell ref="D3:R3"/>
    <mergeCell ref="S3:AG3"/>
    <mergeCell ref="AH3:AV3"/>
    <mergeCell ref="E2:G2"/>
  </mergeCells>
  <hyperlinks>
    <hyperlink ref="B135" r:id="rId1"/>
  </hyperlink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AV135"/>
  <sheetViews>
    <sheetView workbookViewId="0">
      <pane xSplit="3" ySplit="5" topLeftCell="D6" activePane="bottomRight" state="frozen"/>
      <selection pane="topRight" activeCell="D1" sqref="D1"/>
      <selection pane="bottomLeft" activeCell="A6" sqref="A6"/>
      <selection pane="bottomRight" activeCell="A6" sqref="A6:XFD125"/>
    </sheetView>
  </sheetViews>
  <sheetFormatPr defaultRowHeight="15.75"/>
  <cols>
    <col min="1" max="1" width="7.75" style="134" customWidth="1"/>
    <col min="2" max="2" width="28.625" style="158" customWidth="1"/>
    <col min="3" max="3" width="10" style="158" customWidth="1"/>
    <col min="4" max="4" width="8.25" style="158" customWidth="1"/>
    <col min="5" max="7" width="8.25" style="157" customWidth="1"/>
    <col min="8" max="11" width="8.25" style="134" customWidth="1"/>
    <col min="12" max="15" width="8.25" style="135" customWidth="1"/>
    <col min="16" max="18" width="8.25" style="134" customWidth="1"/>
    <col min="19" max="16384" width="9" style="134"/>
  </cols>
  <sheetData>
    <row r="1" spans="1:48">
      <c r="A1" s="314" t="s">
        <v>945</v>
      </c>
      <c r="B1" s="314"/>
      <c r="C1" s="314"/>
      <c r="D1" s="314"/>
      <c r="E1" s="314"/>
      <c r="F1" s="314"/>
      <c r="G1" s="314"/>
      <c r="H1" s="314"/>
      <c r="I1" s="315"/>
      <c r="J1" s="315"/>
      <c r="K1" s="315"/>
      <c r="L1" s="315"/>
      <c r="M1" s="315"/>
      <c r="N1" s="315"/>
      <c r="O1" s="315"/>
    </row>
    <row r="2" spans="1:48" ht="9.75" customHeight="1">
      <c r="A2" s="96"/>
      <c r="B2" s="136"/>
      <c r="C2" s="136"/>
      <c r="D2" s="136"/>
      <c r="E2" s="1915"/>
      <c r="F2" s="1915"/>
      <c r="G2" s="1915"/>
    </row>
    <row r="3" spans="1:48">
      <c r="A3" s="96"/>
      <c r="B3" s="136"/>
      <c r="C3" s="136"/>
      <c r="D3" s="1912" t="s">
        <v>946</v>
      </c>
      <c r="E3" s="1912"/>
      <c r="F3" s="1912"/>
      <c r="G3" s="1912"/>
      <c r="H3" s="1912"/>
      <c r="I3" s="1912"/>
      <c r="J3" s="1912"/>
      <c r="K3" s="1912"/>
      <c r="L3" s="1912"/>
      <c r="M3" s="1912"/>
      <c r="N3" s="1912"/>
      <c r="O3" s="1912"/>
      <c r="P3" s="1912"/>
      <c r="Q3" s="1912"/>
      <c r="R3" s="1912"/>
      <c r="S3" s="1913" t="s">
        <v>947</v>
      </c>
      <c r="T3" s="1913"/>
      <c r="U3" s="1913"/>
      <c r="V3" s="1913"/>
      <c r="W3" s="1913"/>
      <c r="X3" s="1913"/>
      <c r="Y3" s="1913"/>
      <c r="Z3" s="1913"/>
      <c r="AA3" s="1913"/>
      <c r="AB3" s="1913"/>
      <c r="AC3" s="1913"/>
      <c r="AD3" s="1913"/>
      <c r="AE3" s="1913"/>
      <c r="AF3" s="1913"/>
      <c r="AG3" s="1913"/>
      <c r="AH3" s="1914" t="s">
        <v>948</v>
      </c>
      <c r="AI3" s="1914"/>
      <c r="AJ3" s="1914"/>
      <c r="AK3" s="1914"/>
      <c r="AL3" s="1914"/>
      <c r="AM3" s="1914"/>
      <c r="AN3" s="1914"/>
      <c r="AO3" s="1914"/>
      <c r="AP3" s="1914"/>
      <c r="AQ3" s="1914"/>
      <c r="AR3" s="1914"/>
      <c r="AS3" s="1914"/>
      <c r="AT3" s="1914"/>
      <c r="AU3" s="1914"/>
      <c r="AV3" s="1914"/>
    </row>
    <row r="4" spans="1:48" s="142" customFormat="1" ht="15" customHeight="1">
      <c r="A4" s="1367" t="s">
        <v>4</v>
      </c>
      <c r="B4" s="1366" t="s">
        <v>5</v>
      </c>
      <c r="C4" s="1366" t="s">
        <v>251</v>
      </c>
      <c r="D4" s="1378">
        <v>1998</v>
      </c>
      <c r="E4" s="1379">
        <v>1999</v>
      </c>
      <c r="F4" s="1379">
        <v>2000</v>
      </c>
      <c r="G4" s="1379">
        <v>2001</v>
      </c>
      <c r="H4" s="1379">
        <v>2002</v>
      </c>
      <c r="I4" s="1379">
        <v>2003</v>
      </c>
      <c r="J4" s="1379">
        <v>2004</v>
      </c>
      <c r="K4" s="1379">
        <v>2005</v>
      </c>
      <c r="L4" s="1379">
        <v>2006</v>
      </c>
      <c r="M4" s="1379">
        <v>2007</v>
      </c>
      <c r="N4" s="1379">
        <v>2008</v>
      </c>
      <c r="O4" s="1380">
        <v>2009</v>
      </c>
      <c r="P4" s="1381">
        <v>2010</v>
      </c>
      <c r="Q4" s="1381">
        <v>2011</v>
      </c>
      <c r="R4" s="1382">
        <v>2012</v>
      </c>
      <c r="S4" s="1389">
        <v>1998</v>
      </c>
      <c r="T4" s="1381">
        <v>1999</v>
      </c>
      <c r="U4" s="1381">
        <v>2000</v>
      </c>
      <c r="V4" s="1381">
        <v>2001</v>
      </c>
      <c r="W4" s="1381">
        <v>2002</v>
      </c>
      <c r="X4" s="1381">
        <v>2003</v>
      </c>
      <c r="Y4" s="1381">
        <v>2004</v>
      </c>
      <c r="Z4" s="1381">
        <v>2005</v>
      </c>
      <c r="AA4" s="1381">
        <v>2006</v>
      </c>
      <c r="AB4" s="1381">
        <v>2007</v>
      </c>
      <c r="AC4" s="1381">
        <v>2008</v>
      </c>
      <c r="AD4" s="1381">
        <v>2009</v>
      </c>
      <c r="AE4" s="1381">
        <v>2010</v>
      </c>
      <c r="AF4" s="1381">
        <v>2011</v>
      </c>
      <c r="AG4" s="1382">
        <v>2012</v>
      </c>
      <c r="AH4" s="1389">
        <v>1998</v>
      </c>
      <c r="AI4" s="1381">
        <v>1999</v>
      </c>
      <c r="AJ4" s="1381">
        <v>2000</v>
      </c>
      <c r="AK4" s="1381">
        <v>2001</v>
      </c>
      <c r="AL4" s="1381">
        <v>2002</v>
      </c>
      <c r="AM4" s="1381">
        <v>2003</v>
      </c>
      <c r="AN4" s="1381">
        <v>2004</v>
      </c>
      <c r="AO4" s="1381">
        <v>2005</v>
      </c>
      <c r="AP4" s="1381">
        <v>2006</v>
      </c>
      <c r="AQ4" s="1381">
        <v>2007</v>
      </c>
      <c r="AR4" s="1381">
        <v>2008</v>
      </c>
      <c r="AS4" s="1381">
        <v>2009</v>
      </c>
      <c r="AT4" s="1381">
        <v>2010</v>
      </c>
      <c r="AU4" s="1381">
        <v>2011</v>
      </c>
      <c r="AV4" s="1382">
        <v>2012</v>
      </c>
    </row>
    <row r="5" spans="1:48" s="142" customFormat="1" ht="15.75" customHeight="1">
      <c r="A5" s="146" t="s">
        <v>8</v>
      </c>
      <c r="B5" s="147" t="s">
        <v>9</v>
      </c>
      <c r="C5" s="148"/>
      <c r="D5" s="1369">
        <v>10102</v>
      </c>
      <c r="E5" s="1370">
        <v>10090</v>
      </c>
      <c r="F5" s="1370">
        <v>9803</v>
      </c>
      <c r="G5" s="1370">
        <v>9577</v>
      </c>
      <c r="H5" s="1370">
        <v>9195</v>
      </c>
      <c r="I5" s="1370">
        <v>8941</v>
      </c>
      <c r="J5" s="1370">
        <v>8914</v>
      </c>
      <c r="K5" s="1370">
        <v>8905</v>
      </c>
      <c r="L5" s="1371">
        <v>9196</v>
      </c>
      <c r="M5" s="1371">
        <v>9306</v>
      </c>
      <c r="N5" s="1371">
        <v>8902</v>
      </c>
      <c r="O5" s="1371">
        <v>8284</v>
      </c>
      <c r="P5" s="1372">
        <v>7444</v>
      </c>
      <c r="Q5" s="1372">
        <v>6572</v>
      </c>
      <c r="R5" s="1373">
        <v>6134</v>
      </c>
      <c r="S5" s="1386">
        <v>459326</v>
      </c>
      <c r="T5" s="1387">
        <v>465568</v>
      </c>
      <c r="U5" s="1387">
        <v>478240</v>
      </c>
      <c r="V5" s="1387">
        <v>486425</v>
      </c>
      <c r="W5" s="1387">
        <v>492384</v>
      </c>
      <c r="X5" s="1387">
        <v>499398</v>
      </c>
      <c r="Y5" s="1387">
        <v>503412</v>
      </c>
      <c r="Z5" s="1387">
        <v>506205</v>
      </c>
      <c r="AA5" s="1387">
        <v>502344</v>
      </c>
      <c r="AB5" s="1387">
        <v>505848</v>
      </c>
      <c r="AC5" s="1387">
        <v>503210</v>
      </c>
      <c r="AD5" s="1387">
        <v>505976</v>
      </c>
      <c r="AE5" s="1387">
        <v>519085</v>
      </c>
      <c r="AF5" s="1387">
        <v>517392</v>
      </c>
      <c r="AG5" s="1388">
        <v>517793</v>
      </c>
      <c r="AH5" s="1423">
        <f t="shared" ref="AH5:AH36" si="0">IF(D5=0,"0",(D5/S5)*1000)</f>
        <v>21.993094229370861</v>
      </c>
      <c r="AI5" s="1424">
        <f t="shared" ref="AI5:AV5" si="1">IF(E5=0,"0",(E5/T5)*1000)</f>
        <v>21.672451714894493</v>
      </c>
      <c r="AJ5" s="1424">
        <f t="shared" si="1"/>
        <v>20.498076279692203</v>
      </c>
      <c r="AK5" s="1424">
        <f t="shared" si="1"/>
        <v>19.688543968751606</v>
      </c>
      <c r="AL5" s="1424">
        <f t="shared" si="1"/>
        <v>18.674449210372391</v>
      </c>
      <c r="AM5" s="1424">
        <f t="shared" si="1"/>
        <v>17.903555881281065</v>
      </c>
      <c r="AN5" s="1424">
        <f t="shared" si="1"/>
        <v>17.707166297187989</v>
      </c>
      <c r="AO5" s="1424">
        <f t="shared" si="1"/>
        <v>17.591687162315662</v>
      </c>
      <c r="AP5" s="1424">
        <f t="shared" si="1"/>
        <v>18.306180625228926</v>
      </c>
      <c r="AQ5" s="1424">
        <f t="shared" si="1"/>
        <v>18.39683066850121</v>
      </c>
      <c r="AR5" s="1424">
        <f t="shared" si="1"/>
        <v>17.690427455734188</v>
      </c>
      <c r="AS5" s="1424">
        <f t="shared" si="1"/>
        <v>16.372318054611284</v>
      </c>
      <c r="AT5" s="1424">
        <f t="shared" si="1"/>
        <v>14.340618588477803</v>
      </c>
      <c r="AU5" s="1424">
        <f t="shared" si="1"/>
        <v>12.702167795404645</v>
      </c>
      <c r="AV5" s="1425">
        <f t="shared" si="1"/>
        <v>11.846432840922917</v>
      </c>
    </row>
    <row r="6" spans="1:48" s="142" customFormat="1" ht="15.75" customHeight="1">
      <c r="A6" s="149" t="s">
        <v>10</v>
      </c>
      <c r="B6" s="188" t="s">
        <v>11</v>
      </c>
      <c r="C6" s="150" t="s">
        <v>264</v>
      </c>
      <c r="D6" s="1359">
        <v>67</v>
      </c>
      <c r="E6" s="1360">
        <v>81</v>
      </c>
      <c r="F6" s="1361">
        <v>86</v>
      </c>
      <c r="G6" s="1360">
        <v>60</v>
      </c>
      <c r="H6" s="1361">
        <v>85</v>
      </c>
      <c r="I6" s="1360">
        <v>87</v>
      </c>
      <c r="J6" s="1361">
        <v>74</v>
      </c>
      <c r="K6" s="1360">
        <v>86</v>
      </c>
      <c r="L6" s="1374">
        <v>79</v>
      </c>
      <c r="M6" s="1374">
        <v>89</v>
      </c>
      <c r="N6" s="1374">
        <v>76</v>
      </c>
      <c r="O6" s="1374">
        <v>49</v>
      </c>
      <c r="P6" s="1375">
        <v>53</v>
      </c>
      <c r="Q6" s="1375">
        <v>43</v>
      </c>
      <c r="R6" s="1376">
        <v>32</v>
      </c>
      <c r="S6" s="1383">
        <v>2001</v>
      </c>
      <c r="T6" s="1384">
        <v>1999</v>
      </c>
      <c r="U6" s="1384">
        <v>2471</v>
      </c>
      <c r="V6" s="1384">
        <v>2535</v>
      </c>
      <c r="W6" s="1384">
        <v>2552</v>
      </c>
      <c r="X6" s="1384">
        <v>2605</v>
      </c>
      <c r="Y6" s="1384">
        <v>2554</v>
      </c>
      <c r="Z6" s="1384">
        <v>2515</v>
      </c>
      <c r="AA6" s="1384">
        <v>2448</v>
      </c>
      <c r="AB6" s="1384">
        <v>2363</v>
      </c>
      <c r="AC6" s="1384">
        <v>2319</v>
      </c>
      <c r="AD6" s="1384">
        <v>2273</v>
      </c>
      <c r="AE6" s="1384">
        <v>1817</v>
      </c>
      <c r="AF6" s="1384">
        <v>1793</v>
      </c>
      <c r="AG6" s="1385">
        <v>1757</v>
      </c>
      <c r="AH6" s="1426">
        <f t="shared" si="0"/>
        <v>33.483258370814596</v>
      </c>
      <c r="AI6" s="1427">
        <f t="shared" ref="AI6:AI37" si="2">IF(E6=0,"0",(E6/T6)*1000)</f>
        <v>40.520260130065033</v>
      </c>
      <c r="AJ6" s="1427">
        <f t="shared" ref="AJ6:AJ37" si="3">IF(F6=0,"0",(F6/U6)*1000)</f>
        <v>34.803723188992308</v>
      </c>
      <c r="AK6" s="1427">
        <f t="shared" ref="AK6:AK37" si="4">IF(G6=0,"0",(G6/V6)*1000)</f>
        <v>23.668639053254438</v>
      </c>
      <c r="AL6" s="1427">
        <f t="shared" ref="AL6:AL37" si="5">IF(H6=0,"0",(H6/W6)*1000)</f>
        <v>33.307210031347964</v>
      </c>
      <c r="AM6" s="1427">
        <f t="shared" ref="AM6:AM37" si="6">IF(I6=0,"0",(I6/X6)*1000)</f>
        <v>33.397312859884835</v>
      </c>
      <c r="AN6" s="1427">
        <f t="shared" ref="AN6:AN37" si="7">IF(J6=0,"0",(J6/Y6)*1000)</f>
        <v>28.974158183241972</v>
      </c>
      <c r="AO6" s="1427">
        <f t="shared" ref="AO6:AO37" si="8">IF(K6=0,"0",(K6/Z6)*1000)</f>
        <v>34.194831013916499</v>
      </c>
      <c r="AP6" s="1427">
        <f t="shared" ref="AP6:AP37" si="9">IF(L6=0,"0",(L6/AA6)*1000)</f>
        <v>32.271241830065364</v>
      </c>
      <c r="AQ6" s="1427">
        <f t="shared" ref="AQ6:AQ37" si="10">IF(M6=0,"0",(M6/AB6)*1000)</f>
        <v>37.663986457892513</v>
      </c>
      <c r="AR6" s="1427">
        <f t="shared" ref="AR6:AR37" si="11">IF(N6=0,"0",(N6/AC6)*1000)</f>
        <v>32.77274687365243</v>
      </c>
      <c r="AS6" s="1427">
        <f t="shared" ref="AS6:AS37" si="12">IF(O6=0,"0",(O6/AD6)*1000)</f>
        <v>21.557413110426747</v>
      </c>
      <c r="AT6" s="1427">
        <f t="shared" ref="AT6:AT37" si="13">IF(P6=0,"0",(P6/AE6)*1000)</f>
        <v>29.168959823885526</v>
      </c>
      <c r="AU6" s="1427">
        <f t="shared" ref="AU6:AU37" si="14">IF(Q6=0,"0",(Q6/AF6)*1000)</f>
        <v>23.982152816508645</v>
      </c>
      <c r="AV6" s="1428">
        <f t="shared" ref="AV6:AV37" si="15">IF(R6=0,"0",(R6/AG6)*1000)</f>
        <v>18.212862834376779</v>
      </c>
    </row>
    <row r="7" spans="1:48" s="142" customFormat="1" ht="15.75" customHeight="1">
      <c r="A7" s="149" t="s">
        <v>12</v>
      </c>
      <c r="B7" s="189" t="s">
        <v>13</v>
      </c>
      <c r="C7" s="150" t="s">
        <v>265</v>
      </c>
      <c r="D7" s="1359">
        <v>77</v>
      </c>
      <c r="E7" s="1360">
        <v>79</v>
      </c>
      <c r="F7" s="1361">
        <v>66</v>
      </c>
      <c r="G7" s="1360">
        <v>65</v>
      </c>
      <c r="H7" s="1361">
        <v>61</v>
      </c>
      <c r="I7" s="1360">
        <v>62</v>
      </c>
      <c r="J7" s="1361">
        <v>50</v>
      </c>
      <c r="K7" s="1360">
        <v>60</v>
      </c>
      <c r="L7" s="1374">
        <v>72</v>
      </c>
      <c r="M7" s="1374">
        <v>72</v>
      </c>
      <c r="N7" s="1374">
        <v>70</v>
      </c>
      <c r="O7" s="1374">
        <v>52</v>
      </c>
      <c r="P7" s="1375">
        <v>56</v>
      </c>
      <c r="Q7" s="1375">
        <v>38</v>
      </c>
      <c r="R7" s="1376">
        <v>40</v>
      </c>
      <c r="S7" s="1383">
        <v>6219</v>
      </c>
      <c r="T7" s="1384">
        <v>6381</v>
      </c>
      <c r="U7" s="1384">
        <v>5216</v>
      </c>
      <c r="V7" s="1384">
        <v>5412</v>
      </c>
      <c r="W7" s="1384">
        <v>5524</v>
      </c>
      <c r="X7" s="1384">
        <v>7381</v>
      </c>
      <c r="Y7" s="1384">
        <v>7374</v>
      </c>
      <c r="Z7" s="1384">
        <v>7398</v>
      </c>
      <c r="AA7" s="1384">
        <v>7290</v>
      </c>
      <c r="AB7" s="1384">
        <v>7247</v>
      </c>
      <c r="AC7" s="1384">
        <v>7138</v>
      </c>
      <c r="AD7" s="1384">
        <v>7239</v>
      </c>
      <c r="AE7" s="1384">
        <v>7598</v>
      </c>
      <c r="AF7" s="1384">
        <v>7757</v>
      </c>
      <c r="AG7" s="1385">
        <v>7849</v>
      </c>
      <c r="AH7" s="1426">
        <f t="shared" si="0"/>
        <v>12.381411802540601</v>
      </c>
      <c r="AI7" s="1427">
        <f t="shared" si="2"/>
        <v>12.380504623099828</v>
      </c>
      <c r="AJ7" s="1427">
        <f t="shared" si="3"/>
        <v>12.653374233128835</v>
      </c>
      <c r="AK7" s="1427">
        <f t="shared" si="4"/>
        <v>12.010347376201034</v>
      </c>
      <c r="AL7" s="1427">
        <f t="shared" si="5"/>
        <v>11.042722664735699</v>
      </c>
      <c r="AM7" s="1427">
        <f t="shared" si="6"/>
        <v>8.3999458068012469</v>
      </c>
      <c r="AN7" s="1427">
        <f t="shared" si="7"/>
        <v>6.7805804176837539</v>
      </c>
      <c r="AO7" s="1427">
        <f t="shared" si="8"/>
        <v>8.1103000811030004</v>
      </c>
      <c r="AP7" s="1427">
        <f t="shared" si="9"/>
        <v>9.8765432098765427</v>
      </c>
      <c r="AQ7" s="1427">
        <f t="shared" si="10"/>
        <v>9.9351455774803377</v>
      </c>
      <c r="AR7" s="1427">
        <f t="shared" si="11"/>
        <v>9.8066685346035314</v>
      </c>
      <c r="AS7" s="1427">
        <f t="shared" si="12"/>
        <v>7.1833126122392592</v>
      </c>
      <c r="AT7" s="1427">
        <f t="shared" si="13"/>
        <v>7.3703606212161095</v>
      </c>
      <c r="AU7" s="1427">
        <f t="shared" si="14"/>
        <v>4.898801082892871</v>
      </c>
      <c r="AV7" s="1428">
        <f t="shared" si="15"/>
        <v>5.0961905975283477</v>
      </c>
    </row>
    <row r="8" spans="1:48" s="142" customFormat="1" ht="15.75" customHeight="1">
      <c r="A8" s="149" t="s">
        <v>16</v>
      </c>
      <c r="B8" s="189" t="s">
        <v>297</v>
      </c>
      <c r="C8" s="150" t="s">
        <v>265</v>
      </c>
      <c r="D8" s="1359">
        <v>37</v>
      </c>
      <c r="E8" s="1360">
        <v>40</v>
      </c>
      <c r="F8" s="1361">
        <v>30</v>
      </c>
      <c r="G8" s="1360">
        <v>24</v>
      </c>
      <c r="H8" s="1361">
        <v>21</v>
      </c>
      <c r="I8" s="1360">
        <v>21</v>
      </c>
      <c r="J8" s="1361">
        <v>33</v>
      </c>
      <c r="K8" s="1360">
        <v>22</v>
      </c>
      <c r="L8" s="1374">
        <v>35</v>
      </c>
      <c r="M8" s="1374">
        <v>31</v>
      </c>
      <c r="N8" s="1374">
        <v>36</v>
      </c>
      <c r="O8" s="1374">
        <v>20</v>
      </c>
      <c r="P8" s="1375">
        <v>22</v>
      </c>
      <c r="Q8" s="1375">
        <v>24</v>
      </c>
      <c r="R8" s="1376">
        <v>23</v>
      </c>
      <c r="S8" s="1383">
        <v>1395</v>
      </c>
      <c r="T8" s="1384">
        <v>1375</v>
      </c>
      <c r="U8" s="1384">
        <v>1332</v>
      </c>
      <c r="V8" s="1384">
        <v>1321</v>
      </c>
      <c r="W8" s="1384">
        <v>1302</v>
      </c>
      <c r="X8" s="1384">
        <v>1311</v>
      </c>
      <c r="Y8" s="1384">
        <v>1326</v>
      </c>
      <c r="Z8" s="1384">
        <v>1339</v>
      </c>
      <c r="AA8" s="1384">
        <v>1323</v>
      </c>
      <c r="AB8" s="1384">
        <v>1326</v>
      </c>
      <c r="AC8" s="1384">
        <v>1304</v>
      </c>
      <c r="AD8" s="1384">
        <v>1311</v>
      </c>
      <c r="AE8" s="1384">
        <v>1340</v>
      </c>
      <c r="AF8" s="1384">
        <v>1316</v>
      </c>
      <c r="AG8" s="1385">
        <v>1324</v>
      </c>
      <c r="AH8" s="1429">
        <f t="shared" si="0"/>
        <v>26.523297491039425</v>
      </c>
      <c r="AI8" s="1430">
        <f t="shared" si="2"/>
        <v>29.09090909090909</v>
      </c>
      <c r="AJ8" s="1430">
        <f t="shared" si="3"/>
        <v>22.522522522522522</v>
      </c>
      <c r="AK8" s="1430">
        <f t="shared" si="4"/>
        <v>18.168054504163514</v>
      </c>
      <c r="AL8" s="1430">
        <f t="shared" si="5"/>
        <v>16.129032258064516</v>
      </c>
      <c r="AM8" s="1430">
        <f t="shared" si="6"/>
        <v>16.018306636155607</v>
      </c>
      <c r="AN8" s="1430">
        <f t="shared" si="7"/>
        <v>24.886877828054295</v>
      </c>
      <c r="AO8" s="1430">
        <f t="shared" si="8"/>
        <v>16.430171769977594</v>
      </c>
      <c r="AP8" s="1430">
        <f t="shared" si="9"/>
        <v>26.455026455026452</v>
      </c>
      <c r="AQ8" s="1430">
        <f t="shared" si="10"/>
        <v>23.378582202111613</v>
      </c>
      <c r="AR8" s="1430">
        <f t="shared" si="11"/>
        <v>27.607361963190183</v>
      </c>
      <c r="AS8" s="1430">
        <f t="shared" si="12"/>
        <v>15.255530129672005</v>
      </c>
      <c r="AT8" s="1430">
        <f t="shared" si="13"/>
        <v>16.417910447761194</v>
      </c>
      <c r="AU8" s="1430">
        <f t="shared" si="14"/>
        <v>18.237082066869299</v>
      </c>
      <c r="AV8" s="1431">
        <f t="shared" si="15"/>
        <v>17.371601208459214</v>
      </c>
    </row>
    <row r="9" spans="1:48" s="142" customFormat="1" ht="15.75" customHeight="1">
      <c r="A9" s="149" t="s">
        <v>18</v>
      </c>
      <c r="B9" s="189" t="s">
        <v>19</v>
      </c>
      <c r="C9" s="150" t="s">
        <v>266</v>
      </c>
      <c r="D9" s="1359">
        <v>18</v>
      </c>
      <c r="E9" s="1360">
        <v>12</v>
      </c>
      <c r="F9" s="1361">
        <v>24</v>
      </c>
      <c r="G9" s="1360">
        <v>21</v>
      </c>
      <c r="H9" s="1361">
        <v>15</v>
      </c>
      <c r="I9" s="1360">
        <v>15</v>
      </c>
      <c r="J9" s="1361">
        <v>19</v>
      </c>
      <c r="K9" s="1360">
        <v>18</v>
      </c>
      <c r="L9" s="1374">
        <v>16</v>
      </c>
      <c r="M9" s="1374">
        <v>21</v>
      </c>
      <c r="N9" s="1374">
        <v>16</v>
      </c>
      <c r="O9" s="1374">
        <v>20</v>
      </c>
      <c r="P9" s="1375">
        <v>15</v>
      </c>
      <c r="Q9" s="1375">
        <v>6</v>
      </c>
      <c r="R9" s="1376">
        <v>14</v>
      </c>
      <c r="S9" s="1383">
        <v>617</v>
      </c>
      <c r="T9" s="1384">
        <v>616</v>
      </c>
      <c r="U9" s="1384">
        <v>772</v>
      </c>
      <c r="V9" s="1384">
        <v>790</v>
      </c>
      <c r="W9" s="1384">
        <v>790</v>
      </c>
      <c r="X9" s="1384">
        <v>770</v>
      </c>
      <c r="Y9" s="1384">
        <v>776</v>
      </c>
      <c r="Z9" s="1384">
        <v>762</v>
      </c>
      <c r="AA9" s="1384">
        <v>772</v>
      </c>
      <c r="AB9" s="1384">
        <v>752</v>
      </c>
      <c r="AC9" s="1384">
        <v>750</v>
      </c>
      <c r="AD9" s="1384">
        <v>807</v>
      </c>
      <c r="AE9" s="1384">
        <v>771</v>
      </c>
      <c r="AF9" s="1384">
        <v>762</v>
      </c>
      <c r="AG9" s="1385">
        <v>754</v>
      </c>
      <c r="AH9" s="1429">
        <f t="shared" si="0"/>
        <v>29.173419773095624</v>
      </c>
      <c r="AI9" s="1430">
        <f t="shared" si="2"/>
        <v>19.480519480519479</v>
      </c>
      <c r="AJ9" s="1430">
        <f t="shared" si="3"/>
        <v>31.088082901554404</v>
      </c>
      <c r="AK9" s="1430">
        <f t="shared" si="4"/>
        <v>26.582278481012658</v>
      </c>
      <c r="AL9" s="1430">
        <f t="shared" si="5"/>
        <v>18.9873417721519</v>
      </c>
      <c r="AM9" s="1430">
        <f t="shared" si="6"/>
        <v>19.480519480519479</v>
      </c>
      <c r="AN9" s="1430">
        <f t="shared" si="7"/>
        <v>24.484536082474225</v>
      </c>
      <c r="AO9" s="1430">
        <f t="shared" si="8"/>
        <v>23.622047244094489</v>
      </c>
      <c r="AP9" s="1430">
        <f t="shared" si="9"/>
        <v>20.725388601036268</v>
      </c>
      <c r="AQ9" s="1430">
        <f t="shared" si="10"/>
        <v>27.925531914893615</v>
      </c>
      <c r="AR9" s="1430">
        <f t="shared" si="11"/>
        <v>21.333333333333332</v>
      </c>
      <c r="AS9" s="1430">
        <f t="shared" si="12"/>
        <v>24.783147459727388</v>
      </c>
      <c r="AT9" s="1430">
        <f t="shared" si="13"/>
        <v>19.45525291828794</v>
      </c>
      <c r="AU9" s="1430">
        <f t="shared" si="14"/>
        <v>7.8740157480314963</v>
      </c>
      <c r="AV9" s="1431">
        <f t="shared" si="15"/>
        <v>18.567639257294431</v>
      </c>
    </row>
    <row r="10" spans="1:48" s="142" customFormat="1" ht="15.75" customHeight="1">
      <c r="A10" s="149" t="s">
        <v>20</v>
      </c>
      <c r="B10" s="189" t="s">
        <v>21</v>
      </c>
      <c r="C10" s="150" t="s">
        <v>265</v>
      </c>
      <c r="D10" s="1359">
        <v>36</v>
      </c>
      <c r="E10" s="1360">
        <v>43</v>
      </c>
      <c r="F10" s="1361">
        <v>46</v>
      </c>
      <c r="G10" s="1360">
        <v>39</v>
      </c>
      <c r="H10" s="1361">
        <v>41</v>
      </c>
      <c r="I10" s="1360">
        <v>39</v>
      </c>
      <c r="J10" s="1361">
        <v>42</v>
      </c>
      <c r="K10" s="1360">
        <v>35</v>
      </c>
      <c r="L10" s="1374">
        <v>35</v>
      </c>
      <c r="M10" s="1374">
        <v>40</v>
      </c>
      <c r="N10" s="1374">
        <v>51</v>
      </c>
      <c r="O10" s="1374">
        <v>46</v>
      </c>
      <c r="P10" s="1375">
        <v>45</v>
      </c>
      <c r="Q10" s="1375">
        <v>30</v>
      </c>
      <c r="R10" s="1376">
        <v>35</v>
      </c>
      <c r="S10" s="1383">
        <v>2061</v>
      </c>
      <c r="T10" s="1384">
        <v>2058</v>
      </c>
      <c r="U10" s="1384">
        <v>2437</v>
      </c>
      <c r="V10" s="1384">
        <v>2446</v>
      </c>
      <c r="W10" s="1384">
        <v>2438</v>
      </c>
      <c r="X10" s="1384">
        <v>2410</v>
      </c>
      <c r="Y10" s="1384">
        <v>2436</v>
      </c>
      <c r="Z10" s="1384">
        <v>2404</v>
      </c>
      <c r="AA10" s="1384">
        <v>2362</v>
      </c>
      <c r="AB10" s="1384">
        <v>2395</v>
      </c>
      <c r="AC10" s="1384">
        <v>2394</v>
      </c>
      <c r="AD10" s="1384">
        <v>2420</v>
      </c>
      <c r="AE10" s="1384">
        <v>2249</v>
      </c>
      <c r="AF10" s="1384">
        <v>2188</v>
      </c>
      <c r="AG10" s="1385">
        <v>2114</v>
      </c>
      <c r="AH10" s="1429">
        <f t="shared" si="0"/>
        <v>17.467248908296941</v>
      </c>
      <c r="AI10" s="1430">
        <f t="shared" si="2"/>
        <v>20.894071914480079</v>
      </c>
      <c r="AJ10" s="1430">
        <f t="shared" si="3"/>
        <v>18.875666803446862</v>
      </c>
      <c r="AK10" s="1430">
        <f t="shared" si="4"/>
        <v>15.944399018806214</v>
      </c>
      <c r="AL10" s="1430">
        <f t="shared" si="5"/>
        <v>16.817063166529941</v>
      </c>
      <c r="AM10" s="1430">
        <f t="shared" si="6"/>
        <v>16.182572614107887</v>
      </c>
      <c r="AN10" s="1430">
        <f t="shared" si="7"/>
        <v>17.241379310344826</v>
      </c>
      <c r="AO10" s="1430">
        <f t="shared" si="8"/>
        <v>14.559068219633943</v>
      </c>
      <c r="AP10" s="1430">
        <f t="shared" si="9"/>
        <v>14.817950889077053</v>
      </c>
      <c r="AQ10" s="1430">
        <f t="shared" si="10"/>
        <v>16.701461377870562</v>
      </c>
      <c r="AR10" s="1430">
        <f t="shared" si="11"/>
        <v>21.303258145363408</v>
      </c>
      <c r="AS10" s="1430">
        <f t="shared" si="12"/>
        <v>19.008264462809915</v>
      </c>
      <c r="AT10" s="1430">
        <f t="shared" si="13"/>
        <v>20.008892841262782</v>
      </c>
      <c r="AU10" s="1430">
        <f t="shared" si="14"/>
        <v>13.711151736745887</v>
      </c>
      <c r="AV10" s="1431">
        <f t="shared" si="15"/>
        <v>16.556291390728479</v>
      </c>
    </row>
    <row r="11" spans="1:48" s="142" customFormat="1" ht="15.75" customHeight="1">
      <c r="A11" s="149" t="s">
        <v>22</v>
      </c>
      <c r="B11" s="189" t="s">
        <v>23</v>
      </c>
      <c r="C11" s="150" t="s">
        <v>265</v>
      </c>
      <c r="D11" s="1359">
        <v>19</v>
      </c>
      <c r="E11" s="1360">
        <v>23</v>
      </c>
      <c r="F11" s="1361">
        <v>21</v>
      </c>
      <c r="G11" s="1360">
        <v>20</v>
      </c>
      <c r="H11" s="1361">
        <v>21</v>
      </c>
      <c r="I11" s="1360">
        <v>23</v>
      </c>
      <c r="J11" s="1361">
        <v>22</v>
      </c>
      <c r="K11" s="1360">
        <v>20</v>
      </c>
      <c r="L11" s="1374">
        <v>21</v>
      </c>
      <c r="M11" s="1374">
        <v>17</v>
      </c>
      <c r="N11" s="1374">
        <v>20</v>
      </c>
      <c r="O11" s="1374">
        <v>15</v>
      </c>
      <c r="P11" s="1375">
        <v>19</v>
      </c>
      <c r="Q11" s="1375">
        <v>17</v>
      </c>
      <c r="R11" s="1376">
        <v>16</v>
      </c>
      <c r="S11" s="1383">
        <v>853</v>
      </c>
      <c r="T11" s="1384">
        <v>848</v>
      </c>
      <c r="U11" s="1384">
        <v>907</v>
      </c>
      <c r="V11" s="1384">
        <v>924</v>
      </c>
      <c r="W11" s="1384">
        <v>912</v>
      </c>
      <c r="X11" s="1384">
        <v>900</v>
      </c>
      <c r="Y11" s="1384">
        <v>894</v>
      </c>
      <c r="Z11" s="1384">
        <v>894</v>
      </c>
      <c r="AA11" s="1384">
        <v>873</v>
      </c>
      <c r="AB11" s="1384">
        <v>856</v>
      </c>
      <c r="AC11" s="1384">
        <v>861</v>
      </c>
      <c r="AD11" s="1384">
        <v>875</v>
      </c>
      <c r="AE11" s="1384">
        <v>902</v>
      </c>
      <c r="AF11" s="1384">
        <v>905</v>
      </c>
      <c r="AG11" s="1385">
        <v>907</v>
      </c>
      <c r="AH11" s="1429">
        <f t="shared" si="0"/>
        <v>22.274325908558033</v>
      </c>
      <c r="AI11" s="1430">
        <f t="shared" si="2"/>
        <v>27.122641509433961</v>
      </c>
      <c r="AJ11" s="1430">
        <f t="shared" si="3"/>
        <v>23.153252480705625</v>
      </c>
      <c r="AK11" s="1430">
        <f t="shared" si="4"/>
        <v>21.645021645021643</v>
      </c>
      <c r="AL11" s="1430">
        <f t="shared" si="5"/>
        <v>23.026315789473681</v>
      </c>
      <c r="AM11" s="1430">
        <f t="shared" si="6"/>
        <v>25.555555555555557</v>
      </c>
      <c r="AN11" s="1430">
        <f t="shared" si="7"/>
        <v>24.608501118568235</v>
      </c>
      <c r="AO11" s="1430">
        <f t="shared" si="8"/>
        <v>22.371364653243848</v>
      </c>
      <c r="AP11" s="1430">
        <f t="shared" si="9"/>
        <v>24.054982817869416</v>
      </c>
      <c r="AQ11" s="1430">
        <f t="shared" si="10"/>
        <v>19.859813084112147</v>
      </c>
      <c r="AR11" s="1430">
        <f t="shared" si="11"/>
        <v>23.228803716608596</v>
      </c>
      <c r="AS11" s="1430">
        <f t="shared" si="12"/>
        <v>17.142857142857142</v>
      </c>
      <c r="AT11" s="1430">
        <f t="shared" si="13"/>
        <v>21.064301552106432</v>
      </c>
      <c r="AU11" s="1430">
        <f t="shared" si="14"/>
        <v>18.784530386740332</v>
      </c>
      <c r="AV11" s="1431">
        <f t="shared" si="15"/>
        <v>17.640573318632857</v>
      </c>
    </row>
    <row r="12" spans="1:48" s="142" customFormat="1" ht="15.75" customHeight="1">
      <c r="A12" s="149" t="s">
        <v>24</v>
      </c>
      <c r="B12" s="189" t="s">
        <v>25</v>
      </c>
      <c r="C12" s="150" t="s">
        <v>267</v>
      </c>
      <c r="D12" s="1359">
        <v>156</v>
      </c>
      <c r="E12" s="1360">
        <v>138</v>
      </c>
      <c r="F12" s="1361">
        <v>130</v>
      </c>
      <c r="G12" s="1360">
        <v>127</v>
      </c>
      <c r="H12" s="1361">
        <v>103</v>
      </c>
      <c r="I12" s="1360">
        <v>91</v>
      </c>
      <c r="J12" s="1361">
        <v>111</v>
      </c>
      <c r="K12" s="1360">
        <v>76</v>
      </c>
      <c r="L12" s="1374">
        <v>89</v>
      </c>
      <c r="M12" s="1374">
        <v>80</v>
      </c>
      <c r="N12" s="1374">
        <v>93</v>
      </c>
      <c r="O12" s="1374">
        <v>65</v>
      </c>
      <c r="P12" s="1375">
        <v>63</v>
      </c>
      <c r="Q12" s="1375">
        <v>53</v>
      </c>
      <c r="R12" s="1376">
        <v>54</v>
      </c>
      <c r="S12" s="1383">
        <v>7605</v>
      </c>
      <c r="T12" s="1384">
        <v>7799</v>
      </c>
      <c r="U12" s="1384">
        <v>7262</v>
      </c>
      <c r="V12" s="1384">
        <v>7188</v>
      </c>
      <c r="W12" s="1384">
        <v>7052</v>
      </c>
      <c r="X12" s="1384">
        <v>6856</v>
      </c>
      <c r="Y12" s="1384">
        <v>7103</v>
      </c>
      <c r="Z12" s="1384">
        <v>7207</v>
      </c>
      <c r="AA12" s="1384">
        <v>7185</v>
      </c>
      <c r="AB12" s="1384">
        <v>8003</v>
      </c>
      <c r="AC12" s="1384">
        <v>8243</v>
      </c>
      <c r="AD12" s="1384">
        <v>7024</v>
      </c>
      <c r="AE12" s="1384">
        <v>6996</v>
      </c>
      <c r="AF12" s="1384">
        <v>7434</v>
      </c>
      <c r="AG12" s="1385">
        <v>7787</v>
      </c>
      <c r="AH12" s="1429">
        <f t="shared" si="0"/>
        <v>20.512820512820515</v>
      </c>
      <c r="AI12" s="1430">
        <f t="shared" si="2"/>
        <v>17.694576227721502</v>
      </c>
      <c r="AJ12" s="1430">
        <f t="shared" si="3"/>
        <v>17.901404571743321</v>
      </c>
      <c r="AK12" s="1430">
        <f t="shared" si="4"/>
        <v>17.66833611574847</v>
      </c>
      <c r="AL12" s="1430">
        <f t="shared" si="5"/>
        <v>14.605785592739648</v>
      </c>
      <c r="AM12" s="1430">
        <f t="shared" si="6"/>
        <v>13.273045507584598</v>
      </c>
      <c r="AN12" s="1430">
        <f t="shared" si="7"/>
        <v>15.627199774743065</v>
      </c>
      <c r="AO12" s="1430">
        <f t="shared" si="8"/>
        <v>10.545303177466351</v>
      </c>
      <c r="AP12" s="1430">
        <f t="shared" si="9"/>
        <v>12.386917188587335</v>
      </c>
      <c r="AQ12" s="1430">
        <f t="shared" si="10"/>
        <v>9.9962514057228535</v>
      </c>
      <c r="AR12" s="1430">
        <f t="shared" si="11"/>
        <v>11.282300133446562</v>
      </c>
      <c r="AS12" s="1430">
        <f t="shared" si="12"/>
        <v>9.2539863325740317</v>
      </c>
      <c r="AT12" s="1430">
        <f t="shared" si="13"/>
        <v>9.0051457975986278</v>
      </c>
      <c r="AU12" s="1430">
        <f t="shared" si="14"/>
        <v>7.12940543449018</v>
      </c>
      <c r="AV12" s="1431">
        <f t="shared" si="15"/>
        <v>6.9346346474894052</v>
      </c>
    </row>
    <row r="13" spans="1:48" s="142" customFormat="1" ht="15.75" customHeight="1">
      <c r="A13" s="149" t="s">
        <v>26</v>
      </c>
      <c r="B13" s="189" t="s">
        <v>298</v>
      </c>
      <c r="C13" s="150" t="s">
        <v>265</v>
      </c>
      <c r="D13" s="1359">
        <v>146</v>
      </c>
      <c r="E13" s="1360">
        <v>154</v>
      </c>
      <c r="F13" s="1361">
        <v>155</v>
      </c>
      <c r="G13" s="1360">
        <v>147</v>
      </c>
      <c r="H13" s="1361">
        <v>159</v>
      </c>
      <c r="I13" s="1360">
        <v>164</v>
      </c>
      <c r="J13" s="1361">
        <v>162</v>
      </c>
      <c r="K13" s="1360">
        <v>153</v>
      </c>
      <c r="L13" s="1374">
        <v>139</v>
      </c>
      <c r="M13" s="1374">
        <v>162</v>
      </c>
      <c r="N13" s="1374">
        <v>161</v>
      </c>
      <c r="O13" s="1374">
        <v>146</v>
      </c>
      <c r="P13" s="1375">
        <v>131</v>
      </c>
      <c r="Q13" s="1375">
        <v>113</v>
      </c>
      <c r="R13" s="1376">
        <v>104</v>
      </c>
      <c r="S13" s="1383">
        <v>6768</v>
      </c>
      <c r="T13" s="1384">
        <v>6812</v>
      </c>
      <c r="U13" s="1384">
        <v>7100</v>
      </c>
      <c r="V13" s="1384">
        <v>7139</v>
      </c>
      <c r="W13" s="1384">
        <v>7238</v>
      </c>
      <c r="X13" s="1384">
        <v>7351</v>
      </c>
      <c r="Y13" s="1384">
        <v>7420</v>
      </c>
      <c r="Z13" s="1384">
        <v>7292</v>
      </c>
      <c r="AA13" s="1384">
        <v>7099</v>
      </c>
      <c r="AB13" s="1384">
        <v>7050</v>
      </c>
      <c r="AC13" s="1384">
        <v>6992</v>
      </c>
      <c r="AD13" s="1384">
        <v>7223</v>
      </c>
      <c r="AE13" s="1384">
        <v>7305</v>
      </c>
      <c r="AF13" s="1384">
        <v>7164</v>
      </c>
      <c r="AG13" s="1385">
        <v>7006</v>
      </c>
      <c r="AH13" s="1429">
        <f t="shared" si="0"/>
        <v>21.57210401891253</v>
      </c>
      <c r="AI13" s="1430">
        <f t="shared" si="2"/>
        <v>22.607163828537875</v>
      </c>
      <c r="AJ13" s="1430">
        <f t="shared" si="3"/>
        <v>21.830985915492956</v>
      </c>
      <c r="AK13" s="1430">
        <f t="shared" si="4"/>
        <v>20.591119204370358</v>
      </c>
      <c r="AL13" s="1430">
        <f t="shared" si="5"/>
        <v>21.967394307819841</v>
      </c>
      <c r="AM13" s="1430">
        <f t="shared" si="6"/>
        <v>22.309889810910082</v>
      </c>
      <c r="AN13" s="1430">
        <f t="shared" si="7"/>
        <v>21.832884097035041</v>
      </c>
      <c r="AO13" s="1430">
        <f t="shared" si="8"/>
        <v>20.981897970378494</v>
      </c>
      <c r="AP13" s="1430">
        <f t="shared" si="9"/>
        <v>19.580222566558668</v>
      </c>
      <c r="AQ13" s="1430">
        <f t="shared" si="10"/>
        <v>22.978723404255319</v>
      </c>
      <c r="AR13" s="1430">
        <f t="shared" si="11"/>
        <v>23.026315789473681</v>
      </c>
      <c r="AS13" s="1430">
        <f t="shared" si="12"/>
        <v>20.213207808389868</v>
      </c>
      <c r="AT13" s="1430">
        <f t="shared" si="13"/>
        <v>17.932922655715263</v>
      </c>
      <c r="AU13" s="1430">
        <f t="shared" si="14"/>
        <v>15.773310999441653</v>
      </c>
      <c r="AV13" s="1431">
        <f t="shared" si="15"/>
        <v>14.844419069369112</v>
      </c>
    </row>
    <row r="14" spans="1:48" s="142" customFormat="1" ht="15.75" customHeight="1">
      <c r="A14" s="149" t="s">
        <v>27</v>
      </c>
      <c r="B14" s="189" t="s">
        <v>28</v>
      </c>
      <c r="C14" s="150" t="s">
        <v>265</v>
      </c>
      <c r="D14" s="1359">
        <v>6</v>
      </c>
      <c r="E14" s="1360">
        <v>2</v>
      </c>
      <c r="F14" s="1361">
        <v>2</v>
      </c>
      <c r="G14" s="1360">
        <v>1</v>
      </c>
      <c r="H14" s="1361">
        <v>1</v>
      </c>
      <c r="I14" s="1360">
        <v>2</v>
      </c>
      <c r="J14" s="1361">
        <v>1</v>
      </c>
      <c r="K14" s="1360">
        <v>1</v>
      </c>
      <c r="L14" s="1374">
        <v>1</v>
      </c>
      <c r="M14" s="1374">
        <v>1</v>
      </c>
      <c r="N14" s="1374">
        <v>4</v>
      </c>
      <c r="O14" s="1374">
        <v>1</v>
      </c>
      <c r="P14" s="1375">
        <v>6</v>
      </c>
      <c r="Q14" s="1375">
        <v>1</v>
      </c>
      <c r="R14" s="1376">
        <v>4</v>
      </c>
      <c r="S14" s="1383">
        <v>229</v>
      </c>
      <c r="T14" s="1384">
        <v>225</v>
      </c>
      <c r="U14" s="1384">
        <v>302</v>
      </c>
      <c r="V14" s="1384">
        <v>298</v>
      </c>
      <c r="W14" s="1384">
        <v>306</v>
      </c>
      <c r="X14" s="1384">
        <v>307</v>
      </c>
      <c r="Y14" s="1384">
        <v>302</v>
      </c>
      <c r="Z14" s="1384">
        <v>301</v>
      </c>
      <c r="AA14" s="1384">
        <v>290</v>
      </c>
      <c r="AB14" s="1384">
        <v>267</v>
      </c>
      <c r="AC14" s="1384">
        <v>249</v>
      </c>
      <c r="AD14" s="1384">
        <v>272</v>
      </c>
      <c r="AE14" s="1384">
        <v>255</v>
      </c>
      <c r="AF14" s="1384">
        <v>247</v>
      </c>
      <c r="AG14" s="1385">
        <v>260</v>
      </c>
      <c r="AH14" s="1429">
        <f t="shared" si="0"/>
        <v>26.200873362445414</v>
      </c>
      <c r="AI14" s="1430">
        <f t="shared" si="2"/>
        <v>8.8888888888888893</v>
      </c>
      <c r="AJ14" s="1430">
        <f t="shared" si="3"/>
        <v>6.6225165562913908</v>
      </c>
      <c r="AK14" s="1430">
        <f t="shared" si="4"/>
        <v>3.3557046979865772</v>
      </c>
      <c r="AL14" s="1430">
        <f t="shared" si="5"/>
        <v>3.2679738562091503</v>
      </c>
      <c r="AM14" s="1430">
        <f t="shared" si="6"/>
        <v>6.5146579804560263</v>
      </c>
      <c r="AN14" s="1430">
        <f t="shared" si="7"/>
        <v>3.3112582781456954</v>
      </c>
      <c r="AO14" s="1430">
        <f t="shared" si="8"/>
        <v>3.3222591362126246</v>
      </c>
      <c r="AP14" s="1430">
        <f t="shared" si="9"/>
        <v>3.4482758620689653</v>
      </c>
      <c r="AQ14" s="1430">
        <f t="shared" si="10"/>
        <v>3.7453183520599249</v>
      </c>
      <c r="AR14" s="1430">
        <f t="shared" si="11"/>
        <v>16.064257028112447</v>
      </c>
      <c r="AS14" s="1430">
        <f t="shared" si="12"/>
        <v>3.6764705882352939</v>
      </c>
      <c r="AT14" s="1430">
        <f t="shared" si="13"/>
        <v>23.52941176470588</v>
      </c>
      <c r="AU14" s="1430">
        <f t="shared" si="14"/>
        <v>4.048582995951417</v>
      </c>
      <c r="AV14" s="1431">
        <f t="shared" si="15"/>
        <v>15.384615384615385</v>
      </c>
    </row>
    <row r="15" spans="1:48" s="142" customFormat="1" ht="15.75" customHeight="1">
      <c r="A15" s="149" t="s">
        <v>29</v>
      </c>
      <c r="B15" s="189" t="s">
        <v>1012</v>
      </c>
      <c r="C15" s="150" t="s">
        <v>265</v>
      </c>
      <c r="D15" s="1359">
        <v>70</v>
      </c>
      <c r="E15" s="1360">
        <v>58</v>
      </c>
      <c r="F15" s="1361">
        <v>70</v>
      </c>
      <c r="G15" s="1360">
        <v>52</v>
      </c>
      <c r="H15" s="1361">
        <v>68</v>
      </c>
      <c r="I15" s="1360">
        <v>63</v>
      </c>
      <c r="J15" s="1361">
        <v>73</v>
      </c>
      <c r="K15" s="1360">
        <v>60</v>
      </c>
      <c r="L15" s="1374">
        <v>66</v>
      </c>
      <c r="M15" s="1374">
        <v>64</v>
      </c>
      <c r="N15" s="1374">
        <v>69</v>
      </c>
      <c r="O15" s="1374">
        <v>69</v>
      </c>
      <c r="P15" s="1375">
        <v>45</v>
      </c>
      <c r="Q15" s="1375">
        <v>59</v>
      </c>
      <c r="R15" s="1376">
        <v>44</v>
      </c>
      <c r="S15" s="1383">
        <v>3511</v>
      </c>
      <c r="T15" s="1384">
        <v>3547</v>
      </c>
      <c r="U15" s="1384">
        <v>4207</v>
      </c>
      <c r="V15" s="1384">
        <v>4351</v>
      </c>
      <c r="W15" s="1384">
        <v>4474</v>
      </c>
      <c r="X15" s="1384">
        <v>4552</v>
      </c>
      <c r="Y15" s="1384">
        <v>4610</v>
      </c>
      <c r="Z15" s="1384">
        <v>4536</v>
      </c>
      <c r="AA15" s="1384">
        <v>4477</v>
      </c>
      <c r="AB15" s="1384">
        <v>4422</v>
      </c>
      <c r="AC15" s="1384">
        <v>4347</v>
      </c>
      <c r="AD15" s="1384">
        <v>4815</v>
      </c>
      <c r="AE15" s="1384">
        <v>4789</v>
      </c>
      <c r="AF15" s="1384">
        <v>4775</v>
      </c>
      <c r="AG15" s="1385">
        <v>4701</v>
      </c>
      <c r="AH15" s="1429">
        <f t="shared" si="0"/>
        <v>19.937339789233835</v>
      </c>
      <c r="AI15" s="1430">
        <f t="shared" si="2"/>
        <v>16.351846630955738</v>
      </c>
      <c r="AJ15" s="1430">
        <f t="shared" si="3"/>
        <v>16.638935108153078</v>
      </c>
      <c r="AK15" s="1430">
        <f t="shared" si="4"/>
        <v>11.951275568834751</v>
      </c>
      <c r="AL15" s="1430">
        <f t="shared" si="5"/>
        <v>15.198927134555209</v>
      </c>
      <c r="AM15" s="1430">
        <f t="shared" si="6"/>
        <v>13.840070298769772</v>
      </c>
      <c r="AN15" s="1430">
        <f t="shared" si="7"/>
        <v>15.835140997830802</v>
      </c>
      <c r="AO15" s="1430">
        <f t="shared" si="8"/>
        <v>13.227513227513226</v>
      </c>
      <c r="AP15" s="1430">
        <f t="shared" si="9"/>
        <v>14.742014742014742</v>
      </c>
      <c r="AQ15" s="1430">
        <f t="shared" si="10"/>
        <v>14.473089099954771</v>
      </c>
      <c r="AR15" s="1430">
        <f t="shared" si="11"/>
        <v>15.873015873015872</v>
      </c>
      <c r="AS15" s="1430">
        <f t="shared" si="12"/>
        <v>14.330218068535824</v>
      </c>
      <c r="AT15" s="1430">
        <f t="shared" si="13"/>
        <v>9.3965337231154731</v>
      </c>
      <c r="AU15" s="1430">
        <f t="shared" si="14"/>
        <v>12.356020942408378</v>
      </c>
      <c r="AV15" s="1431">
        <f t="shared" si="15"/>
        <v>9.3597106998510959</v>
      </c>
    </row>
    <row r="16" spans="1:48" s="142" customFormat="1" ht="15.75" customHeight="1">
      <c r="A16" s="149" t="s">
        <v>30</v>
      </c>
      <c r="B16" s="189" t="s">
        <v>31</v>
      </c>
      <c r="C16" s="150" t="s">
        <v>268</v>
      </c>
      <c r="D16" s="1359">
        <v>5</v>
      </c>
      <c r="E16" s="1360">
        <v>5</v>
      </c>
      <c r="F16" s="1361">
        <v>7</v>
      </c>
      <c r="G16" s="1360">
        <v>7</v>
      </c>
      <c r="H16" s="1361">
        <v>4</v>
      </c>
      <c r="I16" s="1360">
        <v>1</v>
      </c>
      <c r="J16" s="1361">
        <v>2</v>
      </c>
      <c r="K16" s="1360">
        <v>4</v>
      </c>
      <c r="L16" s="1374">
        <v>5</v>
      </c>
      <c r="M16" s="1374">
        <v>6</v>
      </c>
      <c r="N16" s="1374">
        <v>9</v>
      </c>
      <c r="O16" s="1374">
        <v>2</v>
      </c>
      <c r="P16" s="1375">
        <v>8</v>
      </c>
      <c r="Q16" s="1375">
        <v>10</v>
      </c>
      <c r="R16" s="1376">
        <v>7</v>
      </c>
      <c r="S16" s="1383">
        <v>391</v>
      </c>
      <c r="T16" s="1384">
        <v>385</v>
      </c>
      <c r="U16" s="1384">
        <v>375</v>
      </c>
      <c r="V16" s="1384">
        <v>377</v>
      </c>
      <c r="W16" s="1384">
        <v>369</v>
      </c>
      <c r="X16" s="1384">
        <v>373</v>
      </c>
      <c r="Y16" s="1384">
        <v>370</v>
      </c>
      <c r="Z16" s="1384">
        <v>356</v>
      </c>
      <c r="AA16" s="1384">
        <v>334</v>
      </c>
      <c r="AB16" s="1384">
        <v>330</v>
      </c>
      <c r="AC16" s="1384">
        <v>326</v>
      </c>
      <c r="AD16" s="1384">
        <v>355</v>
      </c>
      <c r="AE16" s="1384">
        <v>347</v>
      </c>
      <c r="AF16" s="1384">
        <v>328</v>
      </c>
      <c r="AG16" s="1385">
        <v>313</v>
      </c>
      <c r="AH16" s="1429">
        <f t="shared" si="0"/>
        <v>12.787723785166239</v>
      </c>
      <c r="AI16" s="1430">
        <f t="shared" si="2"/>
        <v>12.987012987012989</v>
      </c>
      <c r="AJ16" s="1430">
        <f t="shared" si="3"/>
        <v>18.666666666666668</v>
      </c>
      <c r="AK16" s="1430">
        <f t="shared" si="4"/>
        <v>18.567639257294431</v>
      </c>
      <c r="AL16" s="1430">
        <f t="shared" si="5"/>
        <v>10.840108401084011</v>
      </c>
      <c r="AM16" s="1430">
        <f t="shared" si="6"/>
        <v>2.6809651474530831</v>
      </c>
      <c r="AN16" s="1430">
        <f t="shared" si="7"/>
        <v>5.4054054054054053</v>
      </c>
      <c r="AO16" s="1430">
        <f t="shared" si="8"/>
        <v>11.235955056179774</v>
      </c>
      <c r="AP16" s="1430">
        <f t="shared" si="9"/>
        <v>14.970059880239521</v>
      </c>
      <c r="AQ16" s="1430">
        <f t="shared" si="10"/>
        <v>18.18181818181818</v>
      </c>
      <c r="AR16" s="1430">
        <f t="shared" si="11"/>
        <v>27.607361963190183</v>
      </c>
      <c r="AS16" s="1430">
        <f t="shared" si="12"/>
        <v>5.6338028169014089</v>
      </c>
      <c r="AT16" s="1430">
        <f t="shared" si="13"/>
        <v>23.054755043227665</v>
      </c>
      <c r="AU16" s="1430">
        <f t="shared" si="14"/>
        <v>30.487804878048781</v>
      </c>
      <c r="AV16" s="1431">
        <f t="shared" si="15"/>
        <v>22.364217252396166</v>
      </c>
    </row>
    <row r="17" spans="1:48" s="142" customFormat="1" ht="15.75" customHeight="1">
      <c r="A17" s="149" t="s">
        <v>32</v>
      </c>
      <c r="B17" s="189" t="s">
        <v>33</v>
      </c>
      <c r="C17" s="150" t="s">
        <v>265</v>
      </c>
      <c r="D17" s="1359">
        <v>32</v>
      </c>
      <c r="E17" s="1360">
        <v>23</v>
      </c>
      <c r="F17" s="1361">
        <v>23</v>
      </c>
      <c r="G17" s="1360">
        <v>17</v>
      </c>
      <c r="H17" s="1361">
        <v>28</v>
      </c>
      <c r="I17" s="1360">
        <v>21</v>
      </c>
      <c r="J17" s="1361">
        <v>15</v>
      </c>
      <c r="K17" s="1360">
        <v>24</v>
      </c>
      <c r="L17" s="1374">
        <v>14</v>
      </c>
      <c r="M17" s="1374">
        <v>24</v>
      </c>
      <c r="N17" s="1374">
        <v>17</v>
      </c>
      <c r="O17" s="1374">
        <v>21</v>
      </c>
      <c r="P17" s="1375">
        <v>16</v>
      </c>
      <c r="Q17" s="1375">
        <v>12</v>
      </c>
      <c r="R17" s="1376">
        <v>8</v>
      </c>
      <c r="S17" s="1383">
        <v>1630</v>
      </c>
      <c r="T17" s="1384">
        <v>1615</v>
      </c>
      <c r="U17" s="1384">
        <v>1975</v>
      </c>
      <c r="V17" s="1384">
        <v>2019</v>
      </c>
      <c r="W17" s="1384">
        <v>2052</v>
      </c>
      <c r="X17" s="1384">
        <v>2037</v>
      </c>
      <c r="Y17" s="1384">
        <v>2052</v>
      </c>
      <c r="Z17" s="1384">
        <v>2023</v>
      </c>
      <c r="AA17" s="1384">
        <v>1959</v>
      </c>
      <c r="AB17" s="1384">
        <v>1874</v>
      </c>
      <c r="AC17" s="1384">
        <v>1859</v>
      </c>
      <c r="AD17" s="1384">
        <v>2066</v>
      </c>
      <c r="AE17" s="1384">
        <v>2106</v>
      </c>
      <c r="AF17" s="1384">
        <v>2083</v>
      </c>
      <c r="AG17" s="1385">
        <v>2131</v>
      </c>
      <c r="AH17" s="1429">
        <f t="shared" si="0"/>
        <v>19.631901840490798</v>
      </c>
      <c r="AI17" s="1430">
        <f t="shared" si="2"/>
        <v>14.241486068111454</v>
      </c>
      <c r="AJ17" s="1430">
        <f t="shared" si="3"/>
        <v>11.645569620253164</v>
      </c>
      <c r="AK17" s="1430">
        <f t="shared" si="4"/>
        <v>8.4200099058940072</v>
      </c>
      <c r="AL17" s="1430">
        <f t="shared" si="5"/>
        <v>13.64522417153996</v>
      </c>
      <c r="AM17" s="1430">
        <f t="shared" si="6"/>
        <v>10.309278350515465</v>
      </c>
      <c r="AN17" s="1430">
        <f t="shared" si="7"/>
        <v>7.3099415204678362</v>
      </c>
      <c r="AO17" s="1430">
        <f t="shared" si="8"/>
        <v>11.863568956994563</v>
      </c>
      <c r="AP17" s="1430">
        <f t="shared" si="9"/>
        <v>7.1465033180193975</v>
      </c>
      <c r="AQ17" s="1430">
        <f t="shared" si="10"/>
        <v>12.8068303094984</v>
      </c>
      <c r="AR17" s="1430">
        <f t="shared" si="11"/>
        <v>9.1447014523937593</v>
      </c>
      <c r="AS17" s="1430">
        <f t="shared" si="12"/>
        <v>10.164569215876089</v>
      </c>
      <c r="AT17" s="1430">
        <f t="shared" si="13"/>
        <v>7.5973409306742647</v>
      </c>
      <c r="AU17" s="1430">
        <f t="shared" si="14"/>
        <v>5.7609217474795971</v>
      </c>
      <c r="AV17" s="1431">
        <f t="shared" si="15"/>
        <v>3.7541060534960109</v>
      </c>
    </row>
    <row r="18" spans="1:48" s="142" customFormat="1" ht="15.75" customHeight="1">
      <c r="A18" s="149" t="s">
        <v>36</v>
      </c>
      <c r="B18" s="189" t="s">
        <v>37</v>
      </c>
      <c r="C18" s="150" t="s">
        <v>264</v>
      </c>
      <c r="D18" s="1359">
        <v>43</v>
      </c>
      <c r="E18" s="1360">
        <v>24</v>
      </c>
      <c r="F18" s="1361">
        <v>30</v>
      </c>
      <c r="G18" s="1360">
        <v>41</v>
      </c>
      <c r="H18" s="1361">
        <v>31</v>
      </c>
      <c r="I18" s="1360">
        <v>30</v>
      </c>
      <c r="J18" s="1361">
        <v>31</v>
      </c>
      <c r="K18" s="1360">
        <v>31</v>
      </c>
      <c r="L18" s="1374">
        <v>18</v>
      </c>
      <c r="M18" s="1374">
        <v>30</v>
      </c>
      <c r="N18" s="1374">
        <v>29</v>
      </c>
      <c r="O18" s="1374">
        <v>17</v>
      </c>
      <c r="P18" s="1375">
        <v>26</v>
      </c>
      <c r="Q18" s="1375">
        <v>18</v>
      </c>
      <c r="R18" s="1376">
        <v>22</v>
      </c>
      <c r="S18" s="1383">
        <v>1225</v>
      </c>
      <c r="T18" s="1384">
        <v>1218</v>
      </c>
      <c r="U18" s="1384">
        <v>1186</v>
      </c>
      <c r="V18" s="1384">
        <v>1152</v>
      </c>
      <c r="W18" s="1384">
        <v>1123</v>
      </c>
      <c r="X18" s="1384">
        <v>1134</v>
      </c>
      <c r="Y18" s="1384">
        <v>1091</v>
      </c>
      <c r="Z18" s="1384">
        <v>1057</v>
      </c>
      <c r="AA18" s="1384">
        <v>1050</v>
      </c>
      <c r="AB18" s="1384">
        <v>1074</v>
      </c>
      <c r="AC18" s="1384">
        <v>1056</v>
      </c>
      <c r="AD18" s="1384">
        <v>1024</v>
      </c>
      <c r="AE18" s="1384">
        <v>1022</v>
      </c>
      <c r="AF18" s="1384">
        <v>971</v>
      </c>
      <c r="AG18" s="1385">
        <v>948</v>
      </c>
      <c r="AH18" s="1429">
        <f t="shared" si="0"/>
        <v>35.102040816326529</v>
      </c>
      <c r="AI18" s="1430">
        <f t="shared" si="2"/>
        <v>19.704433497536947</v>
      </c>
      <c r="AJ18" s="1430">
        <f t="shared" si="3"/>
        <v>25.295109612141651</v>
      </c>
      <c r="AK18" s="1430">
        <f t="shared" si="4"/>
        <v>35.590277777777779</v>
      </c>
      <c r="AL18" s="1430">
        <f t="shared" si="5"/>
        <v>27.604630454140697</v>
      </c>
      <c r="AM18" s="1430">
        <f t="shared" si="6"/>
        <v>26.455026455026452</v>
      </c>
      <c r="AN18" s="1430">
        <f t="shared" si="7"/>
        <v>28.41429880843263</v>
      </c>
      <c r="AO18" s="1430">
        <f t="shared" si="8"/>
        <v>29.3282876064333</v>
      </c>
      <c r="AP18" s="1430">
        <f t="shared" si="9"/>
        <v>17.142857142857142</v>
      </c>
      <c r="AQ18" s="1430">
        <f t="shared" si="10"/>
        <v>27.932960893854748</v>
      </c>
      <c r="AR18" s="1430">
        <f t="shared" si="11"/>
        <v>27.462121212121211</v>
      </c>
      <c r="AS18" s="1430">
        <f t="shared" si="12"/>
        <v>16.6015625</v>
      </c>
      <c r="AT18" s="1430">
        <f t="shared" si="13"/>
        <v>25.440313111545986</v>
      </c>
      <c r="AU18" s="1430">
        <f t="shared" si="14"/>
        <v>18.537590113285273</v>
      </c>
      <c r="AV18" s="1431">
        <f t="shared" si="15"/>
        <v>23.206751054852322</v>
      </c>
    </row>
    <row r="19" spans="1:48" s="142" customFormat="1" ht="15.75" customHeight="1">
      <c r="A19" s="149" t="s">
        <v>38</v>
      </c>
      <c r="B19" s="189" t="s">
        <v>39</v>
      </c>
      <c r="C19" s="150" t="s">
        <v>268</v>
      </c>
      <c r="D19" s="1359">
        <v>59</v>
      </c>
      <c r="E19" s="1360">
        <v>48</v>
      </c>
      <c r="F19" s="1361">
        <v>49</v>
      </c>
      <c r="G19" s="1360">
        <v>50</v>
      </c>
      <c r="H19" s="1361">
        <v>29</v>
      </c>
      <c r="I19" s="1360">
        <v>37</v>
      </c>
      <c r="J19" s="1361">
        <v>29</v>
      </c>
      <c r="K19" s="1360">
        <v>32</v>
      </c>
      <c r="L19" s="1374">
        <v>29</v>
      </c>
      <c r="M19" s="1374">
        <v>34</v>
      </c>
      <c r="N19" s="1374">
        <v>34</v>
      </c>
      <c r="O19" s="1374">
        <v>33</v>
      </c>
      <c r="P19" s="1375">
        <v>31</v>
      </c>
      <c r="Q19" s="1375">
        <v>27</v>
      </c>
      <c r="R19" s="1376">
        <v>26</v>
      </c>
      <c r="S19" s="1383">
        <v>1989</v>
      </c>
      <c r="T19" s="1384">
        <v>1905</v>
      </c>
      <c r="U19" s="1384">
        <v>1762</v>
      </c>
      <c r="V19" s="1384">
        <v>1705</v>
      </c>
      <c r="W19" s="1384">
        <v>1622</v>
      </c>
      <c r="X19" s="1384">
        <v>1538</v>
      </c>
      <c r="Y19" s="1384">
        <v>1504</v>
      </c>
      <c r="Z19" s="1384">
        <v>1437</v>
      </c>
      <c r="AA19" s="1384">
        <v>1397</v>
      </c>
      <c r="AB19" s="1384">
        <v>1345</v>
      </c>
      <c r="AC19" s="1384">
        <v>1287</v>
      </c>
      <c r="AD19" s="1384">
        <v>1254</v>
      </c>
      <c r="AE19" s="1384">
        <v>1284</v>
      </c>
      <c r="AF19" s="1384">
        <v>1206</v>
      </c>
      <c r="AG19" s="1385">
        <v>1207</v>
      </c>
      <c r="AH19" s="1429">
        <f t="shared" si="0"/>
        <v>29.663147310206131</v>
      </c>
      <c r="AI19" s="1430">
        <f t="shared" si="2"/>
        <v>25.196850393700785</v>
      </c>
      <c r="AJ19" s="1430">
        <f t="shared" si="3"/>
        <v>27.809307604994324</v>
      </c>
      <c r="AK19" s="1430">
        <f t="shared" si="4"/>
        <v>29.325513196480941</v>
      </c>
      <c r="AL19" s="1430">
        <f t="shared" si="5"/>
        <v>17.879161528976571</v>
      </c>
      <c r="AM19" s="1430">
        <f t="shared" si="6"/>
        <v>24.057217165149545</v>
      </c>
      <c r="AN19" s="1430">
        <f t="shared" si="7"/>
        <v>19.281914893617021</v>
      </c>
      <c r="AO19" s="1430">
        <f t="shared" si="8"/>
        <v>22.268615170494087</v>
      </c>
      <c r="AP19" s="1430">
        <f t="shared" si="9"/>
        <v>20.758768790264853</v>
      </c>
      <c r="AQ19" s="1430">
        <f t="shared" si="10"/>
        <v>25.278810408921935</v>
      </c>
      <c r="AR19" s="1430">
        <f t="shared" si="11"/>
        <v>26.418026418026418</v>
      </c>
      <c r="AS19" s="1430">
        <f t="shared" si="12"/>
        <v>26.315789473684209</v>
      </c>
      <c r="AT19" s="1430">
        <f t="shared" si="13"/>
        <v>24.143302180685357</v>
      </c>
      <c r="AU19" s="1430">
        <f t="shared" si="14"/>
        <v>22.388059701492537</v>
      </c>
      <c r="AV19" s="1431">
        <f t="shared" si="15"/>
        <v>21.541010770505384</v>
      </c>
    </row>
    <row r="20" spans="1:48" s="142" customFormat="1" ht="15.75" customHeight="1">
      <c r="A20" s="149" t="s">
        <v>40</v>
      </c>
      <c r="B20" s="189" t="s">
        <v>41</v>
      </c>
      <c r="C20" s="150" t="s">
        <v>266</v>
      </c>
      <c r="D20" s="1359">
        <v>20</v>
      </c>
      <c r="E20" s="1360">
        <v>18</v>
      </c>
      <c r="F20" s="1361">
        <v>12</v>
      </c>
      <c r="G20" s="1360">
        <v>30</v>
      </c>
      <c r="H20" s="1361">
        <v>26</v>
      </c>
      <c r="I20" s="1360">
        <v>21</v>
      </c>
      <c r="J20" s="1361">
        <v>24</v>
      </c>
      <c r="K20" s="1360">
        <v>13</v>
      </c>
      <c r="L20" s="1374">
        <v>27</v>
      </c>
      <c r="M20" s="1374">
        <v>25</v>
      </c>
      <c r="N20" s="1374">
        <v>26</v>
      </c>
      <c r="O20" s="1374">
        <v>23</v>
      </c>
      <c r="P20" s="1375">
        <v>20</v>
      </c>
      <c r="Q20" s="1375">
        <v>14</v>
      </c>
      <c r="R20" s="1376">
        <v>14</v>
      </c>
      <c r="S20" s="1383">
        <v>838</v>
      </c>
      <c r="T20" s="1384">
        <v>842</v>
      </c>
      <c r="U20" s="1384">
        <v>1031</v>
      </c>
      <c r="V20" s="1384">
        <v>1061</v>
      </c>
      <c r="W20" s="1384">
        <v>1065</v>
      </c>
      <c r="X20" s="1384">
        <v>1074</v>
      </c>
      <c r="Y20" s="1384">
        <v>1053</v>
      </c>
      <c r="Z20" s="1384">
        <v>990</v>
      </c>
      <c r="AA20" s="1384">
        <v>936</v>
      </c>
      <c r="AB20" s="1384">
        <v>902</v>
      </c>
      <c r="AC20" s="1384">
        <v>874</v>
      </c>
      <c r="AD20" s="1384">
        <v>890</v>
      </c>
      <c r="AE20" s="1384">
        <v>934</v>
      </c>
      <c r="AF20" s="1384">
        <v>886</v>
      </c>
      <c r="AG20" s="1385">
        <v>832</v>
      </c>
      <c r="AH20" s="1429">
        <f t="shared" si="0"/>
        <v>23.866348448687351</v>
      </c>
      <c r="AI20" s="1430">
        <f t="shared" si="2"/>
        <v>21.377672209026127</v>
      </c>
      <c r="AJ20" s="1430">
        <f t="shared" si="3"/>
        <v>11.639185257032008</v>
      </c>
      <c r="AK20" s="1430">
        <f t="shared" si="4"/>
        <v>28.275212064090482</v>
      </c>
      <c r="AL20" s="1430">
        <f t="shared" si="5"/>
        <v>24.413145539906104</v>
      </c>
      <c r="AM20" s="1430">
        <f t="shared" si="6"/>
        <v>19.553072625698324</v>
      </c>
      <c r="AN20" s="1430">
        <f t="shared" si="7"/>
        <v>22.792022792022792</v>
      </c>
      <c r="AO20" s="1430">
        <f t="shared" si="8"/>
        <v>13.131313131313131</v>
      </c>
      <c r="AP20" s="1430">
        <f t="shared" si="9"/>
        <v>28.846153846153847</v>
      </c>
      <c r="AQ20" s="1430">
        <f t="shared" si="10"/>
        <v>27.716186252771621</v>
      </c>
      <c r="AR20" s="1430">
        <f t="shared" si="11"/>
        <v>29.748283752860413</v>
      </c>
      <c r="AS20" s="1430">
        <f t="shared" si="12"/>
        <v>25.842696629213481</v>
      </c>
      <c r="AT20" s="1430">
        <f t="shared" si="13"/>
        <v>21.413276231263382</v>
      </c>
      <c r="AU20" s="1430">
        <f t="shared" si="14"/>
        <v>15.80135440180587</v>
      </c>
      <c r="AV20" s="1431">
        <f t="shared" si="15"/>
        <v>16.826923076923077</v>
      </c>
    </row>
    <row r="21" spans="1:48" s="142" customFormat="1" ht="15.75" customHeight="1">
      <c r="A21" s="149" t="s">
        <v>42</v>
      </c>
      <c r="B21" s="189" t="s">
        <v>43</v>
      </c>
      <c r="C21" s="150" t="s">
        <v>265</v>
      </c>
      <c r="D21" s="1359">
        <v>92</v>
      </c>
      <c r="E21" s="1360">
        <v>95</v>
      </c>
      <c r="F21" s="1361">
        <v>93</v>
      </c>
      <c r="G21" s="1360">
        <v>69</v>
      </c>
      <c r="H21" s="1361">
        <v>63</v>
      </c>
      <c r="I21" s="1360">
        <v>65</v>
      </c>
      <c r="J21" s="1361">
        <v>74</v>
      </c>
      <c r="K21" s="1360">
        <v>75</v>
      </c>
      <c r="L21" s="1374">
        <v>53</v>
      </c>
      <c r="M21" s="1374">
        <v>67</v>
      </c>
      <c r="N21" s="1374">
        <v>55</v>
      </c>
      <c r="O21" s="1374">
        <v>50</v>
      </c>
      <c r="P21" s="1375">
        <v>55</v>
      </c>
      <c r="Q21" s="1375">
        <v>62</v>
      </c>
      <c r="R21" s="1376">
        <v>41</v>
      </c>
      <c r="S21" s="1383">
        <v>2940</v>
      </c>
      <c r="T21" s="1384">
        <v>2902</v>
      </c>
      <c r="U21" s="1384">
        <v>3326</v>
      </c>
      <c r="V21" s="1384">
        <v>3304</v>
      </c>
      <c r="W21" s="1384">
        <v>3308</v>
      </c>
      <c r="X21" s="1384">
        <v>3327</v>
      </c>
      <c r="Y21" s="1384">
        <v>3345</v>
      </c>
      <c r="Z21" s="1384">
        <v>3432</v>
      </c>
      <c r="AA21" s="1384">
        <v>3318</v>
      </c>
      <c r="AB21" s="1384">
        <v>3311</v>
      </c>
      <c r="AC21" s="1384">
        <v>3240</v>
      </c>
      <c r="AD21" s="1384">
        <v>3311</v>
      </c>
      <c r="AE21" s="1384">
        <v>3610</v>
      </c>
      <c r="AF21" s="1384">
        <v>3465</v>
      </c>
      <c r="AG21" s="1385">
        <v>3420</v>
      </c>
      <c r="AH21" s="1429">
        <f t="shared" si="0"/>
        <v>31.292517006802726</v>
      </c>
      <c r="AI21" s="1430">
        <f t="shared" si="2"/>
        <v>32.736044107512058</v>
      </c>
      <c r="AJ21" s="1430">
        <f t="shared" si="3"/>
        <v>27.961515333734216</v>
      </c>
      <c r="AK21" s="1430">
        <f t="shared" si="4"/>
        <v>20.883777239709442</v>
      </c>
      <c r="AL21" s="1430">
        <f t="shared" si="5"/>
        <v>19.044740024183799</v>
      </c>
      <c r="AM21" s="1430">
        <f t="shared" si="6"/>
        <v>19.537120529005108</v>
      </c>
      <c r="AN21" s="1430">
        <f t="shared" si="7"/>
        <v>22.122571001494766</v>
      </c>
      <c r="AO21" s="1430">
        <f t="shared" si="8"/>
        <v>21.853146853146853</v>
      </c>
      <c r="AP21" s="1430">
        <f t="shared" si="9"/>
        <v>15.973477998794452</v>
      </c>
      <c r="AQ21" s="1430">
        <f t="shared" si="10"/>
        <v>20.23557837511326</v>
      </c>
      <c r="AR21" s="1430">
        <f t="shared" si="11"/>
        <v>16.975308641975307</v>
      </c>
      <c r="AS21" s="1430">
        <f t="shared" si="12"/>
        <v>15.101177891875567</v>
      </c>
      <c r="AT21" s="1430">
        <f t="shared" si="13"/>
        <v>15.235457063711912</v>
      </c>
      <c r="AU21" s="1430">
        <f t="shared" si="14"/>
        <v>17.893217893217894</v>
      </c>
      <c r="AV21" s="1431">
        <f t="shared" si="15"/>
        <v>11.988304093567251</v>
      </c>
    </row>
    <row r="22" spans="1:48" s="142" customFormat="1" ht="15.75" customHeight="1">
      <c r="A22" s="149" t="s">
        <v>44</v>
      </c>
      <c r="B22" s="189" t="s">
        <v>45</v>
      </c>
      <c r="C22" s="150" t="s">
        <v>266</v>
      </c>
      <c r="D22" s="1359">
        <v>29</v>
      </c>
      <c r="E22" s="1360">
        <v>41</v>
      </c>
      <c r="F22" s="1361">
        <v>40</v>
      </c>
      <c r="G22" s="1360">
        <v>39</v>
      </c>
      <c r="H22" s="1361">
        <v>36</v>
      </c>
      <c r="I22" s="1360">
        <v>37</v>
      </c>
      <c r="J22" s="1361">
        <v>40</v>
      </c>
      <c r="K22" s="1360">
        <v>45</v>
      </c>
      <c r="L22" s="1374">
        <v>38</v>
      </c>
      <c r="M22" s="1374">
        <v>40</v>
      </c>
      <c r="N22" s="1374">
        <v>37</v>
      </c>
      <c r="O22" s="1374">
        <v>47</v>
      </c>
      <c r="P22" s="1375">
        <v>27</v>
      </c>
      <c r="Q22" s="1375">
        <v>41</v>
      </c>
      <c r="R22" s="1376">
        <v>33</v>
      </c>
      <c r="S22" s="1383">
        <v>1348</v>
      </c>
      <c r="T22" s="1384">
        <v>1350</v>
      </c>
      <c r="U22" s="1384">
        <v>1481</v>
      </c>
      <c r="V22" s="1384">
        <v>1501</v>
      </c>
      <c r="W22" s="1384">
        <v>1514</v>
      </c>
      <c r="X22" s="1384">
        <v>1539</v>
      </c>
      <c r="Y22" s="1384">
        <v>1584</v>
      </c>
      <c r="Z22" s="1384">
        <v>1635</v>
      </c>
      <c r="AA22" s="1384">
        <v>1659</v>
      </c>
      <c r="AB22" s="1384">
        <v>1636</v>
      </c>
      <c r="AC22" s="1384">
        <v>1624</v>
      </c>
      <c r="AD22" s="1384">
        <v>1643</v>
      </c>
      <c r="AE22" s="1384">
        <v>1736</v>
      </c>
      <c r="AF22" s="1384">
        <v>1729</v>
      </c>
      <c r="AG22" s="1385">
        <v>1754</v>
      </c>
      <c r="AH22" s="1429">
        <f t="shared" si="0"/>
        <v>21.513353115727003</v>
      </c>
      <c r="AI22" s="1430">
        <f t="shared" si="2"/>
        <v>30.37037037037037</v>
      </c>
      <c r="AJ22" s="1430">
        <f t="shared" si="3"/>
        <v>27.008777852802162</v>
      </c>
      <c r="AK22" s="1430">
        <f t="shared" si="4"/>
        <v>25.982678214523652</v>
      </c>
      <c r="AL22" s="1430">
        <f t="shared" si="5"/>
        <v>23.778071334214001</v>
      </c>
      <c r="AM22" s="1430">
        <f t="shared" si="6"/>
        <v>24.041585445094217</v>
      </c>
      <c r="AN22" s="1430">
        <f t="shared" si="7"/>
        <v>25.252525252525253</v>
      </c>
      <c r="AO22" s="1430">
        <f t="shared" si="8"/>
        <v>27.522935779816514</v>
      </c>
      <c r="AP22" s="1430">
        <f t="shared" si="9"/>
        <v>22.905364677516577</v>
      </c>
      <c r="AQ22" s="1430">
        <f t="shared" si="10"/>
        <v>24.44987775061125</v>
      </c>
      <c r="AR22" s="1430">
        <f t="shared" si="11"/>
        <v>22.783251231527093</v>
      </c>
      <c r="AS22" s="1430">
        <f t="shared" si="12"/>
        <v>28.606208155812539</v>
      </c>
      <c r="AT22" s="1430">
        <f t="shared" si="13"/>
        <v>15.552995391705069</v>
      </c>
      <c r="AU22" s="1430">
        <f t="shared" si="14"/>
        <v>23.713128976286871</v>
      </c>
      <c r="AV22" s="1431">
        <f t="shared" si="15"/>
        <v>18.81413911060433</v>
      </c>
    </row>
    <row r="23" spans="1:48" s="142" customFormat="1" ht="15.75" customHeight="1">
      <c r="A23" s="149" t="s">
        <v>46</v>
      </c>
      <c r="B23" s="189" t="s">
        <v>47</v>
      </c>
      <c r="C23" s="150" t="s">
        <v>268</v>
      </c>
      <c r="D23" s="1359">
        <v>33</v>
      </c>
      <c r="E23" s="1360">
        <v>40</v>
      </c>
      <c r="F23" s="1361">
        <v>42</v>
      </c>
      <c r="G23" s="1360">
        <v>34</v>
      </c>
      <c r="H23" s="1361">
        <v>36</v>
      </c>
      <c r="I23" s="1360">
        <v>35</v>
      </c>
      <c r="J23" s="1361">
        <v>35</v>
      </c>
      <c r="K23" s="1360">
        <v>33</v>
      </c>
      <c r="L23" s="1374">
        <v>45</v>
      </c>
      <c r="M23" s="1374">
        <v>42</v>
      </c>
      <c r="N23" s="1374">
        <v>39</v>
      </c>
      <c r="O23" s="1374">
        <v>38</v>
      </c>
      <c r="P23" s="1375">
        <v>33</v>
      </c>
      <c r="Q23" s="1375">
        <v>22</v>
      </c>
      <c r="R23" s="1376">
        <v>35</v>
      </c>
      <c r="S23" s="1383">
        <v>1455</v>
      </c>
      <c r="T23" s="1384">
        <v>1430</v>
      </c>
      <c r="U23" s="1384">
        <v>1639</v>
      </c>
      <c r="V23" s="1384">
        <v>1646</v>
      </c>
      <c r="W23" s="1384">
        <v>1616</v>
      </c>
      <c r="X23" s="1384">
        <v>1630</v>
      </c>
      <c r="Y23" s="1384">
        <v>1631</v>
      </c>
      <c r="Z23" s="1384">
        <v>1607</v>
      </c>
      <c r="AA23" s="1384">
        <v>1606</v>
      </c>
      <c r="AB23" s="1384">
        <v>1572</v>
      </c>
      <c r="AC23" s="1384">
        <v>1554</v>
      </c>
      <c r="AD23" s="1384">
        <v>1596</v>
      </c>
      <c r="AE23" s="1384">
        <v>1704</v>
      </c>
      <c r="AF23" s="1384">
        <v>1653</v>
      </c>
      <c r="AG23" s="1385">
        <v>1632</v>
      </c>
      <c r="AH23" s="1429">
        <f t="shared" si="0"/>
        <v>22.680412371134018</v>
      </c>
      <c r="AI23" s="1430">
        <f t="shared" si="2"/>
        <v>27.972027972027973</v>
      </c>
      <c r="AJ23" s="1430">
        <f t="shared" si="3"/>
        <v>25.625381330079318</v>
      </c>
      <c r="AK23" s="1430">
        <f t="shared" si="4"/>
        <v>20.656136087484814</v>
      </c>
      <c r="AL23" s="1430">
        <f t="shared" si="5"/>
        <v>22.277227722772277</v>
      </c>
      <c r="AM23" s="1430">
        <f t="shared" si="6"/>
        <v>21.472392638036812</v>
      </c>
      <c r="AN23" s="1430">
        <f t="shared" si="7"/>
        <v>21.459227467811157</v>
      </c>
      <c r="AO23" s="1430">
        <f t="shared" si="8"/>
        <v>20.535158680771623</v>
      </c>
      <c r="AP23" s="1430">
        <f t="shared" si="9"/>
        <v>28.019925280199253</v>
      </c>
      <c r="AQ23" s="1430">
        <f t="shared" si="10"/>
        <v>26.717557251908396</v>
      </c>
      <c r="AR23" s="1430">
        <f t="shared" si="11"/>
        <v>25.096525096525095</v>
      </c>
      <c r="AS23" s="1430">
        <f t="shared" si="12"/>
        <v>23.809523809523807</v>
      </c>
      <c r="AT23" s="1430">
        <f t="shared" si="13"/>
        <v>19.366197183098588</v>
      </c>
      <c r="AU23" s="1430">
        <f t="shared" si="14"/>
        <v>13.309134906231096</v>
      </c>
      <c r="AV23" s="1431">
        <f t="shared" si="15"/>
        <v>21.446078431372548</v>
      </c>
    </row>
    <row r="24" spans="1:48" s="142" customFormat="1" ht="15.75" customHeight="1">
      <c r="A24" s="149" t="s">
        <v>48</v>
      </c>
      <c r="B24" s="189" t="s">
        <v>269</v>
      </c>
      <c r="C24" s="150" t="s">
        <v>266</v>
      </c>
      <c r="D24" s="1359">
        <v>10</v>
      </c>
      <c r="E24" s="1360">
        <v>13</v>
      </c>
      <c r="F24" s="1361">
        <v>12</v>
      </c>
      <c r="G24" s="1360">
        <v>14</v>
      </c>
      <c r="H24" s="1361">
        <v>8</v>
      </c>
      <c r="I24" s="1360">
        <v>7</v>
      </c>
      <c r="J24" s="1361">
        <v>7</v>
      </c>
      <c r="K24" s="1360">
        <v>8</v>
      </c>
      <c r="L24" s="1374">
        <v>9</v>
      </c>
      <c r="M24" s="1374">
        <v>2</v>
      </c>
      <c r="N24" s="1374">
        <v>5</v>
      </c>
      <c r="O24" s="1374">
        <v>3</v>
      </c>
      <c r="P24" s="1375">
        <v>5</v>
      </c>
      <c r="Q24" s="1375">
        <v>3</v>
      </c>
      <c r="R24" s="1376">
        <v>4</v>
      </c>
      <c r="S24" s="1383">
        <v>400</v>
      </c>
      <c r="T24" s="1384">
        <v>398</v>
      </c>
      <c r="U24" s="1384">
        <v>461</v>
      </c>
      <c r="V24" s="1384">
        <v>435</v>
      </c>
      <c r="W24" s="1384">
        <v>429</v>
      </c>
      <c r="X24" s="1384">
        <v>431</v>
      </c>
      <c r="Y24" s="1384">
        <v>394</v>
      </c>
      <c r="Z24" s="1384">
        <v>384</v>
      </c>
      <c r="AA24" s="1384">
        <v>384</v>
      </c>
      <c r="AB24" s="1384">
        <v>373</v>
      </c>
      <c r="AC24" s="1384">
        <v>383</v>
      </c>
      <c r="AD24" s="1384">
        <v>361</v>
      </c>
      <c r="AE24" s="1384">
        <v>370</v>
      </c>
      <c r="AF24" s="1384">
        <v>375</v>
      </c>
      <c r="AG24" s="1385">
        <v>333</v>
      </c>
      <c r="AH24" s="1429">
        <f t="shared" si="0"/>
        <v>25</v>
      </c>
      <c r="AI24" s="1430">
        <f t="shared" si="2"/>
        <v>32.663316582914575</v>
      </c>
      <c r="AJ24" s="1430">
        <f t="shared" si="3"/>
        <v>26.030368763557483</v>
      </c>
      <c r="AK24" s="1430">
        <f t="shared" si="4"/>
        <v>32.183908045977013</v>
      </c>
      <c r="AL24" s="1430">
        <f t="shared" si="5"/>
        <v>18.648018648018649</v>
      </c>
      <c r="AM24" s="1430">
        <f t="shared" si="6"/>
        <v>16.241299303944317</v>
      </c>
      <c r="AN24" s="1430">
        <f t="shared" si="7"/>
        <v>17.766497461928935</v>
      </c>
      <c r="AO24" s="1430">
        <f t="shared" si="8"/>
        <v>20.833333333333332</v>
      </c>
      <c r="AP24" s="1430">
        <f t="shared" si="9"/>
        <v>23.4375</v>
      </c>
      <c r="AQ24" s="1430">
        <f t="shared" si="10"/>
        <v>5.3619302949061662</v>
      </c>
      <c r="AR24" s="1430">
        <f t="shared" si="11"/>
        <v>13.054830287206265</v>
      </c>
      <c r="AS24" s="1430">
        <f t="shared" si="12"/>
        <v>8.310249307479225</v>
      </c>
      <c r="AT24" s="1430">
        <f t="shared" si="13"/>
        <v>13.513513513513514</v>
      </c>
      <c r="AU24" s="1430">
        <f t="shared" si="14"/>
        <v>8</v>
      </c>
      <c r="AV24" s="1431">
        <f t="shared" si="15"/>
        <v>12.012012012012011</v>
      </c>
    </row>
    <row r="25" spans="1:48" s="142" customFormat="1" ht="15.75" customHeight="1">
      <c r="A25" s="149" t="s">
        <v>50</v>
      </c>
      <c r="B25" s="189" t="s">
        <v>51</v>
      </c>
      <c r="C25" s="150" t="s">
        <v>265</v>
      </c>
      <c r="D25" s="1359">
        <v>23</v>
      </c>
      <c r="E25" s="1360">
        <v>27</v>
      </c>
      <c r="F25" s="1361">
        <v>23</v>
      </c>
      <c r="G25" s="1360">
        <v>26</v>
      </c>
      <c r="H25" s="1361">
        <v>17</v>
      </c>
      <c r="I25" s="1360">
        <v>13</v>
      </c>
      <c r="J25" s="1361">
        <v>21</v>
      </c>
      <c r="K25" s="1360">
        <v>15</v>
      </c>
      <c r="L25" s="1374">
        <v>10</v>
      </c>
      <c r="M25" s="1374">
        <v>24</v>
      </c>
      <c r="N25" s="1374">
        <v>22</v>
      </c>
      <c r="O25" s="1374">
        <v>18</v>
      </c>
      <c r="P25" s="1375">
        <v>12</v>
      </c>
      <c r="Q25" s="1375">
        <v>19</v>
      </c>
      <c r="R25" s="1376">
        <v>17</v>
      </c>
      <c r="S25" s="1383">
        <v>762</v>
      </c>
      <c r="T25" s="1384">
        <v>755</v>
      </c>
      <c r="U25" s="1384">
        <v>875</v>
      </c>
      <c r="V25" s="1384">
        <v>890</v>
      </c>
      <c r="W25" s="1384">
        <v>895</v>
      </c>
      <c r="X25" s="1384">
        <v>889</v>
      </c>
      <c r="Y25" s="1384">
        <v>866</v>
      </c>
      <c r="Z25" s="1384">
        <v>888</v>
      </c>
      <c r="AA25" s="1384">
        <v>843</v>
      </c>
      <c r="AB25" s="1384">
        <v>821</v>
      </c>
      <c r="AC25" s="1384">
        <v>785</v>
      </c>
      <c r="AD25" s="1384">
        <v>783</v>
      </c>
      <c r="AE25" s="1384">
        <v>863</v>
      </c>
      <c r="AF25" s="1384">
        <v>814</v>
      </c>
      <c r="AG25" s="1385">
        <v>773</v>
      </c>
      <c r="AH25" s="1429">
        <f t="shared" si="0"/>
        <v>30.183727034120736</v>
      </c>
      <c r="AI25" s="1430">
        <f t="shared" si="2"/>
        <v>35.76158940397351</v>
      </c>
      <c r="AJ25" s="1430">
        <f t="shared" si="3"/>
        <v>26.285714285714288</v>
      </c>
      <c r="AK25" s="1430">
        <f t="shared" si="4"/>
        <v>29.213483146067418</v>
      </c>
      <c r="AL25" s="1430">
        <f t="shared" si="5"/>
        <v>18.994413407821231</v>
      </c>
      <c r="AM25" s="1430">
        <f t="shared" si="6"/>
        <v>14.623172103487065</v>
      </c>
      <c r="AN25" s="1430">
        <f t="shared" si="7"/>
        <v>24.24942263279446</v>
      </c>
      <c r="AO25" s="1430">
        <f t="shared" si="8"/>
        <v>16.891891891891891</v>
      </c>
      <c r="AP25" s="1430">
        <f t="shared" si="9"/>
        <v>11.862396204033214</v>
      </c>
      <c r="AQ25" s="1430">
        <f t="shared" si="10"/>
        <v>29.232643118148598</v>
      </c>
      <c r="AR25" s="1430">
        <f t="shared" si="11"/>
        <v>28.02547770700637</v>
      </c>
      <c r="AS25" s="1430">
        <f t="shared" si="12"/>
        <v>22.988505747126435</v>
      </c>
      <c r="AT25" s="1430">
        <f t="shared" si="13"/>
        <v>13.904982618771726</v>
      </c>
      <c r="AU25" s="1430">
        <f t="shared" si="14"/>
        <v>23.341523341523342</v>
      </c>
      <c r="AV25" s="1431">
        <f t="shared" si="15"/>
        <v>21.992238033635189</v>
      </c>
    </row>
    <row r="26" spans="1:48" s="142" customFormat="1" ht="15.75" customHeight="1">
      <c r="A26" s="149" t="s">
        <v>56</v>
      </c>
      <c r="B26" s="189" t="s">
        <v>295</v>
      </c>
      <c r="C26" s="150" t="s">
        <v>266</v>
      </c>
      <c r="D26" s="1359">
        <v>292</v>
      </c>
      <c r="E26" s="1360">
        <v>266</v>
      </c>
      <c r="F26" s="1361">
        <v>276</v>
      </c>
      <c r="G26" s="1360">
        <v>262</v>
      </c>
      <c r="H26" s="1361">
        <v>236</v>
      </c>
      <c r="I26" s="1360">
        <v>273</v>
      </c>
      <c r="J26" s="1361">
        <v>269</v>
      </c>
      <c r="K26" s="1360">
        <v>282</v>
      </c>
      <c r="L26" s="1374">
        <v>284</v>
      </c>
      <c r="M26" s="1374">
        <v>298</v>
      </c>
      <c r="N26" s="1374">
        <v>251</v>
      </c>
      <c r="O26" s="1374">
        <v>274</v>
      </c>
      <c r="P26" s="1375">
        <v>247</v>
      </c>
      <c r="Q26" s="1375">
        <v>250</v>
      </c>
      <c r="R26" s="1376">
        <v>234</v>
      </c>
      <c r="S26" s="1383">
        <v>19556</v>
      </c>
      <c r="T26" s="1384">
        <v>19846</v>
      </c>
      <c r="U26" s="1384">
        <v>21786</v>
      </c>
      <c r="V26" s="1384">
        <v>22558</v>
      </c>
      <c r="W26" s="1384">
        <v>22878</v>
      </c>
      <c r="X26" s="1384">
        <v>23226</v>
      </c>
      <c r="Y26" s="1384">
        <v>23494</v>
      </c>
      <c r="Z26" s="1384">
        <v>23339</v>
      </c>
      <c r="AA26" s="1384">
        <v>23173</v>
      </c>
      <c r="AB26" s="1384">
        <v>23273</v>
      </c>
      <c r="AC26" s="1384">
        <v>23024</v>
      </c>
      <c r="AD26" s="1384">
        <v>24677</v>
      </c>
      <c r="AE26" s="1384">
        <v>25150</v>
      </c>
      <c r="AF26" s="1384">
        <v>25241</v>
      </c>
      <c r="AG26" s="1385">
        <v>25417</v>
      </c>
      <c r="AH26" s="1429">
        <f t="shared" si="0"/>
        <v>14.93147883002659</v>
      </c>
      <c r="AI26" s="1430">
        <f t="shared" si="2"/>
        <v>13.40320467600524</v>
      </c>
      <c r="AJ26" s="1430">
        <f t="shared" si="3"/>
        <v>12.668686312310658</v>
      </c>
      <c r="AK26" s="1430">
        <f t="shared" si="4"/>
        <v>11.614504831988651</v>
      </c>
      <c r="AL26" s="1430">
        <f t="shared" si="5"/>
        <v>10.31558702683801</v>
      </c>
      <c r="AM26" s="1430">
        <f t="shared" si="6"/>
        <v>11.754068716094032</v>
      </c>
      <c r="AN26" s="1430">
        <f t="shared" si="7"/>
        <v>11.449731846428875</v>
      </c>
      <c r="AO26" s="1430">
        <f t="shared" si="8"/>
        <v>12.082779896310896</v>
      </c>
      <c r="AP26" s="1430">
        <f t="shared" si="9"/>
        <v>12.25564234238122</v>
      </c>
      <c r="AQ26" s="1430">
        <f t="shared" si="10"/>
        <v>12.804537446826796</v>
      </c>
      <c r="AR26" s="1430">
        <f t="shared" si="11"/>
        <v>10.901667824878388</v>
      </c>
      <c r="AS26" s="1430">
        <f t="shared" si="12"/>
        <v>11.103456660047819</v>
      </c>
      <c r="AT26" s="1430">
        <f t="shared" si="13"/>
        <v>9.821073558648111</v>
      </c>
      <c r="AU26" s="1430">
        <f t="shared" si="14"/>
        <v>9.904520423121113</v>
      </c>
      <c r="AV26" s="1431">
        <f t="shared" si="15"/>
        <v>9.2064366368965658</v>
      </c>
    </row>
    <row r="27" spans="1:48" s="142" customFormat="1" ht="15.75" customHeight="1">
      <c r="A27" s="149" t="s">
        <v>58</v>
      </c>
      <c r="B27" s="189" t="s">
        <v>59</v>
      </c>
      <c r="C27" s="150" t="s">
        <v>267</v>
      </c>
      <c r="D27" s="1359">
        <v>11</v>
      </c>
      <c r="E27" s="1360">
        <v>15</v>
      </c>
      <c r="F27" s="1361">
        <v>12</v>
      </c>
      <c r="G27" s="1360">
        <v>12</v>
      </c>
      <c r="H27" s="1361">
        <v>11</v>
      </c>
      <c r="I27" s="1360">
        <v>8</v>
      </c>
      <c r="J27" s="1361">
        <v>11</v>
      </c>
      <c r="K27" s="1360">
        <v>8</v>
      </c>
      <c r="L27" s="1374">
        <v>17</v>
      </c>
      <c r="M27" s="1374">
        <v>11</v>
      </c>
      <c r="N27" s="1374">
        <v>6</v>
      </c>
      <c r="O27" s="1374">
        <v>6</v>
      </c>
      <c r="P27" s="1375">
        <v>14</v>
      </c>
      <c r="Q27" s="1375">
        <v>7</v>
      </c>
      <c r="R27" s="1376">
        <v>10</v>
      </c>
      <c r="S27" s="1383">
        <v>799</v>
      </c>
      <c r="T27" s="1384">
        <v>812</v>
      </c>
      <c r="U27" s="1384">
        <v>788</v>
      </c>
      <c r="V27" s="1384">
        <v>830</v>
      </c>
      <c r="W27" s="1384">
        <v>856</v>
      </c>
      <c r="X27" s="1384">
        <v>892</v>
      </c>
      <c r="Y27" s="1384">
        <v>912</v>
      </c>
      <c r="Z27" s="1384">
        <v>941</v>
      </c>
      <c r="AA27" s="1384">
        <v>935</v>
      </c>
      <c r="AB27" s="1384">
        <v>919</v>
      </c>
      <c r="AC27" s="1384">
        <v>885</v>
      </c>
      <c r="AD27" s="1384">
        <v>938</v>
      </c>
      <c r="AE27" s="1384">
        <v>925</v>
      </c>
      <c r="AF27" s="1384">
        <v>964</v>
      </c>
      <c r="AG27" s="1385">
        <v>970</v>
      </c>
      <c r="AH27" s="1429">
        <f t="shared" si="0"/>
        <v>13.767209011264081</v>
      </c>
      <c r="AI27" s="1430">
        <f t="shared" si="2"/>
        <v>18.47290640394089</v>
      </c>
      <c r="AJ27" s="1430">
        <f t="shared" si="3"/>
        <v>15.228426395939087</v>
      </c>
      <c r="AK27" s="1430">
        <f t="shared" si="4"/>
        <v>14.457831325301205</v>
      </c>
      <c r="AL27" s="1430">
        <f t="shared" si="5"/>
        <v>12.850467289719626</v>
      </c>
      <c r="AM27" s="1430">
        <f t="shared" si="6"/>
        <v>8.9686098654708513</v>
      </c>
      <c r="AN27" s="1430">
        <f t="shared" si="7"/>
        <v>12.06140350877193</v>
      </c>
      <c r="AO27" s="1430">
        <f t="shared" si="8"/>
        <v>8.501594048884165</v>
      </c>
      <c r="AP27" s="1430">
        <f t="shared" si="9"/>
        <v>18.18181818181818</v>
      </c>
      <c r="AQ27" s="1430">
        <f t="shared" si="10"/>
        <v>11.969532100108813</v>
      </c>
      <c r="AR27" s="1430">
        <f t="shared" si="11"/>
        <v>6.7796610169491522</v>
      </c>
      <c r="AS27" s="1430">
        <f t="shared" si="12"/>
        <v>6.3965884861407245</v>
      </c>
      <c r="AT27" s="1430">
        <f t="shared" si="13"/>
        <v>15.135135135135135</v>
      </c>
      <c r="AU27" s="1430">
        <f t="shared" si="14"/>
        <v>7.2614107883817427</v>
      </c>
      <c r="AV27" s="1431">
        <f t="shared" si="15"/>
        <v>10.309278350515465</v>
      </c>
    </row>
    <row r="28" spans="1:48" s="142" customFormat="1" ht="15.75" customHeight="1">
      <c r="A28" s="149" t="s">
        <v>60</v>
      </c>
      <c r="B28" s="189" t="s">
        <v>61</v>
      </c>
      <c r="C28" s="150" t="s">
        <v>265</v>
      </c>
      <c r="D28" s="1359">
        <v>11</v>
      </c>
      <c r="E28" s="1360">
        <v>7</v>
      </c>
      <c r="F28" s="1361">
        <v>5</v>
      </c>
      <c r="G28" s="1360">
        <v>5</v>
      </c>
      <c r="H28" s="1361">
        <v>3</v>
      </c>
      <c r="I28" s="1360">
        <v>4</v>
      </c>
      <c r="J28" s="1361">
        <v>2</v>
      </c>
      <c r="K28" s="1360">
        <v>4</v>
      </c>
      <c r="L28" s="1374">
        <v>5</v>
      </c>
      <c r="M28" s="1374">
        <v>4</v>
      </c>
      <c r="N28" s="1374">
        <v>5</v>
      </c>
      <c r="O28" s="1374">
        <v>10</v>
      </c>
      <c r="P28" s="1375">
        <v>3</v>
      </c>
      <c r="Q28" s="1375">
        <v>4</v>
      </c>
      <c r="R28" s="1376">
        <v>3</v>
      </c>
      <c r="S28" s="1383">
        <v>250</v>
      </c>
      <c r="T28" s="1384">
        <v>248</v>
      </c>
      <c r="U28" s="1384">
        <v>304</v>
      </c>
      <c r="V28" s="1384">
        <v>329</v>
      </c>
      <c r="W28" s="1384">
        <v>329</v>
      </c>
      <c r="X28" s="1384">
        <v>331</v>
      </c>
      <c r="Y28" s="1384">
        <v>339</v>
      </c>
      <c r="Z28" s="1384">
        <v>342</v>
      </c>
      <c r="AA28" s="1384">
        <v>341</v>
      </c>
      <c r="AB28" s="1384">
        <v>321</v>
      </c>
      <c r="AC28" s="1384">
        <v>314</v>
      </c>
      <c r="AD28" s="1384">
        <v>304</v>
      </c>
      <c r="AE28" s="1384">
        <v>325</v>
      </c>
      <c r="AF28" s="1384">
        <v>323</v>
      </c>
      <c r="AG28" s="1385">
        <v>317</v>
      </c>
      <c r="AH28" s="1429">
        <f t="shared" si="0"/>
        <v>44</v>
      </c>
      <c r="AI28" s="1430">
        <f t="shared" si="2"/>
        <v>28.225806451612904</v>
      </c>
      <c r="AJ28" s="1430">
        <f t="shared" si="3"/>
        <v>16.44736842105263</v>
      </c>
      <c r="AK28" s="1430">
        <f t="shared" si="4"/>
        <v>15.197568389057752</v>
      </c>
      <c r="AL28" s="1430">
        <f t="shared" si="5"/>
        <v>9.1185410334346493</v>
      </c>
      <c r="AM28" s="1430">
        <f t="shared" si="6"/>
        <v>12.084592145015106</v>
      </c>
      <c r="AN28" s="1430">
        <f t="shared" si="7"/>
        <v>5.8997050147492622</v>
      </c>
      <c r="AO28" s="1430">
        <f t="shared" si="8"/>
        <v>11.695906432748536</v>
      </c>
      <c r="AP28" s="1430">
        <f t="shared" si="9"/>
        <v>14.66275659824047</v>
      </c>
      <c r="AQ28" s="1430">
        <f t="shared" si="10"/>
        <v>12.461059190031152</v>
      </c>
      <c r="AR28" s="1430">
        <f t="shared" si="11"/>
        <v>15.923566878980891</v>
      </c>
      <c r="AS28" s="1430">
        <f t="shared" si="12"/>
        <v>32.89473684210526</v>
      </c>
      <c r="AT28" s="1430">
        <f t="shared" si="13"/>
        <v>9.2307692307692317</v>
      </c>
      <c r="AU28" s="1430">
        <f t="shared" si="14"/>
        <v>12.383900928792571</v>
      </c>
      <c r="AV28" s="1431">
        <f t="shared" si="15"/>
        <v>9.4637223974763405</v>
      </c>
    </row>
    <row r="29" spans="1:48" s="142" customFormat="1" ht="15.75" customHeight="1">
      <c r="A29" s="149" t="s">
        <v>62</v>
      </c>
      <c r="B29" s="189" t="s">
        <v>63</v>
      </c>
      <c r="C29" s="150" t="s">
        <v>267</v>
      </c>
      <c r="D29" s="1359">
        <v>69</v>
      </c>
      <c r="E29" s="1360">
        <v>53</v>
      </c>
      <c r="F29" s="1361">
        <v>65</v>
      </c>
      <c r="G29" s="1360">
        <v>45</v>
      </c>
      <c r="H29" s="1361">
        <v>45</v>
      </c>
      <c r="I29" s="1360">
        <v>59</v>
      </c>
      <c r="J29" s="1361">
        <v>51</v>
      </c>
      <c r="K29" s="1360">
        <v>54</v>
      </c>
      <c r="L29" s="1374">
        <v>63</v>
      </c>
      <c r="M29" s="1374">
        <v>67</v>
      </c>
      <c r="N29" s="1374">
        <v>61</v>
      </c>
      <c r="O29" s="1374">
        <v>55</v>
      </c>
      <c r="P29" s="1375">
        <v>48</v>
      </c>
      <c r="Q29" s="1375">
        <v>44</v>
      </c>
      <c r="R29" s="1376">
        <v>48</v>
      </c>
      <c r="S29" s="1383">
        <v>2245</v>
      </c>
      <c r="T29" s="1384">
        <v>2294</v>
      </c>
      <c r="U29" s="1384">
        <v>2384</v>
      </c>
      <c r="V29" s="1384">
        <v>2513</v>
      </c>
      <c r="W29" s="1384">
        <v>2570</v>
      </c>
      <c r="X29" s="1384">
        <v>2674</v>
      </c>
      <c r="Y29" s="1384">
        <v>2765</v>
      </c>
      <c r="Z29" s="1384">
        <v>2841</v>
      </c>
      <c r="AA29" s="1384">
        <v>2885</v>
      </c>
      <c r="AB29" s="1384">
        <v>2878</v>
      </c>
      <c r="AC29" s="1384">
        <v>2846</v>
      </c>
      <c r="AD29" s="1384">
        <v>3047</v>
      </c>
      <c r="AE29" s="1384">
        <v>3118</v>
      </c>
      <c r="AF29" s="1384">
        <v>3137</v>
      </c>
      <c r="AG29" s="1385">
        <v>3228</v>
      </c>
      <c r="AH29" s="1429">
        <f t="shared" si="0"/>
        <v>30.734966592427618</v>
      </c>
      <c r="AI29" s="1430">
        <f t="shared" si="2"/>
        <v>23.103748910200522</v>
      </c>
      <c r="AJ29" s="1430">
        <f t="shared" si="3"/>
        <v>27.265100671140939</v>
      </c>
      <c r="AK29" s="1430">
        <f t="shared" si="4"/>
        <v>17.906884202148827</v>
      </c>
      <c r="AL29" s="1430">
        <f t="shared" si="5"/>
        <v>17.509727626459146</v>
      </c>
      <c r="AM29" s="1430">
        <f t="shared" si="6"/>
        <v>22.064323111443532</v>
      </c>
      <c r="AN29" s="1430">
        <f t="shared" si="7"/>
        <v>18.44484629294756</v>
      </c>
      <c r="AO29" s="1430">
        <f t="shared" si="8"/>
        <v>19.00739176346357</v>
      </c>
      <c r="AP29" s="1430">
        <f t="shared" si="9"/>
        <v>21.837088388214905</v>
      </c>
      <c r="AQ29" s="1430">
        <f t="shared" si="10"/>
        <v>23.280055594162611</v>
      </c>
      <c r="AR29" s="1430">
        <f t="shared" si="11"/>
        <v>21.433591004919187</v>
      </c>
      <c r="AS29" s="1430">
        <f t="shared" si="12"/>
        <v>18.050541516245488</v>
      </c>
      <c r="AT29" s="1430">
        <f t="shared" si="13"/>
        <v>15.394483643361129</v>
      </c>
      <c r="AU29" s="1430">
        <f t="shared" si="14"/>
        <v>14.026139623844438</v>
      </c>
      <c r="AV29" s="1431">
        <f t="shared" si="15"/>
        <v>14.869888475836431</v>
      </c>
    </row>
    <row r="30" spans="1:48" s="142" customFormat="1" ht="15.75" customHeight="1">
      <c r="A30" s="149" t="s">
        <v>64</v>
      </c>
      <c r="B30" s="189" t="s">
        <v>65</v>
      </c>
      <c r="C30" s="150" t="s">
        <v>266</v>
      </c>
      <c r="D30" s="1359">
        <v>17</v>
      </c>
      <c r="E30" s="1360">
        <v>13</v>
      </c>
      <c r="F30" s="1361">
        <v>8</v>
      </c>
      <c r="G30" s="1360">
        <v>21</v>
      </c>
      <c r="H30" s="1361">
        <v>13</v>
      </c>
      <c r="I30" s="1360">
        <v>19</v>
      </c>
      <c r="J30" s="1361">
        <v>13</v>
      </c>
      <c r="K30" s="1360">
        <v>11</v>
      </c>
      <c r="L30" s="1374">
        <v>8</v>
      </c>
      <c r="M30" s="1374">
        <v>11</v>
      </c>
      <c r="N30" s="1374">
        <v>5</v>
      </c>
      <c r="O30" s="1374">
        <v>10</v>
      </c>
      <c r="P30" s="1375">
        <v>12</v>
      </c>
      <c r="Q30" s="1375">
        <v>11</v>
      </c>
      <c r="R30" s="1376">
        <v>8</v>
      </c>
      <c r="S30" s="1383">
        <v>558</v>
      </c>
      <c r="T30" s="1384">
        <v>558</v>
      </c>
      <c r="U30" s="1384">
        <v>585</v>
      </c>
      <c r="V30" s="1384">
        <v>597</v>
      </c>
      <c r="W30" s="1384">
        <v>604</v>
      </c>
      <c r="X30" s="1384">
        <v>618</v>
      </c>
      <c r="Y30" s="1384">
        <v>622</v>
      </c>
      <c r="Z30" s="1384">
        <v>630</v>
      </c>
      <c r="AA30" s="1384">
        <v>610</v>
      </c>
      <c r="AB30" s="1384">
        <v>608</v>
      </c>
      <c r="AC30" s="1384">
        <v>612</v>
      </c>
      <c r="AD30" s="1384">
        <v>645</v>
      </c>
      <c r="AE30" s="1384">
        <v>666</v>
      </c>
      <c r="AF30" s="1384">
        <v>637</v>
      </c>
      <c r="AG30" s="1385">
        <v>617</v>
      </c>
      <c r="AH30" s="1429">
        <f t="shared" si="0"/>
        <v>30.465949820788531</v>
      </c>
      <c r="AI30" s="1430">
        <f t="shared" si="2"/>
        <v>23.297491039426525</v>
      </c>
      <c r="AJ30" s="1430">
        <f t="shared" si="3"/>
        <v>13.675213675213675</v>
      </c>
      <c r="AK30" s="1430">
        <f t="shared" si="4"/>
        <v>35.175879396984925</v>
      </c>
      <c r="AL30" s="1430">
        <f t="shared" si="5"/>
        <v>21.523178807947019</v>
      </c>
      <c r="AM30" s="1430">
        <f t="shared" si="6"/>
        <v>30.744336569579286</v>
      </c>
      <c r="AN30" s="1430">
        <f t="shared" si="7"/>
        <v>20.90032154340836</v>
      </c>
      <c r="AO30" s="1430">
        <f t="shared" si="8"/>
        <v>17.460317460317462</v>
      </c>
      <c r="AP30" s="1430">
        <f t="shared" si="9"/>
        <v>13.114754098360656</v>
      </c>
      <c r="AQ30" s="1430">
        <f t="shared" si="10"/>
        <v>18.092105263157894</v>
      </c>
      <c r="AR30" s="1430">
        <f t="shared" si="11"/>
        <v>8.169934640522877</v>
      </c>
      <c r="AS30" s="1430">
        <f t="shared" si="12"/>
        <v>15.503875968992247</v>
      </c>
      <c r="AT30" s="1430">
        <f t="shared" si="13"/>
        <v>18.018018018018019</v>
      </c>
      <c r="AU30" s="1430">
        <f t="shared" si="14"/>
        <v>17.26844583987441</v>
      </c>
      <c r="AV30" s="1431">
        <f t="shared" si="15"/>
        <v>12.965964343598054</v>
      </c>
    </row>
    <row r="31" spans="1:48" s="142" customFormat="1" ht="15.75" customHeight="1">
      <c r="A31" s="149" t="s">
        <v>68</v>
      </c>
      <c r="B31" s="189" t="s">
        <v>69</v>
      </c>
      <c r="C31" s="150" t="s">
        <v>268</v>
      </c>
      <c r="D31" s="1359">
        <v>29</v>
      </c>
      <c r="E31" s="1360">
        <v>29</v>
      </c>
      <c r="F31" s="1361">
        <v>20</v>
      </c>
      <c r="G31" s="1360">
        <v>14</v>
      </c>
      <c r="H31" s="1361">
        <v>24</v>
      </c>
      <c r="I31" s="1360">
        <v>19</v>
      </c>
      <c r="J31" s="1361">
        <v>20</v>
      </c>
      <c r="K31" s="1360">
        <v>21</v>
      </c>
      <c r="L31" s="1374">
        <v>27</v>
      </c>
      <c r="M31" s="1374">
        <v>27</v>
      </c>
      <c r="N31" s="1374">
        <v>22</v>
      </c>
      <c r="O31" s="1374">
        <v>24</v>
      </c>
      <c r="P31" s="1375">
        <v>25</v>
      </c>
      <c r="Q31" s="1375">
        <v>27</v>
      </c>
      <c r="R31" s="1376">
        <v>20</v>
      </c>
      <c r="S31" s="1383">
        <v>1107</v>
      </c>
      <c r="T31" s="1384">
        <v>1063</v>
      </c>
      <c r="U31" s="1384">
        <v>1096</v>
      </c>
      <c r="V31" s="1384">
        <v>1040</v>
      </c>
      <c r="W31" s="1384">
        <v>1015</v>
      </c>
      <c r="X31" s="1384">
        <v>999</v>
      </c>
      <c r="Y31" s="1384">
        <v>975</v>
      </c>
      <c r="Z31" s="1384">
        <v>962</v>
      </c>
      <c r="AA31" s="1384">
        <v>917</v>
      </c>
      <c r="AB31" s="1384">
        <v>875</v>
      </c>
      <c r="AC31" s="1384">
        <v>879</v>
      </c>
      <c r="AD31" s="1384">
        <v>905</v>
      </c>
      <c r="AE31" s="1384">
        <v>959</v>
      </c>
      <c r="AF31" s="1384">
        <v>905</v>
      </c>
      <c r="AG31" s="1385">
        <v>887</v>
      </c>
      <c r="AH31" s="1429">
        <f t="shared" si="0"/>
        <v>26.196928635953029</v>
      </c>
      <c r="AI31" s="1430">
        <f t="shared" si="2"/>
        <v>27.281279397930383</v>
      </c>
      <c r="AJ31" s="1430">
        <f t="shared" si="3"/>
        <v>18.248175182481749</v>
      </c>
      <c r="AK31" s="1430">
        <f t="shared" si="4"/>
        <v>13.461538461538462</v>
      </c>
      <c r="AL31" s="1430">
        <f t="shared" si="5"/>
        <v>23.645320197044338</v>
      </c>
      <c r="AM31" s="1430">
        <f t="shared" si="6"/>
        <v>19.019019019019019</v>
      </c>
      <c r="AN31" s="1430">
        <f t="shared" si="7"/>
        <v>20.512820512820515</v>
      </c>
      <c r="AO31" s="1430">
        <f t="shared" si="8"/>
        <v>21.829521829521831</v>
      </c>
      <c r="AP31" s="1430">
        <f t="shared" si="9"/>
        <v>29.443838604143945</v>
      </c>
      <c r="AQ31" s="1430">
        <f t="shared" si="10"/>
        <v>30.857142857142858</v>
      </c>
      <c r="AR31" s="1430">
        <f t="shared" si="11"/>
        <v>25.028441410693972</v>
      </c>
      <c r="AS31" s="1430">
        <f t="shared" si="12"/>
        <v>26.519337016574585</v>
      </c>
      <c r="AT31" s="1430">
        <f t="shared" si="13"/>
        <v>26.068821689259646</v>
      </c>
      <c r="AU31" s="1430">
        <f t="shared" si="14"/>
        <v>29.834254143646408</v>
      </c>
      <c r="AV31" s="1431">
        <f t="shared" si="15"/>
        <v>22.547914317925592</v>
      </c>
    </row>
    <row r="32" spans="1:48" s="142" customFormat="1" ht="15.75" customHeight="1">
      <c r="A32" s="149" t="s">
        <v>70</v>
      </c>
      <c r="B32" s="189" t="s">
        <v>71</v>
      </c>
      <c r="C32" s="150" t="s">
        <v>264</v>
      </c>
      <c r="D32" s="1359">
        <v>30</v>
      </c>
      <c r="E32" s="1360">
        <v>33</v>
      </c>
      <c r="F32" s="1361">
        <v>29</v>
      </c>
      <c r="G32" s="1360">
        <v>33</v>
      </c>
      <c r="H32" s="1361">
        <v>32</v>
      </c>
      <c r="I32" s="1360">
        <v>33</v>
      </c>
      <c r="J32" s="1361">
        <v>32</v>
      </c>
      <c r="K32" s="1360">
        <v>28</v>
      </c>
      <c r="L32" s="1374">
        <v>41</v>
      </c>
      <c r="M32" s="1374">
        <v>37</v>
      </c>
      <c r="N32" s="1374">
        <v>35</v>
      </c>
      <c r="O32" s="1374">
        <v>20</v>
      </c>
      <c r="P32" s="1375">
        <v>29</v>
      </c>
      <c r="Q32" s="1375">
        <v>31</v>
      </c>
      <c r="R32" s="1376">
        <v>25</v>
      </c>
      <c r="S32" s="1383">
        <v>1476</v>
      </c>
      <c r="T32" s="1384">
        <v>1476</v>
      </c>
      <c r="U32" s="1384">
        <v>1587</v>
      </c>
      <c r="V32" s="1384">
        <v>1614</v>
      </c>
      <c r="W32" s="1384">
        <v>1639</v>
      </c>
      <c r="X32" s="1384">
        <v>1700</v>
      </c>
      <c r="Y32" s="1384">
        <v>1740</v>
      </c>
      <c r="Z32" s="1384">
        <v>1738</v>
      </c>
      <c r="AA32" s="1384">
        <v>1688</v>
      </c>
      <c r="AB32" s="1384">
        <v>1664</v>
      </c>
      <c r="AC32" s="1384">
        <v>1662</v>
      </c>
      <c r="AD32" s="1384">
        <v>1816</v>
      </c>
      <c r="AE32" s="1384">
        <v>1897</v>
      </c>
      <c r="AF32" s="1384">
        <v>1828</v>
      </c>
      <c r="AG32" s="1385">
        <v>1830</v>
      </c>
      <c r="AH32" s="1429">
        <f t="shared" si="0"/>
        <v>20.325203252032519</v>
      </c>
      <c r="AI32" s="1430">
        <f t="shared" si="2"/>
        <v>22.357723577235774</v>
      </c>
      <c r="AJ32" s="1430">
        <f t="shared" si="3"/>
        <v>18.273471959672339</v>
      </c>
      <c r="AK32" s="1430">
        <f t="shared" si="4"/>
        <v>20.446096654275092</v>
      </c>
      <c r="AL32" s="1430">
        <f t="shared" si="5"/>
        <v>19.524100061012813</v>
      </c>
      <c r="AM32" s="1430">
        <f t="shared" si="6"/>
        <v>19.411764705882355</v>
      </c>
      <c r="AN32" s="1430">
        <f t="shared" si="7"/>
        <v>18.390804597701148</v>
      </c>
      <c r="AO32" s="1430">
        <f t="shared" si="8"/>
        <v>16.11047180667434</v>
      </c>
      <c r="AP32" s="1430">
        <f t="shared" si="9"/>
        <v>24.289099526066352</v>
      </c>
      <c r="AQ32" s="1430">
        <f t="shared" si="10"/>
        <v>22.235576923076923</v>
      </c>
      <c r="AR32" s="1430">
        <f t="shared" si="11"/>
        <v>21.0589651022864</v>
      </c>
      <c r="AS32" s="1430">
        <f t="shared" si="12"/>
        <v>11.013215859030838</v>
      </c>
      <c r="AT32" s="1430">
        <f t="shared" si="13"/>
        <v>15.287295730100158</v>
      </c>
      <c r="AU32" s="1430">
        <f t="shared" si="14"/>
        <v>16.958424507658645</v>
      </c>
      <c r="AV32" s="1431">
        <f t="shared" si="15"/>
        <v>13.66120218579235</v>
      </c>
    </row>
    <row r="33" spans="1:48" s="142" customFormat="1" ht="15.75" customHeight="1">
      <c r="A33" s="149" t="s">
        <v>72</v>
      </c>
      <c r="B33" s="189" t="s">
        <v>73</v>
      </c>
      <c r="C33" s="150" t="s">
        <v>266</v>
      </c>
      <c r="D33" s="1359">
        <v>16</v>
      </c>
      <c r="E33" s="1360">
        <v>17</v>
      </c>
      <c r="F33" s="1361">
        <v>25</v>
      </c>
      <c r="G33" s="1360">
        <v>7</v>
      </c>
      <c r="H33" s="1361">
        <v>17</v>
      </c>
      <c r="I33" s="1360">
        <v>19</v>
      </c>
      <c r="J33" s="1361">
        <v>12</v>
      </c>
      <c r="K33" s="1360">
        <v>11</v>
      </c>
      <c r="L33" s="1374">
        <v>24</v>
      </c>
      <c r="M33" s="1374">
        <v>14</v>
      </c>
      <c r="N33" s="1374">
        <v>22</v>
      </c>
      <c r="O33" s="1374">
        <v>23</v>
      </c>
      <c r="P33" s="1375">
        <v>18</v>
      </c>
      <c r="Q33" s="1375">
        <v>14</v>
      </c>
      <c r="R33" s="1376">
        <v>17</v>
      </c>
      <c r="S33" s="1383">
        <v>569</v>
      </c>
      <c r="T33" s="1384">
        <v>566</v>
      </c>
      <c r="U33" s="1384">
        <v>653</v>
      </c>
      <c r="V33" s="1384">
        <v>688</v>
      </c>
      <c r="W33" s="1384">
        <v>689</v>
      </c>
      <c r="X33" s="1384">
        <v>720</v>
      </c>
      <c r="Y33" s="1384">
        <v>719</v>
      </c>
      <c r="Z33" s="1384">
        <v>699</v>
      </c>
      <c r="AA33" s="1384">
        <v>670</v>
      </c>
      <c r="AB33" s="1384">
        <v>654</v>
      </c>
      <c r="AC33" s="1384">
        <v>635</v>
      </c>
      <c r="AD33" s="1384">
        <v>670</v>
      </c>
      <c r="AE33" s="1384">
        <v>771</v>
      </c>
      <c r="AF33" s="1384">
        <v>775</v>
      </c>
      <c r="AG33" s="1385">
        <v>739</v>
      </c>
      <c r="AH33" s="1429">
        <f t="shared" si="0"/>
        <v>28.119507908611599</v>
      </c>
      <c r="AI33" s="1430">
        <f t="shared" si="2"/>
        <v>30.035335689045933</v>
      </c>
      <c r="AJ33" s="1430">
        <f t="shared" si="3"/>
        <v>38.28483920367534</v>
      </c>
      <c r="AK33" s="1430">
        <f t="shared" si="4"/>
        <v>10.174418604651164</v>
      </c>
      <c r="AL33" s="1430">
        <f t="shared" si="5"/>
        <v>24.673439767779392</v>
      </c>
      <c r="AM33" s="1430">
        <f t="shared" si="6"/>
        <v>26.388888888888889</v>
      </c>
      <c r="AN33" s="1430">
        <f t="shared" si="7"/>
        <v>16.689847009735743</v>
      </c>
      <c r="AO33" s="1430">
        <f t="shared" si="8"/>
        <v>15.736766809728183</v>
      </c>
      <c r="AP33" s="1430">
        <f t="shared" si="9"/>
        <v>35.820895522388064</v>
      </c>
      <c r="AQ33" s="1430">
        <f t="shared" si="10"/>
        <v>21.406727828746178</v>
      </c>
      <c r="AR33" s="1430">
        <f t="shared" si="11"/>
        <v>34.645669291338585</v>
      </c>
      <c r="AS33" s="1430">
        <f t="shared" si="12"/>
        <v>34.328358208955223</v>
      </c>
      <c r="AT33" s="1430">
        <f t="shared" si="13"/>
        <v>23.346303501945524</v>
      </c>
      <c r="AU33" s="1430">
        <f t="shared" si="14"/>
        <v>18.06451612903226</v>
      </c>
      <c r="AV33" s="1431">
        <f t="shared" si="15"/>
        <v>23.004059539918806</v>
      </c>
    </row>
    <row r="34" spans="1:48" s="142" customFormat="1" ht="15.75" customHeight="1">
      <c r="A34" s="149" t="s">
        <v>74</v>
      </c>
      <c r="B34" s="189" t="s">
        <v>618</v>
      </c>
      <c r="C34" s="150" t="s">
        <v>267</v>
      </c>
      <c r="D34" s="1359">
        <v>542</v>
      </c>
      <c r="E34" s="1360">
        <v>588</v>
      </c>
      <c r="F34" s="1361">
        <v>616</v>
      </c>
      <c r="G34" s="1360">
        <v>584</v>
      </c>
      <c r="H34" s="1361">
        <v>565</v>
      </c>
      <c r="I34" s="1360">
        <v>547</v>
      </c>
      <c r="J34" s="1361">
        <v>571</v>
      </c>
      <c r="K34" s="1360">
        <v>596</v>
      </c>
      <c r="L34" s="1374">
        <v>626</v>
      </c>
      <c r="M34" s="1374">
        <v>591</v>
      </c>
      <c r="N34" s="1374">
        <v>583</v>
      </c>
      <c r="O34" s="1374">
        <v>504</v>
      </c>
      <c r="P34" s="1375">
        <v>394</v>
      </c>
      <c r="Q34" s="1375">
        <v>399</v>
      </c>
      <c r="R34" s="1376">
        <v>381</v>
      </c>
      <c r="S34" s="1383">
        <v>64605</v>
      </c>
      <c r="T34" s="1384">
        <v>65953</v>
      </c>
      <c r="U34" s="1384">
        <v>63467</v>
      </c>
      <c r="V34" s="1384">
        <v>66451</v>
      </c>
      <c r="W34" s="1384">
        <v>67592</v>
      </c>
      <c r="X34" s="1384">
        <v>67911</v>
      </c>
      <c r="Y34" s="1384">
        <v>67862</v>
      </c>
      <c r="Z34" s="1384">
        <v>68131</v>
      </c>
      <c r="AA34" s="1384">
        <v>67569</v>
      </c>
      <c r="AB34" s="1384">
        <v>68401</v>
      </c>
      <c r="AC34" s="1384">
        <v>67702</v>
      </c>
      <c r="AD34" s="1384">
        <v>67346</v>
      </c>
      <c r="AE34" s="1384">
        <v>69287</v>
      </c>
      <c r="AF34" s="1384">
        <v>70994</v>
      </c>
      <c r="AG34" s="1385">
        <v>72210</v>
      </c>
      <c r="AH34" s="1429">
        <f t="shared" si="0"/>
        <v>8.3894435415215529</v>
      </c>
      <c r="AI34" s="1430">
        <f t="shared" si="2"/>
        <v>8.9154397828756835</v>
      </c>
      <c r="AJ34" s="1430">
        <f t="shared" si="3"/>
        <v>9.7058313769360449</v>
      </c>
      <c r="AK34" s="1430">
        <f t="shared" si="4"/>
        <v>8.7884305729033425</v>
      </c>
      <c r="AL34" s="1430">
        <f t="shared" si="5"/>
        <v>8.3589773937744098</v>
      </c>
      <c r="AM34" s="1430">
        <f t="shared" si="6"/>
        <v>8.0546597752941356</v>
      </c>
      <c r="AN34" s="1430">
        <f t="shared" si="7"/>
        <v>8.4141345672099259</v>
      </c>
      <c r="AO34" s="1430">
        <f t="shared" si="8"/>
        <v>8.7478534000675179</v>
      </c>
      <c r="AP34" s="1430">
        <f t="shared" si="9"/>
        <v>9.2646035904038833</v>
      </c>
      <c r="AQ34" s="1430">
        <f t="shared" si="10"/>
        <v>8.6402245581204955</v>
      </c>
      <c r="AR34" s="1430">
        <f t="shared" si="11"/>
        <v>8.6112670231307789</v>
      </c>
      <c r="AS34" s="1430">
        <f t="shared" si="12"/>
        <v>7.4837406824458768</v>
      </c>
      <c r="AT34" s="1430">
        <f t="shared" si="13"/>
        <v>5.6864924156046586</v>
      </c>
      <c r="AU34" s="1430">
        <f t="shared" si="14"/>
        <v>5.6201932557680934</v>
      </c>
      <c r="AV34" s="1431">
        <f t="shared" si="15"/>
        <v>5.2762775238886581</v>
      </c>
    </row>
    <row r="35" spans="1:48" s="142" customFormat="1" ht="15.75" customHeight="1">
      <c r="A35" s="149" t="s">
        <v>76</v>
      </c>
      <c r="B35" s="189" t="s">
        <v>77</v>
      </c>
      <c r="C35" s="150" t="s">
        <v>267</v>
      </c>
      <c r="D35" s="1359">
        <v>46</v>
      </c>
      <c r="E35" s="1360">
        <v>67</v>
      </c>
      <c r="F35" s="1361">
        <v>57</v>
      </c>
      <c r="G35" s="1360">
        <v>63</v>
      </c>
      <c r="H35" s="1361">
        <v>60</v>
      </c>
      <c r="I35" s="1360">
        <v>48</v>
      </c>
      <c r="J35" s="1361">
        <v>54</v>
      </c>
      <c r="K35" s="1360">
        <v>59</v>
      </c>
      <c r="L35" s="1374">
        <v>63</v>
      </c>
      <c r="M35" s="1374">
        <v>62</v>
      </c>
      <c r="N35" s="1374">
        <v>55</v>
      </c>
      <c r="O35" s="1374">
        <v>40</v>
      </c>
      <c r="P35" s="1375">
        <v>53</v>
      </c>
      <c r="Q35" s="1375">
        <v>46</v>
      </c>
      <c r="R35" s="1376">
        <v>41</v>
      </c>
      <c r="S35" s="1383">
        <v>4252</v>
      </c>
      <c r="T35" s="1384">
        <v>4388</v>
      </c>
      <c r="U35" s="1384">
        <v>4115</v>
      </c>
      <c r="V35" s="1384">
        <v>4312</v>
      </c>
      <c r="W35" s="1384">
        <v>4406</v>
      </c>
      <c r="X35" s="1384">
        <v>4509</v>
      </c>
      <c r="Y35" s="1384">
        <v>4593</v>
      </c>
      <c r="Z35" s="1384">
        <v>4642</v>
      </c>
      <c r="AA35" s="1384">
        <v>4576</v>
      </c>
      <c r="AB35" s="1384">
        <v>4481</v>
      </c>
      <c r="AC35" s="1384">
        <v>4420</v>
      </c>
      <c r="AD35" s="1384">
        <v>4799</v>
      </c>
      <c r="AE35" s="1384">
        <v>4732</v>
      </c>
      <c r="AF35" s="1384">
        <v>4740</v>
      </c>
      <c r="AG35" s="1385">
        <v>4722</v>
      </c>
      <c r="AH35" s="1429">
        <f t="shared" si="0"/>
        <v>10.818438381937911</v>
      </c>
      <c r="AI35" s="1430">
        <f t="shared" si="2"/>
        <v>15.268915223336371</v>
      </c>
      <c r="AJ35" s="1430">
        <f t="shared" si="3"/>
        <v>13.85176184690158</v>
      </c>
      <c r="AK35" s="1430">
        <f t="shared" si="4"/>
        <v>14.61038961038961</v>
      </c>
      <c r="AL35" s="1430">
        <f t="shared" si="5"/>
        <v>13.617793917385384</v>
      </c>
      <c r="AM35" s="1430">
        <f t="shared" si="6"/>
        <v>10.645375914836993</v>
      </c>
      <c r="AN35" s="1430">
        <f t="shared" si="7"/>
        <v>11.757021554539516</v>
      </c>
      <c r="AO35" s="1430">
        <f t="shared" si="8"/>
        <v>12.710038776389487</v>
      </c>
      <c r="AP35" s="1430">
        <f t="shared" si="9"/>
        <v>13.767482517482518</v>
      </c>
      <c r="AQ35" s="1430">
        <f t="shared" si="10"/>
        <v>13.83619727739344</v>
      </c>
      <c r="AR35" s="1430">
        <f t="shared" si="11"/>
        <v>12.443438914027148</v>
      </c>
      <c r="AS35" s="1430">
        <f t="shared" si="12"/>
        <v>8.3350698062096278</v>
      </c>
      <c r="AT35" s="1430">
        <f t="shared" si="13"/>
        <v>11.200338123415046</v>
      </c>
      <c r="AU35" s="1430">
        <f t="shared" si="14"/>
        <v>9.7046413502109719</v>
      </c>
      <c r="AV35" s="1431">
        <f t="shared" si="15"/>
        <v>8.6827615417196107</v>
      </c>
    </row>
    <row r="36" spans="1:48" s="142" customFormat="1" ht="15.75" customHeight="1">
      <c r="A36" s="149" t="s">
        <v>78</v>
      </c>
      <c r="B36" s="189" t="s">
        <v>79</v>
      </c>
      <c r="C36" s="150" t="s">
        <v>268</v>
      </c>
      <c r="D36" s="1359">
        <v>16</v>
      </c>
      <c r="E36" s="1360">
        <v>20</v>
      </c>
      <c r="F36" s="1361">
        <v>15</v>
      </c>
      <c r="G36" s="1360">
        <v>18</v>
      </c>
      <c r="H36" s="1361">
        <v>11</v>
      </c>
      <c r="I36" s="1360">
        <v>13</v>
      </c>
      <c r="J36" s="1361">
        <v>9</v>
      </c>
      <c r="K36" s="1360">
        <v>11</v>
      </c>
      <c r="L36" s="1374">
        <v>13</v>
      </c>
      <c r="M36" s="1374">
        <v>12</v>
      </c>
      <c r="N36" s="1374">
        <v>12</v>
      </c>
      <c r="O36" s="1374">
        <v>18</v>
      </c>
      <c r="P36" s="1375">
        <v>14</v>
      </c>
      <c r="Q36" s="1375">
        <v>14</v>
      </c>
      <c r="R36" s="1376">
        <v>11</v>
      </c>
      <c r="S36" s="1383">
        <v>726</v>
      </c>
      <c r="T36" s="1384">
        <v>721</v>
      </c>
      <c r="U36" s="1384">
        <v>838</v>
      </c>
      <c r="V36" s="1384">
        <v>854</v>
      </c>
      <c r="W36" s="1384">
        <v>866</v>
      </c>
      <c r="X36" s="1384">
        <v>877</v>
      </c>
      <c r="Y36" s="1384">
        <v>892</v>
      </c>
      <c r="Z36" s="1384">
        <v>900</v>
      </c>
      <c r="AA36" s="1384">
        <v>900</v>
      </c>
      <c r="AB36" s="1384">
        <v>879</v>
      </c>
      <c r="AC36" s="1384">
        <v>866</v>
      </c>
      <c r="AD36" s="1384">
        <v>871</v>
      </c>
      <c r="AE36" s="1384">
        <v>910</v>
      </c>
      <c r="AF36" s="1384">
        <v>906</v>
      </c>
      <c r="AG36" s="1385">
        <v>911</v>
      </c>
      <c r="AH36" s="1429">
        <f t="shared" si="0"/>
        <v>22.03856749311295</v>
      </c>
      <c r="AI36" s="1430">
        <f t="shared" si="2"/>
        <v>27.739251040221916</v>
      </c>
      <c r="AJ36" s="1430">
        <f t="shared" si="3"/>
        <v>17.899761336515514</v>
      </c>
      <c r="AK36" s="1430">
        <f t="shared" si="4"/>
        <v>21.07728337236534</v>
      </c>
      <c r="AL36" s="1430">
        <f t="shared" si="5"/>
        <v>12.702078521939953</v>
      </c>
      <c r="AM36" s="1430">
        <f t="shared" si="6"/>
        <v>14.823261117445838</v>
      </c>
      <c r="AN36" s="1430">
        <f t="shared" si="7"/>
        <v>10.089686098654708</v>
      </c>
      <c r="AO36" s="1430">
        <f t="shared" si="8"/>
        <v>12.222222222222223</v>
      </c>
      <c r="AP36" s="1430">
        <f t="shared" si="9"/>
        <v>14.444444444444445</v>
      </c>
      <c r="AQ36" s="1430">
        <f t="shared" si="10"/>
        <v>13.651877133105803</v>
      </c>
      <c r="AR36" s="1430">
        <f t="shared" si="11"/>
        <v>13.856812933025404</v>
      </c>
      <c r="AS36" s="1430">
        <f t="shared" si="12"/>
        <v>20.66590126291619</v>
      </c>
      <c r="AT36" s="1430">
        <f t="shared" si="13"/>
        <v>15.384615384615385</v>
      </c>
      <c r="AU36" s="1430">
        <f t="shared" si="14"/>
        <v>15.452538631346579</v>
      </c>
      <c r="AV36" s="1431">
        <f t="shared" si="15"/>
        <v>12.074643249176729</v>
      </c>
    </row>
    <row r="37" spans="1:48" s="142" customFormat="1" ht="15.75" customHeight="1">
      <c r="A37" s="149" t="s">
        <v>80</v>
      </c>
      <c r="B37" s="189" t="s">
        <v>81</v>
      </c>
      <c r="C37" s="150" t="s">
        <v>266</v>
      </c>
      <c r="D37" s="1359">
        <v>15</v>
      </c>
      <c r="E37" s="1360">
        <v>22</v>
      </c>
      <c r="F37" s="1361">
        <v>13</v>
      </c>
      <c r="G37" s="1360">
        <v>13</v>
      </c>
      <c r="H37" s="1361">
        <v>30</v>
      </c>
      <c r="I37" s="1360">
        <v>20</v>
      </c>
      <c r="J37" s="1361">
        <v>22</v>
      </c>
      <c r="K37" s="1360">
        <v>21</v>
      </c>
      <c r="L37" s="1374">
        <v>16</v>
      </c>
      <c r="M37" s="1374">
        <v>20</v>
      </c>
      <c r="N37" s="1374">
        <v>22</v>
      </c>
      <c r="O37" s="1374">
        <v>14</v>
      </c>
      <c r="P37" s="1375">
        <v>16</v>
      </c>
      <c r="Q37" s="1375">
        <v>10</v>
      </c>
      <c r="R37" s="1376">
        <v>11</v>
      </c>
      <c r="S37" s="1383">
        <v>941</v>
      </c>
      <c r="T37" s="1384">
        <v>960</v>
      </c>
      <c r="U37" s="1384">
        <v>1180</v>
      </c>
      <c r="V37" s="1384">
        <v>1261</v>
      </c>
      <c r="W37" s="1384">
        <v>1339</v>
      </c>
      <c r="X37" s="1384">
        <v>1422</v>
      </c>
      <c r="Y37" s="1384">
        <v>1484</v>
      </c>
      <c r="Z37" s="1384">
        <v>1560</v>
      </c>
      <c r="AA37" s="1384">
        <v>1565</v>
      </c>
      <c r="AB37" s="1384">
        <v>1564</v>
      </c>
      <c r="AC37" s="1384">
        <v>1596</v>
      </c>
      <c r="AD37" s="1384">
        <v>1579</v>
      </c>
      <c r="AE37" s="1384">
        <v>1600</v>
      </c>
      <c r="AF37" s="1384">
        <v>1642</v>
      </c>
      <c r="AG37" s="1385">
        <v>1606</v>
      </c>
      <c r="AH37" s="1429">
        <f t="shared" ref="AH37:AH68" si="16">IF(D37=0,"0",(D37/S37)*1000)</f>
        <v>15.940488841657812</v>
      </c>
      <c r="AI37" s="1430">
        <f t="shared" si="2"/>
        <v>22.916666666666664</v>
      </c>
      <c r="AJ37" s="1430">
        <f t="shared" si="3"/>
        <v>11.016949152542372</v>
      </c>
      <c r="AK37" s="1430">
        <f t="shared" si="4"/>
        <v>10.309278350515465</v>
      </c>
      <c r="AL37" s="1430">
        <f t="shared" si="5"/>
        <v>22.404779686333082</v>
      </c>
      <c r="AM37" s="1430">
        <f t="shared" si="6"/>
        <v>14.064697609001406</v>
      </c>
      <c r="AN37" s="1430">
        <f t="shared" si="7"/>
        <v>14.824797843665769</v>
      </c>
      <c r="AO37" s="1430">
        <f t="shared" si="8"/>
        <v>13.461538461538462</v>
      </c>
      <c r="AP37" s="1430">
        <f t="shared" si="9"/>
        <v>10.223642172523961</v>
      </c>
      <c r="AQ37" s="1430">
        <f t="shared" si="10"/>
        <v>12.787723785166239</v>
      </c>
      <c r="AR37" s="1430">
        <f t="shared" si="11"/>
        <v>13.784461152882205</v>
      </c>
      <c r="AS37" s="1430">
        <f t="shared" si="12"/>
        <v>8.8663711209626346</v>
      </c>
      <c r="AT37" s="1430">
        <f t="shared" si="13"/>
        <v>10</v>
      </c>
      <c r="AU37" s="1430">
        <f t="shared" si="14"/>
        <v>6.0901339829476244</v>
      </c>
      <c r="AV37" s="1431">
        <f t="shared" si="15"/>
        <v>6.8493150684931505</v>
      </c>
    </row>
    <row r="38" spans="1:48" s="142" customFormat="1" ht="15.75" customHeight="1">
      <c r="A38" s="149" t="s">
        <v>84</v>
      </c>
      <c r="B38" s="189" t="s">
        <v>85</v>
      </c>
      <c r="C38" s="150" t="s">
        <v>265</v>
      </c>
      <c r="D38" s="1359">
        <v>58</v>
      </c>
      <c r="E38" s="1360">
        <v>68</v>
      </c>
      <c r="F38" s="1361">
        <v>74</v>
      </c>
      <c r="G38" s="1360">
        <v>62</v>
      </c>
      <c r="H38" s="1361">
        <v>60</v>
      </c>
      <c r="I38" s="1360">
        <v>65</v>
      </c>
      <c r="J38" s="1361">
        <v>53</v>
      </c>
      <c r="K38" s="1360">
        <v>55</v>
      </c>
      <c r="L38" s="1374">
        <v>76</v>
      </c>
      <c r="M38" s="1374">
        <v>60</v>
      </c>
      <c r="N38" s="1374">
        <v>88</v>
      </c>
      <c r="O38" s="1374">
        <v>65</v>
      </c>
      <c r="P38" s="1375">
        <v>59</v>
      </c>
      <c r="Q38" s="1375">
        <v>57</v>
      </c>
      <c r="R38" s="1376">
        <v>51</v>
      </c>
      <c r="S38" s="1383">
        <v>2903</v>
      </c>
      <c r="T38" s="1384">
        <v>2913</v>
      </c>
      <c r="U38" s="1384">
        <v>3101</v>
      </c>
      <c r="V38" s="1384">
        <v>3148</v>
      </c>
      <c r="W38" s="1384">
        <v>3180</v>
      </c>
      <c r="X38" s="1384">
        <v>3246</v>
      </c>
      <c r="Y38" s="1384">
        <v>3280</v>
      </c>
      <c r="Z38" s="1384">
        <v>3253</v>
      </c>
      <c r="AA38" s="1384">
        <v>3190</v>
      </c>
      <c r="AB38" s="1384">
        <v>3167</v>
      </c>
      <c r="AC38" s="1384">
        <v>3148</v>
      </c>
      <c r="AD38" s="1384">
        <v>3238</v>
      </c>
      <c r="AE38" s="1384">
        <v>3518</v>
      </c>
      <c r="AF38" s="1384">
        <v>3545</v>
      </c>
      <c r="AG38" s="1385">
        <v>3478</v>
      </c>
      <c r="AH38" s="1429">
        <f t="shared" si="16"/>
        <v>19.979331725800893</v>
      </c>
      <c r="AI38" s="1430">
        <f t="shared" ref="AI38:AI69" si="17">IF(E38=0,"0",(E38/T38)*1000)</f>
        <v>23.34363199450738</v>
      </c>
      <c r="AJ38" s="1430">
        <f t="shared" ref="AJ38:AJ69" si="18">IF(F38=0,"0",(F38/U38)*1000)</f>
        <v>23.863269912931312</v>
      </c>
      <c r="AK38" s="1430">
        <f t="shared" ref="AK38:AK69" si="19">IF(G38=0,"0",(G38/V38)*1000)</f>
        <v>19.695044472681065</v>
      </c>
      <c r="AL38" s="1430">
        <f t="shared" ref="AL38:AL69" si="20">IF(H38=0,"0",(H38/W38)*1000)</f>
        <v>18.867924528301884</v>
      </c>
      <c r="AM38" s="1430">
        <f t="shared" ref="AM38:AM69" si="21">IF(I38=0,"0",(I38/X38)*1000)</f>
        <v>20.024645717806528</v>
      </c>
      <c r="AN38" s="1430">
        <f t="shared" ref="AN38:AN69" si="22">IF(J38=0,"0",(J38/Y38)*1000)</f>
        <v>16.158536585365855</v>
      </c>
      <c r="AO38" s="1430">
        <f t="shared" ref="AO38:AO69" si="23">IF(K38=0,"0",(K38/Z38)*1000)</f>
        <v>16.907470027666768</v>
      </c>
      <c r="AP38" s="1430">
        <f t="shared" ref="AP38:AP69" si="24">IF(L38=0,"0",(L38/AA38)*1000)</f>
        <v>23.824451410658305</v>
      </c>
      <c r="AQ38" s="1430">
        <f t="shared" ref="AQ38:AQ69" si="25">IF(M38=0,"0",(M38/AB38)*1000)</f>
        <v>18.945374171139882</v>
      </c>
      <c r="AR38" s="1430">
        <f t="shared" ref="AR38:AR69" si="26">IF(N38=0,"0",(N38/AC38)*1000)</f>
        <v>27.954256670902161</v>
      </c>
      <c r="AS38" s="1430">
        <f t="shared" ref="AS38:AS69" si="27">IF(O38=0,"0",(O38/AD38)*1000)</f>
        <v>20.074119827053735</v>
      </c>
      <c r="AT38" s="1430">
        <f t="shared" ref="AT38:AT69" si="28">IF(P38=0,"0",(P38/AE38)*1000)</f>
        <v>16.770892552586698</v>
      </c>
      <c r="AU38" s="1430">
        <f t="shared" ref="AU38:AU69" si="29">IF(Q38=0,"0",(Q38/AF38)*1000)</f>
        <v>16.078984485190411</v>
      </c>
      <c r="AV38" s="1431">
        <f t="shared" ref="AV38:AV69" si="30">IF(R38=0,"0",(R38/AG38)*1000)</f>
        <v>14.663599769982749</v>
      </c>
    </row>
    <row r="39" spans="1:48" s="142" customFormat="1" ht="15.75" customHeight="1">
      <c r="A39" s="149" t="s">
        <v>86</v>
      </c>
      <c r="B39" s="189" t="s">
        <v>87</v>
      </c>
      <c r="C39" s="150" t="s">
        <v>267</v>
      </c>
      <c r="D39" s="1359">
        <v>89</v>
      </c>
      <c r="E39" s="1360">
        <v>81</v>
      </c>
      <c r="F39" s="1361">
        <v>90</v>
      </c>
      <c r="G39" s="1360">
        <v>81</v>
      </c>
      <c r="H39" s="1361">
        <v>75</v>
      </c>
      <c r="I39" s="1360">
        <v>88</v>
      </c>
      <c r="J39" s="1361">
        <v>75</v>
      </c>
      <c r="K39" s="1360">
        <v>99</v>
      </c>
      <c r="L39" s="1374">
        <v>81</v>
      </c>
      <c r="M39" s="1374">
        <v>103</v>
      </c>
      <c r="N39" s="1374">
        <v>89</v>
      </c>
      <c r="O39" s="1374">
        <v>96</v>
      </c>
      <c r="P39" s="1375">
        <v>74</v>
      </c>
      <c r="Q39" s="1375">
        <v>84</v>
      </c>
      <c r="R39" s="1376">
        <v>56</v>
      </c>
      <c r="S39" s="1383">
        <v>3704</v>
      </c>
      <c r="T39" s="1384">
        <v>3779</v>
      </c>
      <c r="U39" s="1384">
        <v>4091</v>
      </c>
      <c r="V39" s="1384">
        <v>4162</v>
      </c>
      <c r="W39" s="1384">
        <v>4289</v>
      </c>
      <c r="X39" s="1384">
        <v>4403</v>
      </c>
      <c r="Y39" s="1384">
        <v>4510</v>
      </c>
      <c r="Z39" s="1384">
        <v>4593</v>
      </c>
      <c r="AA39" s="1384">
        <v>4559</v>
      </c>
      <c r="AB39" s="1384">
        <v>4524</v>
      </c>
      <c r="AC39" s="1384">
        <v>4519</v>
      </c>
      <c r="AD39" s="1384">
        <v>5053</v>
      </c>
      <c r="AE39" s="1384">
        <v>5417</v>
      </c>
      <c r="AF39" s="1384">
        <v>5426</v>
      </c>
      <c r="AG39" s="1385">
        <v>5367</v>
      </c>
      <c r="AH39" s="1429">
        <f t="shared" si="16"/>
        <v>24.028077753779698</v>
      </c>
      <c r="AI39" s="1430">
        <f t="shared" si="17"/>
        <v>21.434241862926697</v>
      </c>
      <c r="AJ39" s="1430">
        <f t="shared" si="18"/>
        <v>21.999511121975068</v>
      </c>
      <c r="AK39" s="1430">
        <f t="shared" si="19"/>
        <v>19.461797212878423</v>
      </c>
      <c r="AL39" s="1430">
        <f t="shared" si="20"/>
        <v>17.486593611564466</v>
      </c>
      <c r="AM39" s="1430">
        <f t="shared" si="21"/>
        <v>19.986372927549397</v>
      </c>
      <c r="AN39" s="1430">
        <f t="shared" si="22"/>
        <v>16.62971175166297</v>
      </c>
      <c r="AO39" s="1430">
        <f t="shared" si="23"/>
        <v>21.554539516655783</v>
      </c>
      <c r="AP39" s="1430">
        <f t="shared" si="24"/>
        <v>17.767054178547927</v>
      </c>
      <c r="AQ39" s="1430">
        <f t="shared" si="25"/>
        <v>22.767462422634836</v>
      </c>
      <c r="AR39" s="1430">
        <f t="shared" si="26"/>
        <v>19.694622704138084</v>
      </c>
      <c r="AS39" s="1430">
        <f t="shared" si="27"/>
        <v>18.998614684345934</v>
      </c>
      <c r="AT39" s="1430">
        <f t="shared" si="28"/>
        <v>13.660697803212111</v>
      </c>
      <c r="AU39" s="1430">
        <f t="shared" si="29"/>
        <v>15.481017323995577</v>
      </c>
      <c r="AV39" s="1431">
        <f t="shared" si="30"/>
        <v>10.434134525805851</v>
      </c>
    </row>
    <row r="40" spans="1:48" s="142" customFormat="1" ht="15.75" customHeight="1">
      <c r="A40" s="149" t="s">
        <v>92</v>
      </c>
      <c r="B40" s="189" t="s">
        <v>93</v>
      </c>
      <c r="C40" s="150" t="s">
        <v>268</v>
      </c>
      <c r="D40" s="1359">
        <v>32</v>
      </c>
      <c r="E40" s="1360">
        <v>24</v>
      </c>
      <c r="F40" s="1361">
        <v>32</v>
      </c>
      <c r="G40" s="1360">
        <v>23</v>
      </c>
      <c r="H40" s="1361">
        <v>26</v>
      </c>
      <c r="I40" s="1360">
        <v>20</v>
      </c>
      <c r="J40" s="1361">
        <v>23</v>
      </c>
      <c r="K40" s="1360">
        <v>9</v>
      </c>
      <c r="L40" s="1374">
        <v>20</v>
      </c>
      <c r="M40" s="1374">
        <v>25</v>
      </c>
      <c r="N40" s="1374">
        <v>28</v>
      </c>
      <c r="O40" s="1374">
        <v>22</v>
      </c>
      <c r="P40" s="1375">
        <v>27</v>
      </c>
      <c r="Q40" s="1375">
        <v>17</v>
      </c>
      <c r="R40" s="1376">
        <v>20</v>
      </c>
      <c r="S40" s="1383">
        <v>905</v>
      </c>
      <c r="T40" s="1384">
        <v>889</v>
      </c>
      <c r="U40" s="1384">
        <v>977</v>
      </c>
      <c r="V40" s="1384">
        <v>982</v>
      </c>
      <c r="W40" s="1384">
        <v>990</v>
      </c>
      <c r="X40" s="1384">
        <v>991</v>
      </c>
      <c r="Y40" s="1384">
        <v>999</v>
      </c>
      <c r="Z40" s="1384">
        <v>992</v>
      </c>
      <c r="AA40" s="1384">
        <v>972</v>
      </c>
      <c r="AB40" s="1384">
        <v>956</v>
      </c>
      <c r="AC40" s="1384">
        <v>931</v>
      </c>
      <c r="AD40" s="1384">
        <v>985</v>
      </c>
      <c r="AE40" s="1384">
        <v>1027</v>
      </c>
      <c r="AF40" s="1384">
        <v>970</v>
      </c>
      <c r="AG40" s="1385">
        <v>972</v>
      </c>
      <c r="AH40" s="1429">
        <f t="shared" si="16"/>
        <v>35.35911602209945</v>
      </c>
      <c r="AI40" s="1430">
        <f t="shared" si="17"/>
        <v>26.996625421822273</v>
      </c>
      <c r="AJ40" s="1430">
        <f t="shared" si="18"/>
        <v>32.753326509723642</v>
      </c>
      <c r="AK40" s="1430">
        <f t="shared" si="19"/>
        <v>23.421588594704684</v>
      </c>
      <c r="AL40" s="1430">
        <f t="shared" si="20"/>
        <v>26.262626262626263</v>
      </c>
      <c r="AM40" s="1430">
        <f t="shared" si="21"/>
        <v>20.181634712411707</v>
      </c>
      <c r="AN40" s="1430">
        <f t="shared" si="22"/>
        <v>23.023023023023026</v>
      </c>
      <c r="AO40" s="1430">
        <f t="shared" si="23"/>
        <v>9.0725806451612918</v>
      </c>
      <c r="AP40" s="1430">
        <f t="shared" si="24"/>
        <v>20.5761316872428</v>
      </c>
      <c r="AQ40" s="1430">
        <f t="shared" si="25"/>
        <v>26.15062761506276</v>
      </c>
      <c r="AR40" s="1430">
        <f t="shared" si="26"/>
        <v>30.075187969924812</v>
      </c>
      <c r="AS40" s="1430">
        <f t="shared" si="27"/>
        <v>22.335025380710658</v>
      </c>
      <c r="AT40" s="1430">
        <f t="shared" si="28"/>
        <v>26.29016553067186</v>
      </c>
      <c r="AU40" s="1430">
        <f t="shared" si="29"/>
        <v>17.52577319587629</v>
      </c>
      <c r="AV40" s="1431">
        <f t="shared" si="30"/>
        <v>20.5761316872428</v>
      </c>
    </row>
    <row r="41" spans="1:48" s="142" customFormat="1" ht="15.75" customHeight="1">
      <c r="A41" s="149" t="s">
        <v>94</v>
      </c>
      <c r="B41" s="189" t="s">
        <v>95</v>
      </c>
      <c r="C41" s="150" t="s">
        <v>264</v>
      </c>
      <c r="D41" s="1359">
        <v>50</v>
      </c>
      <c r="E41" s="1360">
        <v>42</v>
      </c>
      <c r="F41" s="1361">
        <v>41</v>
      </c>
      <c r="G41" s="1360">
        <v>39</v>
      </c>
      <c r="H41" s="1361">
        <v>47</v>
      </c>
      <c r="I41" s="1360">
        <v>36</v>
      </c>
      <c r="J41" s="1361">
        <v>48</v>
      </c>
      <c r="K41" s="1360">
        <v>31</v>
      </c>
      <c r="L41" s="1374">
        <v>38</v>
      </c>
      <c r="M41" s="1374">
        <v>37</v>
      </c>
      <c r="N41" s="1374">
        <v>30</v>
      </c>
      <c r="O41" s="1374">
        <v>28</v>
      </c>
      <c r="P41" s="1375">
        <v>33</v>
      </c>
      <c r="Q41" s="1375">
        <v>28</v>
      </c>
      <c r="R41" s="1376">
        <v>26</v>
      </c>
      <c r="S41" s="1383">
        <v>2873</v>
      </c>
      <c r="T41" s="1384">
        <v>2967</v>
      </c>
      <c r="U41" s="1384">
        <v>2600</v>
      </c>
      <c r="V41" s="1384">
        <v>2649</v>
      </c>
      <c r="W41" s="1384">
        <v>2649</v>
      </c>
      <c r="X41" s="1384">
        <v>2660</v>
      </c>
      <c r="Y41" s="1384">
        <v>2679</v>
      </c>
      <c r="Z41" s="1384">
        <v>2623</v>
      </c>
      <c r="AA41" s="1384">
        <v>2521</v>
      </c>
      <c r="AB41" s="1384">
        <v>2476</v>
      </c>
      <c r="AC41" s="1384">
        <v>2424</v>
      </c>
      <c r="AD41" s="1384">
        <v>2565</v>
      </c>
      <c r="AE41" s="1384">
        <v>2374</v>
      </c>
      <c r="AF41" s="1384">
        <v>2313</v>
      </c>
      <c r="AG41" s="1385">
        <v>2240</v>
      </c>
      <c r="AH41" s="1429">
        <f t="shared" si="16"/>
        <v>17.40341106856944</v>
      </c>
      <c r="AI41" s="1430">
        <f t="shared" si="17"/>
        <v>14.155712841253791</v>
      </c>
      <c r="AJ41" s="1430">
        <f t="shared" si="18"/>
        <v>15.769230769230768</v>
      </c>
      <c r="AK41" s="1430">
        <f t="shared" si="19"/>
        <v>14.722536806342015</v>
      </c>
      <c r="AL41" s="1430">
        <f t="shared" si="20"/>
        <v>17.742544356360892</v>
      </c>
      <c r="AM41" s="1430">
        <f t="shared" si="21"/>
        <v>13.533834586466165</v>
      </c>
      <c r="AN41" s="1430">
        <f t="shared" si="22"/>
        <v>17.917133258678611</v>
      </c>
      <c r="AO41" s="1430">
        <f t="shared" si="23"/>
        <v>11.818528402592451</v>
      </c>
      <c r="AP41" s="1430">
        <f t="shared" si="24"/>
        <v>15.073383577945261</v>
      </c>
      <c r="AQ41" s="1430">
        <f t="shared" si="25"/>
        <v>14.94345718901454</v>
      </c>
      <c r="AR41" s="1430">
        <f t="shared" si="26"/>
        <v>12.376237623762377</v>
      </c>
      <c r="AS41" s="1430">
        <f t="shared" si="27"/>
        <v>10.91617933723197</v>
      </c>
      <c r="AT41" s="1430">
        <f t="shared" si="28"/>
        <v>13.900589721988204</v>
      </c>
      <c r="AU41" s="1430">
        <f t="shared" si="29"/>
        <v>12.105490704712494</v>
      </c>
      <c r="AV41" s="1431">
        <f t="shared" si="30"/>
        <v>11.607142857142858</v>
      </c>
    </row>
    <row r="42" spans="1:48" s="142" customFormat="1" ht="15.75" customHeight="1">
      <c r="A42" s="149" t="s">
        <v>96</v>
      </c>
      <c r="B42" s="189" t="s">
        <v>97</v>
      </c>
      <c r="C42" s="150" t="s">
        <v>266</v>
      </c>
      <c r="D42" s="1359">
        <v>13</v>
      </c>
      <c r="E42" s="1360">
        <v>10</v>
      </c>
      <c r="F42" s="1361">
        <v>12</v>
      </c>
      <c r="G42" s="1360">
        <v>12</v>
      </c>
      <c r="H42" s="1361">
        <v>8</v>
      </c>
      <c r="I42" s="1360">
        <v>8</v>
      </c>
      <c r="J42" s="1361">
        <v>4</v>
      </c>
      <c r="K42" s="1360">
        <v>11</v>
      </c>
      <c r="L42" s="1374">
        <v>16</v>
      </c>
      <c r="M42" s="1374">
        <v>7</v>
      </c>
      <c r="N42" s="1374">
        <v>10</v>
      </c>
      <c r="O42" s="1374">
        <v>10</v>
      </c>
      <c r="P42" s="1375">
        <v>8</v>
      </c>
      <c r="Q42" s="1375">
        <v>4</v>
      </c>
      <c r="R42" s="1376">
        <v>4</v>
      </c>
      <c r="S42" s="1383">
        <v>862</v>
      </c>
      <c r="T42" s="1384">
        <v>874</v>
      </c>
      <c r="U42" s="1384">
        <v>934</v>
      </c>
      <c r="V42" s="1384">
        <v>967</v>
      </c>
      <c r="W42" s="1384">
        <v>999</v>
      </c>
      <c r="X42" s="1384">
        <v>1030</v>
      </c>
      <c r="Y42" s="1384">
        <v>1055</v>
      </c>
      <c r="Z42" s="1384">
        <v>1067</v>
      </c>
      <c r="AA42" s="1384">
        <v>1097</v>
      </c>
      <c r="AB42" s="1384">
        <v>1116</v>
      </c>
      <c r="AC42" s="1384">
        <v>1103</v>
      </c>
      <c r="AD42" s="1384">
        <v>1163</v>
      </c>
      <c r="AE42" s="1384">
        <v>1204</v>
      </c>
      <c r="AF42" s="1384">
        <v>1229</v>
      </c>
      <c r="AG42" s="1385">
        <v>1258</v>
      </c>
      <c r="AH42" s="1429">
        <f t="shared" si="16"/>
        <v>15.081206496519721</v>
      </c>
      <c r="AI42" s="1430">
        <f t="shared" si="17"/>
        <v>11.441647597254004</v>
      </c>
      <c r="AJ42" s="1430">
        <f t="shared" si="18"/>
        <v>12.847965738758029</v>
      </c>
      <c r="AK42" s="1430">
        <f t="shared" si="19"/>
        <v>12.409513960703205</v>
      </c>
      <c r="AL42" s="1430">
        <f t="shared" si="20"/>
        <v>8.0080080080080087</v>
      </c>
      <c r="AM42" s="1430">
        <f t="shared" si="21"/>
        <v>7.766990291262136</v>
      </c>
      <c r="AN42" s="1430">
        <f t="shared" si="22"/>
        <v>3.7914691943127963</v>
      </c>
      <c r="AO42" s="1430">
        <f t="shared" si="23"/>
        <v>10.309278350515465</v>
      </c>
      <c r="AP42" s="1430">
        <f t="shared" si="24"/>
        <v>14.585232452142206</v>
      </c>
      <c r="AQ42" s="1430">
        <f t="shared" si="25"/>
        <v>6.2724014336917566</v>
      </c>
      <c r="AR42" s="1430">
        <f t="shared" si="26"/>
        <v>9.0661831368993653</v>
      </c>
      <c r="AS42" s="1430">
        <f t="shared" si="27"/>
        <v>8.5984522785898534</v>
      </c>
      <c r="AT42" s="1430">
        <f t="shared" si="28"/>
        <v>6.6445182724252492</v>
      </c>
      <c r="AU42" s="1430">
        <f t="shared" si="29"/>
        <v>3.2546786004882016</v>
      </c>
      <c r="AV42" s="1431">
        <f t="shared" si="30"/>
        <v>3.1796502384737679</v>
      </c>
    </row>
    <row r="43" spans="1:48" s="142" customFormat="1" ht="15.75" customHeight="1">
      <c r="A43" s="149" t="s">
        <v>98</v>
      </c>
      <c r="B43" s="189" t="s">
        <v>99</v>
      </c>
      <c r="C43" s="150" t="s">
        <v>268</v>
      </c>
      <c r="D43" s="1359">
        <v>28</v>
      </c>
      <c r="E43" s="1360">
        <v>22</v>
      </c>
      <c r="F43" s="1361">
        <v>22</v>
      </c>
      <c r="G43" s="1360">
        <v>18</v>
      </c>
      <c r="H43" s="1361">
        <v>22</v>
      </c>
      <c r="I43" s="1360">
        <v>17</v>
      </c>
      <c r="J43" s="1361">
        <v>20</v>
      </c>
      <c r="K43" s="1360">
        <v>23</v>
      </c>
      <c r="L43" s="1374">
        <v>28</v>
      </c>
      <c r="M43" s="1374">
        <v>26</v>
      </c>
      <c r="N43" s="1374">
        <v>26</v>
      </c>
      <c r="O43" s="1374">
        <v>17</v>
      </c>
      <c r="P43" s="1375">
        <v>22</v>
      </c>
      <c r="Q43" s="1375">
        <v>13</v>
      </c>
      <c r="R43" s="1376">
        <v>12</v>
      </c>
      <c r="S43" s="1383">
        <v>950</v>
      </c>
      <c r="T43" s="1384">
        <v>935</v>
      </c>
      <c r="U43" s="1384">
        <v>950</v>
      </c>
      <c r="V43" s="1384">
        <v>974</v>
      </c>
      <c r="W43" s="1384">
        <v>962</v>
      </c>
      <c r="X43" s="1384">
        <v>974</v>
      </c>
      <c r="Y43" s="1384">
        <v>986</v>
      </c>
      <c r="Z43" s="1384">
        <v>965</v>
      </c>
      <c r="AA43" s="1384">
        <v>933</v>
      </c>
      <c r="AB43" s="1384">
        <v>906</v>
      </c>
      <c r="AC43" s="1384">
        <v>884</v>
      </c>
      <c r="AD43" s="1384">
        <v>895</v>
      </c>
      <c r="AE43" s="1384">
        <v>930</v>
      </c>
      <c r="AF43" s="1384">
        <v>883</v>
      </c>
      <c r="AG43" s="1385">
        <v>836</v>
      </c>
      <c r="AH43" s="1429">
        <f t="shared" si="16"/>
        <v>29.473684210526315</v>
      </c>
      <c r="AI43" s="1430">
        <f t="shared" si="17"/>
        <v>23.52941176470588</v>
      </c>
      <c r="AJ43" s="1430">
        <f t="shared" si="18"/>
        <v>23.157894736842106</v>
      </c>
      <c r="AK43" s="1430">
        <f t="shared" si="19"/>
        <v>18.480492813141684</v>
      </c>
      <c r="AL43" s="1430">
        <f t="shared" si="20"/>
        <v>22.869022869022871</v>
      </c>
      <c r="AM43" s="1430">
        <f t="shared" si="21"/>
        <v>17.453798767967143</v>
      </c>
      <c r="AN43" s="1430">
        <f t="shared" si="22"/>
        <v>20.28397565922921</v>
      </c>
      <c r="AO43" s="1430">
        <f t="shared" si="23"/>
        <v>23.834196891191709</v>
      </c>
      <c r="AP43" s="1430">
        <f t="shared" si="24"/>
        <v>30.010718113612004</v>
      </c>
      <c r="AQ43" s="1430">
        <f t="shared" si="25"/>
        <v>28.697571743929359</v>
      </c>
      <c r="AR43" s="1430">
        <f t="shared" si="26"/>
        <v>29.411764705882351</v>
      </c>
      <c r="AS43" s="1430">
        <f t="shared" si="27"/>
        <v>18.994413407821231</v>
      </c>
      <c r="AT43" s="1430">
        <f t="shared" si="28"/>
        <v>23.655913978494624</v>
      </c>
      <c r="AU43" s="1430">
        <f t="shared" si="29"/>
        <v>14.722536806342015</v>
      </c>
      <c r="AV43" s="1431">
        <f t="shared" si="30"/>
        <v>14.354066985645934</v>
      </c>
    </row>
    <row r="44" spans="1:48" s="142" customFormat="1" ht="15.75" customHeight="1">
      <c r="A44" s="149" t="s">
        <v>100</v>
      </c>
      <c r="B44" s="189" t="s">
        <v>101</v>
      </c>
      <c r="C44" s="150" t="s">
        <v>267</v>
      </c>
      <c r="D44" s="1359">
        <v>22</v>
      </c>
      <c r="E44" s="1360">
        <v>22</v>
      </c>
      <c r="F44" s="1361">
        <v>25</v>
      </c>
      <c r="G44" s="1360">
        <v>27</v>
      </c>
      <c r="H44" s="1361">
        <v>29</v>
      </c>
      <c r="I44" s="1360">
        <v>30</v>
      </c>
      <c r="J44" s="1361">
        <v>21</v>
      </c>
      <c r="K44" s="1360">
        <v>26</v>
      </c>
      <c r="L44" s="1374">
        <v>38</v>
      </c>
      <c r="M44" s="1374">
        <v>18</v>
      </c>
      <c r="N44" s="1374">
        <v>20</v>
      </c>
      <c r="O44" s="1374">
        <v>16</v>
      </c>
      <c r="P44" s="1375">
        <v>11</v>
      </c>
      <c r="Q44" s="1375">
        <v>20</v>
      </c>
      <c r="R44" s="1376">
        <v>6</v>
      </c>
      <c r="S44" s="1383">
        <v>811</v>
      </c>
      <c r="T44" s="1384">
        <v>832</v>
      </c>
      <c r="U44" s="1384">
        <v>1020</v>
      </c>
      <c r="V44" s="1384">
        <v>1063</v>
      </c>
      <c r="W44" s="1384">
        <v>1120</v>
      </c>
      <c r="X44" s="1384">
        <v>1166</v>
      </c>
      <c r="Y44" s="1384">
        <v>1209</v>
      </c>
      <c r="Z44" s="1384">
        <v>1231</v>
      </c>
      <c r="AA44" s="1384">
        <v>1215</v>
      </c>
      <c r="AB44" s="1384">
        <v>1203</v>
      </c>
      <c r="AC44" s="1384">
        <v>1175</v>
      </c>
      <c r="AD44" s="1384">
        <v>1170</v>
      </c>
      <c r="AE44" s="1384">
        <v>1104</v>
      </c>
      <c r="AF44" s="1384">
        <v>1113</v>
      </c>
      <c r="AG44" s="1385">
        <v>1090</v>
      </c>
      <c r="AH44" s="1429">
        <f t="shared" si="16"/>
        <v>27.127003699136868</v>
      </c>
      <c r="AI44" s="1430">
        <f t="shared" si="17"/>
        <v>26.442307692307693</v>
      </c>
      <c r="AJ44" s="1430">
        <f t="shared" si="18"/>
        <v>24.509803921568626</v>
      </c>
      <c r="AK44" s="1430">
        <f t="shared" si="19"/>
        <v>25.399811853245531</v>
      </c>
      <c r="AL44" s="1430">
        <f t="shared" si="20"/>
        <v>25.892857142857146</v>
      </c>
      <c r="AM44" s="1430">
        <f t="shared" si="21"/>
        <v>25.728987993138936</v>
      </c>
      <c r="AN44" s="1430">
        <f t="shared" si="22"/>
        <v>17.369727047146402</v>
      </c>
      <c r="AO44" s="1430">
        <f t="shared" si="23"/>
        <v>21.121039805036556</v>
      </c>
      <c r="AP44" s="1430">
        <f t="shared" si="24"/>
        <v>31.275720164609055</v>
      </c>
      <c r="AQ44" s="1430">
        <f t="shared" si="25"/>
        <v>14.962593516209475</v>
      </c>
      <c r="AR44" s="1430">
        <f t="shared" si="26"/>
        <v>17.021276595744681</v>
      </c>
      <c r="AS44" s="1430">
        <f t="shared" si="27"/>
        <v>13.675213675213675</v>
      </c>
      <c r="AT44" s="1430">
        <f t="shared" si="28"/>
        <v>9.9637681159420275</v>
      </c>
      <c r="AU44" s="1430">
        <f t="shared" si="29"/>
        <v>17.969451931716083</v>
      </c>
      <c r="AV44" s="1431">
        <f t="shared" si="30"/>
        <v>5.5045871559633035</v>
      </c>
    </row>
    <row r="45" spans="1:48" s="142" customFormat="1" ht="15.75" customHeight="1">
      <c r="A45" s="149" t="s">
        <v>102</v>
      </c>
      <c r="B45" s="189" t="s">
        <v>282</v>
      </c>
      <c r="C45" s="150" t="s">
        <v>264</v>
      </c>
      <c r="D45" s="1359">
        <v>32</v>
      </c>
      <c r="E45" s="1360">
        <v>31</v>
      </c>
      <c r="F45" s="1361">
        <v>31</v>
      </c>
      <c r="G45" s="1360">
        <v>25</v>
      </c>
      <c r="H45" s="1361">
        <v>45</v>
      </c>
      <c r="I45" s="1360">
        <v>23</v>
      </c>
      <c r="J45" s="1361">
        <v>25</v>
      </c>
      <c r="K45" s="1360">
        <v>39</v>
      </c>
      <c r="L45" s="1374">
        <v>44</v>
      </c>
      <c r="M45" s="1374">
        <v>42</v>
      </c>
      <c r="N45" s="1374">
        <v>44</v>
      </c>
      <c r="O45" s="1374">
        <v>31</v>
      </c>
      <c r="P45" s="1375">
        <v>38</v>
      </c>
      <c r="Q45" s="1375">
        <v>33</v>
      </c>
      <c r="R45" s="1376">
        <v>21</v>
      </c>
      <c r="S45" s="1383">
        <v>994</v>
      </c>
      <c r="T45" s="1384">
        <v>991</v>
      </c>
      <c r="U45" s="1384">
        <v>1043</v>
      </c>
      <c r="V45" s="1384">
        <v>992</v>
      </c>
      <c r="W45" s="1384">
        <v>1005</v>
      </c>
      <c r="X45" s="1384">
        <v>1011</v>
      </c>
      <c r="Y45" s="1384">
        <v>979</v>
      </c>
      <c r="Z45" s="1384">
        <v>936</v>
      </c>
      <c r="AA45" s="1384">
        <v>921</v>
      </c>
      <c r="AB45" s="1384">
        <v>882</v>
      </c>
      <c r="AC45" s="1384">
        <v>843</v>
      </c>
      <c r="AD45" s="1384">
        <v>916</v>
      </c>
      <c r="AE45" s="1384">
        <v>966</v>
      </c>
      <c r="AF45" s="1384">
        <v>946</v>
      </c>
      <c r="AG45" s="1385">
        <v>936</v>
      </c>
      <c r="AH45" s="1429">
        <f t="shared" si="16"/>
        <v>32.193158953722339</v>
      </c>
      <c r="AI45" s="1430">
        <f t="shared" si="17"/>
        <v>31.281533804238141</v>
      </c>
      <c r="AJ45" s="1430">
        <f t="shared" si="18"/>
        <v>29.721955896452542</v>
      </c>
      <c r="AK45" s="1430">
        <f t="shared" si="19"/>
        <v>25.201612903225804</v>
      </c>
      <c r="AL45" s="1430">
        <f t="shared" si="20"/>
        <v>44.776119402985074</v>
      </c>
      <c r="AM45" s="1430">
        <f t="shared" si="21"/>
        <v>22.74975272007913</v>
      </c>
      <c r="AN45" s="1430">
        <f t="shared" si="22"/>
        <v>25.536261491317671</v>
      </c>
      <c r="AO45" s="1430">
        <f t="shared" si="23"/>
        <v>41.666666666666664</v>
      </c>
      <c r="AP45" s="1430">
        <f t="shared" si="24"/>
        <v>47.774158523344191</v>
      </c>
      <c r="AQ45" s="1430">
        <f t="shared" si="25"/>
        <v>47.619047619047613</v>
      </c>
      <c r="AR45" s="1430">
        <f t="shared" si="26"/>
        <v>52.194543297746144</v>
      </c>
      <c r="AS45" s="1430">
        <f t="shared" si="27"/>
        <v>33.842794759825331</v>
      </c>
      <c r="AT45" s="1430">
        <f t="shared" si="28"/>
        <v>39.337474120082817</v>
      </c>
      <c r="AU45" s="1430">
        <f t="shared" si="29"/>
        <v>34.883720930232556</v>
      </c>
      <c r="AV45" s="1431">
        <f t="shared" si="30"/>
        <v>22.435897435897434</v>
      </c>
    </row>
    <row r="46" spans="1:48" s="142" customFormat="1" ht="15.75" customHeight="1">
      <c r="A46" s="149" t="s">
        <v>104</v>
      </c>
      <c r="B46" s="189" t="s">
        <v>105</v>
      </c>
      <c r="C46" s="150" t="s">
        <v>265</v>
      </c>
      <c r="D46" s="1359">
        <v>65</v>
      </c>
      <c r="E46" s="1360">
        <v>84</v>
      </c>
      <c r="F46" s="1361">
        <v>68</v>
      </c>
      <c r="G46" s="1360">
        <v>51</v>
      </c>
      <c r="H46" s="1361">
        <v>55</v>
      </c>
      <c r="I46" s="1360">
        <v>69</v>
      </c>
      <c r="J46" s="1361">
        <v>66</v>
      </c>
      <c r="K46" s="1360">
        <v>44</v>
      </c>
      <c r="L46" s="1374">
        <v>52</v>
      </c>
      <c r="M46" s="1374">
        <v>65</v>
      </c>
      <c r="N46" s="1374">
        <v>54</v>
      </c>
      <c r="O46" s="1374">
        <v>51</v>
      </c>
      <c r="P46" s="1375">
        <v>52</v>
      </c>
      <c r="Q46" s="1375">
        <v>42</v>
      </c>
      <c r="R46" s="1376">
        <v>41</v>
      </c>
      <c r="S46" s="1383">
        <v>2265</v>
      </c>
      <c r="T46" s="1384">
        <v>2235</v>
      </c>
      <c r="U46" s="1384">
        <v>2309</v>
      </c>
      <c r="V46" s="1384">
        <v>2286</v>
      </c>
      <c r="W46" s="1384">
        <v>2314</v>
      </c>
      <c r="X46" s="1384">
        <v>2318</v>
      </c>
      <c r="Y46" s="1384">
        <v>2301</v>
      </c>
      <c r="Z46" s="1384">
        <v>2296</v>
      </c>
      <c r="AA46" s="1384">
        <v>2289</v>
      </c>
      <c r="AB46" s="1384">
        <v>2214</v>
      </c>
      <c r="AC46" s="1384">
        <v>2180</v>
      </c>
      <c r="AD46" s="1384">
        <v>2173</v>
      </c>
      <c r="AE46" s="1384">
        <v>2305</v>
      </c>
      <c r="AF46" s="1384">
        <v>2282</v>
      </c>
      <c r="AG46" s="1385">
        <v>2250</v>
      </c>
      <c r="AH46" s="1429">
        <f t="shared" si="16"/>
        <v>28.697571743929359</v>
      </c>
      <c r="AI46" s="1430">
        <f t="shared" si="17"/>
        <v>37.583892617449663</v>
      </c>
      <c r="AJ46" s="1430">
        <f t="shared" si="18"/>
        <v>29.449978345604158</v>
      </c>
      <c r="AK46" s="1430">
        <f t="shared" si="19"/>
        <v>22.309711286089239</v>
      </c>
      <c r="AL46" s="1430">
        <f t="shared" si="20"/>
        <v>23.76836646499568</v>
      </c>
      <c r="AM46" s="1430">
        <f t="shared" si="21"/>
        <v>29.767040552200172</v>
      </c>
      <c r="AN46" s="1430">
        <f t="shared" si="22"/>
        <v>28.683181225554105</v>
      </c>
      <c r="AO46" s="1430">
        <f t="shared" si="23"/>
        <v>19.16376306620209</v>
      </c>
      <c r="AP46" s="1430">
        <f t="shared" si="24"/>
        <v>22.717343818261249</v>
      </c>
      <c r="AQ46" s="1430">
        <f t="shared" si="25"/>
        <v>29.358626919602528</v>
      </c>
      <c r="AR46" s="1430">
        <f t="shared" si="26"/>
        <v>24.770642201834864</v>
      </c>
      <c r="AS46" s="1430">
        <f t="shared" si="27"/>
        <v>23.469857340082832</v>
      </c>
      <c r="AT46" s="1430">
        <f t="shared" si="28"/>
        <v>22.559652928416487</v>
      </c>
      <c r="AU46" s="1430">
        <f t="shared" si="29"/>
        <v>18.404907975460123</v>
      </c>
      <c r="AV46" s="1431">
        <f t="shared" si="30"/>
        <v>18.222222222222221</v>
      </c>
    </row>
    <row r="47" spans="1:48" s="142" customFormat="1" ht="15.75" customHeight="1">
      <c r="A47" s="149" t="s">
        <v>108</v>
      </c>
      <c r="B47" s="189" t="s">
        <v>109</v>
      </c>
      <c r="C47" s="150" t="s">
        <v>266</v>
      </c>
      <c r="D47" s="1359">
        <v>59</v>
      </c>
      <c r="E47" s="1360">
        <v>64</v>
      </c>
      <c r="F47" s="1361">
        <v>56</v>
      </c>
      <c r="G47" s="1360">
        <v>45</v>
      </c>
      <c r="H47" s="1361">
        <v>49</v>
      </c>
      <c r="I47" s="1360">
        <v>39</v>
      </c>
      <c r="J47" s="1361">
        <v>50</v>
      </c>
      <c r="K47" s="1360">
        <v>57</v>
      </c>
      <c r="L47" s="1374">
        <v>68</v>
      </c>
      <c r="M47" s="1374">
        <v>54</v>
      </c>
      <c r="N47" s="1374">
        <v>62</v>
      </c>
      <c r="O47" s="1374">
        <v>66</v>
      </c>
      <c r="P47" s="1375">
        <v>48</v>
      </c>
      <c r="Q47" s="1375">
        <v>41</v>
      </c>
      <c r="R47" s="1376">
        <v>39</v>
      </c>
      <c r="S47" s="1383">
        <v>5327</v>
      </c>
      <c r="T47" s="1384">
        <v>5453</v>
      </c>
      <c r="U47" s="1384">
        <v>6290</v>
      </c>
      <c r="V47" s="1384">
        <v>6618</v>
      </c>
      <c r="W47" s="1384">
        <v>6797</v>
      </c>
      <c r="X47" s="1384">
        <v>6917</v>
      </c>
      <c r="Y47" s="1384">
        <v>7073</v>
      </c>
      <c r="Z47" s="1384">
        <v>7144</v>
      </c>
      <c r="AA47" s="1384">
        <v>7059</v>
      </c>
      <c r="AB47" s="1384">
        <v>6982</v>
      </c>
      <c r="AC47" s="1384">
        <v>6835</v>
      </c>
      <c r="AD47" s="1384">
        <v>7327</v>
      </c>
      <c r="AE47" s="1384">
        <v>7287</v>
      </c>
      <c r="AF47" s="1384">
        <v>7272</v>
      </c>
      <c r="AG47" s="1385">
        <v>7304</v>
      </c>
      <c r="AH47" s="1429">
        <f t="shared" si="16"/>
        <v>11.075652337150366</v>
      </c>
      <c r="AI47" s="1430">
        <f t="shared" si="17"/>
        <v>11.736658719970658</v>
      </c>
      <c r="AJ47" s="1430">
        <f t="shared" si="18"/>
        <v>8.9030206677265511</v>
      </c>
      <c r="AK47" s="1430">
        <f t="shared" si="19"/>
        <v>6.799637352674524</v>
      </c>
      <c r="AL47" s="1430">
        <f t="shared" si="20"/>
        <v>7.2090628218331618</v>
      </c>
      <c r="AM47" s="1430">
        <f t="shared" si="21"/>
        <v>5.6382824924100037</v>
      </c>
      <c r="AN47" s="1430">
        <f t="shared" si="22"/>
        <v>7.0691361515622795</v>
      </c>
      <c r="AO47" s="1430">
        <f t="shared" si="23"/>
        <v>7.9787234042553186</v>
      </c>
      <c r="AP47" s="1430">
        <f t="shared" si="24"/>
        <v>9.6330925060206827</v>
      </c>
      <c r="AQ47" s="1430">
        <f t="shared" si="25"/>
        <v>7.7341735892294468</v>
      </c>
      <c r="AR47" s="1430">
        <f t="shared" si="26"/>
        <v>9.0709583028529615</v>
      </c>
      <c r="AS47" s="1430">
        <f t="shared" si="27"/>
        <v>9.0077794458850828</v>
      </c>
      <c r="AT47" s="1430">
        <f t="shared" si="28"/>
        <v>6.5870728694936185</v>
      </c>
      <c r="AU47" s="1430">
        <f t="shared" si="29"/>
        <v>5.6380638063806376</v>
      </c>
      <c r="AV47" s="1431">
        <f t="shared" si="30"/>
        <v>5.3395399780941952</v>
      </c>
    </row>
    <row r="48" spans="1:48" s="142" customFormat="1" ht="15.75" customHeight="1">
      <c r="A48" s="149" t="s">
        <v>110</v>
      </c>
      <c r="B48" s="189" t="s">
        <v>111</v>
      </c>
      <c r="C48" s="150" t="s">
        <v>266</v>
      </c>
      <c r="D48" s="1359">
        <v>278</v>
      </c>
      <c r="E48" s="1360">
        <v>299</v>
      </c>
      <c r="F48" s="1361">
        <v>288</v>
      </c>
      <c r="G48" s="1360">
        <v>232</v>
      </c>
      <c r="H48" s="1361">
        <v>241</v>
      </c>
      <c r="I48" s="1360">
        <v>251</v>
      </c>
      <c r="J48" s="1361">
        <v>246</v>
      </c>
      <c r="K48" s="1360">
        <v>255</v>
      </c>
      <c r="L48" s="1374">
        <v>288</v>
      </c>
      <c r="M48" s="1374">
        <v>250</v>
      </c>
      <c r="N48" s="1374">
        <v>277</v>
      </c>
      <c r="O48" s="1374">
        <v>261</v>
      </c>
      <c r="P48" s="1375">
        <v>229</v>
      </c>
      <c r="Q48" s="1375">
        <v>193</v>
      </c>
      <c r="R48" s="1376">
        <v>171</v>
      </c>
      <c r="S48" s="1383">
        <v>14928</v>
      </c>
      <c r="T48" s="1384">
        <v>15182</v>
      </c>
      <c r="U48" s="1384">
        <v>16294</v>
      </c>
      <c r="V48" s="1384">
        <v>16692</v>
      </c>
      <c r="W48" s="1384">
        <v>17018</v>
      </c>
      <c r="X48" s="1384">
        <v>17379</v>
      </c>
      <c r="Y48" s="1384">
        <v>17843</v>
      </c>
      <c r="Z48" s="1384">
        <v>18146</v>
      </c>
      <c r="AA48" s="1384">
        <v>18174</v>
      </c>
      <c r="AB48" s="1384">
        <v>18477</v>
      </c>
      <c r="AC48" s="1384">
        <v>18441</v>
      </c>
      <c r="AD48" s="1384">
        <v>18333</v>
      </c>
      <c r="AE48" s="1384">
        <v>19484</v>
      </c>
      <c r="AF48" s="1384">
        <v>19490</v>
      </c>
      <c r="AG48" s="1385">
        <v>19605</v>
      </c>
      <c r="AH48" s="1429">
        <f t="shared" si="16"/>
        <v>18.622722400857448</v>
      </c>
      <c r="AI48" s="1430">
        <f t="shared" si="17"/>
        <v>19.694374917665655</v>
      </c>
      <c r="AJ48" s="1430">
        <f t="shared" si="18"/>
        <v>17.675217871609181</v>
      </c>
      <c r="AK48" s="1430">
        <f t="shared" si="19"/>
        <v>13.898873711957823</v>
      </c>
      <c r="AL48" s="1430">
        <f t="shared" si="20"/>
        <v>14.161476084146198</v>
      </c>
      <c r="AM48" s="1430">
        <f t="shared" si="21"/>
        <v>14.442718223142874</v>
      </c>
      <c r="AN48" s="1430">
        <f t="shared" si="22"/>
        <v>13.786919240038111</v>
      </c>
      <c r="AO48" s="1430">
        <f t="shared" si="23"/>
        <v>14.052683787060509</v>
      </c>
      <c r="AP48" s="1430">
        <f t="shared" si="24"/>
        <v>15.846814130075934</v>
      </c>
      <c r="AQ48" s="1430">
        <f t="shared" si="25"/>
        <v>13.530335011094873</v>
      </c>
      <c r="AR48" s="1430">
        <f t="shared" si="26"/>
        <v>15.020877392766119</v>
      </c>
      <c r="AS48" s="1430">
        <f t="shared" si="27"/>
        <v>14.236622484045164</v>
      </c>
      <c r="AT48" s="1430">
        <f t="shared" si="28"/>
        <v>11.753233422295216</v>
      </c>
      <c r="AU48" s="1430">
        <f t="shared" si="29"/>
        <v>9.9025141097998972</v>
      </c>
      <c r="AV48" s="1431">
        <f t="shared" si="30"/>
        <v>8.7222647283856158</v>
      </c>
    </row>
    <row r="49" spans="1:48" s="142" customFormat="1" ht="15.75" customHeight="1">
      <c r="A49" s="149" t="s">
        <v>112</v>
      </c>
      <c r="B49" s="189" t="s">
        <v>300</v>
      </c>
      <c r="C49" s="150" t="s">
        <v>265</v>
      </c>
      <c r="D49" s="1359">
        <v>143</v>
      </c>
      <c r="E49" s="1360">
        <v>146</v>
      </c>
      <c r="F49" s="1361">
        <v>129</v>
      </c>
      <c r="G49" s="1360">
        <v>137</v>
      </c>
      <c r="H49" s="1361">
        <v>134</v>
      </c>
      <c r="I49" s="1360">
        <v>135</v>
      </c>
      <c r="J49" s="1361">
        <v>122</v>
      </c>
      <c r="K49" s="1360">
        <v>126</v>
      </c>
      <c r="L49" s="1374">
        <v>161</v>
      </c>
      <c r="M49" s="1374">
        <v>167</v>
      </c>
      <c r="N49" s="1374">
        <v>127</v>
      </c>
      <c r="O49" s="1374">
        <v>122</v>
      </c>
      <c r="P49" s="1375">
        <v>95</v>
      </c>
      <c r="Q49" s="1375">
        <v>82</v>
      </c>
      <c r="R49" s="1376">
        <v>71</v>
      </c>
      <c r="S49" s="1383">
        <v>4535</v>
      </c>
      <c r="T49" s="1384">
        <v>4514</v>
      </c>
      <c r="U49" s="1384">
        <v>4685</v>
      </c>
      <c r="V49" s="1384">
        <v>4609</v>
      </c>
      <c r="W49" s="1384">
        <v>4566</v>
      </c>
      <c r="X49" s="1384">
        <v>4484</v>
      </c>
      <c r="Y49" s="1384">
        <v>4445</v>
      </c>
      <c r="Z49" s="1384">
        <v>4461</v>
      </c>
      <c r="AA49" s="1384">
        <v>4357</v>
      </c>
      <c r="AB49" s="1384">
        <v>4171</v>
      </c>
      <c r="AC49" s="1384">
        <v>4053</v>
      </c>
      <c r="AD49" s="1384">
        <v>3913</v>
      </c>
      <c r="AE49" s="1384">
        <v>3941</v>
      </c>
      <c r="AF49" s="1384">
        <v>3777</v>
      </c>
      <c r="AG49" s="1385">
        <v>3765</v>
      </c>
      <c r="AH49" s="1429">
        <f t="shared" si="16"/>
        <v>31.532524807056227</v>
      </c>
      <c r="AI49" s="1430">
        <f t="shared" si="17"/>
        <v>32.343819229065133</v>
      </c>
      <c r="AJ49" s="1430">
        <f t="shared" si="18"/>
        <v>27.534685165421557</v>
      </c>
      <c r="AK49" s="1430">
        <f t="shared" si="19"/>
        <v>29.724452158819698</v>
      </c>
      <c r="AL49" s="1430">
        <f t="shared" si="20"/>
        <v>29.347349978098993</v>
      </c>
      <c r="AM49" s="1430">
        <f t="shared" si="21"/>
        <v>30.107047279214985</v>
      </c>
      <c r="AN49" s="1430">
        <f t="shared" si="22"/>
        <v>27.446569178852645</v>
      </c>
      <c r="AO49" s="1430">
        <f t="shared" si="23"/>
        <v>28.244788164088771</v>
      </c>
      <c r="AP49" s="1430">
        <f t="shared" si="24"/>
        <v>36.952031214138167</v>
      </c>
      <c r="AQ49" s="1430">
        <f t="shared" si="25"/>
        <v>40.038360105490291</v>
      </c>
      <c r="AR49" s="1430">
        <f t="shared" si="26"/>
        <v>31.334813718233406</v>
      </c>
      <c r="AS49" s="1430">
        <f t="shared" si="27"/>
        <v>31.178124201380015</v>
      </c>
      <c r="AT49" s="1430">
        <f t="shared" si="28"/>
        <v>24.105556965237248</v>
      </c>
      <c r="AU49" s="1430">
        <f t="shared" si="29"/>
        <v>21.710352131321155</v>
      </c>
      <c r="AV49" s="1431">
        <f t="shared" si="30"/>
        <v>18.857901726427624</v>
      </c>
    </row>
    <row r="50" spans="1:48" s="142" customFormat="1" ht="15.75" customHeight="1">
      <c r="A50" s="149" t="s">
        <v>114</v>
      </c>
      <c r="B50" s="189" t="s">
        <v>115</v>
      </c>
      <c r="C50" s="150" t="s">
        <v>265</v>
      </c>
      <c r="D50" s="1359">
        <v>0</v>
      </c>
      <c r="E50" s="1360">
        <v>0</v>
      </c>
      <c r="F50" s="1361">
        <v>0</v>
      </c>
      <c r="G50" s="1360">
        <v>0</v>
      </c>
      <c r="H50" s="1361">
        <v>1</v>
      </c>
      <c r="I50" s="1360">
        <v>0</v>
      </c>
      <c r="J50" s="1361">
        <v>1</v>
      </c>
      <c r="K50" s="1360">
        <v>1</v>
      </c>
      <c r="L50" s="1374">
        <v>0</v>
      </c>
      <c r="M50" s="1374">
        <v>0</v>
      </c>
      <c r="N50" s="1374">
        <v>2</v>
      </c>
      <c r="O50" s="1374">
        <v>0</v>
      </c>
      <c r="P50" s="1375">
        <v>0</v>
      </c>
      <c r="Q50" s="1375">
        <v>0</v>
      </c>
      <c r="R50" s="1376">
        <v>0</v>
      </c>
      <c r="S50" s="1383">
        <v>133</v>
      </c>
      <c r="T50" s="1384">
        <v>130</v>
      </c>
      <c r="U50" s="1384">
        <v>143</v>
      </c>
      <c r="V50" s="1384">
        <v>150</v>
      </c>
      <c r="W50" s="1384">
        <v>151</v>
      </c>
      <c r="X50" s="1384">
        <v>157</v>
      </c>
      <c r="Y50" s="1384">
        <v>149</v>
      </c>
      <c r="Z50" s="1384">
        <v>138</v>
      </c>
      <c r="AA50" s="1384">
        <v>135</v>
      </c>
      <c r="AB50" s="1384">
        <v>122</v>
      </c>
      <c r="AC50" s="1384">
        <v>119</v>
      </c>
      <c r="AD50" s="1384">
        <v>129</v>
      </c>
      <c r="AE50" s="1384">
        <v>114</v>
      </c>
      <c r="AF50" s="1384">
        <v>108</v>
      </c>
      <c r="AG50" s="1385">
        <v>99</v>
      </c>
      <c r="AH50" s="1429" t="str">
        <f t="shared" si="16"/>
        <v>0</v>
      </c>
      <c r="AI50" s="1430" t="str">
        <f t="shared" si="17"/>
        <v>0</v>
      </c>
      <c r="AJ50" s="1430" t="str">
        <f t="shared" si="18"/>
        <v>0</v>
      </c>
      <c r="AK50" s="1430" t="str">
        <f t="shared" si="19"/>
        <v>0</v>
      </c>
      <c r="AL50" s="1430">
        <f t="shared" si="20"/>
        <v>6.6225165562913908</v>
      </c>
      <c r="AM50" s="1430" t="str">
        <f t="shared" si="21"/>
        <v>0</v>
      </c>
      <c r="AN50" s="1430">
        <f t="shared" si="22"/>
        <v>6.7114093959731544</v>
      </c>
      <c r="AO50" s="1430">
        <f t="shared" si="23"/>
        <v>7.2463768115942031</v>
      </c>
      <c r="AP50" s="1430" t="str">
        <f t="shared" si="24"/>
        <v>0</v>
      </c>
      <c r="AQ50" s="1430" t="str">
        <f t="shared" si="25"/>
        <v>0</v>
      </c>
      <c r="AR50" s="1430">
        <f t="shared" si="26"/>
        <v>16.806722689075631</v>
      </c>
      <c r="AS50" s="1430" t="str">
        <f t="shared" si="27"/>
        <v>0</v>
      </c>
      <c r="AT50" s="1430" t="str">
        <f t="shared" si="28"/>
        <v>0</v>
      </c>
      <c r="AU50" s="1430" t="str">
        <f t="shared" si="29"/>
        <v>0</v>
      </c>
      <c r="AV50" s="1431" t="str">
        <f t="shared" si="30"/>
        <v>0</v>
      </c>
    </row>
    <row r="51" spans="1:48" s="142" customFormat="1" ht="15.75" customHeight="1">
      <c r="A51" s="149" t="s">
        <v>118</v>
      </c>
      <c r="B51" s="189" t="s">
        <v>270</v>
      </c>
      <c r="C51" s="150" t="s">
        <v>264</v>
      </c>
      <c r="D51" s="1359">
        <v>39</v>
      </c>
      <c r="E51" s="1360">
        <v>43</v>
      </c>
      <c r="F51" s="1361">
        <v>35</v>
      </c>
      <c r="G51" s="1360">
        <v>31</v>
      </c>
      <c r="H51" s="1361">
        <v>44</v>
      </c>
      <c r="I51" s="1360">
        <v>40</v>
      </c>
      <c r="J51" s="1361">
        <v>34</v>
      </c>
      <c r="K51" s="1360">
        <v>40</v>
      </c>
      <c r="L51" s="1374">
        <v>33</v>
      </c>
      <c r="M51" s="1374">
        <v>26</v>
      </c>
      <c r="N51" s="1374">
        <v>24</v>
      </c>
      <c r="O51" s="1374">
        <v>32</v>
      </c>
      <c r="P51" s="1375">
        <v>25</v>
      </c>
      <c r="Q51" s="1375">
        <v>19</v>
      </c>
      <c r="R51" s="1376">
        <v>12</v>
      </c>
      <c r="S51" s="1383">
        <v>1977</v>
      </c>
      <c r="T51" s="1384">
        <v>2019</v>
      </c>
      <c r="U51" s="1384">
        <v>1978</v>
      </c>
      <c r="V51" s="1384">
        <v>2030</v>
      </c>
      <c r="W51" s="1384">
        <v>2088</v>
      </c>
      <c r="X51" s="1384">
        <v>2152</v>
      </c>
      <c r="Y51" s="1384">
        <v>2176</v>
      </c>
      <c r="Z51" s="1384">
        <v>2177</v>
      </c>
      <c r="AA51" s="1384">
        <v>2183</v>
      </c>
      <c r="AB51" s="1384">
        <v>2180</v>
      </c>
      <c r="AC51" s="1384">
        <v>2162</v>
      </c>
      <c r="AD51" s="1384">
        <v>2336</v>
      </c>
      <c r="AE51" s="1384">
        <v>2303</v>
      </c>
      <c r="AF51" s="1384">
        <v>2240</v>
      </c>
      <c r="AG51" s="1385">
        <v>2216</v>
      </c>
      <c r="AH51" s="1429">
        <f t="shared" si="16"/>
        <v>19.726858877086492</v>
      </c>
      <c r="AI51" s="1430">
        <f t="shared" si="17"/>
        <v>21.297672114908369</v>
      </c>
      <c r="AJ51" s="1430">
        <f t="shared" si="18"/>
        <v>17.694641051567242</v>
      </c>
      <c r="AK51" s="1430">
        <f t="shared" si="19"/>
        <v>15.270935960591133</v>
      </c>
      <c r="AL51" s="1430">
        <f t="shared" si="20"/>
        <v>21.072796934865902</v>
      </c>
      <c r="AM51" s="1430">
        <f t="shared" si="21"/>
        <v>18.587360594795541</v>
      </c>
      <c r="AN51" s="1430">
        <f t="shared" si="22"/>
        <v>15.625</v>
      </c>
      <c r="AO51" s="1430">
        <f t="shared" si="23"/>
        <v>18.373909049150207</v>
      </c>
      <c r="AP51" s="1430">
        <f t="shared" si="24"/>
        <v>15.116811726981219</v>
      </c>
      <c r="AQ51" s="1430">
        <f t="shared" si="25"/>
        <v>11.926605504587156</v>
      </c>
      <c r="AR51" s="1430">
        <f t="shared" si="26"/>
        <v>11.100832562442182</v>
      </c>
      <c r="AS51" s="1430">
        <f t="shared" si="27"/>
        <v>13.698630136986301</v>
      </c>
      <c r="AT51" s="1430">
        <f t="shared" si="28"/>
        <v>10.855405992184108</v>
      </c>
      <c r="AU51" s="1430">
        <f t="shared" si="29"/>
        <v>8.4821428571428559</v>
      </c>
      <c r="AV51" s="1431">
        <f t="shared" si="30"/>
        <v>5.4151624548736459</v>
      </c>
    </row>
    <row r="52" spans="1:48" s="142" customFormat="1" ht="15.75" customHeight="1">
      <c r="A52" s="149" t="s">
        <v>120</v>
      </c>
      <c r="B52" s="189" t="s">
        <v>121</v>
      </c>
      <c r="C52" s="150" t="s">
        <v>264</v>
      </c>
      <c r="D52" s="1359">
        <v>36</v>
      </c>
      <c r="E52" s="1360">
        <v>50</v>
      </c>
      <c r="F52" s="1361">
        <v>44</v>
      </c>
      <c r="G52" s="1360">
        <v>36</v>
      </c>
      <c r="H52" s="1361">
        <v>37</v>
      </c>
      <c r="I52" s="1360">
        <v>31</v>
      </c>
      <c r="J52" s="1361">
        <v>36</v>
      </c>
      <c r="K52" s="1360">
        <v>45</v>
      </c>
      <c r="L52" s="1374">
        <v>48</v>
      </c>
      <c r="M52" s="1374">
        <v>37</v>
      </c>
      <c r="N52" s="1374">
        <v>42</v>
      </c>
      <c r="O52" s="1374">
        <v>43</v>
      </c>
      <c r="P52" s="1375">
        <v>49</v>
      </c>
      <c r="Q52" s="1375">
        <v>41</v>
      </c>
      <c r="R52" s="1376">
        <v>36</v>
      </c>
      <c r="S52" s="1383">
        <v>2769</v>
      </c>
      <c r="T52" s="1384">
        <v>2829</v>
      </c>
      <c r="U52" s="1384">
        <v>3000</v>
      </c>
      <c r="V52" s="1384">
        <v>3181</v>
      </c>
      <c r="W52" s="1384">
        <v>3293</v>
      </c>
      <c r="X52" s="1384">
        <v>3365</v>
      </c>
      <c r="Y52" s="1384">
        <v>3483</v>
      </c>
      <c r="Z52" s="1384">
        <v>3470</v>
      </c>
      <c r="AA52" s="1384">
        <v>3452</v>
      </c>
      <c r="AB52" s="1384">
        <v>3519</v>
      </c>
      <c r="AC52" s="1384">
        <v>3505</v>
      </c>
      <c r="AD52" s="1384">
        <v>3940</v>
      </c>
      <c r="AE52" s="1384">
        <v>4025</v>
      </c>
      <c r="AF52" s="1384">
        <v>4099</v>
      </c>
      <c r="AG52" s="1385">
        <v>4102</v>
      </c>
      <c r="AH52" s="1429">
        <f t="shared" si="16"/>
        <v>13.001083423618635</v>
      </c>
      <c r="AI52" s="1430">
        <f t="shared" si="17"/>
        <v>17.674089784376108</v>
      </c>
      <c r="AJ52" s="1430">
        <f t="shared" si="18"/>
        <v>14.666666666666666</v>
      </c>
      <c r="AK52" s="1430">
        <f t="shared" si="19"/>
        <v>11.317195850361522</v>
      </c>
      <c r="AL52" s="1430">
        <f t="shared" si="20"/>
        <v>11.235955056179774</v>
      </c>
      <c r="AM52" s="1430">
        <f t="shared" si="21"/>
        <v>9.212481426448738</v>
      </c>
      <c r="AN52" s="1430">
        <f t="shared" si="22"/>
        <v>10.335917312661499</v>
      </c>
      <c r="AO52" s="1430">
        <f t="shared" si="23"/>
        <v>12.968299711815563</v>
      </c>
      <c r="AP52" s="1430">
        <f t="shared" si="24"/>
        <v>13.904982618771726</v>
      </c>
      <c r="AQ52" s="1430">
        <f t="shared" si="25"/>
        <v>10.514350667803352</v>
      </c>
      <c r="AR52" s="1430">
        <f t="shared" si="26"/>
        <v>11.982881597717546</v>
      </c>
      <c r="AS52" s="1430">
        <f t="shared" si="27"/>
        <v>10.913705583756345</v>
      </c>
      <c r="AT52" s="1430">
        <f t="shared" si="28"/>
        <v>12.17391304347826</v>
      </c>
      <c r="AU52" s="1430">
        <f t="shared" si="29"/>
        <v>10.00243961941937</v>
      </c>
      <c r="AV52" s="1431">
        <f t="shared" si="30"/>
        <v>8.7762067284251586</v>
      </c>
    </row>
    <row r="53" spans="1:48" s="142" customFormat="1" ht="15.75" customHeight="1">
      <c r="A53" s="149" t="s">
        <v>122</v>
      </c>
      <c r="B53" s="189" t="s">
        <v>271</v>
      </c>
      <c r="C53" s="150" t="s">
        <v>266</v>
      </c>
      <c r="D53" s="1359">
        <v>9</v>
      </c>
      <c r="E53" s="1360">
        <v>6</v>
      </c>
      <c r="F53" s="1361">
        <v>12</v>
      </c>
      <c r="G53" s="1360">
        <v>1</v>
      </c>
      <c r="H53" s="1361">
        <v>8</v>
      </c>
      <c r="I53" s="1360">
        <v>8</v>
      </c>
      <c r="J53" s="1361">
        <v>9</v>
      </c>
      <c r="K53" s="1360">
        <v>10</v>
      </c>
      <c r="L53" s="1374">
        <v>15</v>
      </c>
      <c r="M53" s="1374">
        <v>7</v>
      </c>
      <c r="N53" s="1374">
        <v>13</v>
      </c>
      <c r="O53" s="1374">
        <v>4</v>
      </c>
      <c r="P53" s="1375">
        <v>8</v>
      </c>
      <c r="Q53" s="1375">
        <v>7</v>
      </c>
      <c r="R53" s="1376">
        <v>7</v>
      </c>
      <c r="S53" s="1383">
        <v>408</v>
      </c>
      <c r="T53" s="1384">
        <v>405</v>
      </c>
      <c r="U53" s="1384">
        <v>411</v>
      </c>
      <c r="V53" s="1384">
        <v>405</v>
      </c>
      <c r="W53" s="1384">
        <v>401</v>
      </c>
      <c r="X53" s="1384">
        <v>405</v>
      </c>
      <c r="Y53" s="1384">
        <v>404</v>
      </c>
      <c r="Z53" s="1384">
        <v>392</v>
      </c>
      <c r="AA53" s="1384">
        <v>393</v>
      </c>
      <c r="AB53" s="1384">
        <v>364</v>
      </c>
      <c r="AC53" s="1384">
        <v>355</v>
      </c>
      <c r="AD53" s="1384">
        <v>372</v>
      </c>
      <c r="AE53" s="1384">
        <v>388</v>
      </c>
      <c r="AF53" s="1384">
        <v>367</v>
      </c>
      <c r="AG53" s="1385">
        <v>366</v>
      </c>
      <c r="AH53" s="1429">
        <f t="shared" si="16"/>
        <v>22.058823529411764</v>
      </c>
      <c r="AI53" s="1430">
        <f t="shared" si="17"/>
        <v>14.814814814814815</v>
      </c>
      <c r="AJ53" s="1430">
        <f t="shared" si="18"/>
        <v>29.197080291970803</v>
      </c>
      <c r="AK53" s="1430">
        <f t="shared" si="19"/>
        <v>2.4691358024691357</v>
      </c>
      <c r="AL53" s="1430">
        <f t="shared" si="20"/>
        <v>19.950124688279303</v>
      </c>
      <c r="AM53" s="1430">
        <f t="shared" si="21"/>
        <v>19.753086419753085</v>
      </c>
      <c r="AN53" s="1430">
        <f t="shared" si="22"/>
        <v>22.277227722772277</v>
      </c>
      <c r="AO53" s="1430">
        <f t="shared" si="23"/>
        <v>25.510204081632654</v>
      </c>
      <c r="AP53" s="1430">
        <f t="shared" si="24"/>
        <v>38.167938931297712</v>
      </c>
      <c r="AQ53" s="1430">
        <f t="shared" si="25"/>
        <v>19.230769230769234</v>
      </c>
      <c r="AR53" s="1430">
        <f t="shared" si="26"/>
        <v>36.619718309859152</v>
      </c>
      <c r="AS53" s="1430">
        <f t="shared" si="27"/>
        <v>10.752688172043012</v>
      </c>
      <c r="AT53" s="1430">
        <f t="shared" si="28"/>
        <v>20.618556701030929</v>
      </c>
      <c r="AU53" s="1430">
        <f t="shared" si="29"/>
        <v>19.073569482288828</v>
      </c>
      <c r="AV53" s="1431">
        <f t="shared" si="30"/>
        <v>19.125683060109289</v>
      </c>
    </row>
    <row r="54" spans="1:48" s="142" customFormat="1" ht="15.75" customHeight="1">
      <c r="A54" s="149" t="s">
        <v>124</v>
      </c>
      <c r="B54" s="189" t="s">
        <v>125</v>
      </c>
      <c r="C54" s="150" t="s">
        <v>267</v>
      </c>
      <c r="D54" s="1359">
        <v>25</v>
      </c>
      <c r="E54" s="1360">
        <v>25</v>
      </c>
      <c r="F54" s="1361">
        <v>26</v>
      </c>
      <c r="G54" s="1360">
        <v>27</v>
      </c>
      <c r="H54" s="1361">
        <v>29</v>
      </c>
      <c r="I54" s="1360">
        <v>35</v>
      </c>
      <c r="J54" s="1361">
        <v>29</v>
      </c>
      <c r="K54" s="1360">
        <v>26</v>
      </c>
      <c r="L54" s="1374">
        <v>20</v>
      </c>
      <c r="M54" s="1374">
        <v>24</v>
      </c>
      <c r="N54" s="1374">
        <v>38</v>
      </c>
      <c r="O54" s="1374">
        <v>20</v>
      </c>
      <c r="P54" s="1375">
        <v>18</v>
      </c>
      <c r="Q54" s="1375">
        <v>23</v>
      </c>
      <c r="R54" s="1376">
        <v>28</v>
      </c>
      <c r="S54" s="1383">
        <v>1213</v>
      </c>
      <c r="T54" s="1384">
        <v>1245</v>
      </c>
      <c r="U54" s="1384">
        <v>1181</v>
      </c>
      <c r="V54" s="1384">
        <v>1228</v>
      </c>
      <c r="W54" s="1384">
        <v>1241</v>
      </c>
      <c r="X54" s="1384">
        <v>1277</v>
      </c>
      <c r="Y54" s="1384">
        <v>1354</v>
      </c>
      <c r="Z54" s="1384">
        <v>1400</v>
      </c>
      <c r="AA54" s="1384">
        <v>1446</v>
      </c>
      <c r="AB54" s="1384">
        <v>1517</v>
      </c>
      <c r="AC54" s="1384">
        <v>1526</v>
      </c>
      <c r="AD54" s="1384">
        <v>1679</v>
      </c>
      <c r="AE54" s="1384">
        <v>1660</v>
      </c>
      <c r="AF54" s="1384">
        <v>1718</v>
      </c>
      <c r="AG54" s="1385">
        <v>1687</v>
      </c>
      <c r="AH54" s="1429">
        <f t="shared" si="16"/>
        <v>20.610057708161584</v>
      </c>
      <c r="AI54" s="1430">
        <f t="shared" si="17"/>
        <v>20.080321285140563</v>
      </c>
      <c r="AJ54" s="1430">
        <f t="shared" si="18"/>
        <v>22.01524132091448</v>
      </c>
      <c r="AK54" s="1430">
        <f t="shared" si="19"/>
        <v>21.986970684039086</v>
      </c>
      <c r="AL54" s="1430">
        <f t="shared" si="20"/>
        <v>23.368251410153103</v>
      </c>
      <c r="AM54" s="1430">
        <f t="shared" si="21"/>
        <v>27.4079874706343</v>
      </c>
      <c r="AN54" s="1430">
        <f t="shared" si="22"/>
        <v>21.418020679468242</v>
      </c>
      <c r="AO54" s="1430">
        <f t="shared" si="23"/>
        <v>18.571428571428573</v>
      </c>
      <c r="AP54" s="1430">
        <f t="shared" si="24"/>
        <v>13.831258644536652</v>
      </c>
      <c r="AQ54" s="1430">
        <f t="shared" si="25"/>
        <v>15.820698747528017</v>
      </c>
      <c r="AR54" s="1430">
        <f t="shared" si="26"/>
        <v>24.901703800786368</v>
      </c>
      <c r="AS54" s="1430">
        <f t="shared" si="27"/>
        <v>11.911852293031567</v>
      </c>
      <c r="AT54" s="1430">
        <f t="shared" si="28"/>
        <v>10.843373493975903</v>
      </c>
      <c r="AU54" s="1430">
        <f t="shared" si="29"/>
        <v>13.387660069848661</v>
      </c>
      <c r="AV54" s="1431">
        <f t="shared" si="30"/>
        <v>16.597510373443985</v>
      </c>
    </row>
    <row r="55" spans="1:48" s="142" customFormat="1" ht="15.75" customHeight="1">
      <c r="A55" s="149" t="s">
        <v>126</v>
      </c>
      <c r="B55" s="189" t="s">
        <v>127</v>
      </c>
      <c r="C55" s="150" t="s">
        <v>266</v>
      </c>
      <c r="D55" s="1359">
        <v>17</v>
      </c>
      <c r="E55" s="1360">
        <v>18</v>
      </c>
      <c r="F55" s="1361">
        <v>30</v>
      </c>
      <c r="G55" s="1360">
        <v>11</v>
      </c>
      <c r="H55" s="1361">
        <v>18</v>
      </c>
      <c r="I55" s="1360">
        <v>15</v>
      </c>
      <c r="J55" s="1361">
        <v>17</v>
      </c>
      <c r="K55" s="1360">
        <v>12</v>
      </c>
      <c r="L55" s="1374">
        <v>10</v>
      </c>
      <c r="M55" s="1374">
        <v>14</v>
      </c>
      <c r="N55" s="1374">
        <v>13</v>
      </c>
      <c r="O55" s="1374">
        <v>23</v>
      </c>
      <c r="P55" s="1375">
        <v>17</v>
      </c>
      <c r="Q55" s="1375">
        <v>13</v>
      </c>
      <c r="R55" s="1376">
        <v>7</v>
      </c>
      <c r="S55" s="1383">
        <v>882</v>
      </c>
      <c r="T55" s="1384">
        <v>898</v>
      </c>
      <c r="U55" s="1384">
        <v>895</v>
      </c>
      <c r="V55" s="1384">
        <v>914</v>
      </c>
      <c r="W55" s="1384">
        <v>934</v>
      </c>
      <c r="X55" s="1384">
        <v>944</v>
      </c>
      <c r="Y55" s="1384">
        <v>943</v>
      </c>
      <c r="Z55" s="1384">
        <v>961</v>
      </c>
      <c r="AA55" s="1384">
        <v>962</v>
      </c>
      <c r="AB55" s="1384">
        <v>981</v>
      </c>
      <c r="AC55" s="1384">
        <v>974</v>
      </c>
      <c r="AD55" s="1384">
        <v>1081</v>
      </c>
      <c r="AE55" s="1384">
        <v>1069</v>
      </c>
      <c r="AF55" s="1384">
        <v>1075</v>
      </c>
      <c r="AG55" s="1385">
        <v>1032</v>
      </c>
      <c r="AH55" s="1429">
        <f t="shared" si="16"/>
        <v>19.274376417233558</v>
      </c>
      <c r="AI55" s="1430">
        <f t="shared" si="17"/>
        <v>20.044543429844101</v>
      </c>
      <c r="AJ55" s="1430">
        <f t="shared" si="18"/>
        <v>33.519553072625698</v>
      </c>
      <c r="AK55" s="1430">
        <f t="shared" si="19"/>
        <v>12.035010940919038</v>
      </c>
      <c r="AL55" s="1430">
        <f t="shared" si="20"/>
        <v>19.271948608137045</v>
      </c>
      <c r="AM55" s="1430">
        <f t="shared" si="21"/>
        <v>15.889830508474576</v>
      </c>
      <c r="AN55" s="1430">
        <f t="shared" si="22"/>
        <v>18.027571580063629</v>
      </c>
      <c r="AO55" s="1430">
        <f t="shared" si="23"/>
        <v>12.486992715920914</v>
      </c>
      <c r="AP55" s="1430">
        <f t="shared" si="24"/>
        <v>10.395010395010395</v>
      </c>
      <c r="AQ55" s="1430">
        <f t="shared" si="25"/>
        <v>14.271151885830784</v>
      </c>
      <c r="AR55" s="1430">
        <f t="shared" si="26"/>
        <v>13.347022587268993</v>
      </c>
      <c r="AS55" s="1430">
        <f t="shared" si="27"/>
        <v>21.276595744680851</v>
      </c>
      <c r="AT55" s="1430">
        <f t="shared" si="28"/>
        <v>15.902712815715622</v>
      </c>
      <c r="AU55" s="1430">
        <f t="shared" si="29"/>
        <v>12.093023255813954</v>
      </c>
      <c r="AV55" s="1431">
        <f t="shared" si="30"/>
        <v>6.7829457364341081</v>
      </c>
    </row>
    <row r="56" spans="1:48" s="142" customFormat="1" ht="15.75" customHeight="1">
      <c r="A56" s="149" t="s">
        <v>128</v>
      </c>
      <c r="B56" s="189" t="s">
        <v>129</v>
      </c>
      <c r="C56" s="150" t="s">
        <v>266</v>
      </c>
      <c r="D56" s="1359">
        <v>22</v>
      </c>
      <c r="E56" s="1360">
        <v>19</v>
      </c>
      <c r="F56" s="1361">
        <v>23</v>
      </c>
      <c r="G56" s="1360">
        <v>25</v>
      </c>
      <c r="H56" s="1361">
        <v>20</v>
      </c>
      <c r="I56" s="1360">
        <v>12</v>
      </c>
      <c r="J56" s="1361">
        <v>16</v>
      </c>
      <c r="K56" s="1360">
        <v>13</v>
      </c>
      <c r="L56" s="1374">
        <v>11</v>
      </c>
      <c r="M56" s="1374">
        <v>12</v>
      </c>
      <c r="N56" s="1374">
        <v>9</v>
      </c>
      <c r="O56" s="1374">
        <v>9</v>
      </c>
      <c r="P56" s="1375">
        <v>9</v>
      </c>
      <c r="Q56" s="1375">
        <v>12</v>
      </c>
      <c r="R56" s="1376">
        <v>4</v>
      </c>
      <c r="S56" s="1383">
        <v>651</v>
      </c>
      <c r="T56" s="1384">
        <v>656</v>
      </c>
      <c r="U56" s="1384">
        <v>639</v>
      </c>
      <c r="V56" s="1384">
        <v>651</v>
      </c>
      <c r="W56" s="1384">
        <v>638</v>
      </c>
      <c r="X56" s="1384">
        <v>627</v>
      </c>
      <c r="Y56" s="1384">
        <v>598</v>
      </c>
      <c r="Z56" s="1384">
        <v>557</v>
      </c>
      <c r="AA56" s="1384">
        <v>532</v>
      </c>
      <c r="AB56" s="1384">
        <v>531</v>
      </c>
      <c r="AC56" s="1384">
        <v>512</v>
      </c>
      <c r="AD56" s="1384">
        <v>494</v>
      </c>
      <c r="AE56" s="1384">
        <v>510</v>
      </c>
      <c r="AF56" s="1384">
        <v>505</v>
      </c>
      <c r="AG56" s="1385">
        <v>480</v>
      </c>
      <c r="AH56" s="1429">
        <f t="shared" si="16"/>
        <v>33.794162826420894</v>
      </c>
      <c r="AI56" s="1430">
        <f t="shared" si="17"/>
        <v>28.963414634146343</v>
      </c>
      <c r="AJ56" s="1430">
        <f t="shared" si="18"/>
        <v>35.993740219092331</v>
      </c>
      <c r="AK56" s="1430">
        <f t="shared" si="19"/>
        <v>38.402457757296467</v>
      </c>
      <c r="AL56" s="1430">
        <f t="shared" si="20"/>
        <v>31.347962382445139</v>
      </c>
      <c r="AM56" s="1430">
        <f t="shared" si="21"/>
        <v>19.138755980861244</v>
      </c>
      <c r="AN56" s="1430">
        <f t="shared" si="22"/>
        <v>26.755852842809364</v>
      </c>
      <c r="AO56" s="1430">
        <f t="shared" si="23"/>
        <v>23.339317773788149</v>
      </c>
      <c r="AP56" s="1430">
        <f t="shared" si="24"/>
        <v>20.676691729323306</v>
      </c>
      <c r="AQ56" s="1430">
        <f t="shared" si="25"/>
        <v>22.598870056497177</v>
      </c>
      <c r="AR56" s="1430">
        <f t="shared" si="26"/>
        <v>17.578125</v>
      </c>
      <c r="AS56" s="1430">
        <f t="shared" si="27"/>
        <v>18.218623481781375</v>
      </c>
      <c r="AT56" s="1430">
        <f t="shared" si="28"/>
        <v>17.647058823529413</v>
      </c>
      <c r="AU56" s="1430">
        <f t="shared" si="29"/>
        <v>23.762376237623762</v>
      </c>
      <c r="AV56" s="1431">
        <f t="shared" si="30"/>
        <v>8.3333333333333339</v>
      </c>
    </row>
    <row r="57" spans="1:48" s="142" customFormat="1" ht="15.75" customHeight="1">
      <c r="A57" s="149" t="s">
        <v>130</v>
      </c>
      <c r="B57" s="189" t="s">
        <v>131</v>
      </c>
      <c r="C57" s="150" t="s">
        <v>268</v>
      </c>
      <c r="D57" s="1359">
        <v>52</v>
      </c>
      <c r="E57" s="1360">
        <v>41</v>
      </c>
      <c r="F57" s="1361">
        <v>37</v>
      </c>
      <c r="G57" s="1360">
        <v>28</v>
      </c>
      <c r="H57" s="1361">
        <v>31</v>
      </c>
      <c r="I57" s="1360">
        <v>33</v>
      </c>
      <c r="J57" s="1361">
        <v>38</v>
      </c>
      <c r="K57" s="1360">
        <v>37</v>
      </c>
      <c r="L57" s="1374">
        <v>40</v>
      </c>
      <c r="M57" s="1374">
        <v>50</v>
      </c>
      <c r="N57" s="1374">
        <v>37</v>
      </c>
      <c r="O57" s="1374">
        <v>40</v>
      </c>
      <c r="P57" s="1375">
        <v>42</v>
      </c>
      <c r="Q57" s="1375">
        <v>38</v>
      </c>
      <c r="R57" s="1376">
        <v>42</v>
      </c>
      <c r="S57" s="1383">
        <v>1639</v>
      </c>
      <c r="T57" s="1384">
        <v>1597</v>
      </c>
      <c r="U57" s="1384">
        <v>1533</v>
      </c>
      <c r="V57" s="1384">
        <v>1505</v>
      </c>
      <c r="W57" s="1384">
        <v>1496</v>
      </c>
      <c r="X57" s="1384">
        <v>1501</v>
      </c>
      <c r="Y57" s="1384">
        <v>1494</v>
      </c>
      <c r="Z57" s="1384">
        <v>1487</v>
      </c>
      <c r="AA57" s="1384">
        <v>1427</v>
      </c>
      <c r="AB57" s="1384">
        <v>1382</v>
      </c>
      <c r="AC57" s="1384">
        <v>1342</v>
      </c>
      <c r="AD57" s="1384">
        <v>1427</v>
      </c>
      <c r="AE57" s="1384">
        <v>1452</v>
      </c>
      <c r="AF57" s="1384">
        <v>1382</v>
      </c>
      <c r="AG57" s="1385">
        <v>1350</v>
      </c>
      <c r="AH57" s="1429">
        <f t="shared" si="16"/>
        <v>31.726662599145818</v>
      </c>
      <c r="AI57" s="1430">
        <f t="shared" si="17"/>
        <v>25.673137132122733</v>
      </c>
      <c r="AJ57" s="1430">
        <f t="shared" si="18"/>
        <v>24.135681669928243</v>
      </c>
      <c r="AK57" s="1430">
        <f t="shared" si="19"/>
        <v>18.604651162790699</v>
      </c>
      <c r="AL57" s="1430">
        <f t="shared" si="20"/>
        <v>20.72192513368984</v>
      </c>
      <c r="AM57" s="1430">
        <f t="shared" si="21"/>
        <v>21.985343104596936</v>
      </c>
      <c r="AN57" s="1430">
        <f t="shared" si="22"/>
        <v>25.435073627844712</v>
      </c>
      <c r="AO57" s="1430">
        <f t="shared" si="23"/>
        <v>24.882313382649631</v>
      </c>
      <c r="AP57" s="1430">
        <f t="shared" si="24"/>
        <v>28.030833917309039</v>
      </c>
      <c r="AQ57" s="1430">
        <f t="shared" si="25"/>
        <v>36.179450072358897</v>
      </c>
      <c r="AR57" s="1430">
        <f t="shared" si="26"/>
        <v>27.570789865871834</v>
      </c>
      <c r="AS57" s="1430">
        <f t="shared" si="27"/>
        <v>28.030833917309039</v>
      </c>
      <c r="AT57" s="1430">
        <f t="shared" si="28"/>
        <v>28.925619834710744</v>
      </c>
      <c r="AU57" s="1430">
        <f t="shared" si="29"/>
        <v>27.496382054992765</v>
      </c>
      <c r="AV57" s="1431">
        <f t="shared" si="30"/>
        <v>31.111111111111111</v>
      </c>
    </row>
    <row r="58" spans="1:48" s="142" customFormat="1" ht="15.75" customHeight="1">
      <c r="A58" s="149" t="s">
        <v>132</v>
      </c>
      <c r="B58" s="189" t="s">
        <v>133</v>
      </c>
      <c r="C58" s="150" t="s">
        <v>267</v>
      </c>
      <c r="D58" s="1359">
        <v>91</v>
      </c>
      <c r="E58" s="1360">
        <v>107</v>
      </c>
      <c r="F58" s="1361">
        <v>105</v>
      </c>
      <c r="G58" s="1360">
        <v>93</v>
      </c>
      <c r="H58" s="1361">
        <v>103</v>
      </c>
      <c r="I58" s="1360">
        <v>88</v>
      </c>
      <c r="J58" s="1361">
        <v>120</v>
      </c>
      <c r="K58" s="1360">
        <v>117</v>
      </c>
      <c r="L58" s="1374">
        <v>125</v>
      </c>
      <c r="M58" s="1374">
        <v>146</v>
      </c>
      <c r="N58" s="1374">
        <v>110</v>
      </c>
      <c r="O58" s="1374">
        <v>110</v>
      </c>
      <c r="P58" s="1375">
        <v>95</v>
      </c>
      <c r="Q58" s="1375">
        <v>82</v>
      </c>
      <c r="R58" s="1376">
        <v>109</v>
      </c>
      <c r="S58" s="1383">
        <v>7056</v>
      </c>
      <c r="T58" s="1384">
        <v>7253</v>
      </c>
      <c r="U58" s="1384">
        <v>10496</v>
      </c>
      <c r="V58" s="1384">
        <v>12325</v>
      </c>
      <c r="W58" s="1384">
        <v>13499</v>
      </c>
      <c r="X58" s="1384">
        <v>14909</v>
      </c>
      <c r="Y58" s="1384">
        <v>16258</v>
      </c>
      <c r="Z58" s="1384">
        <v>17149</v>
      </c>
      <c r="AA58" s="1384">
        <v>17671</v>
      </c>
      <c r="AB58" s="1384">
        <v>18501</v>
      </c>
      <c r="AC58" s="1384">
        <v>19322</v>
      </c>
      <c r="AD58" s="1384">
        <v>20223</v>
      </c>
      <c r="AE58" s="1384">
        <v>21819</v>
      </c>
      <c r="AF58" s="1384">
        <v>23326</v>
      </c>
      <c r="AG58" s="1385">
        <v>24410</v>
      </c>
      <c r="AH58" s="1429">
        <f t="shared" si="16"/>
        <v>12.896825396825395</v>
      </c>
      <c r="AI58" s="1430">
        <f t="shared" si="17"/>
        <v>14.752516200193023</v>
      </c>
      <c r="AJ58" s="1430">
        <f t="shared" si="18"/>
        <v>10.003810975609756</v>
      </c>
      <c r="AK58" s="1430">
        <f t="shared" si="19"/>
        <v>7.5456389452332662</v>
      </c>
      <c r="AL58" s="1430">
        <f t="shared" si="20"/>
        <v>7.6301948292466104</v>
      </c>
      <c r="AM58" s="1430">
        <f t="shared" si="21"/>
        <v>5.9024750150915555</v>
      </c>
      <c r="AN58" s="1430">
        <f t="shared" si="22"/>
        <v>7.3809816705621847</v>
      </c>
      <c r="AO58" s="1430">
        <f t="shared" si="23"/>
        <v>6.8225552510350465</v>
      </c>
      <c r="AP58" s="1430">
        <f t="shared" si="24"/>
        <v>7.073736630637768</v>
      </c>
      <c r="AQ58" s="1430">
        <f t="shared" si="25"/>
        <v>7.8914653261985839</v>
      </c>
      <c r="AR58" s="1430">
        <f t="shared" si="26"/>
        <v>5.6929924438463928</v>
      </c>
      <c r="AS58" s="1430">
        <f t="shared" si="27"/>
        <v>5.4393512337437571</v>
      </c>
      <c r="AT58" s="1430">
        <f t="shared" si="28"/>
        <v>4.3540033915394831</v>
      </c>
      <c r="AU58" s="1430">
        <f t="shared" si="29"/>
        <v>3.5153905513161279</v>
      </c>
      <c r="AV58" s="1431">
        <f t="shared" si="30"/>
        <v>4.4653830397378131</v>
      </c>
    </row>
    <row r="59" spans="1:48" s="142" customFormat="1" ht="15.75" customHeight="1">
      <c r="A59" s="149" t="s">
        <v>134</v>
      </c>
      <c r="B59" s="189" t="s">
        <v>135</v>
      </c>
      <c r="C59" s="150" t="s">
        <v>267</v>
      </c>
      <c r="D59" s="1359">
        <v>53</v>
      </c>
      <c r="E59" s="1360">
        <v>42</v>
      </c>
      <c r="F59" s="1361">
        <v>46</v>
      </c>
      <c r="G59" s="1360">
        <v>45</v>
      </c>
      <c r="H59" s="1361">
        <v>40</v>
      </c>
      <c r="I59" s="1360">
        <v>37</v>
      </c>
      <c r="J59" s="1361">
        <v>36</v>
      </c>
      <c r="K59" s="1360">
        <v>37</v>
      </c>
      <c r="L59" s="1374">
        <v>46</v>
      </c>
      <c r="M59" s="1374">
        <v>40</v>
      </c>
      <c r="N59" s="1374">
        <v>40</v>
      </c>
      <c r="O59" s="1374">
        <v>34</v>
      </c>
      <c r="P59" s="1375">
        <v>40</v>
      </c>
      <c r="Q59" s="1375">
        <v>27</v>
      </c>
      <c r="R59" s="1376">
        <v>29</v>
      </c>
      <c r="S59" s="1383">
        <v>1489</v>
      </c>
      <c r="T59" s="1384">
        <v>1508</v>
      </c>
      <c r="U59" s="1384">
        <v>1675</v>
      </c>
      <c r="V59" s="1384">
        <v>1731</v>
      </c>
      <c r="W59" s="1384">
        <v>1791</v>
      </c>
      <c r="X59" s="1384">
        <v>1852</v>
      </c>
      <c r="Y59" s="1384">
        <v>1882</v>
      </c>
      <c r="Z59" s="1384">
        <v>1913</v>
      </c>
      <c r="AA59" s="1384">
        <v>1892</v>
      </c>
      <c r="AB59" s="1384">
        <v>1847</v>
      </c>
      <c r="AC59" s="1384">
        <v>1881</v>
      </c>
      <c r="AD59" s="1384">
        <v>1976</v>
      </c>
      <c r="AE59" s="1384">
        <v>1944</v>
      </c>
      <c r="AF59" s="1384">
        <v>1897</v>
      </c>
      <c r="AG59" s="1385">
        <v>1858</v>
      </c>
      <c r="AH59" s="1429">
        <f t="shared" si="16"/>
        <v>35.594358629952985</v>
      </c>
      <c r="AI59" s="1430">
        <f t="shared" si="17"/>
        <v>27.851458885941646</v>
      </c>
      <c r="AJ59" s="1430">
        <f t="shared" si="18"/>
        <v>27.46268656716418</v>
      </c>
      <c r="AK59" s="1430">
        <f t="shared" si="19"/>
        <v>25.996533795493935</v>
      </c>
      <c r="AL59" s="1430">
        <f t="shared" si="20"/>
        <v>22.333891680625349</v>
      </c>
      <c r="AM59" s="1430">
        <f t="shared" si="21"/>
        <v>19.978401727861769</v>
      </c>
      <c r="AN59" s="1430">
        <f t="shared" si="22"/>
        <v>19.128586609989373</v>
      </c>
      <c r="AO59" s="1430">
        <f t="shared" si="23"/>
        <v>19.341348667015161</v>
      </c>
      <c r="AP59" s="1430">
        <f t="shared" si="24"/>
        <v>24.312896405919663</v>
      </c>
      <c r="AQ59" s="1430">
        <f t="shared" si="25"/>
        <v>21.656740660530588</v>
      </c>
      <c r="AR59" s="1430">
        <f t="shared" si="26"/>
        <v>21.26528442317916</v>
      </c>
      <c r="AS59" s="1430">
        <f t="shared" si="27"/>
        <v>17.206477732793523</v>
      </c>
      <c r="AT59" s="1430">
        <f t="shared" si="28"/>
        <v>20.5761316872428</v>
      </c>
      <c r="AU59" s="1430">
        <f t="shared" si="29"/>
        <v>14.232999472851873</v>
      </c>
      <c r="AV59" s="1431">
        <f t="shared" si="30"/>
        <v>15.608180839612487</v>
      </c>
    </row>
    <row r="60" spans="1:48" s="142" customFormat="1" ht="15.75" customHeight="1">
      <c r="A60" s="149" t="s">
        <v>136</v>
      </c>
      <c r="B60" s="189" t="s">
        <v>137</v>
      </c>
      <c r="C60" s="150" t="s">
        <v>266</v>
      </c>
      <c r="D60" s="1359">
        <v>27</v>
      </c>
      <c r="E60" s="1360">
        <v>20</v>
      </c>
      <c r="F60" s="1361">
        <v>13</v>
      </c>
      <c r="G60" s="1360">
        <v>14</v>
      </c>
      <c r="H60" s="1361">
        <v>17</v>
      </c>
      <c r="I60" s="1360">
        <v>20</v>
      </c>
      <c r="J60" s="1361">
        <v>18</v>
      </c>
      <c r="K60" s="1360">
        <v>29</v>
      </c>
      <c r="L60" s="1374">
        <v>24</v>
      </c>
      <c r="M60" s="1374">
        <v>17</v>
      </c>
      <c r="N60" s="1374">
        <v>19</v>
      </c>
      <c r="O60" s="1374">
        <v>16</v>
      </c>
      <c r="P60" s="1375">
        <v>21</v>
      </c>
      <c r="Q60" s="1375">
        <v>16</v>
      </c>
      <c r="R60" s="1376">
        <v>22</v>
      </c>
      <c r="S60" s="1383">
        <v>769</v>
      </c>
      <c r="T60" s="1384">
        <v>770</v>
      </c>
      <c r="U60" s="1384">
        <v>821</v>
      </c>
      <c r="V60" s="1384">
        <v>830</v>
      </c>
      <c r="W60" s="1384">
        <v>835</v>
      </c>
      <c r="X60" s="1384">
        <v>805</v>
      </c>
      <c r="Y60" s="1384">
        <v>784</v>
      </c>
      <c r="Z60" s="1384">
        <v>791</v>
      </c>
      <c r="AA60" s="1384">
        <v>749</v>
      </c>
      <c r="AB60" s="1384">
        <v>697</v>
      </c>
      <c r="AC60" s="1384">
        <v>669</v>
      </c>
      <c r="AD60" s="1384">
        <v>674</v>
      </c>
      <c r="AE60" s="1384">
        <v>689</v>
      </c>
      <c r="AF60" s="1384">
        <v>662</v>
      </c>
      <c r="AG60" s="1385">
        <v>652</v>
      </c>
      <c r="AH60" s="1429">
        <f t="shared" si="16"/>
        <v>35.110533159947984</v>
      </c>
      <c r="AI60" s="1430">
        <f t="shared" si="17"/>
        <v>25.974025974025977</v>
      </c>
      <c r="AJ60" s="1430">
        <f t="shared" si="18"/>
        <v>15.834348355663822</v>
      </c>
      <c r="AK60" s="1430">
        <f t="shared" si="19"/>
        <v>16.867469879518072</v>
      </c>
      <c r="AL60" s="1430">
        <f t="shared" si="20"/>
        <v>20.359281437125748</v>
      </c>
      <c r="AM60" s="1430">
        <f t="shared" si="21"/>
        <v>24.844720496894407</v>
      </c>
      <c r="AN60" s="1430">
        <f t="shared" si="22"/>
        <v>22.95918367346939</v>
      </c>
      <c r="AO60" s="1430">
        <f t="shared" si="23"/>
        <v>36.662452591656134</v>
      </c>
      <c r="AP60" s="1430">
        <f t="shared" si="24"/>
        <v>32.042723631508679</v>
      </c>
      <c r="AQ60" s="1430">
        <f t="shared" si="25"/>
        <v>24.390243902439025</v>
      </c>
      <c r="AR60" s="1430">
        <f t="shared" si="26"/>
        <v>28.400597907324364</v>
      </c>
      <c r="AS60" s="1430">
        <f t="shared" si="27"/>
        <v>23.738872403560833</v>
      </c>
      <c r="AT60" s="1430">
        <f t="shared" si="28"/>
        <v>30.478955007256896</v>
      </c>
      <c r="AU60" s="1430">
        <f t="shared" si="29"/>
        <v>24.169184290030213</v>
      </c>
      <c r="AV60" s="1431">
        <f t="shared" si="30"/>
        <v>33.742331288343557</v>
      </c>
    </row>
    <row r="61" spans="1:48" s="142" customFormat="1" ht="15.75" customHeight="1">
      <c r="A61" s="149" t="s">
        <v>140</v>
      </c>
      <c r="B61" s="189" t="s">
        <v>141</v>
      </c>
      <c r="C61" s="150" t="s">
        <v>267</v>
      </c>
      <c r="D61" s="1359">
        <v>8</v>
      </c>
      <c r="E61" s="1360">
        <v>15</v>
      </c>
      <c r="F61" s="1361">
        <v>15</v>
      </c>
      <c r="G61" s="1360">
        <v>23</v>
      </c>
      <c r="H61" s="1361">
        <v>8</v>
      </c>
      <c r="I61" s="1360">
        <v>12</v>
      </c>
      <c r="J61" s="1361">
        <v>16</v>
      </c>
      <c r="K61" s="1360">
        <v>20</v>
      </c>
      <c r="L61" s="1374">
        <v>20</v>
      </c>
      <c r="M61" s="1374">
        <v>14</v>
      </c>
      <c r="N61" s="1374">
        <v>14</v>
      </c>
      <c r="O61" s="1374">
        <v>13</v>
      </c>
      <c r="P61" s="1375">
        <v>9</v>
      </c>
      <c r="Q61" s="1375">
        <v>8</v>
      </c>
      <c r="R61" s="1376">
        <v>11</v>
      </c>
      <c r="S61" s="1383">
        <v>889</v>
      </c>
      <c r="T61" s="1384">
        <v>902</v>
      </c>
      <c r="U61" s="1384">
        <v>871</v>
      </c>
      <c r="V61" s="1384">
        <v>895</v>
      </c>
      <c r="W61" s="1384">
        <v>910</v>
      </c>
      <c r="X61" s="1384">
        <v>918</v>
      </c>
      <c r="Y61" s="1384">
        <v>908</v>
      </c>
      <c r="Z61" s="1384">
        <v>902</v>
      </c>
      <c r="AA61" s="1384">
        <v>884</v>
      </c>
      <c r="AB61" s="1384">
        <v>875</v>
      </c>
      <c r="AC61" s="1384">
        <v>863</v>
      </c>
      <c r="AD61" s="1384">
        <v>891</v>
      </c>
      <c r="AE61" s="1384">
        <v>834</v>
      </c>
      <c r="AF61" s="1384">
        <v>827</v>
      </c>
      <c r="AG61" s="1385">
        <v>838</v>
      </c>
      <c r="AH61" s="1429">
        <f t="shared" si="16"/>
        <v>8.9988751406074243</v>
      </c>
      <c r="AI61" s="1430">
        <f t="shared" si="17"/>
        <v>16.62971175166297</v>
      </c>
      <c r="AJ61" s="1430">
        <f t="shared" si="18"/>
        <v>17.221584385763489</v>
      </c>
      <c r="AK61" s="1430">
        <f t="shared" si="19"/>
        <v>25.69832402234637</v>
      </c>
      <c r="AL61" s="1430">
        <f t="shared" si="20"/>
        <v>8.791208791208792</v>
      </c>
      <c r="AM61" s="1430">
        <f t="shared" si="21"/>
        <v>13.071895424836601</v>
      </c>
      <c r="AN61" s="1430">
        <f t="shared" si="22"/>
        <v>17.621145374449341</v>
      </c>
      <c r="AO61" s="1430">
        <f t="shared" si="23"/>
        <v>22.172949002217297</v>
      </c>
      <c r="AP61" s="1430">
        <f t="shared" si="24"/>
        <v>22.624434389140269</v>
      </c>
      <c r="AQ61" s="1430">
        <f t="shared" si="25"/>
        <v>16</v>
      </c>
      <c r="AR61" s="1430">
        <f t="shared" si="26"/>
        <v>16.222479721900346</v>
      </c>
      <c r="AS61" s="1430">
        <f t="shared" si="27"/>
        <v>14.590347923681257</v>
      </c>
      <c r="AT61" s="1430">
        <f t="shared" si="28"/>
        <v>10.791366906474821</v>
      </c>
      <c r="AU61" s="1430">
        <f t="shared" si="29"/>
        <v>9.6735187424425622</v>
      </c>
      <c r="AV61" s="1431">
        <f t="shared" si="30"/>
        <v>13.126491646778042</v>
      </c>
    </row>
    <row r="62" spans="1:48" s="142" customFormat="1" ht="15.75" customHeight="1">
      <c r="A62" s="149" t="s">
        <v>146</v>
      </c>
      <c r="B62" s="189" t="s">
        <v>147</v>
      </c>
      <c r="C62" s="150" t="s">
        <v>264</v>
      </c>
      <c r="D62" s="1359">
        <v>10</v>
      </c>
      <c r="E62" s="1360">
        <v>5</v>
      </c>
      <c r="F62" s="1361">
        <v>10</v>
      </c>
      <c r="G62" s="1360">
        <v>7</v>
      </c>
      <c r="H62" s="1361">
        <v>8</v>
      </c>
      <c r="I62" s="1360">
        <v>6</v>
      </c>
      <c r="J62" s="1361">
        <v>5</v>
      </c>
      <c r="K62" s="1360">
        <v>6</v>
      </c>
      <c r="L62" s="1374">
        <v>9</v>
      </c>
      <c r="M62" s="1374">
        <v>5</v>
      </c>
      <c r="N62" s="1374">
        <v>9</v>
      </c>
      <c r="O62" s="1374">
        <v>5</v>
      </c>
      <c r="P62" s="1375">
        <v>2</v>
      </c>
      <c r="Q62" s="1375">
        <v>5</v>
      </c>
      <c r="R62" s="1376">
        <v>2</v>
      </c>
      <c r="S62" s="1383">
        <v>505</v>
      </c>
      <c r="T62" s="1384">
        <v>511</v>
      </c>
      <c r="U62" s="1384">
        <v>520</v>
      </c>
      <c r="V62" s="1384">
        <v>535</v>
      </c>
      <c r="W62" s="1384">
        <v>533</v>
      </c>
      <c r="X62" s="1384">
        <v>525</v>
      </c>
      <c r="Y62" s="1384">
        <v>528</v>
      </c>
      <c r="Z62" s="1384">
        <v>510</v>
      </c>
      <c r="AA62" s="1384">
        <v>515</v>
      </c>
      <c r="AB62" s="1384">
        <v>483</v>
      </c>
      <c r="AC62" s="1384">
        <v>485</v>
      </c>
      <c r="AD62" s="1384">
        <v>509</v>
      </c>
      <c r="AE62" s="1384">
        <v>502</v>
      </c>
      <c r="AF62" s="1384">
        <v>499</v>
      </c>
      <c r="AG62" s="1385">
        <v>502</v>
      </c>
      <c r="AH62" s="1429">
        <f t="shared" si="16"/>
        <v>19.801980198019802</v>
      </c>
      <c r="AI62" s="1430">
        <f t="shared" si="17"/>
        <v>9.7847358121330714</v>
      </c>
      <c r="AJ62" s="1430">
        <f t="shared" si="18"/>
        <v>19.230769230769234</v>
      </c>
      <c r="AK62" s="1430">
        <f t="shared" si="19"/>
        <v>13.084112149532711</v>
      </c>
      <c r="AL62" s="1430">
        <f t="shared" si="20"/>
        <v>15.0093808630394</v>
      </c>
      <c r="AM62" s="1430">
        <f t="shared" si="21"/>
        <v>11.428571428571429</v>
      </c>
      <c r="AN62" s="1430">
        <f t="shared" si="22"/>
        <v>9.4696969696969706</v>
      </c>
      <c r="AO62" s="1430">
        <f t="shared" si="23"/>
        <v>11.76470588235294</v>
      </c>
      <c r="AP62" s="1430">
        <f t="shared" si="24"/>
        <v>17.475728155339805</v>
      </c>
      <c r="AQ62" s="1430">
        <f t="shared" si="25"/>
        <v>10.351966873706004</v>
      </c>
      <c r="AR62" s="1430">
        <f t="shared" si="26"/>
        <v>18.556701030927837</v>
      </c>
      <c r="AS62" s="1430">
        <f t="shared" si="27"/>
        <v>9.8231827111984273</v>
      </c>
      <c r="AT62" s="1430">
        <f t="shared" si="28"/>
        <v>3.9840637450199203</v>
      </c>
      <c r="AU62" s="1430">
        <f t="shared" si="29"/>
        <v>10.020040080160321</v>
      </c>
      <c r="AV62" s="1431">
        <f t="shared" si="30"/>
        <v>3.9840637450199203</v>
      </c>
    </row>
    <row r="63" spans="1:48" s="142" customFormat="1" ht="15.75" customHeight="1">
      <c r="A63" s="149" t="s">
        <v>148</v>
      </c>
      <c r="B63" s="189" t="s">
        <v>149</v>
      </c>
      <c r="C63" s="150" t="s">
        <v>265</v>
      </c>
      <c r="D63" s="1359">
        <v>70</v>
      </c>
      <c r="E63" s="1360">
        <v>57</v>
      </c>
      <c r="F63" s="1361">
        <v>52</v>
      </c>
      <c r="G63" s="1360">
        <v>57</v>
      </c>
      <c r="H63" s="1361">
        <v>58</v>
      </c>
      <c r="I63" s="1360">
        <v>63</v>
      </c>
      <c r="J63" s="1361">
        <v>43</v>
      </c>
      <c r="K63" s="1360">
        <v>45</v>
      </c>
      <c r="L63" s="1374">
        <v>43</v>
      </c>
      <c r="M63" s="1374">
        <v>37</v>
      </c>
      <c r="N63" s="1374">
        <v>53</v>
      </c>
      <c r="O63" s="1374">
        <v>50</v>
      </c>
      <c r="P63" s="1375">
        <v>36</v>
      </c>
      <c r="Q63" s="1375">
        <v>33</v>
      </c>
      <c r="R63" s="1376">
        <v>35</v>
      </c>
      <c r="S63" s="1383">
        <v>1765</v>
      </c>
      <c r="T63" s="1384">
        <v>1747</v>
      </c>
      <c r="U63" s="1384">
        <v>1975</v>
      </c>
      <c r="V63" s="1384">
        <v>2008</v>
      </c>
      <c r="W63" s="1384">
        <v>1965</v>
      </c>
      <c r="X63" s="1384">
        <v>1958</v>
      </c>
      <c r="Y63" s="1384">
        <v>1928</v>
      </c>
      <c r="Z63" s="1384">
        <v>1942</v>
      </c>
      <c r="AA63" s="1384">
        <v>1905</v>
      </c>
      <c r="AB63" s="1384">
        <v>1865</v>
      </c>
      <c r="AC63" s="1384">
        <v>1828</v>
      </c>
      <c r="AD63" s="1384">
        <v>1798</v>
      </c>
      <c r="AE63" s="1384">
        <v>1836</v>
      </c>
      <c r="AF63" s="1384">
        <v>1819</v>
      </c>
      <c r="AG63" s="1385">
        <v>1779</v>
      </c>
      <c r="AH63" s="1429">
        <f t="shared" si="16"/>
        <v>39.660056657223798</v>
      </c>
      <c r="AI63" s="1430">
        <f t="shared" si="17"/>
        <v>32.627361190612476</v>
      </c>
      <c r="AJ63" s="1430">
        <f t="shared" si="18"/>
        <v>26.329113924050631</v>
      </c>
      <c r="AK63" s="1430">
        <f t="shared" si="19"/>
        <v>28.386454183266931</v>
      </c>
      <c r="AL63" s="1430">
        <f t="shared" si="20"/>
        <v>29.516539440203562</v>
      </c>
      <c r="AM63" s="1430">
        <f t="shared" si="21"/>
        <v>32.175689479060267</v>
      </c>
      <c r="AN63" s="1430">
        <f t="shared" si="22"/>
        <v>22.302904564315352</v>
      </c>
      <c r="AO63" s="1430">
        <f t="shared" si="23"/>
        <v>23.171987641606592</v>
      </c>
      <c r="AP63" s="1430">
        <f t="shared" si="24"/>
        <v>22.57217847769029</v>
      </c>
      <c r="AQ63" s="1430">
        <f t="shared" si="25"/>
        <v>19.839142091152816</v>
      </c>
      <c r="AR63" s="1430">
        <f t="shared" si="26"/>
        <v>28.993435448577682</v>
      </c>
      <c r="AS63" s="1430">
        <f t="shared" si="27"/>
        <v>27.808676307007786</v>
      </c>
      <c r="AT63" s="1430">
        <f t="shared" si="28"/>
        <v>19.607843137254903</v>
      </c>
      <c r="AU63" s="1430">
        <f t="shared" si="29"/>
        <v>18.141836173721828</v>
      </c>
      <c r="AV63" s="1431">
        <f t="shared" si="30"/>
        <v>19.673974142776839</v>
      </c>
    </row>
    <row r="64" spans="1:48" s="142" customFormat="1" ht="15.75" customHeight="1">
      <c r="A64" s="149" t="s">
        <v>150</v>
      </c>
      <c r="B64" s="189" t="s">
        <v>151</v>
      </c>
      <c r="C64" s="150" t="s">
        <v>266</v>
      </c>
      <c r="D64" s="1359">
        <v>10</v>
      </c>
      <c r="E64" s="1360">
        <v>16</v>
      </c>
      <c r="F64" s="1361">
        <v>5</v>
      </c>
      <c r="G64" s="1360">
        <v>12</v>
      </c>
      <c r="H64" s="1361">
        <v>11</v>
      </c>
      <c r="I64" s="1360">
        <v>13</v>
      </c>
      <c r="J64" s="1361">
        <v>7</v>
      </c>
      <c r="K64" s="1360">
        <v>9</v>
      </c>
      <c r="L64" s="1374">
        <v>7</v>
      </c>
      <c r="M64" s="1374">
        <v>17</v>
      </c>
      <c r="N64" s="1374">
        <v>8</v>
      </c>
      <c r="O64" s="1374">
        <v>9</v>
      </c>
      <c r="P64" s="1375">
        <v>6</v>
      </c>
      <c r="Q64" s="1375">
        <v>6</v>
      </c>
      <c r="R64" s="1376">
        <v>4</v>
      </c>
      <c r="S64" s="1383">
        <v>521</v>
      </c>
      <c r="T64" s="1384">
        <v>530</v>
      </c>
      <c r="U64" s="1384">
        <v>583</v>
      </c>
      <c r="V64" s="1384">
        <v>603</v>
      </c>
      <c r="W64" s="1384">
        <v>618</v>
      </c>
      <c r="X64" s="1384">
        <v>620</v>
      </c>
      <c r="Y64" s="1384">
        <v>616</v>
      </c>
      <c r="Z64" s="1384">
        <v>604</v>
      </c>
      <c r="AA64" s="1384">
        <v>593</v>
      </c>
      <c r="AB64" s="1384">
        <v>562</v>
      </c>
      <c r="AC64" s="1384">
        <v>546</v>
      </c>
      <c r="AD64" s="1384">
        <v>521</v>
      </c>
      <c r="AE64" s="1384">
        <v>501</v>
      </c>
      <c r="AF64" s="1384">
        <v>494</v>
      </c>
      <c r="AG64" s="1385">
        <v>472</v>
      </c>
      <c r="AH64" s="1429">
        <f t="shared" si="16"/>
        <v>19.193857965451055</v>
      </c>
      <c r="AI64" s="1430">
        <f t="shared" si="17"/>
        <v>30.188679245283019</v>
      </c>
      <c r="AJ64" s="1430">
        <f t="shared" si="18"/>
        <v>8.5763293310463133</v>
      </c>
      <c r="AK64" s="1430">
        <f t="shared" si="19"/>
        <v>19.900497512437809</v>
      </c>
      <c r="AL64" s="1430">
        <f t="shared" si="20"/>
        <v>17.79935275080906</v>
      </c>
      <c r="AM64" s="1430">
        <f t="shared" si="21"/>
        <v>20.967741935483872</v>
      </c>
      <c r="AN64" s="1430">
        <f t="shared" si="22"/>
        <v>11.363636363636363</v>
      </c>
      <c r="AO64" s="1430">
        <f t="shared" si="23"/>
        <v>14.900662251655628</v>
      </c>
      <c r="AP64" s="1430">
        <f t="shared" si="24"/>
        <v>11.804384485666104</v>
      </c>
      <c r="AQ64" s="1430">
        <f t="shared" si="25"/>
        <v>30.249110320284696</v>
      </c>
      <c r="AR64" s="1430">
        <f t="shared" si="26"/>
        <v>14.652014652014651</v>
      </c>
      <c r="AS64" s="1430">
        <f t="shared" si="27"/>
        <v>17.274472168905952</v>
      </c>
      <c r="AT64" s="1430">
        <f t="shared" si="28"/>
        <v>11.976047904191617</v>
      </c>
      <c r="AU64" s="1430">
        <f t="shared" si="29"/>
        <v>12.145748987854251</v>
      </c>
      <c r="AV64" s="1431">
        <f t="shared" si="30"/>
        <v>8.4745762711864412</v>
      </c>
    </row>
    <row r="65" spans="1:48" s="142" customFormat="1" ht="15.75" customHeight="1">
      <c r="A65" s="149" t="s">
        <v>152</v>
      </c>
      <c r="B65" s="189" t="s">
        <v>153</v>
      </c>
      <c r="C65" s="150" t="s">
        <v>268</v>
      </c>
      <c r="D65" s="1359">
        <v>58</v>
      </c>
      <c r="E65" s="1360">
        <v>71</v>
      </c>
      <c r="F65" s="1361">
        <v>94</v>
      </c>
      <c r="G65" s="1360">
        <v>53</v>
      </c>
      <c r="H65" s="1361">
        <v>56</v>
      </c>
      <c r="I65" s="1360">
        <v>67</v>
      </c>
      <c r="J65" s="1361">
        <v>75</v>
      </c>
      <c r="K65" s="1360">
        <v>81</v>
      </c>
      <c r="L65" s="1374">
        <v>49</v>
      </c>
      <c r="M65" s="1374">
        <v>79</v>
      </c>
      <c r="N65" s="1374">
        <v>106</v>
      </c>
      <c r="O65" s="1374">
        <v>66</v>
      </c>
      <c r="P65" s="1375">
        <v>60</v>
      </c>
      <c r="Q65" s="1375">
        <v>51</v>
      </c>
      <c r="R65" s="1376">
        <v>54</v>
      </c>
      <c r="S65" s="1383">
        <v>6434</v>
      </c>
      <c r="T65" s="1384">
        <v>6481</v>
      </c>
      <c r="U65" s="1384">
        <v>6679</v>
      </c>
      <c r="V65" s="1384">
        <v>6151</v>
      </c>
      <c r="W65" s="1384">
        <v>6161</v>
      </c>
      <c r="X65" s="1384">
        <v>6015</v>
      </c>
      <c r="Y65" s="1384">
        <v>5988</v>
      </c>
      <c r="Z65" s="1384">
        <v>6272</v>
      </c>
      <c r="AA65" s="1384">
        <v>6553</v>
      </c>
      <c r="AB65" s="1384">
        <v>6799</v>
      </c>
      <c r="AC65" s="1384">
        <v>6886</v>
      </c>
      <c r="AD65" s="1384">
        <v>7131</v>
      </c>
      <c r="AE65" s="1384">
        <v>7319</v>
      </c>
      <c r="AF65" s="1384">
        <v>7096</v>
      </c>
      <c r="AG65" s="1385">
        <v>6757</v>
      </c>
      <c r="AH65" s="1429">
        <f t="shared" si="16"/>
        <v>9.0146098849860117</v>
      </c>
      <c r="AI65" s="1430">
        <f t="shared" si="17"/>
        <v>10.955099521678754</v>
      </c>
      <c r="AJ65" s="1430">
        <f t="shared" si="18"/>
        <v>14.073963168138942</v>
      </c>
      <c r="AK65" s="1430">
        <f t="shared" si="19"/>
        <v>8.6164851243700209</v>
      </c>
      <c r="AL65" s="1430">
        <f t="shared" si="20"/>
        <v>9.0894335335172869</v>
      </c>
      <c r="AM65" s="1430">
        <f t="shared" si="21"/>
        <v>11.138819617622611</v>
      </c>
      <c r="AN65" s="1430">
        <f t="shared" si="22"/>
        <v>12.525050100200401</v>
      </c>
      <c r="AO65" s="1430">
        <f t="shared" si="23"/>
        <v>12.914540816326531</v>
      </c>
      <c r="AP65" s="1430">
        <f t="shared" si="24"/>
        <v>7.4774912253929502</v>
      </c>
      <c r="AQ65" s="1430">
        <f t="shared" si="25"/>
        <v>11.619355787615826</v>
      </c>
      <c r="AR65" s="1430">
        <f t="shared" si="26"/>
        <v>15.393552134766193</v>
      </c>
      <c r="AS65" s="1430">
        <f t="shared" si="27"/>
        <v>9.2553639040807738</v>
      </c>
      <c r="AT65" s="1430">
        <f t="shared" si="28"/>
        <v>8.1978412351414125</v>
      </c>
      <c r="AU65" s="1430">
        <f t="shared" si="29"/>
        <v>7.1871476888387829</v>
      </c>
      <c r="AV65" s="1431">
        <f t="shared" si="30"/>
        <v>7.9917122983572586</v>
      </c>
    </row>
    <row r="66" spans="1:48" s="142" customFormat="1" ht="15.75" customHeight="1">
      <c r="A66" s="149" t="s">
        <v>154</v>
      </c>
      <c r="B66" s="189" t="s">
        <v>155</v>
      </c>
      <c r="C66" s="150" t="s">
        <v>265</v>
      </c>
      <c r="D66" s="1359">
        <v>33</v>
      </c>
      <c r="E66" s="1360">
        <v>21</v>
      </c>
      <c r="F66" s="1361">
        <v>27</v>
      </c>
      <c r="G66" s="1360">
        <v>21</v>
      </c>
      <c r="H66" s="1361">
        <v>13</v>
      </c>
      <c r="I66" s="1360">
        <v>23</v>
      </c>
      <c r="J66" s="1361">
        <v>10</v>
      </c>
      <c r="K66" s="1360">
        <v>22</v>
      </c>
      <c r="L66" s="1374">
        <v>14</v>
      </c>
      <c r="M66" s="1374">
        <v>21</v>
      </c>
      <c r="N66" s="1374">
        <v>14</v>
      </c>
      <c r="O66" s="1374">
        <v>15</v>
      </c>
      <c r="P66" s="1375">
        <v>11</v>
      </c>
      <c r="Q66" s="1375">
        <v>8</v>
      </c>
      <c r="R66" s="1376">
        <v>8</v>
      </c>
      <c r="S66" s="1383">
        <v>850</v>
      </c>
      <c r="T66" s="1384">
        <v>855</v>
      </c>
      <c r="U66" s="1384">
        <v>907</v>
      </c>
      <c r="V66" s="1384">
        <v>918</v>
      </c>
      <c r="W66" s="1384">
        <v>911</v>
      </c>
      <c r="X66" s="1384">
        <v>890</v>
      </c>
      <c r="Y66" s="1384">
        <v>877</v>
      </c>
      <c r="Z66" s="1384">
        <v>844</v>
      </c>
      <c r="AA66" s="1384">
        <v>795</v>
      </c>
      <c r="AB66" s="1384">
        <v>764</v>
      </c>
      <c r="AC66" s="1384">
        <v>760</v>
      </c>
      <c r="AD66" s="1384">
        <v>770</v>
      </c>
      <c r="AE66" s="1384">
        <v>796</v>
      </c>
      <c r="AF66" s="1384">
        <v>806</v>
      </c>
      <c r="AG66" s="1385">
        <v>760</v>
      </c>
      <c r="AH66" s="1429">
        <f t="shared" si="16"/>
        <v>38.82352941176471</v>
      </c>
      <c r="AI66" s="1430">
        <f t="shared" si="17"/>
        <v>24.561403508771932</v>
      </c>
      <c r="AJ66" s="1430">
        <f t="shared" si="18"/>
        <v>29.768467475192942</v>
      </c>
      <c r="AK66" s="1430">
        <f t="shared" si="19"/>
        <v>22.875816993464049</v>
      </c>
      <c r="AL66" s="1430">
        <f t="shared" si="20"/>
        <v>14.270032930845225</v>
      </c>
      <c r="AM66" s="1430">
        <f t="shared" si="21"/>
        <v>25.842696629213481</v>
      </c>
      <c r="AN66" s="1430">
        <f t="shared" si="22"/>
        <v>11.402508551881414</v>
      </c>
      <c r="AO66" s="1430">
        <f t="shared" si="23"/>
        <v>26.066350710900473</v>
      </c>
      <c r="AP66" s="1430">
        <f t="shared" si="24"/>
        <v>17.610062893081761</v>
      </c>
      <c r="AQ66" s="1430">
        <f t="shared" si="25"/>
        <v>27.486910994764401</v>
      </c>
      <c r="AR66" s="1430">
        <f t="shared" si="26"/>
        <v>18.421052631578945</v>
      </c>
      <c r="AS66" s="1430">
        <f t="shared" si="27"/>
        <v>19.480519480519479</v>
      </c>
      <c r="AT66" s="1430">
        <f t="shared" si="28"/>
        <v>13.819095477386936</v>
      </c>
      <c r="AU66" s="1430">
        <f t="shared" si="29"/>
        <v>9.9255583126550864</v>
      </c>
      <c r="AV66" s="1431">
        <f t="shared" si="30"/>
        <v>10.526315789473683</v>
      </c>
    </row>
    <row r="67" spans="1:48" s="142" customFormat="1" ht="15.75" customHeight="1">
      <c r="A67" s="149" t="s">
        <v>156</v>
      </c>
      <c r="B67" s="189" t="s">
        <v>157</v>
      </c>
      <c r="C67" s="150" t="s">
        <v>266</v>
      </c>
      <c r="D67" s="1359">
        <v>7</v>
      </c>
      <c r="E67" s="1360">
        <v>13</v>
      </c>
      <c r="F67" s="1361">
        <v>6</v>
      </c>
      <c r="G67" s="1360">
        <v>11</v>
      </c>
      <c r="H67" s="1361">
        <v>16</v>
      </c>
      <c r="I67" s="1360">
        <v>10</v>
      </c>
      <c r="J67" s="1361">
        <v>14</v>
      </c>
      <c r="K67" s="1360">
        <v>10</v>
      </c>
      <c r="L67" s="1374">
        <v>16</v>
      </c>
      <c r="M67" s="1374">
        <v>9</v>
      </c>
      <c r="N67" s="1374">
        <v>11</v>
      </c>
      <c r="O67" s="1374">
        <v>11</v>
      </c>
      <c r="P67" s="1375">
        <v>12</v>
      </c>
      <c r="Q67" s="1375">
        <v>13</v>
      </c>
      <c r="R67" s="1376">
        <v>12</v>
      </c>
      <c r="S67" s="1383">
        <v>748</v>
      </c>
      <c r="T67" s="1384">
        <v>757</v>
      </c>
      <c r="U67" s="1384">
        <v>908</v>
      </c>
      <c r="V67" s="1384">
        <v>951</v>
      </c>
      <c r="W67" s="1384">
        <v>968</v>
      </c>
      <c r="X67" s="1384">
        <v>1010</v>
      </c>
      <c r="Y67" s="1384">
        <v>1051</v>
      </c>
      <c r="Z67" s="1384">
        <v>1035</v>
      </c>
      <c r="AA67" s="1384">
        <v>1043</v>
      </c>
      <c r="AB67" s="1384">
        <v>1031</v>
      </c>
      <c r="AC67" s="1384">
        <v>1034</v>
      </c>
      <c r="AD67" s="1384">
        <v>1120</v>
      </c>
      <c r="AE67" s="1384">
        <v>1179</v>
      </c>
      <c r="AF67" s="1384">
        <v>1183</v>
      </c>
      <c r="AG67" s="1385">
        <v>1159</v>
      </c>
      <c r="AH67" s="1429">
        <f t="shared" si="16"/>
        <v>9.3582887700534751</v>
      </c>
      <c r="AI67" s="1430">
        <f t="shared" si="17"/>
        <v>17.173051519154559</v>
      </c>
      <c r="AJ67" s="1430">
        <f t="shared" si="18"/>
        <v>6.607929515418502</v>
      </c>
      <c r="AK67" s="1430">
        <f t="shared" si="19"/>
        <v>11.566771819137749</v>
      </c>
      <c r="AL67" s="1430">
        <f t="shared" si="20"/>
        <v>16.528925619834713</v>
      </c>
      <c r="AM67" s="1430">
        <f t="shared" si="21"/>
        <v>9.9009900990099009</v>
      </c>
      <c r="AN67" s="1430">
        <f t="shared" si="22"/>
        <v>13.320647002854425</v>
      </c>
      <c r="AO67" s="1430">
        <f t="shared" si="23"/>
        <v>9.6618357487922708</v>
      </c>
      <c r="AP67" s="1430">
        <f t="shared" si="24"/>
        <v>15.340364333652923</v>
      </c>
      <c r="AQ67" s="1430">
        <f t="shared" si="25"/>
        <v>8.7293889427740066</v>
      </c>
      <c r="AR67" s="1430">
        <f t="shared" si="26"/>
        <v>10.638297872340425</v>
      </c>
      <c r="AS67" s="1430">
        <f t="shared" si="27"/>
        <v>9.8214285714285712</v>
      </c>
      <c r="AT67" s="1430">
        <f t="shared" si="28"/>
        <v>10.178117048346056</v>
      </c>
      <c r="AU67" s="1430">
        <f t="shared" si="29"/>
        <v>10.989010989010989</v>
      </c>
      <c r="AV67" s="1431">
        <f t="shared" si="30"/>
        <v>10.353753235547885</v>
      </c>
    </row>
    <row r="68" spans="1:48" s="142" customFormat="1" ht="15.75" customHeight="1">
      <c r="A68" s="149" t="s">
        <v>162</v>
      </c>
      <c r="B68" s="189" t="s">
        <v>163</v>
      </c>
      <c r="C68" s="150" t="s">
        <v>264</v>
      </c>
      <c r="D68" s="1359">
        <v>24</v>
      </c>
      <c r="E68" s="1360">
        <v>30</v>
      </c>
      <c r="F68" s="1361">
        <v>34</v>
      </c>
      <c r="G68" s="1360">
        <v>40</v>
      </c>
      <c r="H68" s="1361">
        <v>29</v>
      </c>
      <c r="I68" s="1360">
        <v>23</v>
      </c>
      <c r="J68" s="1361">
        <v>27</v>
      </c>
      <c r="K68" s="1360">
        <v>26</v>
      </c>
      <c r="L68" s="1374">
        <v>23</v>
      </c>
      <c r="M68" s="1374">
        <v>19</v>
      </c>
      <c r="N68" s="1374">
        <v>32</v>
      </c>
      <c r="O68" s="1374">
        <v>16</v>
      </c>
      <c r="P68" s="1375">
        <v>21</v>
      </c>
      <c r="Q68" s="1375">
        <v>23</v>
      </c>
      <c r="R68" s="1376">
        <v>9</v>
      </c>
      <c r="S68" s="1383">
        <v>894</v>
      </c>
      <c r="T68" s="1384">
        <v>896</v>
      </c>
      <c r="U68" s="1384">
        <v>883</v>
      </c>
      <c r="V68" s="1384">
        <v>888</v>
      </c>
      <c r="W68" s="1384">
        <v>884</v>
      </c>
      <c r="X68" s="1384">
        <v>910</v>
      </c>
      <c r="Y68" s="1384">
        <v>892</v>
      </c>
      <c r="Z68" s="1384">
        <v>906</v>
      </c>
      <c r="AA68" s="1384">
        <v>884</v>
      </c>
      <c r="AB68" s="1384">
        <v>838</v>
      </c>
      <c r="AC68" s="1384">
        <v>827</v>
      </c>
      <c r="AD68" s="1384">
        <v>802</v>
      </c>
      <c r="AE68" s="1384">
        <v>655</v>
      </c>
      <c r="AF68" s="1384">
        <v>649</v>
      </c>
      <c r="AG68" s="1385">
        <v>606</v>
      </c>
      <c r="AH68" s="1429">
        <f t="shared" si="16"/>
        <v>26.845637583892618</v>
      </c>
      <c r="AI68" s="1430">
        <f t="shared" si="17"/>
        <v>33.482142857142854</v>
      </c>
      <c r="AJ68" s="1430">
        <f t="shared" si="18"/>
        <v>38.505096262740658</v>
      </c>
      <c r="AK68" s="1430">
        <f t="shared" si="19"/>
        <v>45.045045045045043</v>
      </c>
      <c r="AL68" s="1430">
        <f t="shared" si="20"/>
        <v>32.805429864253398</v>
      </c>
      <c r="AM68" s="1430">
        <f t="shared" si="21"/>
        <v>25.274725274725274</v>
      </c>
      <c r="AN68" s="1430">
        <f t="shared" si="22"/>
        <v>30.269058295964125</v>
      </c>
      <c r="AO68" s="1430">
        <f t="shared" si="23"/>
        <v>28.697571743929359</v>
      </c>
      <c r="AP68" s="1430">
        <f t="shared" si="24"/>
        <v>26.018099547511312</v>
      </c>
      <c r="AQ68" s="1430">
        <f t="shared" si="25"/>
        <v>22.673031026252982</v>
      </c>
      <c r="AR68" s="1430">
        <f t="shared" si="26"/>
        <v>38.694074969770249</v>
      </c>
      <c r="AS68" s="1430">
        <f t="shared" si="27"/>
        <v>19.950124688279303</v>
      </c>
      <c r="AT68" s="1430">
        <f t="shared" si="28"/>
        <v>32.061068702290079</v>
      </c>
      <c r="AU68" s="1430">
        <f t="shared" si="29"/>
        <v>35.439137134052388</v>
      </c>
      <c r="AV68" s="1431">
        <f t="shared" si="30"/>
        <v>14.85148514851485</v>
      </c>
    </row>
    <row r="69" spans="1:48" s="142" customFormat="1" ht="15.75" customHeight="1">
      <c r="A69" s="149" t="s">
        <v>164</v>
      </c>
      <c r="B69" s="189" t="s">
        <v>165</v>
      </c>
      <c r="C69" s="150" t="s">
        <v>266</v>
      </c>
      <c r="D69" s="1359">
        <v>14</v>
      </c>
      <c r="E69" s="1360">
        <v>18</v>
      </c>
      <c r="F69" s="1361">
        <v>11</v>
      </c>
      <c r="G69" s="1360">
        <v>27</v>
      </c>
      <c r="H69" s="1361">
        <v>24</v>
      </c>
      <c r="I69" s="1360">
        <v>20</v>
      </c>
      <c r="J69" s="1361">
        <v>14</v>
      </c>
      <c r="K69" s="1360">
        <v>21</v>
      </c>
      <c r="L69" s="1374">
        <v>20</v>
      </c>
      <c r="M69" s="1374">
        <v>20</v>
      </c>
      <c r="N69" s="1374">
        <v>16</v>
      </c>
      <c r="O69" s="1374">
        <v>16</v>
      </c>
      <c r="P69" s="1375">
        <v>13</v>
      </c>
      <c r="Q69" s="1375">
        <v>7</v>
      </c>
      <c r="R69" s="1376">
        <v>4</v>
      </c>
      <c r="S69" s="1383">
        <v>635</v>
      </c>
      <c r="T69" s="1384">
        <v>645</v>
      </c>
      <c r="U69" s="1384">
        <v>654</v>
      </c>
      <c r="V69" s="1384">
        <v>656</v>
      </c>
      <c r="W69" s="1384">
        <v>673</v>
      </c>
      <c r="X69" s="1384">
        <v>656</v>
      </c>
      <c r="Y69" s="1384">
        <v>660</v>
      </c>
      <c r="Z69" s="1384">
        <v>612</v>
      </c>
      <c r="AA69" s="1384">
        <v>598</v>
      </c>
      <c r="AB69" s="1384">
        <v>607</v>
      </c>
      <c r="AC69" s="1384">
        <v>594</v>
      </c>
      <c r="AD69" s="1384">
        <v>604</v>
      </c>
      <c r="AE69" s="1384">
        <v>540</v>
      </c>
      <c r="AF69" s="1384">
        <v>548</v>
      </c>
      <c r="AG69" s="1385">
        <v>518</v>
      </c>
      <c r="AH69" s="1429">
        <f t="shared" ref="AH69:AH100" si="31">IF(D69=0,"0",(D69/S69)*1000)</f>
        <v>22.047244094488189</v>
      </c>
      <c r="AI69" s="1430">
        <f t="shared" si="17"/>
        <v>27.906976744186046</v>
      </c>
      <c r="AJ69" s="1430">
        <f t="shared" si="18"/>
        <v>16.819571865443425</v>
      </c>
      <c r="AK69" s="1430">
        <f t="shared" si="19"/>
        <v>41.158536585365859</v>
      </c>
      <c r="AL69" s="1430">
        <f t="shared" si="20"/>
        <v>35.661218424962854</v>
      </c>
      <c r="AM69" s="1430">
        <f t="shared" si="21"/>
        <v>30.487804878048781</v>
      </c>
      <c r="AN69" s="1430">
        <f t="shared" si="22"/>
        <v>21.212121212121215</v>
      </c>
      <c r="AO69" s="1430">
        <f t="shared" si="23"/>
        <v>34.313725490196084</v>
      </c>
      <c r="AP69" s="1430">
        <f t="shared" si="24"/>
        <v>33.444816053511701</v>
      </c>
      <c r="AQ69" s="1430">
        <f t="shared" si="25"/>
        <v>32.948929159802304</v>
      </c>
      <c r="AR69" s="1430">
        <f t="shared" si="26"/>
        <v>26.936026936026934</v>
      </c>
      <c r="AS69" s="1430">
        <f t="shared" si="27"/>
        <v>26.490066225165563</v>
      </c>
      <c r="AT69" s="1430">
        <f t="shared" si="28"/>
        <v>24.074074074074073</v>
      </c>
      <c r="AU69" s="1430">
        <f t="shared" si="29"/>
        <v>12.773722627737227</v>
      </c>
      <c r="AV69" s="1431">
        <f t="shared" si="30"/>
        <v>7.7220077220077226</v>
      </c>
    </row>
    <row r="70" spans="1:48" s="142" customFormat="1" ht="15.75" customHeight="1">
      <c r="A70" s="149" t="s">
        <v>168</v>
      </c>
      <c r="B70" s="189" t="s">
        <v>169</v>
      </c>
      <c r="C70" s="150" t="s">
        <v>266</v>
      </c>
      <c r="D70" s="1359">
        <v>25</v>
      </c>
      <c r="E70" s="1360">
        <v>41</v>
      </c>
      <c r="F70" s="1361">
        <v>21</v>
      </c>
      <c r="G70" s="1360">
        <v>26</v>
      </c>
      <c r="H70" s="1361">
        <v>28</v>
      </c>
      <c r="I70" s="1360">
        <v>33</v>
      </c>
      <c r="J70" s="1361">
        <v>21</v>
      </c>
      <c r="K70" s="1360">
        <v>26</v>
      </c>
      <c r="L70" s="1374">
        <v>22</v>
      </c>
      <c r="M70" s="1374">
        <v>19</v>
      </c>
      <c r="N70" s="1374">
        <v>31</v>
      </c>
      <c r="O70" s="1374">
        <v>36</v>
      </c>
      <c r="P70" s="1375">
        <v>16</v>
      </c>
      <c r="Q70" s="1375">
        <v>16</v>
      </c>
      <c r="R70" s="1376">
        <v>27</v>
      </c>
      <c r="S70" s="1383">
        <v>905</v>
      </c>
      <c r="T70" s="1384">
        <v>901</v>
      </c>
      <c r="U70" s="1384">
        <v>981</v>
      </c>
      <c r="V70" s="1384">
        <v>995</v>
      </c>
      <c r="W70" s="1384">
        <v>1012</v>
      </c>
      <c r="X70" s="1384">
        <v>1000</v>
      </c>
      <c r="Y70" s="1384">
        <v>974</v>
      </c>
      <c r="Z70" s="1384">
        <v>927</v>
      </c>
      <c r="AA70" s="1384">
        <v>892</v>
      </c>
      <c r="AB70" s="1384">
        <v>881</v>
      </c>
      <c r="AC70" s="1384">
        <v>872</v>
      </c>
      <c r="AD70" s="1384">
        <v>927</v>
      </c>
      <c r="AE70" s="1384">
        <v>889</v>
      </c>
      <c r="AF70" s="1384">
        <v>866</v>
      </c>
      <c r="AG70" s="1385">
        <v>859</v>
      </c>
      <c r="AH70" s="1429">
        <f t="shared" si="31"/>
        <v>27.624309392265193</v>
      </c>
      <c r="AI70" s="1430">
        <f t="shared" ref="AI70:AI101" si="32">IF(E70=0,"0",(E70/T70)*1000)</f>
        <v>45.504994450610432</v>
      </c>
      <c r="AJ70" s="1430">
        <f t="shared" ref="AJ70:AJ101" si="33">IF(F70=0,"0",(F70/U70)*1000)</f>
        <v>21.406727828746178</v>
      </c>
      <c r="AK70" s="1430">
        <f t="shared" ref="AK70:AK101" si="34">IF(G70=0,"0",(G70/V70)*1000)</f>
        <v>26.13065326633166</v>
      </c>
      <c r="AL70" s="1430">
        <f t="shared" ref="AL70:AL101" si="35">IF(H70=0,"0",(H70/W70)*1000)</f>
        <v>27.66798418972332</v>
      </c>
      <c r="AM70" s="1430">
        <f t="shared" ref="AM70:AM101" si="36">IF(I70=0,"0",(I70/X70)*1000)</f>
        <v>33</v>
      </c>
      <c r="AN70" s="1430">
        <f t="shared" ref="AN70:AN101" si="37">IF(J70=0,"0",(J70/Y70)*1000)</f>
        <v>21.560574948665298</v>
      </c>
      <c r="AO70" s="1430">
        <f t="shared" ref="AO70:AO101" si="38">IF(K70=0,"0",(K70/Z70)*1000)</f>
        <v>28.047464940668824</v>
      </c>
      <c r="AP70" s="1430">
        <f t="shared" ref="AP70:AP101" si="39">IF(L70=0,"0",(L70/AA70)*1000)</f>
        <v>24.663677130044842</v>
      </c>
      <c r="AQ70" s="1430">
        <f t="shared" ref="AQ70:AQ101" si="40">IF(M70=0,"0",(M70/AB70)*1000)</f>
        <v>21.566401816118049</v>
      </c>
      <c r="AR70" s="1430">
        <f t="shared" ref="AR70:AR101" si="41">IF(N70=0,"0",(N70/AC70)*1000)</f>
        <v>35.550458715596335</v>
      </c>
      <c r="AS70" s="1430">
        <f t="shared" ref="AS70:AS101" si="42">IF(O70=0,"0",(O70/AD70)*1000)</f>
        <v>38.834951456310677</v>
      </c>
      <c r="AT70" s="1430">
        <f t="shared" ref="AT70:AT101" si="43">IF(P70=0,"0",(P70/AE70)*1000)</f>
        <v>17.997750281214849</v>
      </c>
      <c r="AU70" s="1430">
        <f t="shared" ref="AU70:AU101" si="44">IF(Q70=0,"0",(Q70/AF70)*1000)</f>
        <v>18.475750577367204</v>
      </c>
      <c r="AV70" s="1431">
        <f t="shared" ref="AV70:AV101" si="45">IF(R70=0,"0",(R70/AG70)*1000)</f>
        <v>31.431897555296857</v>
      </c>
    </row>
    <row r="71" spans="1:48" s="142" customFormat="1" ht="15.75" customHeight="1">
      <c r="A71" s="149" t="s">
        <v>170</v>
      </c>
      <c r="B71" s="189" t="s">
        <v>171</v>
      </c>
      <c r="C71" s="150" t="s">
        <v>267</v>
      </c>
      <c r="D71" s="1359">
        <v>40</v>
      </c>
      <c r="E71" s="1360">
        <v>45</v>
      </c>
      <c r="F71" s="1361">
        <v>35</v>
      </c>
      <c r="G71" s="1360">
        <v>31</v>
      </c>
      <c r="H71" s="1361">
        <v>37</v>
      </c>
      <c r="I71" s="1360">
        <v>42</v>
      </c>
      <c r="J71" s="1361">
        <v>33</v>
      </c>
      <c r="K71" s="1360">
        <v>32</v>
      </c>
      <c r="L71" s="1374">
        <v>35</v>
      </c>
      <c r="M71" s="1374">
        <v>35</v>
      </c>
      <c r="N71" s="1374">
        <v>40</v>
      </c>
      <c r="O71" s="1374">
        <v>28</v>
      </c>
      <c r="P71" s="1375">
        <v>34</v>
      </c>
      <c r="Q71" s="1375">
        <v>35</v>
      </c>
      <c r="R71" s="1376">
        <v>22</v>
      </c>
      <c r="S71" s="1383">
        <v>1515</v>
      </c>
      <c r="T71" s="1384">
        <v>1532</v>
      </c>
      <c r="U71" s="1384">
        <v>1645</v>
      </c>
      <c r="V71" s="1384">
        <v>1664</v>
      </c>
      <c r="W71" s="1384">
        <v>1703</v>
      </c>
      <c r="X71" s="1384">
        <v>1723</v>
      </c>
      <c r="Y71" s="1384">
        <v>1755</v>
      </c>
      <c r="Z71" s="1384">
        <v>1783</v>
      </c>
      <c r="AA71" s="1384">
        <v>1811</v>
      </c>
      <c r="AB71" s="1384">
        <v>1795</v>
      </c>
      <c r="AC71" s="1384">
        <v>1802</v>
      </c>
      <c r="AD71" s="1384">
        <v>2075</v>
      </c>
      <c r="AE71" s="1384">
        <v>2074</v>
      </c>
      <c r="AF71" s="1384">
        <v>2034</v>
      </c>
      <c r="AG71" s="1385">
        <v>2043</v>
      </c>
      <c r="AH71" s="1429">
        <f t="shared" si="31"/>
        <v>26.402640264026402</v>
      </c>
      <c r="AI71" s="1430">
        <f t="shared" si="32"/>
        <v>29.373368146214101</v>
      </c>
      <c r="AJ71" s="1430">
        <f t="shared" si="33"/>
        <v>21.276595744680851</v>
      </c>
      <c r="AK71" s="1430">
        <f t="shared" si="34"/>
        <v>18.629807692307693</v>
      </c>
      <c r="AL71" s="1430">
        <f t="shared" si="35"/>
        <v>21.726365237815617</v>
      </c>
      <c r="AM71" s="1430">
        <f t="shared" si="36"/>
        <v>24.376088218224027</v>
      </c>
      <c r="AN71" s="1430">
        <f t="shared" si="37"/>
        <v>18.803418803418804</v>
      </c>
      <c r="AO71" s="1430">
        <f t="shared" si="38"/>
        <v>17.947279865395402</v>
      </c>
      <c r="AP71" s="1430">
        <f t="shared" si="39"/>
        <v>19.326339039204861</v>
      </c>
      <c r="AQ71" s="1430">
        <f t="shared" si="40"/>
        <v>19.498607242339833</v>
      </c>
      <c r="AR71" s="1430">
        <f t="shared" si="41"/>
        <v>22.197558268590456</v>
      </c>
      <c r="AS71" s="1430">
        <f t="shared" si="42"/>
        <v>13.493975903614457</v>
      </c>
      <c r="AT71" s="1430">
        <f t="shared" si="43"/>
        <v>16.393442622950822</v>
      </c>
      <c r="AU71" s="1430">
        <f t="shared" si="44"/>
        <v>17.207472959685351</v>
      </c>
      <c r="AV71" s="1431">
        <f t="shared" si="45"/>
        <v>10.768477728830151</v>
      </c>
    </row>
    <row r="72" spans="1:48" s="142" customFormat="1" ht="15.75" customHeight="1">
      <c r="A72" s="149" t="s">
        <v>172</v>
      </c>
      <c r="B72" s="189" t="s">
        <v>173</v>
      </c>
      <c r="C72" s="150" t="s">
        <v>267</v>
      </c>
      <c r="D72" s="1359">
        <v>43</v>
      </c>
      <c r="E72" s="1360">
        <v>43</v>
      </c>
      <c r="F72" s="1361">
        <v>52</v>
      </c>
      <c r="G72" s="1360">
        <v>45</v>
      </c>
      <c r="H72" s="1361">
        <v>49</v>
      </c>
      <c r="I72" s="1360">
        <v>41</v>
      </c>
      <c r="J72" s="1361">
        <v>45</v>
      </c>
      <c r="K72" s="1360">
        <v>32</v>
      </c>
      <c r="L72" s="1374">
        <v>31</v>
      </c>
      <c r="M72" s="1374">
        <v>32</v>
      </c>
      <c r="N72" s="1374">
        <v>27</v>
      </c>
      <c r="O72" s="1374">
        <v>34</v>
      </c>
      <c r="P72" s="1375">
        <v>26</v>
      </c>
      <c r="Q72" s="1375">
        <v>33</v>
      </c>
      <c r="R72" s="1376">
        <v>26</v>
      </c>
      <c r="S72" s="1383">
        <v>1495</v>
      </c>
      <c r="T72" s="1384">
        <v>1507</v>
      </c>
      <c r="U72" s="1384">
        <v>1495</v>
      </c>
      <c r="V72" s="1384">
        <v>1463</v>
      </c>
      <c r="W72" s="1384">
        <v>1471</v>
      </c>
      <c r="X72" s="1384">
        <v>1472</v>
      </c>
      <c r="Y72" s="1384">
        <v>1473</v>
      </c>
      <c r="Z72" s="1384">
        <v>1476</v>
      </c>
      <c r="AA72" s="1384">
        <v>1437</v>
      </c>
      <c r="AB72" s="1384">
        <v>1432</v>
      </c>
      <c r="AC72" s="1384">
        <v>1405</v>
      </c>
      <c r="AD72" s="1384">
        <v>1408</v>
      </c>
      <c r="AE72" s="1384">
        <v>1450</v>
      </c>
      <c r="AF72" s="1384">
        <v>1422</v>
      </c>
      <c r="AG72" s="1385">
        <v>1400</v>
      </c>
      <c r="AH72" s="1429">
        <f t="shared" si="31"/>
        <v>28.762541806020067</v>
      </c>
      <c r="AI72" s="1430">
        <f t="shared" si="32"/>
        <v>28.533510285335105</v>
      </c>
      <c r="AJ72" s="1430">
        <f t="shared" si="33"/>
        <v>34.782608695652172</v>
      </c>
      <c r="AK72" s="1430">
        <f t="shared" si="34"/>
        <v>30.758714969241282</v>
      </c>
      <c r="AL72" s="1430">
        <f t="shared" si="35"/>
        <v>33.310673011556759</v>
      </c>
      <c r="AM72" s="1430">
        <f t="shared" si="36"/>
        <v>27.853260869565215</v>
      </c>
      <c r="AN72" s="1430">
        <f t="shared" si="37"/>
        <v>30.549898167006109</v>
      </c>
      <c r="AO72" s="1430">
        <f t="shared" si="38"/>
        <v>21.680216802168022</v>
      </c>
      <c r="AP72" s="1430">
        <f t="shared" si="39"/>
        <v>21.572720946416144</v>
      </c>
      <c r="AQ72" s="1430">
        <f t="shared" si="40"/>
        <v>22.346368715083798</v>
      </c>
      <c r="AR72" s="1430">
        <f t="shared" si="41"/>
        <v>19.217081850533805</v>
      </c>
      <c r="AS72" s="1430">
        <f t="shared" si="42"/>
        <v>24.147727272727273</v>
      </c>
      <c r="AT72" s="1430">
        <f t="shared" si="43"/>
        <v>17.931034482758619</v>
      </c>
      <c r="AU72" s="1430">
        <f t="shared" si="44"/>
        <v>23.206751054852322</v>
      </c>
      <c r="AV72" s="1431">
        <f t="shared" si="45"/>
        <v>18.571428571428573</v>
      </c>
    </row>
    <row r="73" spans="1:48" s="142" customFormat="1" ht="15.75" customHeight="1">
      <c r="A73" s="149" t="s">
        <v>174</v>
      </c>
      <c r="B73" s="189" t="s">
        <v>175</v>
      </c>
      <c r="C73" s="150" t="s">
        <v>268</v>
      </c>
      <c r="D73" s="1359">
        <v>23</v>
      </c>
      <c r="E73" s="1360">
        <v>29</v>
      </c>
      <c r="F73" s="1361">
        <v>22</v>
      </c>
      <c r="G73" s="1360">
        <v>21</v>
      </c>
      <c r="H73" s="1361">
        <v>24</v>
      </c>
      <c r="I73" s="1360">
        <v>21</v>
      </c>
      <c r="J73" s="1361">
        <v>15</v>
      </c>
      <c r="K73" s="1360">
        <v>28</v>
      </c>
      <c r="L73" s="1374">
        <v>13</v>
      </c>
      <c r="M73" s="1374">
        <v>15</v>
      </c>
      <c r="N73" s="1374">
        <v>21</v>
      </c>
      <c r="O73" s="1374">
        <v>15</v>
      </c>
      <c r="P73" s="1375">
        <v>20</v>
      </c>
      <c r="Q73" s="1375">
        <v>10</v>
      </c>
      <c r="R73" s="1376">
        <v>15</v>
      </c>
      <c r="S73" s="1383">
        <v>1010</v>
      </c>
      <c r="T73" s="1384">
        <v>994</v>
      </c>
      <c r="U73" s="1384">
        <v>1118</v>
      </c>
      <c r="V73" s="1384">
        <v>1112</v>
      </c>
      <c r="W73" s="1384">
        <v>1109</v>
      </c>
      <c r="X73" s="1384">
        <v>1090</v>
      </c>
      <c r="Y73" s="1384">
        <v>1100</v>
      </c>
      <c r="Z73" s="1384">
        <v>1085</v>
      </c>
      <c r="AA73" s="1384">
        <v>1067</v>
      </c>
      <c r="AB73" s="1384">
        <v>1044</v>
      </c>
      <c r="AC73" s="1384">
        <v>1022</v>
      </c>
      <c r="AD73" s="1384">
        <v>1060</v>
      </c>
      <c r="AE73" s="1384">
        <v>1049</v>
      </c>
      <c r="AF73" s="1384">
        <v>994</v>
      </c>
      <c r="AG73" s="1385">
        <v>1006</v>
      </c>
      <c r="AH73" s="1429">
        <f t="shared" si="31"/>
        <v>22.772277227722771</v>
      </c>
      <c r="AI73" s="1430">
        <f t="shared" si="32"/>
        <v>29.175050301810867</v>
      </c>
      <c r="AJ73" s="1430">
        <f t="shared" si="33"/>
        <v>19.677996422182471</v>
      </c>
      <c r="AK73" s="1430">
        <f t="shared" si="34"/>
        <v>18.884892086330936</v>
      </c>
      <c r="AL73" s="1430">
        <f t="shared" si="35"/>
        <v>21.641118124436431</v>
      </c>
      <c r="AM73" s="1430">
        <f t="shared" si="36"/>
        <v>19.26605504587156</v>
      </c>
      <c r="AN73" s="1430">
        <f t="shared" si="37"/>
        <v>13.636363636363635</v>
      </c>
      <c r="AO73" s="1430">
        <f t="shared" si="38"/>
        <v>25.806451612903224</v>
      </c>
      <c r="AP73" s="1430">
        <f t="shared" si="39"/>
        <v>12.183692596063731</v>
      </c>
      <c r="AQ73" s="1430">
        <f t="shared" si="40"/>
        <v>14.367816091954023</v>
      </c>
      <c r="AR73" s="1430">
        <f t="shared" si="41"/>
        <v>20.547945205479451</v>
      </c>
      <c r="AS73" s="1430">
        <f t="shared" si="42"/>
        <v>14.150943396226415</v>
      </c>
      <c r="AT73" s="1430">
        <f t="shared" si="43"/>
        <v>19.065776930409914</v>
      </c>
      <c r="AU73" s="1430">
        <f t="shared" si="44"/>
        <v>10.060362173038229</v>
      </c>
      <c r="AV73" s="1431">
        <f t="shared" si="45"/>
        <v>14.910536779324055</v>
      </c>
    </row>
    <row r="74" spans="1:48" s="142" customFormat="1" ht="15.75" customHeight="1">
      <c r="A74" s="149" t="s">
        <v>178</v>
      </c>
      <c r="B74" s="189" t="s">
        <v>179</v>
      </c>
      <c r="C74" s="150" t="s">
        <v>265</v>
      </c>
      <c r="D74" s="1359">
        <v>105</v>
      </c>
      <c r="E74" s="1360">
        <v>123</v>
      </c>
      <c r="F74" s="1361">
        <v>115</v>
      </c>
      <c r="G74" s="1360">
        <v>89</v>
      </c>
      <c r="H74" s="1361">
        <v>70</v>
      </c>
      <c r="I74" s="1360">
        <v>92</v>
      </c>
      <c r="J74" s="1361">
        <v>70</v>
      </c>
      <c r="K74" s="1360">
        <v>90</v>
      </c>
      <c r="L74" s="1374">
        <v>68</v>
      </c>
      <c r="M74" s="1374">
        <v>72</v>
      </c>
      <c r="N74" s="1374">
        <v>69</v>
      </c>
      <c r="O74" s="1374">
        <v>63</v>
      </c>
      <c r="P74" s="1375">
        <v>56</v>
      </c>
      <c r="Q74" s="1375">
        <v>42</v>
      </c>
      <c r="R74" s="1376">
        <v>48</v>
      </c>
      <c r="S74" s="1383">
        <v>3613</v>
      </c>
      <c r="T74" s="1384">
        <v>3601</v>
      </c>
      <c r="U74" s="1384">
        <v>4068</v>
      </c>
      <c r="V74" s="1384">
        <v>4021</v>
      </c>
      <c r="W74" s="1384">
        <v>3989</v>
      </c>
      <c r="X74" s="1384">
        <v>3909</v>
      </c>
      <c r="Y74" s="1384">
        <v>3873</v>
      </c>
      <c r="Z74" s="1384">
        <v>3776</v>
      </c>
      <c r="AA74" s="1384">
        <v>3690</v>
      </c>
      <c r="AB74" s="1384">
        <v>3598</v>
      </c>
      <c r="AC74" s="1384">
        <v>3536</v>
      </c>
      <c r="AD74" s="1384">
        <v>3670</v>
      </c>
      <c r="AE74" s="1384">
        <v>3759</v>
      </c>
      <c r="AF74" s="1384">
        <v>3736</v>
      </c>
      <c r="AG74" s="1385">
        <v>3668</v>
      </c>
      <c r="AH74" s="1429">
        <f t="shared" si="31"/>
        <v>29.061721561029614</v>
      </c>
      <c r="AI74" s="1430">
        <f t="shared" si="32"/>
        <v>34.15717856151069</v>
      </c>
      <c r="AJ74" s="1430">
        <f t="shared" si="33"/>
        <v>28.269419862340218</v>
      </c>
      <c r="AK74" s="1430">
        <f t="shared" si="34"/>
        <v>22.133797562795323</v>
      </c>
      <c r="AL74" s="1430">
        <f t="shared" si="35"/>
        <v>17.548257708698923</v>
      </c>
      <c r="AM74" s="1430">
        <f t="shared" si="36"/>
        <v>23.535431056536197</v>
      </c>
      <c r="AN74" s="1430">
        <f t="shared" si="37"/>
        <v>18.073844564936742</v>
      </c>
      <c r="AO74" s="1430">
        <f t="shared" si="38"/>
        <v>23.834745762711865</v>
      </c>
      <c r="AP74" s="1430">
        <f t="shared" si="39"/>
        <v>18.428184281842821</v>
      </c>
      <c r="AQ74" s="1430">
        <f t="shared" si="40"/>
        <v>20.011117287381879</v>
      </c>
      <c r="AR74" s="1430">
        <f t="shared" si="41"/>
        <v>19.513574660633484</v>
      </c>
      <c r="AS74" s="1430">
        <f t="shared" si="42"/>
        <v>17.166212534059945</v>
      </c>
      <c r="AT74" s="1430">
        <f t="shared" si="43"/>
        <v>14.8975791433892</v>
      </c>
      <c r="AU74" s="1430">
        <f t="shared" si="44"/>
        <v>11.241970021413277</v>
      </c>
      <c r="AV74" s="1431">
        <f t="shared" si="45"/>
        <v>13.086150490730644</v>
      </c>
    </row>
    <row r="75" spans="1:48" s="142" customFormat="1" ht="15.75" customHeight="1">
      <c r="A75" s="149" t="s">
        <v>182</v>
      </c>
      <c r="B75" s="189" t="s">
        <v>183</v>
      </c>
      <c r="C75" s="150" t="s">
        <v>266</v>
      </c>
      <c r="D75" s="1359">
        <v>7</v>
      </c>
      <c r="E75" s="1360">
        <v>17</v>
      </c>
      <c r="F75" s="1361">
        <v>20</v>
      </c>
      <c r="G75" s="1360">
        <v>17</v>
      </c>
      <c r="H75" s="1361">
        <v>12</v>
      </c>
      <c r="I75" s="1360">
        <v>12</v>
      </c>
      <c r="J75" s="1361">
        <v>14</v>
      </c>
      <c r="K75" s="1360">
        <v>13</v>
      </c>
      <c r="L75" s="1374">
        <v>11</v>
      </c>
      <c r="M75" s="1374">
        <v>10</v>
      </c>
      <c r="N75" s="1374">
        <v>11</v>
      </c>
      <c r="O75" s="1374">
        <v>7</v>
      </c>
      <c r="P75" s="1375">
        <v>14</v>
      </c>
      <c r="Q75" s="1375">
        <v>8</v>
      </c>
      <c r="R75" s="1376">
        <v>15</v>
      </c>
      <c r="S75" s="1383">
        <v>1014</v>
      </c>
      <c r="T75" s="1384">
        <v>1028</v>
      </c>
      <c r="U75" s="1384">
        <v>1370</v>
      </c>
      <c r="V75" s="1384">
        <v>1429</v>
      </c>
      <c r="W75" s="1384">
        <v>1497</v>
      </c>
      <c r="X75" s="1384">
        <v>1545</v>
      </c>
      <c r="Y75" s="1384">
        <v>1620</v>
      </c>
      <c r="Z75" s="1384">
        <v>1620</v>
      </c>
      <c r="AA75" s="1384">
        <v>1628</v>
      </c>
      <c r="AB75" s="1384">
        <v>1589</v>
      </c>
      <c r="AC75" s="1384">
        <v>1596</v>
      </c>
      <c r="AD75" s="1384">
        <v>1770</v>
      </c>
      <c r="AE75" s="1384">
        <v>1793</v>
      </c>
      <c r="AF75" s="1384">
        <v>1792</v>
      </c>
      <c r="AG75" s="1385">
        <v>1719</v>
      </c>
      <c r="AH75" s="1429">
        <f t="shared" si="31"/>
        <v>6.9033530571992108</v>
      </c>
      <c r="AI75" s="1430">
        <f t="shared" si="32"/>
        <v>16.536964980544749</v>
      </c>
      <c r="AJ75" s="1430">
        <f t="shared" si="33"/>
        <v>14.598540145985401</v>
      </c>
      <c r="AK75" s="1430">
        <f t="shared" si="34"/>
        <v>11.896431070678798</v>
      </c>
      <c r="AL75" s="1430">
        <f t="shared" si="35"/>
        <v>8.0160320641282556</v>
      </c>
      <c r="AM75" s="1430">
        <f t="shared" si="36"/>
        <v>7.766990291262136</v>
      </c>
      <c r="AN75" s="1430">
        <f t="shared" si="37"/>
        <v>8.6419753086419746</v>
      </c>
      <c r="AO75" s="1430">
        <f t="shared" si="38"/>
        <v>8.0246913580246915</v>
      </c>
      <c r="AP75" s="1430">
        <f t="shared" si="39"/>
        <v>6.756756756756757</v>
      </c>
      <c r="AQ75" s="1430">
        <f t="shared" si="40"/>
        <v>6.2932662051604789</v>
      </c>
      <c r="AR75" s="1430">
        <f t="shared" si="41"/>
        <v>6.8922305764411025</v>
      </c>
      <c r="AS75" s="1430">
        <f t="shared" si="42"/>
        <v>3.9548022598870056</v>
      </c>
      <c r="AT75" s="1430">
        <f t="shared" si="43"/>
        <v>7.8081427774679311</v>
      </c>
      <c r="AU75" s="1430">
        <f t="shared" si="44"/>
        <v>4.4642857142857144</v>
      </c>
      <c r="AV75" s="1431">
        <f t="shared" si="45"/>
        <v>8.7260034904013963</v>
      </c>
    </row>
    <row r="76" spans="1:48" s="142" customFormat="1" ht="15.75" customHeight="1">
      <c r="A76" s="149" t="s">
        <v>184</v>
      </c>
      <c r="B76" s="189" t="s">
        <v>185</v>
      </c>
      <c r="C76" s="150" t="s">
        <v>266</v>
      </c>
      <c r="D76" s="1359">
        <v>38</v>
      </c>
      <c r="E76" s="1360">
        <v>37</v>
      </c>
      <c r="F76" s="1361">
        <v>44</v>
      </c>
      <c r="G76" s="1360">
        <v>32</v>
      </c>
      <c r="H76" s="1361">
        <v>25</v>
      </c>
      <c r="I76" s="1360">
        <v>21</v>
      </c>
      <c r="J76" s="1361">
        <v>23</v>
      </c>
      <c r="K76" s="1360">
        <v>26</v>
      </c>
      <c r="L76" s="1374">
        <v>25</v>
      </c>
      <c r="M76" s="1374">
        <v>25</v>
      </c>
      <c r="N76" s="1374">
        <v>34</v>
      </c>
      <c r="O76" s="1374">
        <v>27</v>
      </c>
      <c r="P76" s="1375">
        <v>25</v>
      </c>
      <c r="Q76" s="1375">
        <v>23</v>
      </c>
      <c r="R76" s="1376">
        <v>16</v>
      </c>
      <c r="S76" s="1383">
        <v>1670</v>
      </c>
      <c r="T76" s="1384">
        <v>1667</v>
      </c>
      <c r="U76" s="1384">
        <v>1854</v>
      </c>
      <c r="V76" s="1384">
        <v>1867</v>
      </c>
      <c r="W76" s="1384">
        <v>1910</v>
      </c>
      <c r="X76" s="1384">
        <v>1933</v>
      </c>
      <c r="Y76" s="1384">
        <v>1924</v>
      </c>
      <c r="Z76" s="1384">
        <v>1890</v>
      </c>
      <c r="AA76" s="1384">
        <v>1875</v>
      </c>
      <c r="AB76" s="1384">
        <v>1936</v>
      </c>
      <c r="AC76" s="1384">
        <v>1978</v>
      </c>
      <c r="AD76" s="1384">
        <v>2049</v>
      </c>
      <c r="AE76" s="1384">
        <v>2030</v>
      </c>
      <c r="AF76" s="1384">
        <v>1994</v>
      </c>
      <c r="AG76" s="1385">
        <v>1969</v>
      </c>
      <c r="AH76" s="1429">
        <f t="shared" si="31"/>
        <v>22.754491017964074</v>
      </c>
      <c r="AI76" s="1430">
        <f t="shared" si="32"/>
        <v>22.195560887822438</v>
      </c>
      <c r="AJ76" s="1430">
        <f t="shared" si="33"/>
        <v>23.732470334412085</v>
      </c>
      <c r="AK76" s="1430">
        <f t="shared" si="34"/>
        <v>17.13979646491698</v>
      </c>
      <c r="AL76" s="1430">
        <f t="shared" si="35"/>
        <v>13.089005235602095</v>
      </c>
      <c r="AM76" s="1430">
        <f t="shared" si="36"/>
        <v>10.863942058975685</v>
      </c>
      <c r="AN76" s="1430">
        <f t="shared" si="37"/>
        <v>11.954261954261955</v>
      </c>
      <c r="AO76" s="1430">
        <f t="shared" si="38"/>
        <v>13.756613756613756</v>
      </c>
      <c r="AP76" s="1430">
        <f t="shared" si="39"/>
        <v>13.333333333333334</v>
      </c>
      <c r="AQ76" s="1430">
        <f t="shared" si="40"/>
        <v>12.913223140495868</v>
      </c>
      <c r="AR76" s="1430">
        <f t="shared" si="41"/>
        <v>17.189079878665318</v>
      </c>
      <c r="AS76" s="1430">
        <f t="shared" si="42"/>
        <v>13.177159590043924</v>
      </c>
      <c r="AT76" s="1430">
        <f t="shared" si="43"/>
        <v>12.315270935960593</v>
      </c>
      <c r="AU76" s="1430">
        <f t="shared" si="44"/>
        <v>11.534603811434303</v>
      </c>
      <c r="AV76" s="1431">
        <f t="shared" si="45"/>
        <v>8.1259522600304717</v>
      </c>
    </row>
    <row r="77" spans="1:48" s="142" customFormat="1" ht="15.75" customHeight="1">
      <c r="A77" s="149" t="s">
        <v>186</v>
      </c>
      <c r="B77" s="189" t="s">
        <v>187</v>
      </c>
      <c r="C77" s="150" t="s">
        <v>264</v>
      </c>
      <c r="D77" s="1359">
        <v>29</v>
      </c>
      <c r="E77" s="1360">
        <v>38</v>
      </c>
      <c r="F77" s="1361">
        <v>34</v>
      </c>
      <c r="G77" s="1360">
        <v>29</v>
      </c>
      <c r="H77" s="1361">
        <v>29</v>
      </c>
      <c r="I77" s="1360">
        <v>42</v>
      </c>
      <c r="J77" s="1361">
        <v>37</v>
      </c>
      <c r="K77" s="1360">
        <v>30</v>
      </c>
      <c r="L77" s="1374">
        <v>21</v>
      </c>
      <c r="M77" s="1374">
        <v>32</v>
      </c>
      <c r="N77" s="1374">
        <v>23</v>
      </c>
      <c r="O77" s="1374">
        <v>38</v>
      </c>
      <c r="P77" s="1375">
        <v>30</v>
      </c>
      <c r="Q77" s="1375">
        <v>27</v>
      </c>
      <c r="R77" s="1376">
        <v>24</v>
      </c>
      <c r="S77" s="1383">
        <v>2054</v>
      </c>
      <c r="T77" s="1384">
        <v>2064</v>
      </c>
      <c r="U77" s="1384">
        <v>2544</v>
      </c>
      <c r="V77" s="1384">
        <v>2647</v>
      </c>
      <c r="W77" s="1384">
        <v>2695</v>
      </c>
      <c r="X77" s="1384">
        <v>2727</v>
      </c>
      <c r="Y77" s="1384">
        <v>2712</v>
      </c>
      <c r="Z77" s="1384">
        <v>2654</v>
      </c>
      <c r="AA77" s="1384">
        <v>2573</v>
      </c>
      <c r="AB77" s="1384">
        <v>2554</v>
      </c>
      <c r="AC77" s="1384">
        <v>2484</v>
      </c>
      <c r="AD77" s="1384">
        <v>2716</v>
      </c>
      <c r="AE77" s="1384">
        <v>2312</v>
      </c>
      <c r="AF77" s="1384">
        <v>2343</v>
      </c>
      <c r="AG77" s="1385">
        <v>2278</v>
      </c>
      <c r="AH77" s="1429">
        <f t="shared" si="31"/>
        <v>14.118792599805257</v>
      </c>
      <c r="AI77" s="1430">
        <f t="shared" si="32"/>
        <v>18.410852713178297</v>
      </c>
      <c r="AJ77" s="1430">
        <f t="shared" si="33"/>
        <v>13.364779874213838</v>
      </c>
      <c r="AK77" s="1430">
        <f t="shared" si="34"/>
        <v>10.95579901775595</v>
      </c>
      <c r="AL77" s="1430">
        <f t="shared" si="35"/>
        <v>10.760667903525047</v>
      </c>
      <c r="AM77" s="1430">
        <f t="shared" si="36"/>
        <v>15.401540154015402</v>
      </c>
      <c r="AN77" s="1430">
        <f t="shared" si="37"/>
        <v>13.64306784660767</v>
      </c>
      <c r="AO77" s="1430">
        <f t="shared" si="38"/>
        <v>11.303692539562924</v>
      </c>
      <c r="AP77" s="1430">
        <f t="shared" si="39"/>
        <v>8.1616789739603579</v>
      </c>
      <c r="AQ77" s="1430">
        <f t="shared" si="40"/>
        <v>12.529365700861394</v>
      </c>
      <c r="AR77" s="1430">
        <f t="shared" si="41"/>
        <v>9.2592592592592595</v>
      </c>
      <c r="AS77" s="1430">
        <f t="shared" si="42"/>
        <v>13.991163475699558</v>
      </c>
      <c r="AT77" s="1430">
        <f t="shared" si="43"/>
        <v>12.975778546712801</v>
      </c>
      <c r="AU77" s="1430">
        <f t="shared" si="44"/>
        <v>11.523687580025609</v>
      </c>
      <c r="AV77" s="1431">
        <f t="shared" si="45"/>
        <v>10.535557506584723</v>
      </c>
    </row>
    <row r="78" spans="1:48" s="142" customFormat="1" ht="15.75" customHeight="1">
      <c r="A78" s="149" t="s">
        <v>188</v>
      </c>
      <c r="B78" s="189" t="s">
        <v>189</v>
      </c>
      <c r="C78" s="150" t="s">
        <v>267</v>
      </c>
      <c r="D78" s="1359">
        <v>405</v>
      </c>
      <c r="E78" s="1360">
        <v>426</v>
      </c>
      <c r="F78" s="1361">
        <v>404</v>
      </c>
      <c r="G78" s="1360">
        <v>451</v>
      </c>
      <c r="H78" s="1361">
        <v>420</v>
      </c>
      <c r="I78" s="1360">
        <v>386</v>
      </c>
      <c r="J78" s="1361">
        <v>439</v>
      </c>
      <c r="K78" s="1360">
        <v>447</v>
      </c>
      <c r="L78" s="1374">
        <v>479</v>
      </c>
      <c r="M78" s="1374">
        <v>474</v>
      </c>
      <c r="N78" s="1374">
        <v>408</v>
      </c>
      <c r="O78" s="1374">
        <v>404</v>
      </c>
      <c r="P78" s="1375">
        <v>380</v>
      </c>
      <c r="Q78" s="1375">
        <v>325</v>
      </c>
      <c r="R78" s="1376">
        <v>325</v>
      </c>
      <c r="S78" s="1383">
        <v>19321</v>
      </c>
      <c r="T78" s="1384">
        <v>19752</v>
      </c>
      <c r="U78" s="1384">
        <v>21315</v>
      </c>
      <c r="V78" s="1384">
        <v>22796</v>
      </c>
      <c r="W78" s="1384">
        <v>23735</v>
      </c>
      <c r="X78" s="1384">
        <v>24592</v>
      </c>
      <c r="Y78" s="1384">
        <v>25136</v>
      </c>
      <c r="Z78" s="1384">
        <v>25705</v>
      </c>
      <c r="AA78" s="1384">
        <v>25596</v>
      </c>
      <c r="AB78" s="1384">
        <v>25690</v>
      </c>
      <c r="AC78" s="1384">
        <v>25773</v>
      </c>
      <c r="AD78" s="1384">
        <v>27037</v>
      </c>
      <c r="AE78" s="1384">
        <v>29106</v>
      </c>
      <c r="AF78" s="1384">
        <v>29815</v>
      </c>
      <c r="AG78" s="1385">
        <v>30602</v>
      </c>
      <c r="AH78" s="1429">
        <f t="shared" si="31"/>
        <v>20.961647947828787</v>
      </c>
      <c r="AI78" s="1430">
        <f t="shared" si="32"/>
        <v>21.567436208991491</v>
      </c>
      <c r="AJ78" s="1430">
        <f t="shared" si="33"/>
        <v>18.953788411916491</v>
      </c>
      <c r="AK78" s="1430">
        <f t="shared" si="34"/>
        <v>19.784172661870503</v>
      </c>
      <c r="AL78" s="1430">
        <f t="shared" si="35"/>
        <v>17.69538655993259</v>
      </c>
      <c r="AM78" s="1430">
        <f t="shared" si="36"/>
        <v>15.696161353285619</v>
      </c>
      <c r="AN78" s="1430">
        <f t="shared" si="37"/>
        <v>17.464990451941439</v>
      </c>
      <c r="AO78" s="1430">
        <f t="shared" si="38"/>
        <v>17.389612915775142</v>
      </c>
      <c r="AP78" s="1430">
        <f t="shared" si="39"/>
        <v>18.713861540865761</v>
      </c>
      <c r="AQ78" s="1430">
        <f t="shared" si="40"/>
        <v>18.450759050214092</v>
      </c>
      <c r="AR78" s="1430">
        <f t="shared" si="41"/>
        <v>15.83052031195437</v>
      </c>
      <c r="AS78" s="1430">
        <f t="shared" si="42"/>
        <v>14.942486222583867</v>
      </c>
      <c r="AT78" s="1430">
        <f t="shared" si="43"/>
        <v>13.055727341441626</v>
      </c>
      <c r="AU78" s="1430">
        <f t="shared" si="44"/>
        <v>10.900553412711723</v>
      </c>
      <c r="AV78" s="1431">
        <f t="shared" si="45"/>
        <v>10.620220900594733</v>
      </c>
    </row>
    <row r="79" spans="1:48" s="142" customFormat="1" ht="15.75" customHeight="1">
      <c r="A79" s="149" t="s">
        <v>190</v>
      </c>
      <c r="B79" s="189" t="s">
        <v>191</v>
      </c>
      <c r="C79" s="150" t="s">
        <v>268</v>
      </c>
      <c r="D79" s="1359">
        <v>70</v>
      </c>
      <c r="E79" s="1360">
        <v>58</v>
      </c>
      <c r="F79" s="1361">
        <v>50</v>
      </c>
      <c r="G79" s="1360">
        <v>65</v>
      </c>
      <c r="H79" s="1361">
        <v>47</v>
      </c>
      <c r="I79" s="1360">
        <v>36</v>
      </c>
      <c r="J79" s="1361">
        <v>44</v>
      </c>
      <c r="K79" s="1360">
        <v>47</v>
      </c>
      <c r="L79" s="1374">
        <v>44</v>
      </c>
      <c r="M79" s="1374">
        <v>43</v>
      </c>
      <c r="N79" s="1374">
        <v>51</v>
      </c>
      <c r="O79" s="1374">
        <v>65</v>
      </c>
      <c r="P79" s="1375">
        <v>42</v>
      </c>
      <c r="Q79" s="1375">
        <v>36</v>
      </c>
      <c r="R79" s="1376">
        <v>48</v>
      </c>
      <c r="S79" s="1383">
        <v>1944</v>
      </c>
      <c r="T79" s="1384">
        <v>1894</v>
      </c>
      <c r="U79" s="1384">
        <v>1914</v>
      </c>
      <c r="V79" s="1384">
        <v>1923</v>
      </c>
      <c r="W79" s="1384">
        <v>1907</v>
      </c>
      <c r="X79" s="1384">
        <v>1920</v>
      </c>
      <c r="Y79" s="1384">
        <v>1900</v>
      </c>
      <c r="Z79" s="1384">
        <v>1846</v>
      </c>
      <c r="AA79" s="1384">
        <v>1830</v>
      </c>
      <c r="AB79" s="1384">
        <v>1810</v>
      </c>
      <c r="AC79" s="1384">
        <v>1813</v>
      </c>
      <c r="AD79" s="1384">
        <v>1821</v>
      </c>
      <c r="AE79" s="1384">
        <v>1908</v>
      </c>
      <c r="AF79" s="1384">
        <v>1826</v>
      </c>
      <c r="AG79" s="1385">
        <v>1805</v>
      </c>
      <c r="AH79" s="1429">
        <f t="shared" si="31"/>
        <v>36.008230452674901</v>
      </c>
      <c r="AI79" s="1430">
        <f t="shared" si="32"/>
        <v>30.623020063357973</v>
      </c>
      <c r="AJ79" s="1430">
        <f t="shared" si="33"/>
        <v>26.123301985370951</v>
      </c>
      <c r="AK79" s="1430">
        <f t="shared" si="34"/>
        <v>33.801352054082159</v>
      </c>
      <c r="AL79" s="1430">
        <f t="shared" si="35"/>
        <v>24.646040901940221</v>
      </c>
      <c r="AM79" s="1430">
        <f t="shared" si="36"/>
        <v>18.75</v>
      </c>
      <c r="AN79" s="1430">
        <f t="shared" si="37"/>
        <v>23.157894736842106</v>
      </c>
      <c r="AO79" s="1430">
        <f t="shared" si="38"/>
        <v>25.460455037919829</v>
      </c>
      <c r="AP79" s="1430">
        <f t="shared" si="39"/>
        <v>24.043715846994537</v>
      </c>
      <c r="AQ79" s="1430">
        <f t="shared" si="40"/>
        <v>23.756906077348066</v>
      </c>
      <c r="AR79" s="1430">
        <f t="shared" si="41"/>
        <v>28.130170987313846</v>
      </c>
      <c r="AS79" s="1430">
        <f t="shared" si="42"/>
        <v>35.694673256452504</v>
      </c>
      <c r="AT79" s="1430">
        <f t="shared" si="43"/>
        <v>22.012578616352201</v>
      </c>
      <c r="AU79" s="1430">
        <f t="shared" si="44"/>
        <v>19.715224534501644</v>
      </c>
      <c r="AV79" s="1431">
        <f t="shared" si="45"/>
        <v>26.592797783933516</v>
      </c>
    </row>
    <row r="80" spans="1:48" s="142" customFormat="1" ht="15.75" customHeight="1">
      <c r="A80" s="149" t="s">
        <v>194</v>
      </c>
      <c r="B80" s="189" t="s">
        <v>195</v>
      </c>
      <c r="C80" s="150" t="s">
        <v>267</v>
      </c>
      <c r="D80" s="1359">
        <v>8</v>
      </c>
      <c r="E80" s="1360">
        <v>9</v>
      </c>
      <c r="F80" s="1361">
        <v>5</v>
      </c>
      <c r="G80" s="1360">
        <v>11</v>
      </c>
      <c r="H80" s="1361">
        <v>6</v>
      </c>
      <c r="I80" s="1360">
        <v>2</v>
      </c>
      <c r="J80" s="1361">
        <v>4</v>
      </c>
      <c r="K80" s="1360">
        <v>8</v>
      </c>
      <c r="L80" s="1374">
        <v>5</v>
      </c>
      <c r="M80" s="1374">
        <v>6</v>
      </c>
      <c r="N80" s="1374">
        <v>6</v>
      </c>
      <c r="O80" s="1374">
        <v>4</v>
      </c>
      <c r="P80" s="1375">
        <v>3</v>
      </c>
      <c r="Q80" s="1375">
        <v>6</v>
      </c>
      <c r="R80" s="1376">
        <v>4</v>
      </c>
      <c r="S80" s="1383">
        <v>465</v>
      </c>
      <c r="T80" s="1384">
        <v>473</v>
      </c>
      <c r="U80" s="1384">
        <v>462</v>
      </c>
      <c r="V80" s="1384">
        <v>469</v>
      </c>
      <c r="W80" s="1384">
        <v>459</v>
      </c>
      <c r="X80" s="1384">
        <v>471</v>
      </c>
      <c r="Y80" s="1384">
        <v>476</v>
      </c>
      <c r="Z80" s="1384">
        <v>455</v>
      </c>
      <c r="AA80" s="1384">
        <v>436</v>
      </c>
      <c r="AB80" s="1384">
        <v>415</v>
      </c>
      <c r="AC80" s="1384">
        <v>404</v>
      </c>
      <c r="AD80" s="1384">
        <v>407</v>
      </c>
      <c r="AE80" s="1384">
        <v>438</v>
      </c>
      <c r="AF80" s="1384">
        <v>439</v>
      </c>
      <c r="AG80" s="1385">
        <v>420</v>
      </c>
      <c r="AH80" s="1429">
        <f t="shared" si="31"/>
        <v>17.204301075268816</v>
      </c>
      <c r="AI80" s="1430">
        <f t="shared" si="32"/>
        <v>19.027484143763214</v>
      </c>
      <c r="AJ80" s="1430">
        <f t="shared" si="33"/>
        <v>10.822510822510822</v>
      </c>
      <c r="AK80" s="1430">
        <f t="shared" si="34"/>
        <v>23.454157782515992</v>
      </c>
      <c r="AL80" s="1430">
        <f t="shared" si="35"/>
        <v>13.071895424836601</v>
      </c>
      <c r="AM80" s="1430">
        <f t="shared" si="36"/>
        <v>4.2462845010615711</v>
      </c>
      <c r="AN80" s="1430">
        <f t="shared" si="37"/>
        <v>8.4033613445378155</v>
      </c>
      <c r="AO80" s="1430">
        <f t="shared" si="38"/>
        <v>17.582417582417584</v>
      </c>
      <c r="AP80" s="1430">
        <f t="shared" si="39"/>
        <v>11.467889908256881</v>
      </c>
      <c r="AQ80" s="1430">
        <f t="shared" si="40"/>
        <v>14.457831325301205</v>
      </c>
      <c r="AR80" s="1430">
        <f t="shared" si="41"/>
        <v>14.85148514851485</v>
      </c>
      <c r="AS80" s="1430">
        <f t="shared" si="42"/>
        <v>9.8280098280098276</v>
      </c>
      <c r="AT80" s="1430">
        <f t="shared" si="43"/>
        <v>6.8493150684931505</v>
      </c>
      <c r="AU80" s="1430">
        <f t="shared" si="44"/>
        <v>13.66742596810934</v>
      </c>
      <c r="AV80" s="1431">
        <f t="shared" si="45"/>
        <v>9.5238095238095255</v>
      </c>
    </row>
    <row r="81" spans="1:48" s="142" customFormat="1" ht="15.75" customHeight="1">
      <c r="A81" s="149" t="s">
        <v>198</v>
      </c>
      <c r="B81" s="189" t="s">
        <v>272</v>
      </c>
      <c r="C81" s="150" t="s">
        <v>266</v>
      </c>
      <c r="D81" s="1359">
        <v>10</v>
      </c>
      <c r="E81" s="1360">
        <v>7</v>
      </c>
      <c r="F81" s="1361">
        <v>12</v>
      </c>
      <c r="G81" s="1360">
        <v>10</v>
      </c>
      <c r="H81" s="1361">
        <v>10</v>
      </c>
      <c r="I81" s="1360">
        <v>8</v>
      </c>
      <c r="J81" s="1361">
        <v>8</v>
      </c>
      <c r="K81" s="1360">
        <v>10</v>
      </c>
      <c r="L81" s="1374">
        <v>11</v>
      </c>
      <c r="M81" s="1374">
        <v>14</v>
      </c>
      <c r="N81" s="1374">
        <v>6</v>
      </c>
      <c r="O81" s="1374">
        <v>12</v>
      </c>
      <c r="P81" s="1375">
        <v>11</v>
      </c>
      <c r="Q81" s="1375">
        <v>6</v>
      </c>
      <c r="R81" s="1376">
        <v>1</v>
      </c>
      <c r="S81" s="1383">
        <v>463</v>
      </c>
      <c r="T81" s="1384">
        <v>468</v>
      </c>
      <c r="U81" s="1384">
        <v>466</v>
      </c>
      <c r="V81" s="1384">
        <v>464</v>
      </c>
      <c r="W81" s="1384">
        <v>462</v>
      </c>
      <c r="X81" s="1384">
        <v>454</v>
      </c>
      <c r="Y81" s="1384">
        <v>441</v>
      </c>
      <c r="Z81" s="1384">
        <v>394</v>
      </c>
      <c r="AA81" s="1384">
        <v>382</v>
      </c>
      <c r="AB81" s="1384">
        <v>369</v>
      </c>
      <c r="AC81" s="1384">
        <v>366</v>
      </c>
      <c r="AD81" s="1384">
        <v>378</v>
      </c>
      <c r="AE81" s="1384">
        <v>454</v>
      </c>
      <c r="AF81" s="1384">
        <v>435</v>
      </c>
      <c r="AG81" s="1385">
        <v>444</v>
      </c>
      <c r="AH81" s="1429">
        <f t="shared" si="31"/>
        <v>21.598272138228939</v>
      </c>
      <c r="AI81" s="1430">
        <f t="shared" si="32"/>
        <v>14.957264957264957</v>
      </c>
      <c r="AJ81" s="1430">
        <f t="shared" si="33"/>
        <v>25.751072961373392</v>
      </c>
      <c r="AK81" s="1430">
        <f t="shared" si="34"/>
        <v>21.551724137931036</v>
      </c>
      <c r="AL81" s="1430">
        <f t="shared" si="35"/>
        <v>21.645021645021643</v>
      </c>
      <c r="AM81" s="1430">
        <f t="shared" si="36"/>
        <v>17.621145374449341</v>
      </c>
      <c r="AN81" s="1430">
        <f t="shared" si="37"/>
        <v>18.140589569160998</v>
      </c>
      <c r="AO81" s="1430">
        <f t="shared" si="38"/>
        <v>25.380710659898476</v>
      </c>
      <c r="AP81" s="1430">
        <f t="shared" si="39"/>
        <v>28.795811518324605</v>
      </c>
      <c r="AQ81" s="1430">
        <f t="shared" si="40"/>
        <v>37.940379403794033</v>
      </c>
      <c r="AR81" s="1430">
        <f t="shared" si="41"/>
        <v>16.393442622950822</v>
      </c>
      <c r="AS81" s="1430">
        <f t="shared" si="42"/>
        <v>31.746031746031743</v>
      </c>
      <c r="AT81" s="1430">
        <f t="shared" si="43"/>
        <v>24.229074889867842</v>
      </c>
      <c r="AU81" s="1430">
        <f t="shared" si="44"/>
        <v>13.793103448275861</v>
      </c>
      <c r="AV81" s="1431">
        <f t="shared" si="45"/>
        <v>2.2522522522522523</v>
      </c>
    </row>
    <row r="82" spans="1:48" s="142" customFormat="1" ht="15.75" customHeight="1">
      <c r="A82" s="149" t="s">
        <v>202</v>
      </c>
      <c r="B82" s="189" t="s">
        <v>301</v>
      </c>
      <c r="C82" s="150" t="s">
        <v>265</v>
      </c>
      <c r="D82" s="1359">
        <v>83</v>
      </c>
      <c r="E82" s="1360">
        <v>93</v>
      </c>
      <c r="F82" s="1361">
        <v>99</v>
      </c>
      <c r="G82" s="1360">
        <v>123</v>
      </c>
      <c r="H82" s="1361">
        <v>107</v>
      </c>
      <c r="I82" s="1360">
        <v>116</v>
      </c>
      <c r="J82" s="1361">
        <v>150</v>
      </c>
      <c r="K82" s="1360">
        <v>111</v>
      </c>
      <c r="L82" s="1374">
        <v>107</v>
      </c>
      <c r="M82" s="1374">
        <v>78</v>
      </c>
      <c r="N82" s="1374">
        <v>98</v>
      </c>
      <c r="O82" s="1374">
        <v>104</v>
      </c>
      <c r="P82" s="1375">
        <v>85</v>
      </c>
      <c r="Q82" s="1375">
        <v>72</v>
      </c>
      <c r="R82" s="1376">
        <v>65</v>
      </c>
      <c r="S82" s="1383">
        <v>7163</v>
      </c>
      <c r="T82" s="1384">
        <v>7170</v>
      </c>
      <c r="U82" s="1384">
        <v>7461</v>
      </c>
      <c r="V82" s="1384">
        <v>7559</v>
      </c>
      <c r="W82" s="1384">
        <v>7620</v>
      </c>
      <c r="X82" s="1384">
        <v>7653</v>
      </c>
      <c r="Y82" s="1384">
        <v>7624</v>
      </c>
      <c r="Z82" s="1384">
        <v>7534</v>
      </c>
      <c r="AA82" s="1384">
        <v>7471</v>
      </c>
      <c r="AB82" s="1384">
        <v>7395</v>
      </c>
      <c r="AC82" s="1384">
        <v>7252</v>
      </c>
      <c r="AD82" s="1384">
        <v>7712</v>
      </c>
      <c r="AE82" s="1384">
        <v>7852</v>
      </c>
      <c r="AF82" s="1384">
        <v>7724</v>
      </c>
      <c r="AG82" s="1385">
        <v>7605</v>
      </c>
      <c r="AH82" s="1429">
        <f t="shared" si="31"/>
        <v>11.587323747033366</v>
      </c>
      <c r="AI82" s="1430">
        <f t="shared" si="32"/>
        <v>12.97071129707113</v>
      </c>
      <c r="AJ82" s="1430">
        <f t="shared" si="33"/>
        <v>13.268998793727382</v>
      </c>
      <c r="AK82" s="1430">
        <f t="shared" si="34"/>
        <v>16.271993649953696</v>
      </c>
      <c r="AL82" s="1430">
        <f t="shared" si="35"/>
        <v>14.041994750656167</v>
      </c>
      <c r="AM82" s="1430">
        <f t="shared" si="36"/>
        <v>15.157454592970076</v>
      </c>
      <c r="AN82" s="1430">
        <f t="shared" si="37"/>
        <v>19.67471143756558</v>
      </c>
      <c r="AO82" s="1430">
        <f t="shared" si="38"/>
        <v>14.733209450491106</v>
      </c>
      <c r="AP82" s="1430">
        <f t="shared" si="39"/>
        <v>14.322045241600856</v>
      </c>
      <c r="AQ82" s="1430">
        <f t="shared" si="40"/>
        <v>10.547667342799189</v>
      </c>
      <c r="AR82" s="1430">
        <f t="shared" si="41"/>
        <v>13.513513513513514</v>
      </c>
      <c r="AS82" s="1430">
        <f t="shared" si="42"/>
        <v>13.485477178423237</v>
      </c>
      <c r="AT82" s="1430">
        <f t="shared" si="43"/>
        <v>10.825267447784004</v>
      </c>
      <c r="AU82" s="1430">
        <f t="shared" si="44"/>
        <v>9.321595028482653</v>
      </c>
      <c r="AV82" s="1431">
        <f t="shared" si="45"/>
        <v>8.5470085470085486</v>
      </c>
    </row>
    <row r="83" spans="1:48" s="142" customFormat="1" ht="15.75" customHeight="1">
      <c r="A83" s="149" t="s">
        <v>204</v>
      </c>
      <c r="B83" s="189" t="s">
        <v>293</v>
      </c>
      <c r="C83" s="150" t="s">
        <v>265</v>
      </c>
      <c r="D83" s="1359">
        <v>46</v>
      </c>
      <c r="E83" s="1360">
        <v>29</v>
      </c>
      <c r="F83" s="1361">
        <v>31</v>
      </c>
      <c r="G83" s="1360">
        <v>36</v>
      </c>
      <c r="H83" s="1361">
        <v>35</v>
      </c>
      <c r="I83" s="1360">
        <v>32</v>
      </c>
      <c r="J83" s="1361">
        <v>44</v>
      </c>
      <c r="K83" s="1360">
        <v>38</v>
      </c>
      <c r="L83" s="1374">
        <v>28</v>
      </c>
      <c r="M83" s="1374">
        <v>41</v>
      </c>
      <c r="N83" s="1374">
        <v>44</v>
      </c>
      <c r="O83" s="1374">
        <v>44</v>
      </c>
      <c r="P83" s="1375">
        <v>36</v>
      </c>
      <c r="Q83" s="1375">
        <v>33</v>
      </c>
      <c r="R83" s="1376">
        <v>25</v>
      </c>
      <c r="S83" s="1383">
        <v>2089</v>
      </c>
      <c r="T83" s="1384">
        <v>2084</v>
      </c>
      <c r="U83" s="1384">
        <v>2310</v>
      </c>
      <c r="V83" s="1384">
        <v>2279</v>
      </c>
      <c r="W83" s="1384">
        <v>2250</v>
      </c>
      <c r="X83" s="1384">
        <v>2247</v>
      </c>
      <c r="Y83" s="1384">
        <v>2213</v>
      </c>
      <c r="Z83" s="1384">
        <v>2229</v>
      </c>
      <c r="AA83" s="1384">
        <v>2211</v>
      </c>
      <c r="AB83" s="1384">
        <v>2213</v>
      </c>
      <c r="AC83" s="1384">
        <v>2199</v>
      </c>
      <c r="AD83" s="1384">
        <v>2135</v>
      </c>
      <c r="AE83" s="1384">
        <v>2275</v>
      </c>
      <c r="AF83" s="1384">
        <v>2244</v>
      </c>
      <c r="AG83" s="1385">
        <v>2268</v>
      </c>
      <c r="AH83" s="1429">
        <f t="shared" si="31"/>
        <v>22.020105313547152</v>
      </c>
      <c r="AI83" s="1430">
        <f t="shared" si="32"/>
        <v>13.915547024952014</v>
      </c>
      <c r="AJ83" s="1430">
        <f t="shared" si="33"/>
        <v>13.419913419913421</v>
      </c>
      <c r="AK83" s="1430">
        <f t="shared" si="34"/>
        <v>15.796401930671347</v>
      </c>
      <c r="AL83" s="1430">
        <f t="shared" si="35"/>
        <v>15.555555555555555</v>
      </c>
      <c r="AM83" s="1430">
        <f t="shared" si="36"/>
        <v>14.241210502892745</v>
      </c>
      <c r="AN83" s="1430">
        <f t="shared" si="37"/>
        <v>19.882512426570266</v>
      </c>
      <c r="AO83" s="1430">
        <f t="shared" si="38"/>
        <v>17.048003589053387</v>
      </c>
      <c r="AP83" s="1430">
        <f t="shared" si="39"/>
        <v>12.663952962460424</v>
      </c>
      <c r="AQ83" s="1430">
        <f t="shared" si="40"/>
        <v>18.526886579304112</v>
      </c>
      <c r="AR83" s="1430">
        <f t="shared" si="41"/>
        <v>20.009095043201455</v>
      </c>
      <c r="AS83" s="1430">
        <f t="shared" si="42"/>
        <v>20.608899297423889</v>
      </c>
      <c r="AT83" s="1430">
        <f t="shared" si="43"/>
        <v>15.824175824175825</v>
      </c>
      <c r="AU83" s="1430">
        <f t="shared" si="44"/>
        <v>14.705882352941176</v>
      </c>
      <c r="AV83" s="1431">
        <f t="shared" si="45"/>
        <v>11.022927689594356</v>
      </c>
    </row>
    <row r="84" spans="1:48" s="142" customFormat="1" ht="15.75" customHeight="1">
      <c r="A84" s="149" t="s">
        <v>206</v>
      </c>
      <c r="B84" s="189" t="s">
        <v>294</v>
      </c>
      <c r="C84" s="150" t="s">
        <v>267</v>
      </c>
      <c r="D84" s="1359">
        <v>166</v>
      </c>
      <c r="E84" s="1360">
        <v>179</v>
      </c>
      <c r="F84" s="1361">
        <v>150</v>
      </c>
      <c r="G84" s="1360">
        <v>165</v>
      </c>
      <c r="H84" s="1361">
        <v>138</v>
      </c>
      <c r="I84" s="1360">
        <v>160</v>
      </c>
      <c r="J84" s="1361">
        <v>159</v>
      </c>
      <c r="K84" s="1360">
        <v>141</v>
      </c>
      <c r="L84" s="1374">
        <v>155</v>
      </c>
      <c r="M84" s="1374">
        <v>138</v>
      </c>
      <c r="N84" s="1374">
        <v>145</v>
      </c>
      <c r="O84" s="1374">
        <v>120</v>
      </c>
      <c r="P84" s="1375">
        <v>133</v>
      </c>
      <c r="Q84" s="1375">
        <v>124</v>
      </c>
      <c r="R84" s="1376">
        <v>90</v>
      </c>
      <c r="S84" s="1383">
        <v>7556</v>
      </c>
      <c r="T84" s="1384">
        <v>7629</v>
      </c>
      <c r="U84" s="1384">
        <v>9246</v>
      </c>
      <c r="V84" s="1384">
        <v>8922</v>
      </c>
      <c r="W84" s="1384">
        <v>8890</v>
      </c>
      <c r="X84" s="1384">
        <v>8966</v>
      </c>
      <c r="Y84" s="1384">
        <v>8982</v>
      </c>
      <c r="Z84" s="1384">
        <v>8971</v>
      </c>
      <c r="AA84" s="1384">
        <v>9080</v>
      </c>
      <c r="AB84" s="1384">
        <v>9420</v>
      </c>
      <c r="AC84" s="1384">
        <v>9278</v>
      </c>
      <c r="AD84" s="1384">
        <v>9613</v>
      </c>
      <c r="AE84" s="1384">
        <v>10756</v>
      </c>
      <c r="AF84" s="1384">
        <v>10625</v>
      </c>
      <c r="AG84" s="1385">
        <v>10687</v>
      </c>
      <c r="AH84" s="1429">
        <f t="shared" si="31"/>
        <v>21.969295923769188</v>
      </c>
      <c r="AI84" s="1430">
        <f t="shared" si="32"/>
        <v>23.46310132389566</v>
      </c>
      <c r="AJ84" s="1430">
        <f t="shared" si="33"/>
        <v>16.223231667748216</v>
      </c>
      <c r="AK84" s="1430">
        <f t="shared" si="34"/>
        <v>18.493611297915265</v>
      </c>
      <c r="AL84" s="1430">
        <f t="shared" si="35"/>
        <v>15.523059617547807</v>
      </c>
      <c r="AM84" s="1430">
        <f t="shared" si="36"/>
        <v>17.845192951148785</v>
      </c>
      <c r="AN84" s="1430">
        <f t="shared" si="37"/>
        <v>17.702070808283231</v>
      </c>
      <c r="AO84" s="1430">
        <f t="shared" si="38"/>
        <v>15.717311336528816</v>
      </c>
      <c r="AP84" s="1430">
        <f t="shared" si="39"/>
        <v>17.070484581497798</v>
      </c>
      <c r="AQ84" s="1430">
        <f t="shared" si="40"/>
        <v>14.64968152866242</v>
      </c>
      <c r="AR84" s="1430">
        <f t="shared" si="41"/>
        <v>15.628368182798017</v>
      </c>
      <c r="AS84" s="1430">
        <f t="shared" si="42"/>
        <v>12.483095807760325</v>
      </c>
      <c r="AT84" s="1430">
        <f t="shared" si="43"/>
        <v>12.365191521011528</v>
      </c>
      <c r="AU84" s="1430">
        <f t="shared" si="44"/>
        <v>11.670588235294119</v>
      </c>
      <c r="AV84" s="1431">
        <f t="shared" si="45"/>
        <v>8.4214466173856088</v>
      </c>
    </row>
    <row r="85" spans="1:48" s="142" customFormat="1" ht="15.75" customHeight="1">
      <c r="A85" s="149" t="s">
        <v>208</v>
      </c>
      <c r="B85" s="189" t="s">
        <v>209</v>
      </c>
      <c r="C85" s="150" t="s">
        <v>268</v>
      </c>
      <c r="D85" s="1359">
        <v>56</v>
      </c>
      <c r="E85" s="1360">
        <v>51</v>
      </c>
      <c r="F85" s="1361">
        <v>42</v>
      </c>
      <c r="G85" s="1360">
        <v>47</v>
      </c>
      <c r="H85" s="1361">
        <v>34</v>
      </c>
      <c r="I85" s="1360">
        <v>41</v>
      </c>
      <c r="J85" s="1361">
        <v>34</v>
      </c>
      <c r="K85" s="1360">
        <v>25</v>
      </c>
      <c r="L85" s="1374">
        <v>41</v>
      </c>
      <c r="M85" s="1374">
        <v>27</v>
      </c>
      <c r="N85" s="1374">
        <v>48</v>
      </c>
      <c r="O85" s="1374">
        <v>39</v>
      </c>
      <c r="P85" s="1375">
        <v>45</v>
      </c>
      <c r="Q85" s="1375">
        <v>32</v>
      </c>
      <c r="R85" s="1376">
        <v>36</v>
      </c>
      <c r="S85" s="1383">
        <v>1787</v>
      </c>
      <c r="T85" s="1384">
        <v>1739</v>
      </c>
      <c r="U85" s="1384">
        <v>1824</v>
      </c>
      <c r="V85" s="1384">
        <v>1765</v>
      </c>
      <c r="W85" s="1384">
        <v>1739</v>
      </c>
      <c r="X85" s="1384">
        <v>1726</v>
      </c>
      <c r="Y85" s="1384">
        <v>1724</v>
      </c>
      <c r="Z85" s="1384">
        <v>1711</v>
      </c>
      <c r="AA85" s="1384">
        <v>1699</v>
      </c>
      <c r="AB85" s="1384">
        <v>1680</v>
      </c>
      <c r="AC85" s="1384">
        <v>1674</v>
      </c>
      <c r="AD85" s="1384">
        <v>1683</v>
      </c>
      <c r="AE85" s="1384">
        <v>1697</v>
      </c>
      <c r="AF85" s="1384">
        <v>1628</v>
      </c>
      <c r="AG85" s="1385">
        <v>1558</v>
      </c>
      <c r="AH85" s="1429">
        <f t="shared" si="31"/>
        <v>31.337437045327363</v>
      </c>
      <c r="AI85" s="1430">
        <f t="shared" si="32"/>
        <v>29.327199539965498</v>
      </c>
      <c r="AJ85" s="1430">
        <f t="shared" si="33"/>
        <v>23.026315789473681</v>
      </c>
      <c r="AK85" s="1430">
        <f t="shared" si="34"/>
        <v>26.628895184135978</v>
      </c>
      <c r="AL85" s="1430">
        <f t="shared" si="35"/>
        <v>19.551466359976999</v>
      </c>
      <c r="AM85" s="1430">
        <f t="shared" si="36"/>
        <v>23.754345307068366</v>
      </c>
      <c r="AN85" s="1430">
        <f t="shared" si="37"/>
        <v>19.721577726218097</v>
      </c>
      <c r="AO85" s="1430">
        <f t="shared" si="38"/>
        <v>14.611338398597312</v>
      </c>
      <c r="AP85" s="1430">
        <f t="shared" si="39"/>
        <v>24.131842260153032</v>
      </c>
      <c r="AQ85" s="1430">
        <f t="shared" si="40"/>
        <v>16.071428571428569</v>
      </c>
      <c r="AR85" s="1430">
        <f t="shared" si="41"/>
        <v>28.673835125448029</v>
      </c>
      <c r="AS85" s="1430">
        <f t="shared" si="42"/>
        <v>23.172905525846705</v>
      </c>
      <c r="AT85" s="1430">
        <f t="shared" si="43"/>
        <v>26.517383618149676</v>
      </c>
      <c r="AU85" s="1430">
        <f t="shared" si="44"/>
        <v>19.656019656019655</v>
      </c>
      <c r="AV85" s="1431">
        <f t="shared" si="45"/>
        <v>23.106546854942234</v>
      </c>
    </row>
    <row r="86" spans="1:48" s="142" customFormat="1" ht="15.75" customHeight="1">
      <c r="A86" s="149" t="s">
        <v>210</v>
      </c>
      <c r="B86" s="189" t="s">
        <v>211</v>
      </c>
      <c r="C86" s="150" t="s">
        <v>268</v>
      </c>
      <c r="D86" s="1359">
        <v>39</v>
      </c>
      <c r="E86" s="1360">
        <v>34</v>
      </c>
      <c r="F86" s="1361">
        <v>34</v>
      </c>
      <c r="G86" s="1360">
        <v>42</v>
      </c>
      <c r="H86" s="1361">
        <v>27</v>
      </c>
      <c r="I86" s="1360">
        <v>26</v>
      </c>
      <c r="J86" s="1361">
        <v>32</v>
      </c>
      <c r="K86" s="1360">
        <v>29</v>
      </c>
      <c r="L86" s="1374">
        <v>30</v>
      </c>
      <c r="M86" s="1374">
        <v>26</v>
      </c>
      <c r="N86" s="1374">
        <v>29</v>
      </c>
      <c r="O86" s="1374">
        <v>33</v>
      </c>
      <c r="P86" s="1375">
        <v>29</v>
      </c>
      <c r="Q86" s="1375">
        <v>34</v>
      </c>
      <c r="R86" s="1376">
        <v>19</v>
      </c>
      <c r="S86" s="1383">
        <v>1341</v>
      </c>
      <c r="T86" s="1384">
        <v>1316</v>
      </c>
      <c r="U86" s="1384">
        <v>1391</v>
      </c>
      <c r="V86" s="1384">
        <v>1363</v>
      </c>
      <c r="W86" s="1384">
        <v>1318</v>
      </c>
      <c r="X86" s="1384">
        <v>1289</v>
      </c>
      <c r="Y86" s="1384">
        <v>1291</v>
      </c>
      <c r="Z86" s="1384">
        <v>1274</v>
      </c>
      <c r="AA86" s="1384">
        <v>1230</v>
      </c>
      <c r="AB86" s="1384">
        <v>1201</v>
      </c>
      <c r="AC86" s="1384">
        <v>1189</v>
      </c>
      <c r="AD86" s="1384">
        <v>1195</v>
      </c>
      <c r="AE86" s="1384">
        <v>1275</v>
      </c>
      <c r="AF86" s="1384">
        <v>1243</v>
      </c>
      <c r="AG86" s="1385">
        <v>1243</v>
      </c>
      <c r="AH86" s="1429">
        <f t="shared" si="31"/>
        <v>29.082774049217001</v>
      </c>
      <c r="AI86" s="1430">
        <f t="shared" si="32"/>
        <v>25.835866261398177</v>
      </c>
      <c r="AJ86" s="1430">
        <f t="shared" si="33"/>
        <v>24.442846872753414</v>
      </c>
      <c r="AK86" s="1430">
        <f t="shared" si="34"/>
        <v>30.814380044020542</v>
      </c>
      <c r="AL86" s="1430">
        <f t="shared" si="35"/>
        <v>20.485584218512901</v>
      </c>
      <c r="AM86" s="1430">
        <f t="shared" si="36"/>
        <v>20.17067494181536</v>
      </c>
      <c r="AN86" s="1430">
        <f t="shared" si="37"/>
        <v>24.786986831913246</v>
      </c>
      <c r="AO86" s="1430">
        <f t="shared" si="38"/>
        <v>22.762951334379906</v>
      </c>
      <c r="AP86" s="1430">
        <f t="shared" si="39"/>
        <v>24.390243902439025</v>
      </c>
      <c r="AQ86" s="1430">
        <f t="shared" si="40"/>
        <v>21.64862614487927</v>
      </c>
      <c r="AR86" s="1430">
        <f t="shared" si="41"/>
        <v>24.390243902439025</v>
      </c>
      <c r="AS86" s="1430">
        <f t="shared" si="42"/>
        <v>27.615062761506277</v>
      </c>
      <c r="AT86" s="1430">
        <f t="shared" si="43"/>
        <v>22.745098039215684</v>
      </c>
      <c r="AU86" s="1430">
        <f t="shared" si="44"/>
        <v>27.353177795655672</v>
      </c>
      <c r="AV86" s="1431">
        <f t="shared" si="45"/>
        <v>15.285599356395815</v>
      </c>
    </row>
    <row r="87" spans="1:48" s="142" customFormat="1" ht="15.75" customHeight="1">
      <c r="A87" s="149" t="s">
        <v>212</v>
      </c>
      <c r="B87" s="189" t="s">
        <v>213</v>
      </c>
      <c r="C87" s="150" t="s">
        <v>267</v>
      </c>
      <c r="D87" s="1359">
        <v>50</v>
      </c>
      <c r="E87" s="1360">
        <v>43</v>
      </c>
      <c r="F87" s="1361">
        <v>54</v>
      </c>
      <c r="G87" s="1360">
        <v>52</v>
      </c>
      <c r="H87" s="1361">
        <v>56</v>
      </c>
      <c r="I87" s="1360">
        <v>54</v>
      </c>
      <c r="J87" s="1361">
        <v>49</v>
      </c>
      <c r="K87" s="1360">
        <v>60</v>
      </c>
      <c r="L87" s="1374">
        <v>60</v>
      </c>
      <c r="M87" s="1374">
        <v>65</v>
      </c>
      <c r="N87" s="1374">
        <v>52</v>
      </c>
      <c r="O87" s="1374">
        <v>48</v>
      </c>
      <c r="P87" s="1375">
        <v>54</v>
      </c>
      <c r="Q87" s="1375">
        <v>26</v>
      </c>
      <c r="R87" s="1376">
        <v>42</v>
      </c>
      <c r="S87" s="1383">
        <v>2065</v>
      </c>
      <c r="T87" s="1384">
        <v>2088</v>
      </c>
      <c r="U87" s="1384">
        <v>2170</v>
      </c>
      <c r="V87" s="1384">
        <v>2236</v>
      </c>
      <c r="W87" s="1384">
        <v>2230</v>
      </c>
      <c r="X87" s="1384">
        <v>2255</v>
      </c>
      <c r="Y87" s="1384">
        <v>2314</v>
      </c>
      <c r="Z87" s="1384">
        <v>2351</v>
      </c>
      <c r="AA87" s="1384">
        <v>2343</v>
      </c>
      <c r="AB87" s="1384">
        <v>2345</v>
      </c>
      <c r="AC87" s="1384">
        <v>2335</v>
      </c>
      <c r="AD87" s="1384">
        <v>2409</v>
      </c>
      <c r="AE87" s="1384">
        <v>2519</v>
      </c>
      <c r="AF87" s="1384">
        <v>2519</v>
      </c>
      <c r="AG87" s="1385">
        <v>2509</v>
      </c>
      <c r="AH87" s="1429">
        <f t="shared" si="31"/>
        <v>24.213075060532688</v>
      </c>
      <c r="AI87" s="1430">
        <f t="shared" si="32"/>
        <v>20.593869731800766</v>
      </c>
      <c r="AJ87" s="1430">
        <f t="shared" si="33"/>
        <v>24.88479262672811</v>
      </c>
      <c r="AK87" s="1430">
        <f t="shared" si="34"/>
        <v>23.255813953488371</v>
      </c>
      <c r="AL87" s="1430">
        <f t="shared" si="35"/>
        <v>25.112107623318384</v>
      </c>
      <c r="AM87" s="1430">
        <f t="shared" si="36"/>
        <v>23.946784922394681</v>
      </c>
      <c r="AN87" s="1430">
        <f t="shared" si="37"/>
        <v>21.175453759723425</v>
      </c>
      <c r="AO87" s="1430">
        <f t="shared" si="38"/>
        <v>25.521054870267971</v>
      </c>
      <c r="AP87" s="1430">
        <f t="shared" si="39"/>
        <v>25.608194622279129</v>
      </c>
      <c r="AQ87" s="1430">
        <f t="shared" si="40"/>
        <v>27.718550106609808</v>
      </c>
      <c r="AR87" s="1430">
        <f t="shared" si="41"/>
        <v>22.26980728051392</v>
      </c>
      <c r="AS87" s="1430">
        <f t="shared" si="42"/>
        <v>19.925280199252803</v>
      </c>
      <c r="AT87" s="1430">
        <f t="shared" si="43"/>
        <v>21.437078205637157</v>
      </c>
      <c r="AU87" s="1430">
        <f t="shared" si="44"/>
        <v>10.321556173084558</v>
      </c>
      <c r="AV87" s="1431">
        <f t="shared" si="45"/>
        <v>16.739736946990835</v>
      </c>
    </row>
    <row r="88" spans="1:48" s="142" customFormat="1" ht="15.75" customHeight="1">
      <c r="A88" s="149" t="s">
        <v>214</v>
      </c>
      <c r="B88" s="189" t="s">
        <v>215</v>
      </c>
      <c r="C88" s="150" t="s">
        <v>268</v>
      </c>
      <c r="D88" s="1359">
        <v>65</v>
      </c>
      <c r="E88" s="1360">
        <v>54</v>
      </c>
      <c r="F88" s="1361">
        <v>56</v>
      </c>
      <c r="G88" s="1360">
        <v>56</v>
      </c>
      <c r="H88" s="1361">
        <v>57</v>
      </c>
      <c r="I88" s="1360">
        <v>73</v>
      </c>
      <c r="J88" s="1361">
        <v>39</v>
      </c>
      <c r="K88" s="1360">
        <v>57</v>
      </c>
      <c r="L88" s="1374">
        <v>58</v>
      </c>
      <c r="M88" s="1374">
        <v>70</v>
      </c>
      <c r="N88" s="1374">
        <v>69</v>
      </c>
      <c r="O88" s="1374">
        <v>47</v>
      </c>
      <c r="P88" s="1375">
        <v>66</v>
      </c>
      <c r="Q88" s="1375">
        <v>65</v>
      </c>
      <c r="R88" s="1376">
        <v>51</v>
      </c>
      <c r="S88" s="1383">
        <v>2121</v>
      </c>
      <c r="T88" s="1384">
        <v>2102</v>
      </c>
      <c r="U88" s="1384">
        <v>2006</v>
      </c>
      <c r="V88" s="1384">
        <v>1959</v>
      </c>
      <c r="W88" s="1384">
        <v>1963</v>
      </c>
      <c r="X88" s="1384">
        <v>1999</v>
      </c>
      <c r="Y88" s="1384">
        <v>2006</v>
      </c>
      <c r="Z88" s="1384">
        <v>2095</v>
      </c>
      <c r="AA88" s="1384">
        <v>2053</v>
      </c>
      <c r="AB88" s="1384">
        <v>1999</v>
      </c>
      <c r="AC88" s="1384">
        <v>1948</v>
      </c>
      <c r="AD88" s="1384">
        <v>1848</v>
      </c>
      <c r="AE88" s="1384">
        <v>1952</v>
      </c>
      <c r="AF88" s="1384">
        <v>1860</v>
      </c>
      <c r="AG88" s="1385">
        <v>1833</v>
      </c>
      <c r="AH88" s="1429">
        <f t="shared" si="31"/>
        <v>30.645921735030647</v>
      </c>
      <c r="AI88" s="1430">
        <f t="shared" si="32"/>
        <v>25.689819219790675</v>
      </c>
      <c r="AJ88" s="1430">
        <f t="shared" si="33"/>
        <v>27.916251246261215</v>
      </c>
      <c r="AK88" s="1430">
        <f t="shared" si="34"/>
        <v>28.58601327207759</v>
      </c>
      <c r="AL88" s="1430">
        <f t="shared" si="35"/>
        <v>29.037187977585329</v>
      </c>
      <c r="AM88" s="1430">
        <f t="shared" si="36"/>
        <v>36.518259129564782</v>
      </c>
      <c r="AN88" s="1430">
        <f t="shared" si="37"/>
        <v>19.441674975074775</v>
      </c>
      <c r="AO88" s="1430">
        <f t="shared" si="38"/>
        <v>27.207637231503579</v>
      </c>
      <c r="AP88" s="1430">
        <f t="shared" si="39"/>
        <v>28.251339503166101</v>
      </c>
      <c r="AQ88" s="1430">
        <f t="shared" si="40"/>
        <v>35.017508754377189</v>
      </c>
      <c r="AR88" s="1430">
        <f t="shared" si="41"/>
        <v>35.420944558521555</v>
      </c>
      <c r="AS88" s="1430">
        <f t="shared" si="42"/>
        <v>25.432900432900432</v>
      </c>
      <c r="AT88" s="1430">
        <f t="shared" si="43"/>
        <v>33.811475409836071</v>
      </c>
      <c r="AU88" s="1430">
        <f t="shared" si="44"/>
        <v>34.946236559139784</v>
      </c>
      <c r="AV88" s="1431">
        <f t="shared" si="45"/>
        <v>27.823240589198036</v>
      </c>
    </row>
    <row r="89" spans="1:48" s="142" customFormat="1" ht="15.75" customHeight="1">
      <c r="A89" s="149" t="s">
        <v>216</v>
      </c>
      <c r="B89" s="189" t="s">
        <v>217</v>
      </c>
      <c r="C89" s="150" t="s">
        <v>264</v>
      </c>
      <c r="D89" s="1359">
        <v>28</v>
      </c>
      <c r="E89" s="1360">
        <v>24</v>
      </c>
      <c r="F89" s="1361">
        <v>29</v>
      </c>
      <c r="G89" s="1360">
        <v>31</v>
      </c>
      <c r="H89" s="1361">
        <v>23</v>
      </c>
      <c r="I89" s="1360">
        <v>19</v>
      </c>
      <c r="J89" s="1361">
        <v>20</v>
      </c>
      <c r="K89" s="1360">
        <v>19</v>
      </c>
      <c r="L89" s="1374">
        <v>23</v>
      </c>
      <c r="M89" s="1374">
        <v>26</v>
      </c>
      <c r="N89" s="1374">
        <v>25</v>
      </c>
      <c r="O89" s="1374">
        <v>21</v>
      </c>
      <c r="P89" s="1375">
        <v>14</v>
      </c>
      <c r="Q89" s="1375">
        <v>8</v>
      </c>
      <c r="R89" s="1376">
        <v>7</v>
      </c>
      <c r="S89" s="1383">
        <v>1004</v>
      </c>
      <c r="T89" s="1384">
        <v>996</v>
      </c>
      <c r="U89" s="1384">
        <v>1115</v>
      </c>
      <c r="V89" s="1384">
        <v>1123</v>
      </c>
      <c r="W89" s="1384">
        <v>1099</v>
      </c>
      <c r="X89" s="1384">
        <v>1084</v>
      </c>
      <c r="Y89" s="1384">
        <v>1089</v>
      </c>
      <c r="Z89" s="1384">
        <v>1101</v>
      </c>
      <c r="AA89" s="1384">
        <v>1086</v>
      </c>
      <c r="AB89" s="1384">
        <v>1058</v>
      </c>
      <c r="AC89" s="1384">
        <v>1026</v>
      </c>
      <c r="AD89" s="1384">
        <v>1062</v>
      </c>
      <c r="AE89" s="1384">
        <v>1116</v>
      </c>
      <c r="AF89" s="1384">
        <v>1114</v>
      </c>
      <c r="AG89" s="1385">
        <v>1099</v>
      </c>
      <c r="AH89" s="1429">
        <f t="shared" si="31"/>
        <v>27.888446215139442</v>
      </c>
      <c r="AI89" s="1430">
        <f t="shared" si="32"/>
        <v>24.096385542168676</v>
      </c>
      <c r="AJ89" s="1430">
        <f t="shared" si="33"/>
        <v>26.00896860986547</v>
      </c>
      <c r="AK89" s="1430">
        <f t="shared" si="34"/>
        <v>27.604630454140697</v>
      </c>
      <c r="AL89" s="1430">
        <f t="shared" si="35"/>
        <v>20.928116469517743</v>
      </c>
      <c r="AM89" s="1430">
        <f t="shared" si="36"/>
        <v>17.527675276752767</v>
      </c>
      <c r="AN89" s="1430">
        <f t="shared" si="37"/>
        <v>18.365472910927455</v>
      </c>
      <c r="AO89" s="1430">
        <f t="shared" si="38"/>
        <v>17.257039055404178</v>
      </c>
      <c r="AP89" s="1430">
        <f t="shared" si="39"/>
        <v>21.178637200736649</v>
      </c>
      <c r="AQ89" s="1430">
        <f t="shared" si="40"/>
        <v>24.574669187145556</v>
      </c>
      <c r="AR89" s="1430">
        <f t="shared" si="41"/>
        <v>24.366471734892787</v>
      </c>
      <c r="AS89" s="1430">
        <f t="shared" si="42"/>
        <v>19.774011299435031</v>
      </c>
      <c r="AT89" s="1430">
        <f t="shared" si="43"/>
        <v>12.544802867383513</v>
      </c>
      <c r="AU89" s="1430">
        <f t="shared" si="44"/>
        <v>7.1813285457809695</v>
      </c>
      <c r="AV89" s="1431">
        <f t="shared" si="45"/>
        <v>6.369426751592357</v>
      </c>
    </row>
    <row r="90" spans="1:48" s="142" customFormat="1" ht="15.75" customHeight="1">
      <c r="A90" s="149" t="s">
        <v>218</v>
      </c>
      <c r="B90" s="189" t="s">
        <v>219</v>
      </c>
      <c r="C90" s="150" t="s">
        <v>267</v>
      </c>
      <c r="D90" s="1359">
        <v>105</v>
      </c>
      <c r="E90" s="1360">
        <v>113</v>
      </c>
      <c r="F90" s="1361">
        <v>125</v>
      </c>
      <c r="G90" s="1360">
        <v>139</v>
      </c>
      <c r="H90" s="1361">
        <v>134</v>
      </c>
      <c r="I90" s="1360">
        <v>140</v>
      </c>
      <c r="J90" s="1361">
        <v>158</v>
      </c>
      <c r="K90" s="1360">
        <v>130</v>
      </c>
      <c r="L90" s="1374">
        <v>139</v>
      </c>
      <c r="M90" s="1374">
        <v>171</v>
      </c>
      <c r="N90" s="1374">
        <v>150</v>
      </c>
      <c r="O90" s="1374">
        <v>133</v>
      </c>
      <c r="P90" s="1375">
        <v>127</v>
      </c>
      <c r="Q90" s="1375">
        <v>107</v>
      </c>
      <c r="R90" s="1376">
        <v>100</v>
      </c>
      <c r="S90" s="1383">
        <v>5497</v>
      </c>
      <c r="T90" s="1384">
        <v>5632</v>
      </c>
      <c r="U90" s="1384">
        <v>6964</v>
      </c>
      <c r="V90" s="1384">
        <v>7535</v>
      </c>
      <c r="W90" s="1384">
        <v>7898</v>
      </c>
      <c r="X90" s="1384">
        <v>8256</v>
      </c>
      <c r="Y90" s="1384">
        <v>8502</v>
      </c>
      <c r="Z90" s="1384">
        <v>8705</v>
      </c>
      <c r="AA90" s="1384">
        <v>8634</v>
      </c>
      <c r="AB90" s="1384">
        <v>8566</v>
      </c>
      <c r="AC90" s="1384">
        <v>8507</v>
      </c>
      <c r="AD90" s="1384">
        <v>9462</v>
      </c>
      <c r="AE90" s="1384">
        <v>9560</v>
      </c>
      <c r="AF90" s="1384">
        <v>9426</v>
      </c>
      <c r="AG90" s="1385">
        <v>9326</v>
      </c>
      <c r="AH90" s="1429">
        <f t="shared" si="31"/>
        <v>19.101327997089321</v>
      </c>
      <c r="AI90" s="1430">
        <f t="shared" si="32"/>
        <v>20.063920454545457</v>
      </c>
      <c r="AJ90" s="1430">
        <f t="shared" si="33"/>
        <v>17.949454336588168</v>
      </c>
      <c r="AK90" s="1430">
        <f t="shared" si="34"/>
        <v>18.447246184472462</v>
      </c>
      <c r="AL90" s="1430">
        <f t="shared" si="35"/>
        <v>16.966320587490504</v>
      </c>
      <c r="AM90" s="1430">
        <f t="shared" si="36"/>
        <v>16.95736434108527</v>
      </c>
      <c r="AN90" s="1430">
        <f t="shared" si="37"/>
        <v>18.583862620559866</v>
      </c>
      <c r="AO90" s="1430">
        <f t="shared" si="38"/>
        <v>14.933946008041357</v>
      </c>
      <c r="AP90" s="1430">
        <f t="shared" si="39"/>
        <v>16.099142923326383</v>
      </c>
      <c r="AQ90" s="1430">
        <f t="shared" si="40"/>
        <v>19.962643007237919</v>
      </c>
      <c r="AR90" s="1430">
        <f t="shared" si="41"/>
        <v>17.632537909956508</v>
      </c>
      <c r="AS90" s="1430">
        <f t="shared" si="42"/>
        <v>14.056224899598392</v>
      </c>
      <c r="AT90" s="1430">
        <f t="shared" si="43"/>
        <v>13.284518828451882</v>
      </c>
      <c r="AU90" s="1430">
        <f t="shared" si="44"/>
        <v>11.351580734139613</v>
      </c>
      <c r="AV90" s="1431">
        <f t="shared" si="45"/>
        <v>10.72271070126528</v>
      </c>
    </row>
    <row r="91" spans="1:48" s="142" customFormat="1" ht="15.75" customHeight="1">
      <c r="A91" s="149" t="s">
        <v>220</v>
      </c>
      <c r="B91" s="189" t="s">
        <v>221</v>
      </c>
      <c r="C91" s="150" t="s">
        <v>267</v>
      </c>
      <c r="D91" s="1359">
        <v>131</v>
      </c>
      <c r="E91" s="1360">
        <v>123</v>
      </c>
      <c r="F91" s="1361">
        <v>99</v>
      </c>
      <c r="G91" s="1360">
        <v>112</v>
      </c>
      <c r="H91" s="1361">
        <v>118</v>
      </c>
      <c r="I91" s="1360">
        <v>134</v>
      </c>
      <c r="J91" s="1361">
        <v>119</v>
      </c>
      <c r="K91" s="1360">
        <v>124</v>
      </c>
      <c r="L91" s="1374">
        <v>134</v>
      </c>
      <c r="M91" s="1374">
        <v>133</v>
      </c>
      <c r="N91" s="1374">
        <v>120</v>
      </c>
      <c r="O91" s="1374">
        <v>111</v>
      </c>
      <c r="P91" s="1375">
        <v>82</v>
      </c>
      <c r="Q91" s="1375">
        <v>89</v>
      </c>
      <c r="R91" s="1376">
        <v>103</v>
      </c>
      <c r="S91" s="1383">
        <v>5888</v>
      </c>
      <c r="T91" s="1384">
        <v>6049</v>
      </c>
      <c r="U91" s="1384">
        <v>7564</v>
      </c>
      <c r="V91" s="1384">
        <v>8188</v>
      </c>
      <c r="W91" s="1384">
        <v>8624</v>
      </c>
      <c r="X91" s="1384">
        <v>9085</v>
      </c>
      <c r="Y91" s="1384">
        <v>9313</v>
      </c>
      <c r="Z91" s="1384">
        <v>9440</v>
      </c>
      <c r="AA91" s="1384">
        <v>9376</v>
      </c>
      <c r="AB91" s="1384">
        <v>9393</v>
      </c>
      <c r="AC91" s="1384">
        <v>9346</v>
      </c>
      <c r="AD91" s="1384">
        <v>10621</v>
      </c>
      <c r="AE91" s="1384">
        <v>10676</v>
      </c>
      <c r="AF91" s="1384">
        <v>10874</v>
      </c>
      <c r="AG91" s="1385">
        <v>10966</v>
      </c>
      <c r="AH91" s="1429">
        <f t="shared" si="31"/>
        <v>22.248641304347828</v>
      </c>
      <c r="AI91" s="1430">
        <f t="shared" si="32"/>
        <v>20.333939494131261</v>
      </c>
      <c r="AJ91" s="1430">
        <f t="shared" si="33"/>
        <v>13.088313061872025</v>
      </c>
      <c r="AK91" s="1430">
        <f t="shared" si="34"/>
        <v>13.678553981436249</v>
      </c>
      <c r="AL91" s="1430">
        <f t="shared" si="35"/>
        <v>13.68274582560297</v>
      </c>
      <c r="AM91" s="1430">
        <f t="shared" si="36"/>
        <v>14.749587231700605</v>
      </c>
      <c r="AN91" s="1430">
        <f t="shared" si="37"/>
        <v>12.777837431547299</v>
      </c>
      <c r="AO91" s="1430">
        <f t="shared" si="38"/>
        <v>13.135593220338983</v>
      </c>
      <c r="AP91" s="1430">
        <f t="shared" si="39"/>
        <v>14.291808873720136</v>
      </c>
      <c r="AQ91" s="1430">
        <f t="shared" si="40"/>
        <v>14.15948046417545</v>
      </c>
      <c r="AR91" s="1430">
        <f t="shared" si="41"/>
        <v>12.839717526214423</v>
      </c>
      <c r="AS91" s="1430">
        <f t="shared" si="42"/>
        <v>10.450993315130402</v>
      </c>
      <c r="AT91" s="1430">
        <f t="shared" si="43"/>
        <v>7.6807793180966657</v>
      </c>
      <c r="AU91" s="1430">
        <f t="shared" si="44"/>
        <v>8.184660658451353</v>
      </c>
      <c r="AV91" s="1431">
        <f t="shared" si="45"/>
        <v>9.3926682473098673</v>
      </c>
    </row>
    <row r="92" spans="1:48" s="142" customFormat="1" ht="15.75" customHeight="1">
      <c r="A92" s="149" t="s">
        <v>224</v>
      </c>
      <c r="B92" s="189" t="s">
        <v>225</v>
      </c>
      <c r="C92" s="150" t="s">
        <v>264</v>
      </c>
      <c r="D92" s="1359">
        <v>12</v>
      </c>
      <c r="E92" s="1360">
        <v>11</v>
      </c>
      <c r="F92" s="1361">
        <v>13</v>
      </c>
      <c r="G92" s="1360">
        <v>15</v>
      </c>
      <c r="H92" s="1361">
        <v>9</v>
      </c>
      <c r="I92" s="1360">
        <v>6</v>
      </c>
      <c r="J92" s="1361">
        <v>4</v>
      </c>
      <c r="K92" s="1360">
        <v>9</v>
      </c>
      <c r="L92" s="1374">
        <v>13</v>
      </c>
      <c r="M92" s="1374">
        <v>3</v>
      </c>
      <c r="N92" s="1374">
        <v>12</v>
      </c>
      <c r="O92" s="1374">
        <v>6</v>
      </c>
      <c r="P92" s="1375">
        <v>4</v>
      </c>
      <c r="Q92" s="1375">
        <v>5</v>
      </c>
      <c r="R92" s="1376">
        <v>1</v>
      </c>
      <c r="S92" s="1383">
        <v>465</v>
      </c>
      <c r="T92" s="1384">
        <v>466</v>
      </c>
      <c r="U92" s="1384">
        <v>526</v>
      </c>
      <c r="V92" s="1384">
        <v>530</v>
      </c>
      <c r="W92" s="1384">
        <v>520</v>
      </c>
      <c r="X92" s="1384">
        <v>522</v>
      </c>
      <c r="Y92" s="1384">
        <v>519</v>
      </c>
      <c r="Z92" s="1384">
        <v>484</v>
      </c>
      <c r="AA92" s="1384">
        <v>478</v>
      </c>
      <c r="AB92" s="1384">
        <v>459</v>
      </c>
      <c r="AC92" s="1384">
        <v>447</v>
      </c>
      <c r="AD92" s="1384">
        <v>412</v>
      </c>
      <c r="AE92" s="1384">
        <v>431</v>
      </c>
      <c r="AF92" s="1384">
        <v>424</v>
      </c>
      <c r="AG92" s="1385">
        <v>410</v>
      </c>
      <c r="AH92" s="1429">
        <f t="shared" si="31"/>
        <v>25.806451612903224</v>
      </c>
      <c r="AI92" s="1430">
        <f t="shared" si="32"/>
        <v>23.605150214592275</v>
      </c>
      <c r="AJ92" s="1430">
        <f t="shared" si="33"/>
        <v>24.714828897338403</v>
      </c>
      <c r="AK92" s="1430">
        <f t="shared" si="34"/>
        <v>28.30188679245283</v>
      </c>
      <c r="AL92" s="1430">
        <f t="shared" si="35"/>
        <v>17.30769230769231</v>
      </c>
      <c r="AM92" s="1430">
        <f t="shared" si="36"/>
        <v>11.494252873563218</v>
      </c>
      <c r="AN92" s="1430">
        <f t="shared" si="37"/>
        <v>7.7071290944123314</v>
      </c>
      <c r="AO92" s="1430">
        <f t="shared" si="38"/>
        <v>18.595041322314049</v>
      </c>
      <c r="AP92" s="1430">
        <f t="shared" si="39"/>
        <v>27.196652719665273</v>
      </c>
      <c r="AQ92" s="1430">
        <f t="shared" si="40"/>
        <v>6.5359477124183005</v>
      </c>
      <c r="AR92" s="1430">
        <f t="shared" si="41"/>
        <v>26.845637583892618</v>
      </c>
      <c r="AS92" s="1430">
        <f t="shared" si="42"/>
        <v>14.563106796116505</v>
      </c>
      <c r="AT92" s="1430">
        <f t="shared" si="43"/>
        <v>9.2807424593967518</v>
      </c>
      <c r="AU92" s="1430">
        <f t="shared" si="44"/>
        <v>11.79245283018868</v>
      </c>
      <c r="AV92" s="1431">
        <f t="shared" si="45"/>
        <v>2.4390243902439024</v>
      </c>
    </row>
    <row r="93" spans="1:48" s="142" customFormat="1" ht="15.75" customHeight="1">
      <c r="A93" s="149" t="s">
        <v>226</v>
      </c>
      <c r="B93" s="189" t="s">
        <v>227</v>
      </c>
      <c r="C93" s="150" t="s">
        <v>264</v>
      </c>
      <c r="D93" s="1359">
        <v>21</v>
      </c>
      <c r="E93" s="1360">
        <v>30</v>
      </c>
      <c r="F93" s="1361">
        <v>29</v>
      </c>
      <c r="G93" s="1360">
        <v>19</v>
      </c>
      <c r="H93" s="1361">
        <v>18</v>
      </c>
      <c r="I93" s="1360">
        <v>19</v>
      </c>
      <c r="J93" s="1361">
        <v>21</v>
      </c>
      <c r="K93" s="1360">
        <v>25</v>
      </c>
      <c r="L93" s="1374">
        <v>18</v>
      </c>
      <c r="M93" s="1374">
        <v>18</v>
      </c>
      <c r="N93" s="1374">
        <v>19</v>
      </c>
      <c r="O93" s="1374">
        <v>18</v>
      </c>
      <c r="P93" s="1375">
        <v>15</v>
      </c>
      <c r="Q93" s="1375">
        <v>18</v>
      </c>
      <c r="R93" s="1376">
        <v>10</v>
      </c>
      <c r="S93" s="1383">
        <v>696</v>
      </c>
      <c r="T93" s="1384">
        <v>696</v>
      </c>
      <c r="U93" s="1384">
        <v>633</v>
      </c>
      <c r="V93" s="1384">
        <v>641</v>
      </c>
      <c r="W93" s="1384">
        <v>651</v>
      </c>
      <c r="X93" s="1384">
        <v>645</v>
      </c>
      <c r="Y93" s="1384">
        <v>635</v>
      </c>
      <c r="Z93" s="1384">
        <v>600</v>
      </c>
      <c r="AA93" s="1384">
        <v>599</v>
      </c>
      <c r="AB93" s="1384">
        <v>561</v>
      </c>
      <c r="AC93" s="1384">
        <v>545</v>
      </c>
      <c r="AD93" s="1384">
        <v>539</v>
      </c>
      <c r="AE93" s="1384">
        <v>557</v>
      </c>
      <c r="AF93" s="1384">
        <v>548</v>
      </c>
      <c r="AG93" s="1385">
        <v>541</v>
      </c>
      <c r="AH93" s="1429">
        <f t="shared" si="31"/>
        <v>30.172413793103448</v>
      </c>
      <c r="AI93" s="1430">
        <f t="shared" si="32"/>
        <v>43.103448275862071</v>
      </c>
      <c r="AJ93" s="1430">
        <f t="shared" si="33"/>
        <v>45.813586097946285</v>
      </c>
      <c r="AK93" s="1430">
        <f t="shared" si="34"/>
        <v>29.6411856474259</v>
      </c>
      <c r="AL93" s="1430">
        <f t="shared" si="35"/>
        <v>27.649769585253459</v>
      </c>
      <c r="AM93" s="1430">
        <f t="shared" si="36"/>
        <v>29.45736434108527</v>
      </c>
      <c r="AN93" s="1430">
        <f t="shared" si="37"/>
        <v>33.070866141732282</v>
      </c>
      <c r="AO93" s="1430">
        <f t="shared" si="38"/>
        <v>41.666666666666664</v>
      </c>
      <c r="AP93" s="1430">
        <f t="shared" si="39"/>
        <v>30.050083472454091</v>
      </c>
      <c r="AQ93" s="1430">
        <f t="shared" si="40"/>
        <v>32.085561497326204</v>
      </c>
      <c r="AR93" s="1430">
        <f t="shared" si="41"/>
        <v>34.862385321100916</v>
      </c>
      <c r="AS93" s="1430">
        <f t="shared" si="42"/>
        <v>33.395176252319111</v>
      </c>
      <c r="AT93" s="1430">
        <f t="shared" si="43"/>
        <v>26.929982046678635</v>
      </c>
      <c r="AU93" s="1430">
        <f t="shared" si="44"/>
        <v>32.846715328467155</v>
      </c>
      <c r="AV93" s="1431">
        <f t="shared" si="45"/>
        <v>18.484288354898339</v>
      </c>
    </row>
    <row r="94" spans="1:48" s="142" customFormat="1" ht="15.75" customHeight="1">
      <c r="A94" s="149" t="s">
        <v>228</v>
      </c>
      <c r="B94" s="189" t="s">
        <v>229</v>
      </c>
      <c r="C94" s="150" t="s">
        <v>268</v>
      </c>
      <c r="D94" s="1359">
        <v>46</v>
      </c>
      <c r="E94" s="1360">
        <v>57</v>
      </c>
      <c r="F94" s="1361">
        <v>61</v>
      </c>
      <c r="G94" s="1360">
        <v>74</v>
      </c>
      <c r="H94" s="1361">
        <v>64</v>
      </c>
      <c r="I94" s="1360">
        <v>36</v>
      </c>
      <c r="J94" s="1361">
        <v>51</v>
      </c>
      <c r="K94" s="1360">
        <v>59</v>
      </c>
      <c r="L94" s="1374">
        <v>66</v>
      </c>
      <c r="M94" s="1374">
        <v>73</v>
      </c>
      <c r="N94" s="1374">
        <v>60</v>
      </c>
      <c r="O94" s="1374">
        <v>51</v>
      </c>
      <c r="P94" s="1375">
        <v>75</v>
      </c>
      <c r="Q94" s="1375">
        <v>42</v>
      </c>
      <c r="R94" s="1376">
        <v>54</v>
      </c>
      <c r="S94" s="1383">
        <v>2798</v>
      </c>
      <c r="T94" s="1384">
        <v>2713</v>
      </c>
      <c r="U94" s="1384">
        <v>2798</v>
      </c>
      <c r="V94" s="1384">
        <v>2725</v>
      </c>
      <c r="W94" s="1384">
        <v>2606</v>
      </c>
      <c r="X94" s="1384">
        <v>2598</v>
      </c>
      <c r="Y94" s="1384">
        <v>2582</v>
      </c>
      <c r="Z94" s="1384">
        <v>2632</v>
      </c>
      <c r="AA94" s="1384">
        <v>2610</v>
      </c>
      <c r="AB94" s="1384">
        <v>2571</v>
      </c>
      <c r="AC94" s="1384">
        <v>2548</v>
      </c>
      <c r="AD94" s="1384">
        <v>2629</v>
      </c>
      <c r="AE94" s="1384">
        <v>2609</v>
      </c>
      <c r="AF94" s="1384">
        <v>2500</v>
      </c>
      <c r="AG94" s="1385">
        <v>2478</v>
      </c>
      <c r="AH94" s="1429">
        <f t="shared" si="31"/>
        <v>16.440314510364548</v>
      </c>
      <c r="AI94" s="1430">
        <f t="shared" si="32"/>
        <v>21.009952082565427</v>
      </c>
      <c r="AJ94" s="1430">
        <f t="shared" si="33"/>
        <v>21.801286633309505</v>
      </c>
      <c r="AK94" s="1430">
        <f t="shared" si="34"/>
        <v>27.155963302752294</v>
      </c>
      <c r="AL94" s="1430">
        <f t="shared" si="35"/>
        <v>24.558710667689947</v>
      </c>
      <c r="AM94" s="1430">
        <f t="shared" si="36"/>
        <v>13.856812933025404</v>
      </c>
      <c r="AN94" s="1430">
        <f t="shared" si="37"/>
        <v>19.752130131680868</v>
      </c>
      <c r="AO94" s="1430">
        <f t="shared" si="38"/>
        <v>22.416413373860181</v>
      </c>
      <c r="AP94" s="1430">
        <f t="shared" si="39"/>
        <v>25.287356321839081</v>
      </c>
      <c r="AQ94" s="1430">
        <f t="shared" si="40"/>
        <v>28.393621159082066</v>
      </c>
      <c r="AR94" s="1430">
        <f t="shared" si="41"/>
        <v>23.547880690737834</v>
      </c>
      <c r="AS94" s="1430">
        <f t="shared" si="42"/>
        <v>19.399011030810197</v>
      </c>
      <c r="AT94" s="1430">
        <f t="shared" si="43"/>
        <v>28.746646224607129</v>
      </c>
      <c r="AU94" s="1430">
        <f t="shared" si="44"/>
        <v>16.8</v>
      </c>
      <c r="AV94" s="1431">
        <f t="shared" si="45"/>
        <v>21.791767554479417</v>
      </c>
    </row>
    <row r="95" spans="1:48" s="142" customFormat="1" ht="15.75" customHeight="1">
      <c r="A95" s="149" t="s">
        <v>232</v>
      </c>
      <c r="B95" s="189" t="s">
        <v>233</v>
      </c>
      <c r="C95" s="150" t="s">
        <v>267</v>
      </c>
      <c r="D95" s="1359">
        <v>51</v>
      </c>
      <c r="E95" s="1360">
        <v>51</v>
      </c>
      <c r="F95" s="1361">
        <v>47</v>
      </c>
      <c r="G95" s="1360">
        <v>60</v>
      </c>
      <c r="H95" s="1361">
        <v>52</v>
      </c>
      <c r="I95" s="1360">
        <v>46</v>
      </c>
      <c r="J95" s="1361">
        <v>48</v>
      </c>
      <c r="K95" s="1360">
        <v>46</v>
      </c>
      <c r="L95" s="1374">
        <v>56</v>
      </c>
      <c r="M95" s="1374">
        <v>46</v>
      </c>
      <c r="N95" s="1374">
        <v>41</v>
      </c>
      <c r="O95" s="1374">
        <v>37</v>
      </c>
      <c r="P95" s="1375">
        <v>37</v>
      </c>
      <c r="Q95" s="1375">
        <v>35</v>
      </c>
      <c r="R95" s="1376">
        <v>33</v>
      </c>
      <c r="S95" s="1383">
        <v>2025</v>
      </c>
      <c r="T95" s="1384">
        <v>2079</v>
      </c>
      <c r="U95" s="1384">
        <v>2168</v>
      </c>
      <c r="V95" s="1384">
        <v>2268</v>
      </c>
      <c r="W95" s="1384">
        <v>2342</v>
      </c>
      <c r="X95" s="1384">
        <v>2429</v>
      </c>
      <c r="Y95" s="1384">
        <v>2472</v>
      </c>
      <c r="Z95" s="1384">
        <v>2476</v>
      </c>
      <c r="AA95" s="1384">
        <v>2428</v>
      </c>
      <c r="AB95" s="1384">
        <v>2370</v>
      </c>
      <c r="AC95" s="1384">
        <v>2360</v>
      </c>
      <c r="AD95" s="1384">
        <v>2336</v>
      </c>
      <c r="AE95" s="1384">
        <v>2588</v>
      </c>
      <c r="AF95" s="1384">
        <v>2527</v>
      </c>
      <c r="AG95" s="1385">
        <v>2516</v>
      </c>
      <c r="AH95" s="1429">
        <f t="shared" si="31"/>
        <v>25.185185185185187</v>
      </c>
      <c r="AI95" s="1430">
        <f t="shared" si="32"/>
        <v>24.531024531024531</v>
      </c>
      <c r="AJ95" s="1430">
        <f t="shared" si="33"/>
        <v>21.678966789667896</v>
      </c>
      <c r="AK95" s="1430">
        <f t="shared" si="34"/>
        <v>26.455026455026452</v>
      </c>
      <c r="AL95" s="1430">
        <f t="shared" si="35"/>
        <v>22.20324508966695</v>
      </c>
      <c r="AM95" s="1430">
        <f t="shared" si="36"/>
        <v>18.937834499794153</v>
      </c>
      <c r="AN95" s="1430">
        <f t="shared" si="37"/>
        <v>19.417475728155338</v>
      </c>
      <c r="AO95" s="1430">
        <f t="shared" si="38"/>
        <v>18.578352180936992</v>
      </c>
      <c r="AP95" s="1430">
        <f t="shared" si="39"/>
        <v>23.064250411861615</v>
      </c>
      <c r="AQ95" s="1430">
        <f t="shared" si="40"/>
        <v>19.409282700421944</v>
      </c>
      <c r="AR95" s="1430">
        <f t="shared" si="41"/>
        <v>17.372881355932204</v>
      </c>
      <c r="AS95" s="1430">
        <f t="shared" si="42"/>
        <v>15.839041095890412</v>
      </c>
      <c r="AT95" s="1430">
        <f t="shared" si="43"/>
        <v>14.2967542503864</v>
      </c>
      <c r="AU95" s="1430">
        <f t="shared" si="44"/>
        <v>13.850415512465373</v>
      </c>
      <c r="AV95" s="1431">
        <f t="shared" si="45"/>
        <v>13.116057233704293</v>
      </c>
    </row>
    <row r="96" spans="1:48" s="142" customFormat="1" ht="15.75" customHeight="1">
      <c r="A96" s="149" t="s">
        <v>234</v>
      </c>
      <c r="B96" s="189" t="s">
        <v>235</v>
      </c>
      <c r="C96" s="150" t="s">
        <v>268</v>
      </c>
      <c r="D96" s="1359">
        <v>77</v>
      </c>
      <c r="E96" s="1360">
        <v>71</v>
      </c>
      <c r="F96" s="1361">
        <v>68</v>
      </c>
      <c r="G96" s="1360">
        <v>64</v>
      </c>
      <c r="H96" s="1361">
        <v>62</v>
      </c>
      <c r="I96" s="1360">
        <v>51</v>
      </c>
      <c r="J96" s="1361">
        <v>57</v>
      </c>
      <c r="K96" s="1360">
        <v>66</v>
      </c>
      <c r="L96" s="1374">
        <v>53</v>
      </c>
      <c r="M96" s="1374">
        <v>68</v>
      </c>
      <c r="N96" s="1374">
        <v>66</v>
      </c>
      <c r="O96" s="1374">
        <v>67</v>
      </c>
      <c r="P96" s="1375">
        <v>77</v>
      </c>
      <c r="Q96" s="1375">
        <v>56</v>
      </c>
      <c r="R96" s="1376">
        <v>54</v>
      </c>
      <c r="S96" s="1383">
        <v>2715</v>
      </c>
      <c r="T96" s="1384">
        <v>2658</v>
      </c>
      <c r="U96" s="1384">
        <v>3179</v>
      </c>
      <c r="V96" s="1384">
        <v>3116</v>
      </c>
      <c r="W96" s="1384">
        <v>3070</v>
      </c>
      <c r="X96" s="1384">
        <v>3058</v>
      </c>
      <c r="Y96" s="1384">
        <v>3083</v>
      </c>
      <c r="Z96" s="1384">
        <v>3109</v>
      </c>
      <c r="AA96" s="1384">
        <v>3007</v>
      </c>
      <c r="AB96" s="1384">
        <v>2971</v>
      </c>
      <c r="AC96" s="1384">
        <v>2937</v>
      </c>
      <c r="AD96" s="1384">
        <v>2948</v>
      </c>
      <c r="AE96" s="1384">
        <v>3083</v>
      </c>
      <c r="AF96" s="1384">
        <v>3056</v>
      </c>
      <c r="AG96" s="1385">
        <v>3116</v>
      </c>
      <c r="AH96" s="1429">
        <f t="shared" si="31"/>
        <v>28.360957642725598</v>
      </c>
      <c r="AI96" s="1430">
        <f t="shared" si="32"/>
        <v>26.711813393528971</v>
      </c>
      <c r="AJ96" s="1430">
        <f t="shared" si="33"/>
        <v>21.390374331550802</v>
      </c>
      <c r="AK96" s="1430">
        <f t="shared" si="34"/>
        <v>20.539152759948649</v>
      </c>
      <c r="AL96" s="1430">
        <f t="shared" si="35"/>
        <v>20.195439739413683</v>
      </c>
      <c r="AM96" s="1430">
        <f t="shared" si="36"/>
        <v>16.677567037279267</v>
      </c>
      <c r="AN96" s="1430">
        <f t="shared" si="37"/>
        <v>18.488485241647744</v>
      </c>
      <c r="AO96" s="1430">
        <f t="shared" si="38"/>
        <v>21.22869089739466</v>
      </c>
      <c r="AP96" s="1430">
        <f t="shared" si="39"/>
        <v>17.625540405719988</v>
      </c>
      <c r="AQ96" s="1430">
        <f t="shared" si="40"/>
        <v>22.887916526422082</v>
      </c>
      <c r="AR96" s="1430">
        <f t="shared" si="41"/>
        <v>22.471910112359549</v>
      </c>
      <c r="AS96" s="1430">
        <f t="shared" si="42"/>
        <v>22.727272727272727</v>
      </c>
      <c r="AT96" s="1430">
        <f t="shared" si="43"/>
        <v>24.975673045734673</v>
      </c>
      <c r="AU96" s="1430">
        <f t="shared" si="44"/>
        <v>18.32460732984293</v>
      </c>
      <c r="AV96" s="1431">
        <f t="shared" si="45"/>
        <v>17.329910141206675</v>
      </c>
    </row>
    <row r="97" spans="1:48" s="142" customFormat="1" ht="15.75" customHeight="1">
      <c r="A97" s="149" t="s">
        <v>236</v>
      </c>
      <c r="B97" s="189" t="s">
        <v>237</v>
      </c>
      <c r="C97" s="150" t="s">
        <v>266</v>
      </c>
      <c r="D97" s="1359">
        <v>36</v>
      </c>
      <c r="E97" s="1360">
        <v>38</v>
      </c>
      <c r="F97" s="1361">
        <v>24</v>
      </c>
      <c r="G97" s="1360">
        <v>38</v>
      </c>
      <c r="H97" s="1361">
        <v>34</v>
      </c>
      <c r="I97" s="1360">
        <v>25</v>
      </c>
      <c r="J97" s="1361">
        <v>36</v>
      </c>
      <c r="K97" s="1360">
        <v>31</v>
      </c>
      <c r="L97" s="1374">
        <v>28</v>
      </c>
      <c r="M97" s="1374">
        <v>18</v>
      </c>
      <c r="N97" s="1374">
        <v>29</v>
      </c>
      <c r="O97" s="1374">
        <v>28</v>
      </c>
      <c r="P97" s="1375">
        <v>30</v>
      </c>
      <c r="Q97" s="1375">
        <v>22</v>
      </c>
      <c r="R97" s="1376">
        <v>14</v>
      </c>
      <c r="S97" s="1383">
        <v>915</v>
      </c>
      <c r="T97" s="1384">
        <v>914</v>
      </c>
      <c r="U97" s="1384">
        <v>1097</v>
      </c>
      <c r="V97" s="1384">
        <v>1110</v>
      </c>
      <c r="W97" s="1384">
        <v>1129</v>
      </c>
      <c r="X97" s="1384">
        <v>1125</v>
      </c>
      <c r="Y97" s="1384">
        <v>1118</v>
      </c>
      <c r="Z97" s="1384">
        <v>1073</v>
      </c>
      <c r="AA97" s="1384">
        <v>1026</v>
      </c>
      <c r="AB97" s="1384">
        <v>985</v>
      </c>
      <c r="AC97" s="1384">
        <v>993</v>
      </c>
      <c r="AD97" s="1384">
        <v>986</v>
      </c>
      <c r="AE97" s="1384">
        <v>996</v>
      </c>
      <c r="AF97" s="1384">
        <v>948</v>
      </c>
      <c r="AG97" s="1385">
        <v>930</v>
      </c>
      <c r="AH97" s="1429">
        <f t="shared" si="31"/>
        <v>39.344262295081968</v>
      </c>
      <c r="AI97" s="1430">
        <f t="shared" si="32"/>
        <v>41.575492341356671</v>
      </c>
      <c r="AJ97" s="1430">
        <f t="shared" si="33"/>
        <v>21.877848678213311</v>
      </c>
      <c r="AK97" s="1430">
        <f t="shared" si="34"/>
        <v>34.234234234234229</v>
      </c>
      <c r="AL97" s="1430">
        <f t="shared" si="35"/>
        <v>30.115146147032775</v>
      </c>
      <c r="AM97" s="1430">
        <f t="shared" si="36"/>
        <v>22.222222222222221</v>
      </c>
      <c r="AN97" s="1430">
        <f t="shared" si="37"/>
        <v>32.200357781753134</v>
      </c>
      <c r="AO97" s="1430">
        <f t="shared" si="38"/>
        <v>28.890959925442687</v>
      </c>
      <c r="AP97" s="1430">
        <f t="shared" si="39"/>
        <v>27.29044834307992</v>
      </c>
      <c r="AQ97" s="1430">
        <f t="shared" si="40"/>
        <v>18.274111675126903</v>
      </c>
      <c r="AR97" s="1430">
        <f t="shared" si="41"/>
        <v>29.204431017119841</v>
      </c>
      <c r="AS97" s="1430">
        <f t="shared" si="42"/>
        <v>28.397565922920894</v>
      </c>
      <c r="AT97" s="1430">
        <f t="shared" si="43"/>
        <v>30.120481927710845</v>
      </c>
      <c r="AU97" s="1430">
        <f t="shared" si="44"/>
        <v>23.206751054852322</v>
      </c>
      <c r="AV97" s="1431">
        <f t="shared" si="45"/>
        <v>15.053763440860216</v>
      </c>
    </row>
    <row r="98" spans="1:48" s="142" customFormat="1" ht="15.75" customHeight="1">
      <c r="A98" s="149" t="s">
        <v>242</v>
      </c>
      <c r="B98" s="189" t="s">
        <v>243</v>
      </c>
      <c r="C98" s="150" t="s">
        <v>268</v>
      </c>
      <c r="D98" s="1359">
        <v>107</v>
      </c>
      <c r="E98" s="1360">
        <v>80</v>
      </c>
      <c r="F98" s="1361">
        <v>95</v>
      </c>
      <c r="G98" s="1360">
        <v>79</v>
      </c>
      <c r="H98" s="1361">
        <v>83</v>
      </c>
      <c r="I98" s="1360">
        <v>65</v>
      </c>
      <c r="J98" s="1361">
        <v>80</v>
      </c>
      <c r="K98" s="1360">
        <v>66</v>
      </c>
      <c r="L98" s="1374">
        <v>81</v>
      </c>
      <c r="M98" s="1374">
        <v>78</v>
      </c>
      <c r="N98" s="1374">
        <v>83</v>
      </c>
      <c r="O98" s="1374">
        <v>98</v>
      </c>
      <c r="P98" s="1375">
        <v>94</v>
      </c>
      <c r="Q98" s="1375">
        <v>69</v>
      </c>
      <c r="R98" s="1376">
        <v>58</v>
      </c>
      <c r="S98" s="1383">
        <v>2668</v>
      </c>
      <c r="T98" s="1384">
        <v>2602</v>
      </c>
      <c r="U98" s="1384">
        <v>2764</v>
      </c>
      <c r="V98" s="1384">
        <v>2687</v>
      </c>
      <c r="W98" s="1384">
        <v>2611</v>
      </c>
      <c r="X98" s="1384">
        <v>2572</v>
      </c>
      <c r="Y98" s="1384">
        <v>2569</v>
      </c>
      <c r="Z98" s="1384">
        <v>2634</v>
      </c>
      <c r="AA98" s="1384">
        <v>2618</v>
      </c>
      <c r="AB98" s="1384">
        <v>2578</v>
      </c>
      <c r="AC98" s="1384">
        <v>2537</v>
      </c>
      <c r="AD98" s="1384">
        <v>2464</v>
      </c>
      <c r="AE98" s="1384">
        <v>2505</v>
      </c>
      <c r="AF98" s="1384">
        <v>2418</v>
      </c>
      <c r="AG98" s="1385">
        <v>2410</v>
      </c>
      <c r="AH98" s="1429">
        <f t="shared" si="31"/>
        <v>40.104947526236884</v>
      </c>
      <c r="AI98" s="1430">
        <f t="shared" si="32"/>
        <v>30.745580322828591</v>
      </c>
      <c r="AJ98" s="1430">
        <f t="shared" si="33"/>
        <v>34.370477568740952</v>
      </c>
      <c r="AK98" s="1430">
        <f t="shared" si="34"/>
        <v>29.40081875697804</v>
      </c>
      <c r="AL98" s="1430">
        <f t="shared" si="35"/>
        <v>31.788586748372275</v>
      </c>
      <c r="AM98" s="1430">
        <f t="shared" si="36"/>
        <v>25.272161741835145</v>
      </c>
      <c r="AN98" s="1430">
        <f t="shared" si="37"/>
        <v>31.140521603736865</v>
      </c>
      <c r="AO98" s="1430">
        <f t="shared" si="38"/>
        <v>25.056947608200456</v>
      </c>
      <c r="AP98" s="1430">
        <f t="shared" si="39"/>
        <v>30.939648586707413</v>
      </c>
      <c r="AQ98" s="1430">
        <f t="shared" si="40"/>
        <v>30.256012412723042</v>
      </c>
      <c r="AR98" s="1430">
        <f t="shared" si="41"/>
        <v>32.715806070161605</v>
      </c>
      <c r="AS98" s="1430">
        <f t="shared" si="42"/>
        <v>39.772727272727273</v>
      </c>
      <c r="AT98" s="1430">
        <f t="shared" si="43"/>
        <v>37.5249500998004</v>
      </c>
      <c r="AU98" s="1430">
        <f t="shared" si="44"/>
        <v>28.535980148883372</v>
      </c>
      <c r="AV98" s="1431">
        <f t="shared" si="45"/>
        <v>24.066390041493776</v>
      </c>
    </row>
    <row r="99" spans="1:48" s="142" customFormat="1" ht="15.75" customHeight="1">
      <c r="A99" s="149" t="s">
        <v>244</v>
      </c>
      <c r="B99" s="189" t="s">
        <v>245</v>
      </c>
      <c r="C99" s="150" t="s">
        <v>268</v>
      </c>
      <c r="D99" s="1359">
        <v>33</v>
      </c>
      <c r="E99" s="1360">
        <v>45</v>
      </c>
      <c r="F99" s="1361">
        <v>46</v>
      </c>
      <c r="G99" s="1360">
        <v>40</v>
      </c>
      <c r="H99" s="1361">
        <v>38</v>
      </c>
      <c r="I99" s="1360">
        <v>36</v>
      </c>
      <c r="J99" s="1361">
        <v>43</v>
      </c>
      <c r="K99" s="1360">
        <v>38</v>
      </c>
      <c r="L99" s="1374">
        <v>33</v>
      </c>
      <c r="M99" s="1374">
        <v>36</v>
      </c>
      <c r="N99" s="1374">
        <v>34</v>
      </c>
      <c r="O99" s="1374">
        <v>42</v>
      </c>
      <c r="P99" s="1375">
        <v>33</v>
      </c>
      <c r="Q99" s="1375">
        <v>47</v>
      </c>
      <c r="R99" s="1376">
        <v>40</v>
      </c>
      <c r="S99" s="1383">
        <v>1626</v>
      </c>
      <c r="T99" s="1384">
        <v>1611</v>
      </c>
      <c r="U99" s="1384">
        <v>1721</v>
      </c>
      <c r="V99" s="1384">
        <v>1711</v>
      </c>
      <c r="W99" s="1384">
        <v>1709</v>
      </c>
      <c r="X99" s="1384">
        <v>1697</v>
      </c>
      <c r="Y99" s="1384">
        <v>1694</v>
      </c>
      <c r="Z99" s="1384">
        <v>1646</v>
      </c>
      <c r="AA99" s="1384">
        <v>1583</v>
      </c>
      <c r="AB99" s="1384">
        <v>1557</v>
      </c>
      <c r="AC99" s="1384">
        <v>1522</v>
      </c>
      <c r="AD99" s="1384">
        <v>1575</v>
      </c>
      <c r="AE99" s="1384">
        <v>1601</v>
      </c>
      <c r="AF99" s="1384">
        <v>1590</v>
      </c>
      <c r="AG99" s="1385">
        <v>1620</v>
      </c>
      <c r="AH99" s="1429">
        <f t="shared" si="31"/>
        <v>20.29520295202952</v>
      </c>
      <c r="AI99" s="1430">
        <f t="shared" si="32"/>
        <v>27.932960893854748</v>
      </c>
      <c r="AJ99" s="1430">
        <f t="shared" si="33"/>
        <v>26.728646135967463</v>
      </c>
      <c r="AK99" s="1430">
        <f t="shared" si="34"/>
        <v>23.378141437755698</v>
      </c>
      <c r="AL99" s="1430">
        <f t="shared" si="35"/>
        <v>22.235225277940316</v>
      </c>
      <c r="AM99" s="1430">
        <f t="shared" si="36"/>
        <v>21.213906894519742</v>
      </c>
      <c r="AN99" s="1430">
        <f t="shared" si="37"/>
        <v>25.38370720188902</v>
      </c>
      <c r="AO99" s="1430">
        <f t="shared" si="38"/>
        <v>23.086269744835967</v>
      </c>
      <c r="AP99" s="1430">
        <f t="shared" si="39"/>
        <v>20.846493998736577</v>
      </c>
      <c r="AQ99" s="1430">
        <f t="shared" si="40"/>
        <v>23.121387283236992</v>
      </c>
      <c r="AR99" s="1430">
        <f t="shared" si="41"/>
        <v>22.339027595269382</v>
      </c>
      <c r="AS99" s="1430">
        <f t="shared" si="42"/>
        <v>26.666666666666668</v>
      </c>
      <c r="AT99" s="1430">
        <f t="shared" si="43"/>
        <v>20.612117426608368</v>
      </c>
      <c r="AU99" s="1430">
        <f t="shared" si="44"/>
        <v>29.559748427672957</v>
      </c>
      <c r="AV99" s="1431">
        <f t="shared" si="45"/>
        <v>24.691358024691358</v>
      </c>
    </row>
    <row r="100" spans="1:48" s="142" customFormat="1" ht="15.75" customHeight="1">
      <c r="A100" s="149" t="s">
        <v>246</v>
      </c>
      <c r="B100" s="189" t="s">
        <v>247</v>
      </c>
      <c r="C100" s="150" t="s">
        <v>264</v>
      </c>
      <c r="D100" s="1359">
        <v>46</v>
      </c>
      <c r="E100" s="1360">
        <v>59</v>
      </c>
      <c r="F100" s="1361">
        <v>66</v>
      </c>
      <c r="G100" s="1360">
        <v>49</v>
      </c>
      <c r="H100" s="1361">
        <v>44</v>
      </c>
      <c r="I100" s="1360">
        <v>48</v>
      </c>
      <c r="J100" s="1361">
        <v>52</v>
      </c>
      <c r="K100" s="1360">
        <v>34</v>
      </c>
      <c r="L100" s="1374">
        <v>33</v>
      </c>
      <c r="M100" s="1374">
        <v>41</v>
      </c>
      <c r="N100" s="1374">
        <v>36</v>
      </c>
      <c r="O100" s="1374">
        <v>37</v>
      </c>
      <c r="P100" s="1375">
        <v>30</v>
      </c>
      <c r="Q100" s="1375">
        <v>25</v>
      </c>
      <c r="R100" s="1376">
        <v>20</v>
      </c>
      <c r="S100" s="1383">
        <v>4874</v>
      </c>
      <c r="T100" s="1384">
        <v>4943</v>
      </c>
      <c r="U100" s="1384">
        <v>5437</v>
      </c>
      <c r="V100" s="1384">
        <v>5696</v>
      </c>
      <c r="W100" s="1384">
        <v>5813</v>
      </c>
      <c r="X100" s="1384">
        <v>5917</v>
      </c>
      <c r="Y100" s="1384">
        <v>5811</v>
      </c>
      <c r="Z100" s="1384">
        <v>5731</v>
      </c>
      <c r="AA100" s="1384">
        <v>5572</v>
      </c>
      <c r="AB100" s="1384">
        <v>5410</v>
      </c>
      <c r="AC100" s="1384">
        <v>5218</v>
      </c>
      <c r="AD100" s="1384">
        <v>5734</v>
      </c>
      <c r="AE100" s="1384">
        <v>5939</v>
      </c>
      <c r="AF100" s="1384">
        <v>5929</v>
      </c>
      <c r="AG100" s="1385">
        <v>5779</v>
      </c>
      <c r="AH100" s="1429">
        <f t="shared" si="31"/>
        <v>9.4378334017234309</v>
      </c>
      <c r="AI100" s="1430">
        <f t="shared" si="32"/>
        <v>11.936071211814687</v>
      </c>
      <c r="AJ100" s="1430">
        <f t="shared" si="33"/>
        <v>12.139047268714364</v>
      </c>
      <c r="AK100" s="1430">
        <f t="shared" si="34"/>
        <v>8.60252808988764</v>
      </c>
      <c r="AL100" s="1430">
        <f t="shared" si="35"/>
        <v>7.5692413555823155</v>
      </c>
      <c r="AM100" s="1430">
        <f t="shared" si="36"/>
        <v>8.1122190299138079</v>
      </c>
      <c r="AN100" s="1430">
        <f t="shared" si="37"/>
        <v>8.9485458612975393</v>
      </c>
      <c r="AO100" s="1430">
        <f t="shared" si="38"/>
        <v>5.9326470075030535</v>
      </c>
      <c r="AP100" s="1430">
        <f t="shared" si="39"/>
        <v>5.9224694903086865</v>
      </c>
      <c r="AQ100" s="1430">
        <f t="shared" si="40"/>
        <v>7.5785582255083179</v>
      </c>
      <c r="AR100" s="1430">
        <f t="shared" si="41"/>
        <v>6.8991950939057105</v>
      </c>
      <c r="AS100" s="1430">
        <f t="shared" si="42"/>
        <v>6.4527380537146843</v>
      </c>
      <c r="AT100" s="1430">
        <f t="shared" si="43"/>
        <v>5.0513554470449566</v>
      </c>
      <c r="AU100" s="1430">
        <f t="shared" si="44"/>
        <v>4.2165626581210995</v>
      </c>
      <c r="AV100" s="1431">
        <f t="shared" si="45"/>
        <v>3.4608063678837166</v>
      </c>
    </row>
    <row r="101" spans="1:48" s="142" customFormat="1" ht="15.75" customHeight="1">
      <c r="A101" s="149" t="s">
        <v>14</v>
      </c>
      <c r="B101" s="189" t="s">
        <v>15</v>
      </c>
      <c r="C101" s="150" t="s">
        <v>267</v>
      </c>
      <c r="D101" s="1359">
        <v>111</v>
      </c>
      <c r="E101" s="1360">
        <v>123</v>
      </c>
      <c r="F101" s="1361">
        <v>122</v>
      </c>
      <c r="G101" s="1360">
        <v>113</v>
      </c>
      <c r="H101" s="1361">
        <v>107</v>
      </c>
      <c r="I101" s="1360">
        <v>121</v>
      </c>
      <c r="J101" s="1361">
        <v>105</v>
      </c>
      <c r="K101" s="1360">
        <v>135</v>
      </c>
      <c r="L101" s="1374">
        <v>102</v>
      </c>
      <c r="M101" s="1374">
        <v>117</v>
      </c>
      <c r="N101" s="1374">
        <v>100</v>
      </c>
      <c r="O101" s="1374">
        <v>86</v>
      </c>
      <c r="P101" s="1375">
        <v>106</v>
      </c>
      <c r="Q101" s="1375">
        <v>76</v>
      </c>
      <c r="R101" s="1376">
        <v>72</v>
      </c>
      <c r="S101" s="1383">
        <v>4716</v>
      </c>
      <c r="T101" s="1384">
        <v>4794</v>
      </c>
      <c r="U101" s="1384">
        <v>4606</v>
      </c>
      <c r="V101" s="1384">
        <v>4488</v>
      </c>
      <c r="W101" s="1384">
        <v>4231</v>
      </c>
      <c r="X101" s="1384">
        <v>3935</v>
      </c>
      <c r="Y101" s="1384">
        <v>4061</v>
      </c>
      <c r="Z101" s="1384">
        <v>4282</v>
      </c>
      <c r="AA101" s="1384">
        <v>4244</v>
      </c>
      <c r="AB101" s="1384">
        <v>4924</v>
      </c>
      <c r="AC101" s="1384">
        <v>5183</v>
      </c>
      <c r="AD101" s="1384">
        <v>4357</v>
      </c>
      <c r="AE101" s="1384">
        <v>4687</v>
      </c>
      <c r="AF101" s="1384">
        <v>4707</v>
      </c>
      <c r="AG101" s="1385">
        <v>4789</v>
      </c>
      <c r="AH101" s="1429">
        <f t="shared" ref="AH101:AH125" si="46">IF(D101=0,"0",(D101/S101)*1000)</f>
        <v>23.536895674300254</v>
      </c>
      <c r="AI101" s="1430">
        <f t="shared" si="32"/>
        <v>25.657071339173967</v>
      </c>
      <c r="AJ101" s="1430">
        <f t="shared" si="33"/>
        <v>26.487190620929223</v>
      </c>
      <c r="AK101" s="1430">
        <f t="shared" si="34"/>
        <v>25.178253119429588</v>
      </c>
      <c r="AL101" s="1430">
        <f t="shared" si="35"/>
        <v>25.289529662018435</v>
      </c>
      <c r="AM101" s="1430">
        <f t="shared" si="36"/>
        <v>30.749682337992379</v>
      </c>
      <c r="AN101" s="1430">
        <f t="shared" si="37"/>
        <v>25.855700566362966</v>
      </c>
      <c r="AO101" s="1430">
        <f t="shared" si="38"/>
        <v>31.527323680523121</v>
      </c>
      <c r="AP101" s="1430">
        <f t="shared" si="39"/>
        <v>24.03393025447691</v>
      </c>
      <c r="AQ101" s="1430">
        <f t="shared" si="40"/>
        <v>23.761169780666123</v>
      </c>
      <c r="AR101" s="1430">
        <f t="shared" si="41"/>
        <v>19.293845263360986</v>
      </c>
      <c r="AS101" s="1430">
        <f t="shared" si="42"/>
        <v>19.73835207711728</v>
      </c>
      <c r="AT101" s="1430">
        <f t="shared" si="43"/>
        <v>22.615745679539149</v>
      </c>
      <c r="AU101" s="1430">
        <f t="shared" si="44"/>
        <v>16.146165285744637</v>
      </c>
      <c r="AV101" s="1431">
        <f t="shared" si="45"/>
        <v>15.034453956984757</v>
      </c>
    </row>
    <row r="102" spans="1:48" s="142" customFormat="1" ht="15.75" customHeight="1">
      <c r="A102" s="149" t="s">
        <v>34</v>
      </c>
      <c r="B102" s="189" t="s">
        <v>35</v>
      </c>
      <c r="C102" s="150" t="s">
        <v>268</v>
      </c>
      <c r="D102" s="1359">
        <v>30</v>
      </c>
      <c r="E102" s="1360">
        <v>43</v>
      </c>
      <c r="F102" s="1361">
        <v>25</v>
      </c>
      <c r="G102" s="1360">
        <v>29</v>
      </c>
      <c r="H102" s="1361">
        <v>27</v>
      </c>
      <c r="I102" s="1360">
        <v>22</v>
      </c>
      <c r="J102" s="1361">
        <v>24</v>
      </c>
      <c r="K102" s="1360">
        <v>20</v>
      </c>
      <c r="L102" s="1374">
        <v>20</v>
      </c>
      <c r="M102" s="1374">
        <v>37</v>
      </c>
      <c r="N102" s="1374">
        <v>30</v>
      </c>
      <c r="O102" s="1374">
        <v>39</v>
      </c>
      <c r="P102" s="1375">
        <v>34</v>
      </c>
      <c r="Q102" s="1375">
        <v>21</v>
      </c>
      <c r="R102" s="1376">
        <v>19</v>
      </c>
      <c r="S102" s="1383">
        <v>1235</v>
      </c>
      <c r="T102" s="1384">
        <v>1232</v>
      </c>
      <c r="U102" s="1384">
        <v>1013</v>
      </c>
      <c r="V102" s="1384">
        <v>978</v>
      </c>
      <c r="W102" s="1384">
        <v>974</v>
      </c>
      <c r="X102" s="1384">
        <v>985</v>
      </c>
      <c r="Y102" s="1384">
        <v>982</v>
      </c>
      <c r="Z102" s="1384">
        <v>974</v>
      </c>
      <c r="AA102" s="1384">
        <v>976</v>
      </c>
      <c r="AB102" s="1384">
        <v>949</v>
      </c>
      <c r="AC102" s="1384">
        <v>901</v>
      </c>
      <c r="AD102" s="1384">
        <v>921</v>
      </c>
      <c r="AE102" s="1384">
        <v>1006</v>
      </c>
      <c r="AF102" s="1384">
        <v>970</v>
      </c>
      <c r="AG102" s="1385">
        <v>1013</v>
      </c>
      <c r="AH102" s="1429">
        <f t="shared" si="46"/>
        <v>24.291497975708502</v>
      </c>
      <c r="AI102" s="1430">
        <f t="shared" ref="AI102:AI125" si="47">IF(E102=0,"0",(E102/T102)*1000)</f>
        <v>34.902597402597401</v>
      </c>
      <c r="AJ102" s="1430">
        <f t="shared" ref="AJ102:AJ125" si="48">IF(F102=0,"0",(F102/U102)*1000)</f>
        <v>24.679170779861796</v>
      </c>
      <c r="AK102" s="1430">
        <f t="shared" ref="AK102:AK125" si="49">IF(G102=0,"0",(G102/V102)*1000)</f>
        <v>29.652351738241308</v>
      </c>
      <c r="AL102" s="1430">
        <f t="shared" ref="AL102:AL125" si="50">IF(H102=0,"0",(H102/W102)*1000)</f>
        <v>27.720739219712527</v>
      </c>
      <c r="AM102" s="1430">
        <f t="shared" ref="AM102:AM125" si="51">IF(I102=0,"0",(I102/X102)*1000)</f>
        <v>22.335025380710658</v>
      </c>
      <c r="AN102" s="1430">
        <f t="shared" ref="AN102:AN125" si="52">IF(J102=0,"0",(J102/Y102)*1000)</f>
        <v>24.439918533604889</v>
      </c>
      <c r="AO102" s="1430">
        <f t="shared" ref="AO102:AO125" si="53">IF(K102=0,"0",(K102/Z102)*1000)</f>
        <v>20.533880903490758</v>
      </c>
      <c r="AP102" s="1430">
        <f t="shared" ref="AP102:AP125" si="54">IF(L102=0,"0",(L102/AA102)*1000)</f>
        <v>20.491803278688522</v>
      </c>
      <c r="AQ102" s="1430">
        <f t="shared" ref="AQ102:AQ125" si="55">IF(M102=0,"0",(M102/AB102)*1000)</f>
        <v>38.988408851422555</v>
      </c>
      <c r="AR102" s="1430">
        <f t="shared" ref="AR102:AR125" si="56">IF(N102=0,"0",(N102/AC102)*1000)</f>
        <v>33.296337402885683</v>
      </c>
      <c r="AS102" s="1430">
        <f t="shared" ref="AS102:AS125" si="57">IF(O102=0,"0",(O102/AD102)*1000)</f>
        <v>42.34527687296417</v>
      </c>
      <c r="AT102" s="1430">
        <f t="shared" ref="AT102:AT125" si="58">IF(P102=0,"0",(P102/AE102)*1000)</f>
        <v>33.797216699801197</v>
      </c>
      <c r="AU102" s="1430">
        <f t="shared" ref="AU102:AU125" si="59">IF(Q102=0,"0",(Q102/AF102)*1000)</f>
        <v>21.649484536082472</v>
      </c>
      <c r="AV102" s="1431">
        <f t="shared" ref="AV102:AV125" si="60">IF(R102=0,"0",(R102/AG102)*1000)</f>
        <v>18.756169792694966</v>
      </c>
    </row>
    <row r="103" spans="1:48" s="142" customFormat="1" ht="15.75" customHeight="1">
      <c r="A103" s="149" t="s">
        <v>52</v>
      </c>
      <c r="B103" s="189" t="s">
        <v>53</v>
      </c>
      <c r="C103" s="150" t="s">
        <v>265</v>
      </c>
      <c r="D103" s="1359">
        <v>65</v>
      </c>
      <c r="E103" s="1360">
        <v>52</v>
      </c>
      <c r="F103" s="1361">
        <v>62</v>
      </c>
      <c r="G103" s="1360">
        <v>41</v>
      </c>
      <c r="H103" s="1361">
        <v>49</v>
      </c>
      <c r="I103" s="1360">
        <v>48</v>
      </c>
      <c r="J103" s="1361">
        <v>54</v>
      </c>
      <c r="K103" s="1360">
        <v>49</v>
      </c>
      <c r="L103" s="1374">
        <v>48</v>
      </c>
      <c r="M103" s="1374">
        <v>49</v>
      </c>
      <c r="N103" s="1374">
        <v>51</v>
      </c>
      <c r="O103" s="1374">
        <v>35</v>
      </c>
      <c r="P103" s="1375">
        <v>24</v>
      </c>
      <c r="Q103" s="1375">
        <v>25</v>
      </c>
      <c r="R103" s="1376">
        <v>30</v>
      </c>
      <c r="S103" s="1383">
        <v>2530</v>
      </c>
      <c r="T103" s="1384">
        <v>2564</v>
      </c>
      <c r="U103" s="1384">
        <v>4348</v>
      </c>
      <c r="V103" s="1384">
        <v>3394</v>
      </c>
      <c r="W103" s="1384">
        <v>3349</v>
      </c>
      <c r="X103" s="1384">
        <v>1751</v>
      </c>
      <c r="Y103" s="1384">
        <v>1639</v>
      </c>
      <c r="Z103" s="1384">
        <v>2076</v>
      </c>
      <c r="AA103" s="1384">
        <v>2259</v>
      </c>
      <c r="AB103" s="1384">
        <v>2303</v>
      </c>
      <c r="AC103" s="1384">
        <v>2317</v>
      </c>
      <c r="AD103" s="1384">
        <v>2342</v>
      </c>
      <c r="AE103" s="1384">
        <v>2175</v>
      </c>
      <c r="AF103" s="1384">
        <v>2335</v>
      </c>
      <c r="AG103" s="1385">
        <v>2061</v>
      </c>
      <c r="AH103" s="1429">
        <f t="shared" si="46"/>
        <v>25.691699604743082</v>
      </c>
      <c r="AI103" s="1430">
        <f t="shared" si="47"/>
        <v>20.280811232449299</v>
      </c>
      <c r="AJ103" s="1430">
        <f t="shared" si="48"/>
        <v>14.259429622815087</v>
      </c>
      <c r="AK103" s="1430">
        <f t="shared" si="49"/>
        <v>12.080141426045964</v>
      </c>
      <c r="AL103" s="1430">
        <f t="shared" si="50"/>
        <v>14.631233203941475</v>
      </c>
      <c r="AM103" s="1430">
        <f t="shared" si="51"/>
        <v>27.41290691033695</v>
      </c>
      <c r="AN103" s="1430">
        <f t="shared" si="52"/>
        <v>32.946918852959122</v>
      </c>
      <c r="AO103" s="1430">
        <f t="shared" si="53"/>
        <v>23.603082851637765</v>
      </c>
      <c r="AP103" s="1430">
        <f t="shared" si="54"/>
        <v>21.248339973439574</v>
      </c>
      <c r="AQ103" s="1430">
        <f t="shared" si="55"/>
        <v>21.276595744680851</v>
      </c>
      <c r="AR103" s="1430">
        <f t="shared" si="56"/>
        <v>22.011221406991798</v>
      </c>
      <c r="AS103" s="1430">
        <f t="shared" si="57"/>
        <v>14.944491887275833</v>
      </c>
      <c r="AT103" s="1430">
        <f t="shared" si="58"/>
        <v>11.034482758620689</v>
      </c>
      <c r="AU103" s="1430">
        <f t="shared" si="59"/>
        <v>10.706638115631691</v>
      </c>
      <c r="AV103" s="1431">
        <f t="shared" si="60"/>
        <v>14.556040756914118</v>
      </c>
    </row>
    <row r="104" spans="1:48" s="142" customFormat="1" ht="15.75" customHeight="1">
      <c r="A104" s="149" t="s">
        <v>54</v>
      </c>
      <c r="B104" s="189" t="s">
        <v>55</v>
      </c>
      <c r="C104" s="150" t="s">
        <v>264</v>
      </c>
      <c r="D104" s="1359">
        <v>327</v>
      </c>
      <c r="E104" s="1360">
        <v>350</v>
      </c>
      <c r="F104" s="1361">
        <v>326</v>
      </c>
      <c r="G104" s="1360">
        <v>326</v>
      </c>
      <c r="H104" s="1361">
        <v>280</v>
      </c>
      <c r="I104" s="1360">
        <v>274</v>
      </c>
      <c r="J104" s="1361">
        <v>288</v>
      </c>
      <c r="K104" s="1360">
        <v>276</v>
      </c>
      <c r="L104" s="1374">
        <v>286</v>
      </c>
      <c r="M104" s="1374">
        <v>311</v>
      </c>
      <c r="N104" s="1374">
        <v>278</v>
      </c>
      <c r="O104" s="1374">
        <v>245</v>
      </c>
      <c r="P104" s="1375">
        <v>216</v>
      </c>
      <c r="Q104" s="1375">
        <v>209</v>
      </c>
      <c r="R104" s="1376">
        <v>165</v>
      </c>
      <c r="S104" s="1383">
        <v>13930</v>
      </c>
      <c r="T104" s="1384">
        <v>14290</v>
      </c>
      <c r="U104" s="1384">
        <v>15678</v>
      </c>
      <c r="V104" s="1384">
        <v>16061</v>
      </c>
      <c r="W104" s="1384">
        <v>16243</v>
      </c>
      <c r="X104" s="1384">
        <v>16526</v>
      </c>
      <c r="Y104" s="1384">
        <v>16631</v>
      </c>
      <c r="Z104" s="1384">
        <v>16618</v>
      </c>
      <c r="AA104" s="1384">
        <v>16437</v>
      </c>
      <c r="AB104" s="1384">
        <v>16067</v>
      </c>
      <c r="AC104" s="1384">
        <v>15790</v>
      </c>
      <c r="AD104" s="1384">
        <v>16550</v>
      </c>
      <c r="AE104" s="1384">
        <v>16318</v>
      </c>
      <c r="AF104" s="1384">
        <v>16191</v>
      </c>
      <c r="AG104" s="1385">
        <v>15992</v>
      </c>
      <c r="AH104" s="1429">
        <f t="shared" si="46"/>
        <v>23.47451543431443</v>
      </c>
      <c r="AI104" s="1430">
        <f t="shared" si="47"/>
        <v>24.4926522043387</v>
      </c>
      <c r="AJ104" s="1430">
        <f t="shared" si="48"/>
        <v>20.793468554662585</v>
      </c>
      <c r="AK104" s="1430">
        <f t="shared" si="49"/>
        <v>20.297615341510493</v>
      </c>
      <c r="AL104" s="1430">
        <f t="shared" si="50"/>
        <v>17.2381949147325</v>
      </c>
      <c r="AM104" s="1430">
        <f t="shared" si="51"/>
        <v>16.579934648432772</v>
      </c>
      <c r="AN104" s="1430">
        <f t="shared" si="52"/>
        <v>17.317058505201132</v>
      </c>
      <c r="AO104" s="1430">
        <f t="shared" si="53"/>
        <v>16.608496810687207</v>
      </c>
      <c r="AP104" s="1430">
        <f t="shared" si="54"/>
        <v>17.399768814260508</v>
      </c>
      <c r="AQ104" s="1430">
        <f t="shared" si="55"/>
        <v>19.35644488703554</v>
      </c>
      <c r="AR104" s="1430">
        <f t="shared" si="56"/>
        <v>17.60607979734009</v>
      </c>
      <c r="AS104" s="1430">
        <f t="shared" si="57"/>
        <v>14.803625377643504</v>
      </c>
      <c r="AT104" s="1430">
        <f t="shared" si="58"/>
        <v>13.236916288760877</v>
      </c>
      <c r="AU104" s="1430">
        <f t="shared" si="59"/>
        <v>12.908405904514852</v>
      </c>
      <c r="AV104" s="1431">
        <f t="shared" si="60"/>
        <v>10.317658829414707</v>
      </c>
    </row>
    <row r="105" spans="1:48" s="142" customFormat="1" ht="15.75" customHeight="1">
      <c r="A105" s="149" t="s">
        <v>66</v>
      </c>
      <c r="B105" s="189" t="s">
        <v>67</v>
      </c>
      <c r="C105" s="150" t="s">
        <v>265</v>
      </c>
      <c r="D105" s="1359">
        <v>126</v>
      </c>
      <c r="E105" s="1360">
        <v>123</v>
      </c>
      <c r="F105" s="1361">
        <v>120</v>
      </c>
      <c r="G105" s="1360">
        <v>111</v>
      </c>
      <c r="H105" s="1361">
        <v>103</v>
      </c>
      <c r="I105" s="1360">
        <v>114</v>
      </c>
      <c r="J105" s="1361">
        <v>109</v>
      </c>
      <c r="K105" s="1360">
        <v>80</v>
      </c>
      <c r="L105" s="1374">
        <v>116</v>
      </c>
      <c r="M105" s="1374">
        <v>100</v>
      </c>
      <c r="N105" s="1374">
        <v>103</v>
      </c>
      <c r="O105" s="1374">
        <v>109</v>
      </c>
      <c r="P105" s="1375">
        <v>79</v>
      </c>
      <c r="Q105" s="1375">
        <v>60</v>
      </c>
      <c r="R105" s="1376">
        <v>49</v>
      </c>
      <c r="S105" s="1383">
        <v>3290</v>
      </c>
      <c r="T105" s="1384">
        <v>3280</v>
      </c>
      <c r="U105" s="1384">
        <v>3155</v>
      </c>
      <c r="V105" s="1384">
        <v>3116</v>
      </c>
      <c r="W105" s="1384">
        <v>3075</v>
      </c>
      <c r="X105" s="1384">
        <v>3043</v>
      </c>
      <c r="Y105" s="1384">
        <v>2956</v>
      </c>
      <c r="Z105" s="1384">
        <v>2910</v>
      </c>
      <c r="AA105" s="1384">
        <v>2849</v>
      </c>
      <c r="AB105" s="1384">
        <v>2801</v>
      </c>
      <c r="AC105" s="1384">
        <v>2716</v>
      </c>
      <c r="AD105" s="1384">
        <v>2529</v>
      </c>
      <c r="AE105" s="1384">
        <v>2599</v>
      </c>
      <c r="AF105" s="1384">
        <v>2511</v>
      </c>
      <c r="AG105" s="1385">
        <v>2486</v>
      </c>
      <c r="AH105" s="1429">
        <f t="shared" si="46"/>
        <v>38.297872340425535</v>
      </c>
      <c r="AI105" s="1430">
        <f t="shared" si="47"/>
        <v>37.5</v>
      </c>
      <c r="AJ105" s="1430">
        <f t="shared" si="48"/>
        <v>38.034865293185419</v>
      </c>
      <c r="AK105" s="1430">
        <f t="shared" si="49"/>
        <v>35.622593068035947</v>
      </c>
      <c r="AL105" s="1430">
        <f t="shared" si="50"/>
        <v>33.49593495934959</v>
      </c>
      <c r="AM105" s="1430">
        <f t="shared" si="51"/>
        <v>37.463029904699312</v>
      </c>
      <c r="AN105" s="1430">
        <f t="shared" si="52"/>
        <v>36.874154262516917</v>
      </c>
      <c r="AO105" s="1430">
        <f t="shared" si="53"/>
        <v>27.491408934707902</v>
      </c>
      <c r="AP105" s="1430">
        <f t="shared" si="54"/>
        <v>40.716040716040716</v>
      </c>
      <c r="AQ105" s="1430">
        <f t="shared" si="55"/>
        <v>35.701535166012142</v>
      </c>
      <c r="AR105" s="1430">
        <f t="shared" si="56"/>
        <v>37.923416789396171</v>
      </c>
      <c r="AS105" s="1430">
        <f t="shared" si="57"/>
        <v>43.100039541320683</v>
      </c>
      <c r="AT105" s="1430">
        <f t="shared" si="58"/>
        <v>30.396306271642938</v>
      </c>
      <c r="AU105" s="1430">
        <f t="shared" si="59"/>
        <v>23.894862604540027</v>
      </c>
      <c r="AV105" s="1431">
        <f t="shared" si="60"/>
        <v>19.710378117457761</v>
      </c>
    </row>
    <row r="106" spans="1:48" s="142" customFormat="1" ht="15.75" customHeight="1">
      <c r="A106" s="149" t="s">
        <v>82</v>
      </c>
      <c r="B106" s="189" t="s">
        <v>83</v>
      </c>
      <c r="C106" s="150" t="s">
        <v>264</v>
      </c>
      <c r="D106" s="1359">
        <v>20</v>
      </c>
      <c r="E106" s="1360">
        <v>15</v>
      </c>
      <c r="F106" s="1361">
        <v>22</v>
      </c>
      <c r="G106" s="1360">
        <v>15</v>
      </c>
      <c r="H106" s="1361">
        <v>22</v>
      </c>
      <c r="I106" s="1360">
        <v>24</v>
      </c>
      <c r="J106" s="1361">
        <v>30</v>
      </c>
      <c r="K106" s="1360">
        <v>21</v>
      </c>
      <c r="L106" s="1374">
        <v>26</v>
      </c>
      <c r="M106" s="1374">
        <v>23</v>
      </c>
      <c r="N106" s="1374">
        <v>20</v>
      </c>
      <c r="O106" s="1374">
        <v>12</v>
      </c>
      <c r="P106" s="1375">
        <v>11</v>
      </c>
      <c r="Q106" s="1375">
        <v>13</v>
      </c>
      <c r="R106" s="1376">
        <v>19</v>
      </c>
      <c r="S106" s="1383">
        <v>587</v>
      </c>
      <c r="T106" s="1384">
        <v>594</v>
      </c>
      <c r="U106" s="1384">
        <v>648</v>
      </c>
      <c r="V106" s="1384">
        <v>658</v>
      </c>
      <c r="W106" s="1384">
        <v>633</v>
      </c>
      <c r="X106" s="1384">
        <v>630</v>
      </c>
      <c r="Y106" s="1384">
        <v>632</v>
      </c>
      <c r="Z106" s="1384">
        <v>625</v>
      </c>
      <c r="AA106" s="1384">
        <v>598</v>
      </c>
      <c r="AB106" s="1384">
        <v>546</v>
      </c>
      <c r="AC106" s="1384">
        <v>503</v>
      </c>
      <c r="AD106" s="1384">
        <v>515</v>
      </c>
      <c r="AE106" s="1384">
        <v>550</v>
      </c>
      <c r="AF106" s="1384">
        <v>509</v>
      </c>
      <c r="AG106" s="1385">
        <v>489</v>
      </c>
      <c r="AH106" s="1429">
        <f t="shared" si="46"/>
        <v>34.071550255536629</v>
      </c>
      <c r="AI106" s="1430">
        <f t="shared" si="47"/>
        <v>25.252525252525253</v>
      </c>
      <c r="AJ106" s="1430">
        <f t="shared" si="48"/>
        <v>33.950617283950614</v>
      </c>
      <c r="AK106" s="1430">
        <f t="shared" si="49"/>
        <v>22.796352583586625</v>
      </c>
      <c r="AL106" s="1430">
        <f t="shared" si="50"/>
        <v>34.755134281200633</v>
      </c>
      <c r="AM106" s="1430">
        <f t="shared" si="51"/>
        <v>38.095238095238102</v>
      </c>
      <c r="AN106" s="1430">
        <f t="shared" si="52"/>
        <v>47.468354430379748</v>
      </c>
      <c r="AO106" s="1430">
        <f t="shared" si="53"/>
        <v>33.6</v>
      </c>
      <c r="AP106" s="1430">
        <f t="shared" si="54"/>
        <v>43.478260869565219</v>
      </c>
      <c r="AQ106" s="1430">
        <f t="shared" si="55"/>
        <v>42.124542124542124</v>
      </c>
      <c r="AR106" s="1430">
        <f t="shared" si="56"/>
        <v>39.761431411530815</v>
      </c>
      <c r="AS106" s="1430">
        <f t="shared" si="57"/>
        <v>23.300970873786408</v>
      </c>
      <c r="AT106" s="1430">
        <f t="shared" si="58"/>
        <v>20</v>
      </c>
      <c r="AU106" s="1430">
        <f t="shared" si="59"/>
        <v>25.540275049115913</v>
      </c>
      <c r="AV106" s="1431">
        <f t="shared" si="60"/>
        <v>38.854805725971374</v>
      </c>
    </row>
    <row r="107" spans="1:48" s="142" customFormat="1" ht="15.75" customHeight="1">
      <c r="A107" s="149" t="s">
        <v>88</v>
      </c>
      <c r="B107" s="189" t="s">
        <v>89</v>
      </c>
      <c r="C107" s="150" t="s">
        <v>267</v>
      </c>
      <c r="D107" s="1359">
        <v>46</v>
      </c>
      <c r="E107" s="1360">
        <v>53</v>
      </c>
      <c r="F107" s="1361">
        <v>43</v>
      </c>
      <c r="G107" s="1360">
        <v>38</v>
      </c>
      <c r="H107" s="1361">
        <v>45</v>
      </c>
      <c r="I107" s="1360">
        <v>50</v>
      </c>
      <c r="J107" s="1361">
        <v>49</v>
      </c>
      <c r="K107" s="1360">
        <v>48</v>
      </c>
      <c r="L107" s="1374">
        <v>60</v>
      </c>
      <c r="M107" s="1374">
        <v>44</v>
      </c>
      <c r="N107" s="1374">
        <v>37</v>
      </c>
      <c r="O107" s="1374">
        <v>37</v>
      </c>
      <c r="P107" s="1375">
        <v>34</v>
      </c>
      <c r="Q107" s="1375">
        <v>31</v>
      </c>
      <c r="R107" s="1376">
        <v>30</v>
      </c>
      <c r="S107" s="1383">
        <v>1725</v>
      </c>
      <c r="T107" s="1384">
        <v>1746</v>
      </c>
      <c r="U107" s="1384">
        <v>1780</v>
      </c>
      <c r="V107" s="1384">
        <v>1715</v>
      </c>
      <c r="W107" s="1384">
        <v>1716</v>
      </c>
      <c r="X107" s="1384">
        <v>1734</v>
      </c>
      <c r="Y107" s="1384">
        <v>1752</v>
      </c>
      <c r="Z107" s="1384">
        <v>1863</v>
      </c>
      <c r="AA107" s="1384">
        <v>1868</v>
      </c>
      <c r="AB107" s="1384">
        <v>1930</v>
      </c>
      <c r="AC107" s="1384">
        <v>1939</v>
      </c>
      <c r="AD107" s="1384">
        <v>1871</v>
      </c>
      <c r="AE107" s="1384">
        <v>1940</v>
      </c>
      <c r="AF107" s="1384">
        <v>1972</v>
      </c>
      <c r="AG107" s="1385">
        <v>2134</v>
      </c>
      <c r="AH107" s="1429">
        <f t="shared" si="46"/>
        <v>26.666666666666668</v>
      </c>
      <c r="AI107" s="1430">
        <f t="shared" si="47"/>
        <v>30.355097365406642</v>
      </c>
      <c r="AJ107" s="1430">
        <f t="shared" si="48"/>
        <v>24.157303370786519</v>
      </c>
      <c r="AK107" s="1430">
        <f t="shared" si="49"/>
        <v>22.157434402332363</v>
      </c>
      <c r="AL107" s="1430">
        <f t="shared" si="50"/>
        <v>26.223776223776223</v>
      </c>
      <c r="AM107" s="1430">
        <f t="shared" si="51"/>
        <v>28.83506343713956</v>
      </c>
      <c r="AN107" s="1430">
        <f t="shared" si="52"/>
        <v>27.968036529680365</v>
      </c>
      <c r="AO107" s="1430">
        <f t="shared" si="53"/>
        <v>25.764895330112722</v>
      </c>
      <c r="AP107" s="1430">
        <f t="shared" si="54"/>
        <v>32.119914346895072</v>
      </c>
      <c r="AQ107" s="1430">
        <f t="shared" si="55"/>
        <v>22.797927461139896</v>
      </c>
      <c r="AR107" s="1430">
        <f t="shared" si="56"/>
        <v>19.082001031459516</v>
      </c>
      <c r="AS107" s="1430">
        <f t="shared" si="57"/>
        <v>19.775521111704968</v>
      </c>
      <c r="AT107" s="1430">
        <f t="shared" si="58"/>
        <v>17.52577319587629</v>
      </c>
      <c r="AU107" s="1430">
        <f t="shared" si="59"/>
        <v>15.720081135902637</v>
      </c>
      <c r="AV107" s="1431">
        <f t="shared" si="60"/>
        <v>14.058106841611997</v>
      </c>
    </row>
    <row r="108" spans="1:48" s="142" customFormat="1" ht="15.75" customHeight="1">
      <c r="A108" s="149" t="s">
        <v>90</v>
      </c>
      <c r="B108" s="189" t="s">
        <v>91</v>
      </c>
      <c r="C108" s="150" t="s">
        <v>268</v>
      </c>
      <c r="D108" s="1359">
        <v>21</v>
      </c>
      <c r="E108" s="1360">
        <v>26</v>
      </c>
      <c r="F108" s="1361">
        <v>19</v>
      </c>
      <c r="G108" s="1360">
        <v>24</v>
      </c>
      <c r="H108" s="1361">
        <v>21</v>
      </c>
      <c r="I108" s="1360">
        <v>9</v>
      </c>
      <c r="J108" s="1361">
        <v>17</v>
      </c>
      <c r="K108" s="1360">
        <v>18</v>
      </c>
      <c r="L108" s="1374">
        <v>13</v>
      </c>
      <c r="M108" s="1374">
        <v>19</v>
      </c>
      <c r="N108" s="1374">
        <v>18</v>
      </c>
      <c r="O108" s="1374">
        <v>24</v>
      </c>
      <c r="P108" s="1375">
        <v>17</v>
      </c>
      <c r="Q108" s="1375">
        <v>18</v>
      </c>
      <c r="R108" s="1376">
        <v>20</v>
      </c>
      <c r="S108" s="1383">
        <v>422</v>
      </c>
      <c r="T108" s="1384">
        <v>428</v>
      </c>
      <c r="U108" s="1384">
        <v>406</v>
      </c>
      <c r="V108" s="1384">
        <v>387</v>
      </c>
      <c r="W108" s="1384">
        <v>375</v>
      </c>
      <c r="X108" s="1384">
        <v>359</v>
      </c>
      <c r="Y108" s="1384">
        <v>370</v>
      </c>
      <c r="Z108" s="1384">
        <v>360</v>
      </c>
      <c r="AA108" s="1384">
        <v>367</v>
      </c>
      <c r="AB108" s="1384">
        <v>364</v>
      </c>
      <c r="AC108" s="1384">
        <v>357</v>
      </c>
      <c r="AD108" s="1384">
        <v>344</v>
      </c>
      <c r="AE108" s="1384">
        <v>406</v>
      </c>
      <c r="AF108" s="1384">
        <v>415</v>
      </c>
      <c r="AG108" s="1385">
        <v>435</v>
      </c>
      <c r="AH108" s="1429">
        <f t="shared" si="46"/>
        <v>49.763033175355453</v>
      </c>
      <c r="AI108" s="1430">
        <f t="shared" si="47"/>
        <v>60.747663551401871</v>
      </c>
      <c r="AJ108" s="1430">
        <f t="shared" si="48"/>
        <v>46.798029556650242</v>
      </c>
      <c r="AK108" s="1430">
        <f t="shared" si="49"/>
        <v>62.015503875968989</v>
      </c>
      <c r="AL108" s="1430">
        <f t="shared" si="50"/>
        <v>56</v>
      </c>
      <c r="AM108" s="1430">
        <f t="shared" si="51"/>
        <v>25.069637883008355</v>
      </c>
      <c r="AN108" s="1430">
        <f t="shared" si="52"/>
        <v>45.945945945945951</v>
      </c>
      <c r="AO108" s="1430">
        <f t="shared" si="53"/>
        <v>50</v>
      </c>
      <c r="AP108" s="1430">
        <f t="shared" si="54"/>
        <v>35.422343324250683</v>
      </c>
      <c r="AQ108" s="1430">
        <f t="shared" si="55"/>
        <v>52.197802197802197</v>
      </c>
      <c r="AR108" s="1430">
        <f t="shared" si="56"/>
        <v>50.420168067226889</v>
      </c>
      <c r="AS108" s="1430">
        <f t="shared" si="57"/>
        <v>69.767441860465112</v>
      </c>
      <c r="AT108" s="1430">
        <f t="shared" si="58"/>
        <v>41.871921182266007</v>
      </c>
      <c r="AU108" s="1430">
        <f t="shared" si="59"/>
        <v>43.373493975903614</v>
      </c>
      <c r="AV108" s="1431">
        <f t="shared" si="60"/>
        <v>45.977011494252871</v>
      </c>
    </row>
    <row r="109" spans="1:48" s="142" customFormat="1" ht="15.75" customHeight="1">
      <c r="A109" s="149" t="s">
        <v>106</v>
      </c>
      <c r="B109" s="189" t="s">
        <v>107</v>
      </c>
      <c r="C109" s="150" t="s">
        <v>264</v>
      </c>
      <c r="D109" s="1359">
        <v>276</v>
      </c>
      <c r="E109" s="1360">
        <v>297</v>
      </c>
      <c r="F109" s="1361">
        <v>272</v>
      </c>
      <c r="G109" s="1360">
        <v>274</v>
      </c>
      <c r="H109" s="1361">
        <v>238</v>
      </c>
      <c r="I109" s="1360">
        <v>203</v>
      </c>
      <c r="J109" s="1361">
        <v>221</v>
      </c>
      <c r="K109" s="1360">
        <v>247</v>
      </c>
      <c r="L109" s="1374">
        <v>226</v>
      </c>
      <c r="M109" s="1374">
        <v>256</v>
      </c>
      <c r="N109" s="1374">
        <v>189</v>
      </c>
      <c r="O109" s="1374">
        <v>188</v>
      </c>
      <c r="P109" s="1375">
        <v>177</v>
      </c>
      <c r="Q109" s="1375">
        <v>144</v>
      </c>
      <c r="R109" s="1376">
        <v>145</v>
      </c>
      <c r="S109" s="1383">
        <v>10507</v>
      </c>
      <c r="T109" s="1384">
        <v>10640</v>
      </c>
      <c r="U109" s="1384">
        <v>10952</v>
      </c>
      <c r="V109" s="1384">
        <v>10727</v>
      </c>
      <c r="W109" s="1384">
        <v>10660</v>
      </c>
      <c r="X109" s="1384">
        <v>10790</v>
      </c>
      <c r="Y109" s="1384">
        <v>10593</v>
      </c>
      <c r="Z109" s="1384">
        <v>10346</v>
      </c>
      <c r="AA109" s="1384">
        <v>10181</v>
      </c>
      <c r="AB109" s="1384">
        <v>10345</v>
      </c>
      <c r="AC109" s="1384">
        <v>10046</v>
      </c>
      <c r="AD109" s="1384">
        <v>9446</v>
      </c>
      <c r="AE109" s="1384">
        <v>9459</v>
      </c>
      <c r="AF109" s="1384">
        <v>9212</v>
      </c>
      <c r="AG109" s="1385">
        <v>8917</v>
      </c>
      <c r="AH109" s="1429">
        <f t="shared" si="46"/>
        <v>26.268202150946987</v>
      </c>
      <c r="AI109" s="1430">
        <f t="shared" si="47"/>
        <v>27.913533834586467</v>
      </c>
      <c r="AJ109" s="1430">
        <f t="shared" si="48"/>
        <v>24.83564645726808</v>
      </c>
      <c r="AK109" s="1430">
        <f t="shared" si="49"/>
        <v>25.543022280227465</v>
      </c>
      <c r="AL109" s="1430">
        <f t="shared" si="50"/>
        <v>22.326454033771107</v>
      </c>
      <c r="AM109" s="1430">
        <f t="shared" si="51"/>
        <v>18.813716404077848</v>
      </c>
      <c r="AN109" s="1430">
        <f t="shared" si="52"/>
        <v>20.862833946946097</v>
      </c>
      <c r="AO109" s="1430">
        <f t="shared" si="53"/>
        <v>23.873960951092208</v>
      </c>
      <c r="AP109" s="1430">
        <f t="shared" si="54"/>
        <v>22.198212356350062</v>
      </c>
      <c r="AQ109" s="1430">
        <f t="shared" si="55"/>
        <v>24.746254229096181</v>
      </c>
      <c r="AR109" s="1430">
        <f t="shared" si="56"/>
        <v>18.813458092773242</v>
      </c>
      <c r="AS109" s="1430">
        <f t="shared" si="57"/>
        <v>19.902604276942622</v>
      </c>
      <c r="AT109" s="1430">
        <f t="shared" si="58"/>
        <v>18.712337456390742</v>
      </c>
      <c r="AU109" s="1430">
        <f t="shared" si="59"/>
        <v>15.631784628745114</v>
      </c>
      <c r="AV109" s="1431">
        <f t="shared" si="60"/>
        <v>16.261074352360659</v>
      </c>
    </row>
    <row r="110" spans="1:48" s="142" customFormat="1" ht="15.75" customHeight="1">
      <c r="A110" s="149" t="s">
        <v>116</v>
      </c>
      <c r="B110" s="189" t="s">
        <v>117</v>
      </c>
      <c r="C110" s="150" t="s">
        <v>266</v>
      </c>
      <c r="D110" s="1359">
        <v>62</v>
      </c>
      <c r="E110" s="1360">
        <v>71</v>
      </c>
      <c r="F110" s="1361">
        <v>68</v>
      </c>
      <c r="G110" s="1360">
        <v>78</v>
      </c>
      <c r="H110" s="1361">
        <v>71</v>
      </c>
      <c r="I110" s="1360">
        <v>68</v>
      </c>
      <c r="J110" s="1361">
        <v>50</v>
      </c>
      <c r="K110" s="1360">
        <v>55</v>
      </c>
      <c r="L110" s="1374">
        <v>67</v>
      </c>
      <c r="M110" s="1374">
        <v>71</v>
      </c>
      <c r="N110" s="1374">
        <v>64</v>
      </c>
      <c r="O110" s="1374">
        <v>73</v>
      </c>
      <c r="P110" s="1375">
        <v>59</v>
      </c>
      <c r="Q110" s="1375">
        <v>48</v>
      </c>
      <c r="R110" s="1376">
        <v>47</v>
      </c>
      <c r="S110" s="1383">
        <v>1671</v>
      </c>
      <c r="T110" s="1384">
        <v>1686</v>
      </c>
      <c r="U110" s="1384">
        <v>1503</v>
      </c>
      <c r="V110" s="1384">
        <v>1509</v>
      </c>
      <c r="W110" s="1384">
        <v>1523</v>
      </c>
      <c r="X110" s="1384">
        <v>1543</v>
      </c>
      <c r="Y110" s="1384">
        <v>1556</v>
      </c>
      <c r="Z110" s="1384">
        <v>1590</v>
      </c>
      <c r="AA110" s="1384">
        <v>1579</v>
      </c>
      <c r="AB110" s="1384">
        <v>1638</v>
      </c>
      <c r="AC110" s="1384">
        <v>1629</v>
      </c>
      <c r="AD110" s="1384">
        <v>1483</v>
      </c>
      <c r="AE110" s="1384">
        <v>1489</v>
      </c>
      <c r="AF110" s="1384">
        <v>1418</v>
      </c>
      <c r="AG110" s="1385">
        <v>1354</v>
      </c>
      <c r="AH110" s="1429">
        <f t="shared" si="46"/>
        <v>37.10353081986834</v>
      </c>
      <c r="AI110" s="1430">
        <f t="shared" si="47"/>
        <v>42.111506524317917</v>
      </c>
      <c r="AJ110" s="1430">
        <f t="shared" si="48"/>
        <v>45.242847638057221</v>
      </c>
      <c r="AK110" s="1430">
        <f t="shared" si="49"/>
        <v>51.689860834990057</v>
      </c>
      <c r="AL110" s="1430">
        <f t="shared" si="50"/>
        <v>46.618516086671043</v>
      </c>
      <c r="AM110" s="1430">
        <f t="shared" si="51"/>
        <v>44.069993519118597</v>
      </c>
      <c r="AN110" s="1430">
        <f t="shared" si="52"/>
        <v>32.133676092544988</v>
      </c>
      <c r="AO110" s="1430">
        <f t="shared" si="53"/>
        <v>34.591194968553459</v>
      </c>
      <c r="AP110" s="1430">
        <f t="shared" si="54"/>
        <v>42.431918936035466</v>
      </c>
      <c r="AQ110" s="1430">
        <f t="shared" si="55"/>
        <v>43.345543345543341</v>
      </c>
      <c r="AR110" s="1430">
        <f t="shared" si="56"/>
        <v>39.287906691221608</v>
      </c>
      <c r="AS110" s="1430">
        <f t="shared" si="57"/>
        <v>49.224544841537423</v>
      </c>
      <c r="AT110" s="1430">
        <f t="shared" si="58"/>
        <v>39.623908663532575</v>
      </c>
      <c r="AU110" s="1430">
        <f t="shared" si="59"/>
        <v>33.850493653032444</v>
      </c>
      <c r="AV110" s="1431">
        <f t="shared" si="60"/>
        <v>34.711964549483014</v>
      </c>
    </row>
    <row r="111" spans="1:48" s="142" customFormat="1" ht="15.75" customHeight="1">
      <c r="A111" s="149" t="s">
        <v>138</v>
      </c>
      <c r="B111" s="189" t="s">
        <v>139</v>
      </c>
      <c r="C111" s="150" t="s">
        <v>265</v>
      </c>
      <c r="D111" s="1359">
        <v>116</v>
      </c>
      <c r="E111" s="1360">
        <v>106</v>
      </c>
      <c r="F111" s="1361">
        <v>121</v>
      </c>
      <c r="G111" s="1360">
        <v>138</v>
      </c>
      <c r="H111" s="1361">
        <v>130</v>
      </c>
      <c r="I111" s="1361">
        <v>120</v>
      </c>
      <c r="J111" s="1361">
        <v>120</v>
      </c>
      <c r="K111" s="1360">
        <v>133</v>
      </c>
      <c r="L111" s="1374">
        <v>139</v>
      </c>
      <c r="M111" s="1374">
        <v>150</v>
      </c>
      <c r="N111" s="1374">
        <v>119</v>
      </c>
      <c r="O111" s="1374">
        <v>102</v>
      </c>
      <c r="P111" s="1375">
        <v>108</v>
      </c>
      <c r="Q111" s="1375">
        <v>78</v>
      </c>
      <c r="R111" s="1376">
        <v>61</v>
      </c>
      <c r="S111" s="1383">
        <v>5632</v>
      </c>
      <c r="T111" s="1384">
        <v>5669</v>
      </c>
      <c r="U111" s="1384">
        <v>5181</v>
      </c>
      <c r="V111" s="1384">
        <v>5080</v>
      </c>
      <c r="W111" s="1384">
        <v>5057</v>
      </c>
      <c r="X111" s="1384">
        <v>5232</v>
      </c>
      <c r="Y111" s="1384">
        <v>5208</v>
      </c>
      <c r="Z111" s="1384">
        <v>5575</v>
      </c>
      <c r="AA111" s="1384">
        <v>5500</v>
      </c>
      <c r="AB111" s="1384">
        <v>5895</v>
      </c>
      <c r="AC111" s="1384">
        <v>6014</v>
      </c>
      <c r="AD111" s="1384">
        <v>5921</v>
      </c>
      <c r="AE111" s="1384">
        <v>6221</v>
      </c>
      <c r="AF111" s="1384">
        <v>6095</v>
      </c>
      <c r="AG111" s="1385">
        <v>6114</v>
      </c>
      <c r="AH111" s="1429">
        <f t="shared" si="46"/>
        <v>20.596590909090907</v>
      </c>
      <c r="AI111" s="1430">
        <f t="shared" si="47"/>
        <v>18.698183101076026</v>
      </c>
      <c r="AJ111" s="1430">
        <f t="shared" si="48"/>
        <v>23.354564755838638</v>
      </c>
      <c r="AK111" s="1430">
        <f t="shared" si="49"/>
        <v>27.165354330708659</v>
      </c>
      <c r="AL111" s="1430">
        <f t="shared" si="50"/>
        <v>25.70694087403599</v>
      </c>
      <c r="AM111" s="1430">
        <f t="shared" si="51"/>
        <v>22.935779816513762</v>
      </c>
      <c r="AN111" s="1430">
        <f t="shared" si="52"/>
        <v>23.041474654377883</v>
      </c>
      <c r="AO111" s="1430">
        <f t="shared" si="53"/>
        <v>23.856502242152466</v>
      </c>
      <c r="AP111" s="1430">
        <f t="shared" si="54"/>
        <v>25.272727272727273</v>
      </c>
      <c r="AQ111" s="1430">
        <f t="shared" si="55"/>
        <v>25.445292620865139</v>
      </c>
      <c r="AR111" s="1430">
        <f t="shared" si="56"/>
        <v>19.787163285666779</v>
      </c>
      <c r="AS111" s="1430">
        <f t="shared" si="57"/>
        <v>17.226819793953723</v>
      </c>
      <c r="AT111" s="1430">
        <f t="shared" si="58"/>
        <v>17.360552965761133</v>
      </c>
      <c r="AU111" s="1430">
        <f t="shared" si="59"/>
        <v>12.797374897456931</v>
      </c>
      <c r="AV111" s="1431">
        <f t="shared" si="60"/>
        <v>9.9771017337258758</v>
      </c>
    </row>
    <row r="112" spans="1:48" s="142" customFormat="1" ht="15.75" customHeight="1">
      <c r="A112" s="149" t="s">
        <v>142</v>
      </c>
      <c r="B112" s="189" t="s">
        <v>273</v>
      </c>
      <c r="C112" s="150" t="s">
        <v>267</v>
      </c>
      <c r="D112" s="1359">
        <v>59</v>
      </c>
      <c r="E112" s="1360">
        <v>60</v>
      </c>
      <c r="F112" s="1361">
        <v>67</v>
      </c>
      <c r="G112" s="1360">
        <v>74</v>
      </c>
      <c r="H112" s="1361">
        <v>59</v>
      </c>
      <c r="I112" s="1360">
        <v>61</v>
      </c>
      <c r="J112" s="1361">
        <v>67</v>
      </c>
      <c r="K112" s="1360">
        <v>58</v>
      </c>
      <c r="L112" s="1374">
        <v>83</v>
      </c>
      <c r="M112" s="1374">
        <v>66</v>
      </c>
      <c r="N112" s="1374">
        <v>50</v>
      </c>
      <c r="O112" s="1374">
        <v>51</v>
      </c>
      <c r="P112" s="1375">
        <v>50</v>
      </c>
      <c r="Q112" s="1375">
        <v>78</v>
      </c>
      <c r="R112" s="1376">
        <v>59</v>
      </c>
      <c r="S112" s="1383">
        <v>2247</v>
      </c>
      <c r="T112" s="1384">
        <v>2305</v>
      </c>
      <c r="U112" s="1384">
        <v>2531</v>
      </c>
      <c r="V112" s="1384">
        <v>2608</v>
      </c>
      <c r="W112" s="1384">
        <v>2647</v>
      </c>
      <c r="X112" s="1384">
        <v>2679</v>
      </c>
      <c r="Y112" s="1384">
        <v>2737</v>
      </c>
      <c r="Z112" s="1384">
        <v>2758</v>
      </c>
      <c r="AA112" s="1384">
        <v>2631</v>
      </c>
      <c r="AB112" s="1384">
        <v>2565</v>
      </c>
      <c r="AC112" s="1384">
        <v>2502</v>
      </c>
      <c r="AD112" s="1384">
        <v>2429</v>
      </c>
      <c r="AE112" s="1384">
        <v>2665</v>
      </c>
      <c r="AF112" s="1384">
        <v>2658</v>
      </c>
      <c r="AG112" s="1385">
        <v>2764</v>
      </c>
      <c r="AH112" s="1429">
        <f t="shared" si="46"/>
        <v>26.257231864708501</v>
      </c>
      <c r="AI112" s="1430">
        <f t="shared" si="47"/>
        <v>26.030368763557483</v>
      </c>
      <c r="AJ112" s="1430">
        <f t="shared" si="48"/>
        <v>26.471750296325563</v>
      </c>
      <c r="AK112" s="1430">
        <f t="shared" si="49"/>
        <v>28.374233128834355</v>
      </c>
      <c r="AL112" s="1430">
        <f t="shared" si="50"/>
        <v>22.289384208537967</v>
      </c>
      <c r="AM112" s="1430">
        <f t="shared" si="51"/>
        <v>22.769690182904068</v>
      </c>
      <c r="AN112" s="1430">
        <f t="shared" si="52"/>
        <v>24.479356960175373</v>
      </c>
      <c r="AO112" s="1430">
        <f t="shared" si="53"/>
        <v>21.029731689630168</v>
      </c>
      <c r="AP112" s="1430">
        <f t="shared" si="54"/>
        <v>31.546940326871916</v>
      </c>
      <c r="AQ112" s="1430">
        <f t="shared" si="55"/>
        <v>25.730994152046787</v>
      </c>
      <c r="AR112" s="1430">
        <f t="shared" si="56"/>
        <v>19.984012789768183</v>
      </c>
      <c r="AS112" s="1430">
        <f t="shared" si="57"/>
        <v>20.996294771510911</v>
      </c>
      <c r="AT112" s="1430">
        <f t="shared" si="58"/>
        <v>18.761726078799253</v>
      </c>
      <c r="AU112" s="1430">
        <f t="shared" si="59"/>
        <v>29.345372460496616</v>
      </c>
      <c r="AV112" s="1431">
        <f t="shared" si="60"/>
        <v>21.345875542691751</v>
      </c>
    </row>
    <row r="113" spans="1:48" s="142" customFormat="1" ht="15.75" customHeight="1">
      <c r="A113" s="149" t="s">
        <v>144</v>
      </c>
      <c r="B113" s="189" t="s">
        <v>145</v>
      </c>
      <c r="C113" s="150" t="s">
        <v>267</v>
      </c>
      <c r="D113" s="1359">
        <v>15</v>
      </c>
      <c r="E113" s="1360">
        <v>15</v>
      </c>
      <c r="F113" s="1361">
        <v>15</v>
      </c>
      <c r="G113" s="1360">
        <v>18</v>
      </c>
      <c r="H113" s="1361">
        <v>24</v>
      </c>
      <c r="I113" s="1360">
        <v>18</v>
      </c>
      <c r="J113" s="1361">
        <v>23</v>
      </c>
      <c r="K113" s="1360">
        <v>25</v>
      </c>
      <c r="L113" s="1374">
        <v>37</v>
      </c>
      <c r="M113" s="1374">
        <v>23</v>
      </c>
      <c r="N113" s="1374">
        <v>16</v>
      </c>
      <c r="O113" s="1374">
        <v>19</v>
      </c>
      <c r="P113" s="1375">
        <v>0</v>
      </c>
      <c r="Q113" s="1375">
        <v>1</v>
      </c>
      <c r="R113" s="1376">
        <v>3</v>
      </c>
      <c r="S113" s="1383">
        <v>595</v>
      </c>
      <c r="T113" s="1384">
        <v>609</v>
      </c>
      <c r="U113" s="1384">
        <v>720</v>
      </c>
      <c r="V113" s="1384">
        <v>759</v>
      </c>
      <c r="W113" s="1384">
        <v>769</v>
      </c>
      <c r="X113" s="1384">
        <v>791</v>
      </c>
      <c r="Y113" s="1384">
        <v>840</v>
      </c>
      <c r="Z113" s="1384">
        <v>849</v>
      </c>
      <c r="AA113" s="1384">
        <v>830</v>
      </c>
      <c r="AB113" s="1384">
        <v>830</v>
      </c>
      <c r="AC113" s="1384">
        <v>840</v>
      </c>
      <c r="AD113" s="1384">
        <v>773</v>
      </c>
      <c r="AE113" s="1384">
        <v>947</v>
      </c>
      <c r="AF113" s="1384">
        <v>1047</v>
      </c>
      <c r="AG113" s="1385">
        <v>1073</v>
      </c>
      <c r="AH113" s="1429">
        <f t="shared" si="46"/>
        <v>25.210084033613445</v>
      </c>
      <c r="AI113" s="1430">
        <f t="shared" si="47"/>
        <v>24.630541871921185</v>
      </c>
      <c r="AJ113" s="1430">
        <f t="shared" si="48"/>
        <v>20.833333333333332</v>
      </c>
      <c r="AK113" s="1430">
        <f t="shared" si="49"/>
        <v>23.715415019762844</v>
      </c>
      <c r="AL113" s="1430">
        <f t="shared" si="50"/>
        <v>31.209362808842652</v>
      </c>
      <c r="AM113" s="1430">
        <f t="shared" si="51"/>
        <v>22.756005056890015</v>
      </c>
      <c r="AN113" s="1430">
        <f t="shared" si="52"/>
        <v>27.38095238095238</v>
      </c>
      <c r="AO113" s="1430">
        <f t="shared" si="53"/>
        <v>29.446407538280329</v>
      </c>
      <c r="AP113" s="1430">
        <f t="shared" si="54"/>
        <v>44.578313253012048</v>
      </c>
      <c r="AQ113" s="1430">
        <f t="shared" si="55"/>
        <v>27.710843373493976</v>
      </c>
      <c r="AR113" s="1430">
        <f t="shared" si="56"/>
        <v>19.047619047619051</v>
      </c>
      <c r="AS113" s="1430">
        <f t="shared" si="57"/>
        <v>24.579560155239328</v>
      </c>
      <c r="AT113" s="1430" t="str">
        <f t="shared" si="58"/>
        <v>0</v>
      </c>
      <c r="AU113" s="1430">
        <f t="shared" si="59"/>
        <v>0.95510983763132762</v>
      </c>
      <c r="AV113" s="1431">
        <f t="shared" si="60"/>
        <v>2.7958993476234855</v>
      </c>
    </row>
    <row r="114" spans="1:48" s="142" customFormat="1" ht="15.75" customHeight="1">
      <c r="A114" s="149" t="s">
        <v>158</v>
      </c>
      <c r="B114" s="189" t="s">
        <v>159</v>
      </c>
      <c r="C114" s="150" t="s">
        <v>264</v>
      </c>
      <c r="D114" s="1359">
        <v>468</v>
      </c>
      <c r="E114" s="1360">
        <v>452</v>
      </c>
      <c r="F114" s="1361">
        <v>447</v>
      </c>
      <c r="G114" s="1360">
        <v>421</v>
      </c>
      <c r="H114" s="1361">
        <v>407</v>
      </c>
      <c r="I114" s="1360">
        <v>409</v>
      </c>
      <c r="J114" s="1361">
        <v>373</v>
      </c>
      <c r="K114" s="1360">
        <v>363</v>
      </c>
      <c r="L114" s="1374">
        <v>392</v>
      </c>
      <c r="M114" s="1374">
        <v>344</v>
      </c>
      <c r="N114" s="1374">
        <v>382</v>
      </c>
      <c r="O114" s="1374">
        <v>326</v>
      </c>
      <c r="P114" s="1375">
        <v>280</v>
      </c>
      <c r="Q114" s="1375">
        <v>269</v>
      </c>
      <c r="R114" s="1376">
        <v>248</v>
      </c>
      <c r="S114" s="1383">
        <v>13646</v>
      </c>
      <c r="T114" s="1384">
        <v>13975</v>
      </c>
      <c r="U114" s="1384">
        <v>12876</v>
      </c>
      <c r="V114" s="1384">
        <v>12824</v>
      </c>
      <c r="W114" s="1384">
        <v>12894</v>
      </c>
      <c r="X114" s="1384">
        <v>13189</v>
      </c>
      <c r="Y114" s="1384">
        <v>13287</v>
      </c>
      <c r="Z114" s="1384">
        <v>13249</v>
      </c>
      <c r="AA114" s="1384">
        <v>13050</v>
      </c>
      <c r="AB114" s="1384">
        <v>13209</v>
      </c>
      <c r="AC114" s="1384">
        <v>13877</v>
      </c>
      <c r="AD114" s="1384">
        <v>13149</v>
      </c>
      <c r="AE114" s="1384">
        <v>12437</v>
      </c>
      <c r="AF114" s="1384">
        <v>11955</v>
      </c>
      <c r="AG114" s="1385">
        <v>11781</v>
      </c>
      <c r="AH114" s="1429">
        <f t="shared" si="46"/>
        <v>34.295764326542574</v>
      </c>
      <c r="AI114" s="1430">
        <f t="shared" si="47"/>
        <v>32.343470483005362</v>
      </c>
      <c r="AJ114" s="1430">
        <f t="shared" si="48"/>
        <v>34.715750232991617</v>
      </c>
      <c r="AK114" s="1430">
        <f t="shared" si="49"/>
        <v>32.829070492825949</v>
      </c>
      <c r="AL114" s="1430">
        <f t="shared" si="50"/>
        <v>31.565069024352411</v>
      </c>
      <c r="AM114" s="1430">
        <f t="shared" si="51"/>
        <v>31.010690727121087</v>
      </c>
      <c r="AN114" s="1430">
        <f t="shared" si="52"/>
        <v>28.072552118612176</v>
      </c>
      <c r="AO114" s="1430">
        <f t="shared" si="53"/>
        <v>27.39829421088384</v>
      </c>
      <c r="AP114" s="1430">
        <f t="shared" si="54"/>
        <v>30.038314176245208</v>
      </c>
      <c r="AQ114" s="1430">
        <f t="shared" si="55"/>
        <v>26.042849572261336</v>
      </c>
      <c r="AR114" s="1430">
        <f t="shared" si="56"/>
        <v>27.527563594436838</v>
      </c>
      <c r="AS114" s="1430">
        <f t="shared" si="57"/>
        <v>24.792759905696251</v>
      </c>
      <c r="AT114" s="1430">
        <f t="shared" si="58"/>
        <v>22.513467878105654</v>
      </c>
      <c r="AU114" s="1430">
        <f t="shared" si="59"/>
        <v>22.50104558762024</v>
      </c>
      <c r="AV114" s="1431">
        <f t="shared" si="60"/>
        <v>21.050844580256346</v>
      </c>
    </row>
    <row r="115" spans="1:48" s="142" customFormat="1" ht="15.75" customHeight="1">
      <c r="A115" s="149" t="s">
        <v>160</v>
      </c>
      <c r="B115" s="189" t="s">
        <v>161</v>
      </c>
      <c r="C115" s="150" t="s">
        <v>264</v>
      </c>
      <c r="D115" s="1359">
        <v>715</v>
      </c>
      <c r="E115" s="1360">
        <v>696</v>
      </c>
      <c r="F115" s="1361">
        <v>634</v>
      </c>
      <c r="G115" s="1360">
        <v>616</v>
      </c>
      <c r="H115" s="1361">
        <v>626</v>
      </c>
      <c r="I115" s="1360">
        <v>550</v>
      </c>
      <c r="J115" s="1361">
        <v>545</v>
      </c>
      <c r="K115" s="1360">
        <v>535</v>
      </c>
      <c r="L115" s="1374">
        <v>498</v>
      </c>
      <c r="M115" s="1374">
        <v>534</v>
      </c>
      <c r="N115" s="1374">
        <v>498</v>
      </c>
      <c r="O115" s="1374">
        <v>473</v>
      </c>
      <c r="P115" s="1375">
        <v>425</v>
      </c>
      <c r="Q115" s="1375">
        <v>341</v>
      </c>
      <c r="R115" s="1376">
        <v>346</v>
      </c>
      <c r="S115" s="1383">
        <v>17404</v>
      </c>
      <c r="T115" s="1384">
        <v>17626</v>
      </c>
      <c r="U115" s="1384">
        <v>16447</v>
      </c>
      <c r="V115" s="1384">
        <v>15813</v>
      </c>
      <c r="W115" s="1384">
        <v>15886</v>
      </c>
      <c r="X115" s="1384">
        <v>16188</v>
      </c>
      <c r="Y115" s="1384">
        <v>16034</v>
      </c>
      <c r="Z115" s="1384">
        <v>16005</v>
      </c>
      <c r="AA115" s="1384">
        <v>16132</v>
      </c>
      <c r="AB115" s="1384">
        <v>17017</v>
      </c>
      <c r="AC115" s="1384">
        <v>16942</v>
      </c>
      <c r="AD115" s="1384">
        <v>15154</v>
      </c>
      <c r="AE115" s="1384">
        <v>15034</v>
      </c>
      <c r="AF115" s="1384">
        <v>14379</v>
      </c>
      <c r="AG115" s="1385">
        <v>14100</v>
      </c>
      <c r="AH115" s="1429">
        <f t="shared" si="46"/>
        <v>41.08250976786946</v>
      </c>
      <c r="AI115" s="1430">
        <f t="shared" si="47"/>
        <v>39.487121298082378</v>
      </c>
      <c r="AJ115" s="1430">
        <f t="shared" si="48"/>
        <v>38.548063476621877</v>
      </c>
      <c r="AK115" s="1430">
        <f t="shared" si="49"/>
        <v>38.955289951305886</v>
      </c>
      <c r="AL115" s="1430">
        <f t="shared" si="50"/>
        <v>39.405766083343828</v>
      </c>
      <c r="AM115" s="1430">
        <f t="shared" si="51"/>
        <v>33.975784531751913</v>
      </c>
      <c r="AN115" s="1430">
        <f t="shared" si="52"/>
        <v>33.990270674816017</v>
      </c>
      <c r="AO115" s="1430">
        <f t="shared" si="53"/>
        <v>33.427054045610745</v>
      </c>
      <c r="AP115" s="1430">
        <f t="shared" si="54"/>
        <v>30.87031986114555</v>
      </c>
      <c r="AQ115" s="1430">
        <f t="shared" si="55"/>
        <v>31.38038432156079</v>
      </c>
      <c r="AR115" s="1430">
        <f t="shared" si="56"/>
        <v>29.394404438673121</v>
      </c>
      <c r="AS115" s="1430">
        <f t="shared" si="57"/>
        <v>31.21288108750165</v>
      </c>
      <c r="AT115" s="1430">
        <f t="shared" si="58"/>
        <v>28.269256352268194</v>
      </c>
      <c r="AU115" s="1430">
        <f t="shared" si="59"/>
        <v>23.715140134918979</v>
      </c>
      <c r="AV115" s="1431">
        <f t="shared" si="60"/>
        <v>24.539007092198581</v>
      </c>
    </row>
    <row r="116" spans="1:48" s="142" customFormat="1" ht="15.75" customHeight="1">
      <c r="A116" s="149" t="s">
        <v>166</v>
      </c>
      <c r="B116" s="189" t="s">
        <v>167</v>
      </c>
      <c r="C116" s="150" t="s">
        <v>268</v>
      </c>
      <c r="D116" s="1359">
        <v>7</v>
      </c>
      <c r="E116" s="1360">
        <v>13</v>
      </c>
      <c r="F116" s="1361">
        <v>12</v>
      </c>
      <c r="G116" s="1360">
        <v>6</v>
      </c>
      <c r="H116" s="1361">
        <v>5</v>
      </c>
      <c r="I116" s="1360">
        <v>7</v>
      </c>
      <c r="J116" s="1361">
        <v>11</v>
      </c>
      <c r="K116" s="1360">
        <v>4</v>
      </c>
      <c r="L116" s="1374">
        <v>5</v>
      </c>
      <c r="M116" s="1374">
        <v>7</v>
      </c>
      <c r="N116" s="1374">
        <v>4</v>
      </c>
      <c r="O116" s="1374">
        <v>11</v>
      </c>
      <c r="P116" s="1375">
        <v>10</v>
      </c>
      <c r="Q116" s="1375">
        <v>11</v>
      </c>
      <c r="R116" s="1376">
        <v>15</v>
      </c>
      <c r="S116" s="1383">
        <v>276</v>
      </c>
      <c r="T116" s="1384">
        <v>271</v>
      </c>
      <c r="U116" s="1384">
        <v>247</v>
      </c>
      <c r="V116" s="1384">
        <v>246</v>
      </c>
      <c r="W116" s="1384">
        <v>246</v>
      </c>
      <c r="X116" s="1384">
        <v>250</v>
      </c>
      <c r="Y116" s="1384">
        <v>246</v>
      </c>
      <c r="Z116" s="1384">
        <v>246</v>
      </c>
      <c r="AA116" s="1384">
        <v>241</v>
      </c>
      <c r="AB116" s="1384">
        <v>245</v>
      </c>
      <c r="AC116" s="1384">
        <v>243</v>
      </c>
      <c r="AD116" s="1384">
        <v>244</v>
      </c>
      <c r="AE116" s="1384">
        <v>263</v>
      </c>
      <c r="AF116" s="1384">
        <v>273</v>
      </c>
      <c r="AG116" s="1385">
        <v>237</v>
      </c>
      <c r="AH116" s="1429">
        <f t="shared" si="46"/>
        <v>25.362318840579711</v>
      </c>
      <c r="AI116" s="1430">
        <f t="shared" si="47"/>
        <v>47.97047970479705</v>
      </c>
      <c r="AJ116" s="1430">
        <f t="shared" si="48"/>
        <v>48.582995951417004</v>
      </c>
      <c r="AK116" s="1430">
        <f t="shared" si="49"/>
        <v>24.390243902439025</v>
      </c>
      <c r="AL116" s="1430">
        <f t="shared" si="50"/>
        <v>20.325203252032519</v>
      </c>
      <c r="AM116" s="1430">
        <f t="shared" si="51"/>
        <v>28</v>
      </c>
      <c r="AN116" s="1430">
        <f t="shared" si="52"/>
        <v>44.715447154471548</v>
      </c>
      <c r="AO116" s="1430">
        <f t="shared" si="53"/>
        <v>16.260162601626018</v>
      </c>
      <c r="AP116" s="1430">
        <f t="shared" si="54"/>
        <v>20.74688796680498</v>
      </c>
      <c r="AQ116" s="1430">
        <f t="shared" si="55"/>
        <v>28.571428571428569</v>
      </c>
      <c r="AR116" s="1430">
        <f t="shared" si="56"/>
        <v>16.460905349794238</v>
      </c>
      <c r="AS116" s="1430">
        <f t="shared" si="57"/>
        <v>45.081967213114758</v>
      </c>
      <c r="AT116" s="1430">
        <f t="shared" si="58"/>
        <v>38.022813688212928</v>
      </c>
      <c r="AU116" s="1430">
        <f t="shared" si="59"/>
        <v>40.293040293040299</v>
      </c>
      <c r="AV116" s="1431">
        <f t="shared" si="60"/>
        <v>63.291139240506332</v>
      </c>
    </row>
    <row r="117" spans="1:48" s="142" customFormat="1" ht="15.75" customHeight="1">
      <c r="A117" s="149" t="s">
        <v>176</v>
      </c>
      <c r="B117" s="189" t="s">
        <v>177</v>
      </c>
      <c r="C117" s="150" t="s">
        <v>266</v>
      </c>
      <c r="D117" s="1359">
        <v>133</v>
      </c>
      <c r="E117" s="1360">
        <v>117</v>
      </c>
      <c r="F117" s="1361">
        <v>120</v>
      </c>
      <c r="G117" s="1360">
        <v>144</v>
      </c>
      <c r="H117" s="1361">
        <v>127</v>
      </c>
      <c r="I117" s="1360">
        <v>111</v>
      </c>
      <c r="J117" s="1361">
        <v>105</v>
      </c>
      <c r="K117" s="1360">
        <v>102</v>
      </c>
      <c r="L117" s="1374">
        <v>104</v>
      </c>
      <c r="M117" s="1374">
        <v>108</v>
      </c>
      <c r="N117" s="1374">
        <v>110</v>
      </c>
      <c r="O117" s="1374">
        <v>116</v>
      </c>
      <c r="P117" s="1375">
        <v>119</v>
      </c>
      <c r="Q117" s="1375">
        <v>82</v>
      </c>
      <c r="R117" s="1376">
        <v>83</v>
      </c>
      <c r="S117" s="1383">
        <v>2434</v>
      </c>
      <c r="T117" s="1384">
        <v>2457</v>
      </c>
      <c r="U117" s="1384">
        <v>2396</v>
      </c>
      <c r="V117" s="1384">
        <v>2290</v>
      </c>
      <c r="W117" s="1384">
        <v>2263</v>
      </c>
      <c r="X117" s="1384">
        <v>2307</v>
      </c>
      <c r="Y117" s="1384">
        <v>2280</v>
      </c>
      <c r="Z117" s="1384">
        <v>2179</v>
      </c>
      <c r="AA117" s="1384">
        <v>2132</v>
      </c>
      <c r="AB117" s="1384">
        <v>2129</v>
      </c>
      <c r="AC117" s="1384">
        <v>2076</v>
      </c>
      <c r="AD117" s="1384">
        <v>1890</v>
      </c>
      <c r="AE117" s="1384">
        <v>1883</v>
      </c>
      <c r="AF117" s="1384">
        <v>1757</v>
      </c>
      <c r="AG117" s="1385">
        <v>1708</v>
      </c>
      <c r="AH117" s="1429">
        <f t="shared" si="46"/>
        <v>54.64256368118324</v>
      </c>
      <c r="AI117" s="1430">
        <f t="shared" si="47"/>
        <v>47.619047619047613</v>
      </c>
      <c r="AJ117" s="1430">
        <f t="shared" si="48"/>
        <v>50.083472454090149</v>
      </c>
      <c r="AK117" s="1430">
        <f t="shared" si="49"/>
        <v>62.882096069869</v>
      </c>
      <c r="AL117" s="1430">
        <f t="shared" si="50"/>
        <v>56.12019443216969</v>
      </c>
      <c r="AM117" s="1430">
        <f t="shared" si="51"/>
        <v>48.11443433029909</v>
      </c>
      <c r="AN117" s="1430">
        <f t="shared" si="52"/>
        <v>46.052631578947363</v>
      </c>
      <c r="AO117" s="1430">
        <f t="shared" si="53"/>
        <v>46.810463515374025</v>
      </c>
      <c r="AP117" s="1430">
        <f t="shared" si="54"/>
        <v>48.780487804878049</v>
      </c>
      <c r="AQ117" s="1430">
        <f t="shared" si="55"/>
        <v>50.728041333959602</v>
      </c>
      <c r="AR117" s="1430">
        <f t="shared" si="56"/>
        <v>52.986512524084773</v>
      </c>
      <c r="AS117" s="1430">
        <f t="shared" si="57"/>
        <v>61.375661375661373</v>
      </c>
      <c r="AT117" s="1430">
        <f t="shared" si="58"/>
        <v>63.197026022304826</v>
      </c>
      <c r="AU117" s="1430">
        <f t="shared" si="59"/>
        <v>46.670461013090495</v>
      </c>
      <c r="AV117" s="1431">
        <f t="shared" si="60"/>
        <v>48.594847775175644</v>
      </c>
    </row>
    <row r="118" spans="1:48" s="142" customFormat="1" ht="15.75" customHeight="1">
      <c r="A118" s="149" t="s">
        <v>180</v>
      </c>
      <c r="B118" s="189" t="s">
        <v>181</v>
      </c>
      <c r="C118" s="150" t="s">
        <v>264</v>
      </c>
      <c r="D118" s="1359">
        <v>318</v>
      </c>
      <c r="E118" s="1360">
        <v>330</v>
      </c>
      <c r="F118" s="1361">
        <v>290</v>
      </c>
      <c r="G118" s="1360">
        <v>286</v>
      </c>
      <c r="H118" s="1361">
        <v>249</v>
      </c>
      <c r="I118" s="1360">
        <v>247</v>
      </c>
      <c r="J118" s="1361">
        <v>254</v>
      </c>
      <c r="K118" s="1360">
        <v>231</v>
      </c>
      <c r="L118" s="1374">
        <v>234</v>
      </c>
      <c r="M118" s="1374">
        <v>223</v>
      </c>
      <c r="N118" s="1374">
        <v>210</v>
      </c>
      <c r="O118" s="1374">
        <v>239</v>
      </c>
      <c r="P118" s="1375">
        <v>205</v>
      </c>
      <c r="Q118" s="1375">
        <v>178</v>
      </c>
      <c r="R118" s="1376">
        <v>133</v>
      </c>
      <c r="S118" s="1383">
        <v>7261</v>
      </c>
      <c r="T118" s="1384">
        <v>7292</v>
      </c>
      <c r="U118" s="1384">
        <v>6914</v>
      </c>
      <c r="V118" s="1384">
        <v>6795</v>
      </c>
      <c r="W118" s="1384">
        <v>6803</v>
      </c>
      <c r="X118" s="1384">
        <v>6839</v>
      </c>
      <c r="Y118" s="1384">
        <v>6876</v>
      </c>
      <c r="Z118" s="1384">
        <v>6907</v>
      </c>
      <c r="AA118" s="1384">
        <v>7040</v>
      </c>
      <c r="AB118" s="1384">
        <v>6990</v>
      </c>
      <c r="AC118" s="1384">
        <v>6907</v>
      </c>
      <c r="AD118" s="1384">
        <v>5985</v>
      </c>
      <c r="AE118" s="1384">
        <v>5730</v>
      </c>
      <c r="AF118" s="1384">
        <v>5485</v>
      </c>
      <c r="AG118" s="1385">
        <v>5503</v>
      </c>
      <c r="AH118" s="1429">
        <f t="shared" si="46"/>
        <v>43.79562043795621</v>
      </c>
      <c r="AI118" s="1430">
        <f t="shared" si="47"/>
        <v>45.255074053757539</v>
      </c>
      <c r="AJ118" s="1430">
        <f t="shared" si="48"/>
        <v>41.943881978594156</v>
      </c>
      <c r="AK118" s="1430">
        <f t="shared" si="49"/>
        <v>42.089771891096397</v>
      </c>
      <c r="AL118" s="1430">
        <f t="shared" si="50"/>
        <v>36.60149933852712</v>
      </c>
      <c r="AM118" s="1430">
        <f t="shared" si="51"/>
        <v>36.116391285275625</v>
      </c>
      <c r="AN118" s="1430">
        <f t="shared" si="52"/>
        <v>36.940081442699245</v>
      </c>
      <c r="AO118" s="1430">
        <f t="shared" si="53"/>
        <v>33.444331837266539</v>
      </c>
      <c r="AP118" s="1430">
        <f t="shared" si="54"/>
        <v>33.238636363636367</v>
      </c>
      <c r="AQ118" s="1430">
        <f t="shared" si="55"/>
        <v>31.902718168812591</v>
      </c>
      <c r="AR118" s="1430">
        <f t="shared" si="56"/>
        <v>30.403938033878674</v>
      </c>
      <c r="AS118" s="1430">
        <f t="shared" si="57"/>
        <v>39.933166248955722</v>
      </c>
      <c r="AT118" s="1430">
        <f t="shared" si="58"/>
        <v>35.776614310645719</v>
      </c>
      <c r="AU118" s="1430">
        <f t="shared" si="59"/>
        <v>32.452142206016411</v>
      </c>
      <c r="AV118" s="1431">
        <f t="shared" si="60"/>
        <v>24.168635289841905</v>
      </c>
    </row>
    <row r="119" spans="1:48" s="142" customFormat="1" ht="15.75" customHeight="1">
      <c r="A119" s="149" t="s">
        <v>192</v>
      </c>
      <c r="B119" s="189" t="s">
        <v>193</v>
      </c>
      <c r="C119" s="150" t="s">
        <v>268</v>
      </c>
      <c r="D119" s="1359">
        <v>25</v>
      </c>
      <c r="E119" s="1360">
        <v>14</v>
      </c>
      <c r="F119" s="1361">
        <v>16</v>
      </c>
      <c r="G119" s="1360">
        <v>13</v>
      </c>
      <c r="H119" s="1361">
        <v>12</v>
      </c>
      <c r="I119" s="1360">
        <v>14</v>
      </c>
      <c r="J119" s="1361">
        <v>12</v>
      </c>
      <c r="K119" s="1360">
        <v>10</v>
      </c>
      <c r="L119" s="1374">
        <v>11</v>
      </c>
      <c r="M119" s="1374">
        <v>14</v>
      </c>
      <c r="N119" s="1374">
        <v>16</v>
      </c>
      <c r="O119" s="1374">
        <v>13</v>
      </c>
      <c r="P119" s="1375">
        <v>18</v>
      </c>
      <c r="Q119" s="1375">
        <v>17</v>
      </c>
      <c r="R119" s="1376">
        <v>19</v>
      </c>
      <c r="S119" s="1383">
        <v>2508</v>
      </c>
      <c r="T119" s="1384">
        <v>2528</v>
      </c>
      <c r="U119" s="1384">
        <v>2020</v>
      </c>
      <c r="V119" s="1384">
        <v>1821</v>
      </c>
      <c r="W119" s="1384">
        <v>1783</v>
      </c>
      <c r="X119" s="1384">
        <v>1632</v>
      </c>
      <c r="Y119" s="1384">
        <v>1623</v>
      </c>
      <c r="Z119" s="1384">
        <v>1675</v>
      </c>
      <c r="AA119" s="1384">
        <v>1759</v>
      </c>
      <c r="AB119" s="1384">
        <v>1859</v>
      </c>
      <c r="AC119" s="1384">
        <v>1860</v>
      </c>
      <c r="AD119" s="1384">
        <v>1885</v>
      </c>
      <c r="AE119" s="1384">
        <v>1775</v>
      </c>
      <c r="AF119" s="1384">
        <v>1778</v>
      </c>
      <c r="AG119" s="1385">
        <v>1796</v>
      </c>
      <c r="AH119" s="1429">
        <f t="shared" si="46"/>
        <v>9.9681020733652321</v>
      </c>
      <c r="AI119" s="1430">
        <f t="shared" si="47"/>
        <v>5.537974683544304</v>
      </c>
      <c r="AJ119" s="1430">
        <f t="shared" si="48"/>
        <v>7.9207920792079207</v>
      </c>
      <c r="AK119" s="1430">
        <f t="shared" si="49"/>
        <v>7.1389346512904996</v>
      </c>
      <c r="AL119" s="1430">
        <f t="shared" si="50"/>
        <v>6.7302299495232747</v>
      </c>
      <c r="AM119" s="1430">
        <f t="shared" si="51"/>
        <v>8.5784313725490211</v>
      </c>
      <c r="AN119" s="1430">
        <f t="shared" si="52"/>
        <v>7.3937153419593349</v>
      </c>
      <c r="AO119" s="1430">
        <f t="shared" si="53"/>
        <v>5.9701492537313436</v>
      </c>
      <c r="AP119" s="1430">
        <f t="shared" si="54"/>
        <v>6.2535531552018195</v>
      </c>
      <c r="AQ119" s="1430">
        <f t="shared" si="55"/>
        <v>7.5309306078536844</v>
      </c>
      <c r="AR119" s="1430">
        <f t="shared" si="56"/>
        <v>8.6021505376344081</v>
      </c>
      <c r="AS119" s="1430">
        <f t="shared" si="57"/>
        <v>6.8965517241379306</v>
      </c>
      <c r="AT119" s="1430">
        <f t="shared" si="58"/>
        <v>10.140845070422534</v>
      </c>
      <c r="AU119" s="1430">
        <f t="shared" si="59"/>
        <v>9.5613048368953883</v>
      </c>
      <c r="AV119" s="1431">
        <f t="shared" si="60"/>
        <v>10.579064587973273</v>
      </c>
    </row>
    <row r="120" spans="1:48" s="142" customFormat="1" ht="15.75" customHeight="1">
      <c r="A120" s="149" t="s">
        <v>196</v>
      </c>
      <c r="B120" s="189" t="s">
        <v>197</v>
      </c>
      <c r="C120" s="150" t="s">
        <v>266</v>
      </c>
      <c r="D120" s="1359">
        <v>565</v>
      </c>
      <c r="E120" s="1360">
        <v>527</v>
      </c>
      <c r="F120" s="1361">
        <v>521</v>
      </c>
      <c r="G120" s="1360">
        <v>543</v>
      </c>
      <c r="H120" s="1361">
        <v>506</v>
      </c>
      <c r="I120" s="1360">
        <v>507</v>
      </c>
      <c r="J120" s="1361">
        <v>423</v>
      </c>
      <c r="K120" s="1360">
        <v>460</v>
      </c>
      <c r="L120" s="1374">
        <v>425</v>
      </c>
      <c r="M120" s="1374">
        <v>470</v>
      </c>
      <c r="N120" s="1374">
        <v>463</v>
      </c>
      <c r="O120" s="1374">
        <v>421</v>
      </c>
      <c r="P120" s="1375">
        <v>307</v>
      </c>
      <c r="Q120" s="1375">
        <v>285</v>
      </c>
      <c r="R120" s="1376">
        <v>264</v>
      </c>
      <c r="S120" s="1383">
        <v>12799</v>
      </c>
      <c r="T120" s="1384">
        <v>12922</v>
      </c>
      <c r="U120" s="1384">
        <v>13167</v>
      </c>
      <c r="V120" s="1384">
        <v>12890</v>
      </c>
      <c r="W120" s="1384">
        <v>12807</v>
      </c>
      <c r="X120" s="1384">
        <v>12710</v>
      </c>
      <c r="Y120" s="1384">
        <v>12716</v>
      </c>
      <c r="Z120" s="1384">
        <v>13004</v>
      </c>
      <c r="AA120" s="1384">
        <v>12887</v>
      </c>
      <c r="AB120" s="1384">
        <v>13451</v>
      </c>
      <c r="AC120" s="1384">
        <v>13423</v>
      </c>
      <c r="AD120" s="1384">
        <v>11733</v>
      </c>
      <c r="AE120" s="1384">
        <v>13057</v>
      </c>
      <c r="AF120" s="1384">
        <v>12211</v>
      </c>
      <c r="AG120" s="1385">
        <v>12202</v>
      </c>
      <c r="AH120" s="1429">
        <f t="shared" si="46"/>
        <v>44.144073755762165</v>
      </c>
      <c r="AI120" s="1430">
        <f t="shared" si="47"/>
        <v>40.783160501470363</v>
      </c>
      <c r="AJ120" s="1430">
        <f t="shared" si="48"/>
        <v>39.568618515986934</v>
      </c>
      <c r="AK120" s="1430">
        <f t="shared" si="49"/>
        <v>42.125678820791308</v>
      </c>
      <c r="AL120" s="1430">
        <f t="shared" si="50"/>
        <v>39.509643163894744</v>
      </c>
      <c r="AM120" s="1430">
        <f t="shared" si="51"/>
        <v>39.889850511408333</v>
      </c>
      <c r="AN120" s="1430">
        <f t="shared" si="52"/>
        <v>33.265177728845543</v>
      </c>
      <c r="AO120" s="1430">
        <f t="shared" si="53"/>
        <v>35.373731159643185</v>
      </c>
      <c r="AP120" s="1430">
        <f t="shared" si="54"/>
        <v>32.978971056103049</v>
      </c>
      <c r="AQ120" s="1430">
        <f t="shared" si="55"/>
        <v>34.941640026763807</v>
      </c>
      <c r="AR120" s="1430">
        <f t="shared" si="56"/>
        <v>34.493034344036353</v>
      </c>
      <c r="AS120" s="1430">
        <f t="shared" si="57"/>
        <v>35.881701184692751</v>
      </c>
      <c r="AT120" s="1430">
        <f t="shared" si="58"/>
        <v>23.512292257026882</v>
      </c>
      <c r="AU120" s="1430">
        <f t="shared" si="59"/>
        <v>23.339611825403324</v>
      </c>
      <c r="AV120" s="1431">
        <f t="shared" si="60"/>
        <v>21.635797410260611</v>
      </c>
    </row>
    <row r="121" spans="1:48" s="142" customFormat="1" ht="15.75" customHeight="1">
      <c r="A121" s="149" t="s">
        <v>200</v>
      </c>
      <c r="B121" s="189" t="s">
        <v>201</v>
      </c>
      <c r="C121" s="150" t="s">
        <v>265</v>
      </c>
      <c r="D121" s="1359">
        <v>230</v>
      </c>
      <c r="E121" s="1360">
        <v>208</v>
      </c>
      <c r="F121" s="1361">
        <v>212</v>
      </c>
      <c r="G121" s="1360">
        <v>195</v>
      </c>
      <c r="H121" s="1361">
        <v>206</v>
      </c>
      <c r="I121" s="1360">
        <v>196</v>
      </c>
      <c r="J121" s="1361">
        <v>132</v>
      </c>
      <c r="K121" s="1360">
        <v>182</v>
      </c>
      <c r="L121" s="1374">
        <v>209</v>
      </c>
      <c r="M121" s="1374">
        <v>242</v>
      </c>
      <c r="N121" s="1374">
        <v>232</v>
      </c>
      <c r="O121" s="1374">
        <v>218</v>
      </c>
      <c r="P121" s="1375">
        <v>174</v>
      </c>
      <c r="Q121" s="1375">
        <v>173</v>
      </c>
      <c r="R121" s="1376">
        <v>148</v>
      </c>
      <c r="S121" s="1383">
        <v>5451</v>
      </c>
      <c r="T121" s="1384">
        <v>5442</v>
      </c>
      <c r="U121" s="1384">
        <v>5381</v>
      </c>
      <c r="V121" s="1384">
        <v>5373</v>
      </c>
      <c r="W121" s="1384">
        <v>5375</v>
      </c>
      <c r="X121" s="1384">
        <v>5400</v>
      </c>
      <c r="Y121" s="1384">
        <v>5540</v>
      </c>
      <c r="Z121" s="1384">
        <v>5485</v>
      </c>
      <c r="AA121" s="1384">
        <v>5341</v>
      </c>
      <c r="AB121" s="1384">
        <v>5432</v>
      </c>
      <c r="AC121" s="1384">
        <v>5441</v>
      </c>
      <c r="AD121" s="1384">
        <v>4992</v>
      </c>
      <c r="AE121" s="1384">
        <v>5235</v>
      </c>
      <c r="AF121" s="1384">
        <v>5064</v>
      </c>
      <c r="AG121" s="1385">
        <v>5042</v>
      </c>
      <c r="AH121" s="1429">
        <f t="shared" si="46"/>
        <v>42.194092827004219</v>
      </c>
      <c r="AI121" s="1430">
        <f t="shared" si="47"/>
        <v>38.221242190371186</v>
      </c>
      <c r="AJ121" s="1430">
        <f t="shared" si="48"/>
        <v>39.397881434677565</v>
      </c>
      <c r="AK121" s="1430">
        <f t="shared" si="49"/>
        <v>36.29257398101619</v>
      </c>
      <c r="AL121" s="1430">
        <f t="shared" si="50"/>
        <v>38.325581395348834</v>
      </c>
      <c r="AM121" s="1430">
        <f t="shared" si="51"/>
        <v>36.296296296296298</v>
      </c>
      <c r="AN121" s="1430">
        <f t="shared" si="52"/>
        <v>23.826714801444041</v>
      </c>
      <c r="AO121" s="1430">
        <f t="shared" si="53"/>
        <v>33.181403828623516</v>
      </c>
      <c r="AP121" s="1430">
        <f t="shared" si="54"/>
        <v>39.131248829807156</v>
      </c>
      <c r="AQ121" s="1430">
        <f t="shared" si="55"/>
        <v>44.550810014727539</v>
      </c>
      <c r="AR121" s="1430">
        <f t="shared" si="56"/>
        <v>42.639220731483185</v>
      </c>
      <c r="AS121" s="1430">
        <f t="shared" si="57"/>
        <v>43.669871794871796</v>
      </c>
      <c r="AT121" s="1430">
        <f t="shared" si="58"/>
        <v>33.237822349570202</v>
      </c>
      <c r="AU121" s="1430">
        <f t="shared" si="59"/>
        <v>34.162717219589261</v>
      </c>
      <c r="AV121" s="1431">
        <f t="shared" si="60"/>
        <v>29.353431178103925</v>
      </c>
    </row>
    <row r="122" spans="1:48" s="142" customFormat="1" ht="15.75" customHeight="1">
      <c r="A122" s="149" t="s">
        <v>222</v>
      </c>
      <c r="B122" s="189" t="s">
        <v>223</v>
      </c>
      <c r="C122" s="150" t="s">
        <v>264</v>
      </c>
      <c r="D122" s="1359">
        <v>145</v>
      </c>
      <c r="E122" s="1360">
        <v>109</v>
      </c>
      <c r="F122" s="1361">
        <v>119</v>
      </c>
      <c r="G122" s="1360">
        <v>118</v>
      </c>
      <c r="H122" s="1361">
        <v>131</v>
      </c>
      <c r="I122" s="1360">
        <v>116</v>
      </c>
      <c r="J122" s="1361">
        <v>116</v>
      </c>
      <c r="K122" s="1360">
        <v>119</v>
      </c>
      <c r="L122" s="1374">
        <v>130</v>
      </c>
      <c r="M122" s="1374">
        <v>100</v>
      </c>
      <c r="N122" s="1374">
        <v>108</v>
      </c>
      <c r="O122" s="1374">
        <v>112</v>
      </c>
      <c r="P122" s="1375">
        <v>100</v>
      </c>
      <c r="Q122" s="1375">
        <v>77</v>
      </c>
      <c r="R122" s="1376">
        <v>70</v>
      </c>
      <c r="S122" s="1383">
        <v>4192</v>
      </c>
      <c r="T122" s="1384">
        <v>4244</v>
      </c>
      <c r="U122" s="1384">
        <v>4696</v>
      </c>
      <c r="V122" s="1384">
        <v>4974</v>
      </c>
      <c r="W122" s="1384">
        <v>5198</v>
      </c>
      <c r="X122" s="1384">
        <v>5477</v>
      </c>
      <c r="Y122" s="1384">
        <v>5604</v>
      </c>
      <c r="Z122" s="1384">
        <v>5733</v>
      </c>
      <c r="AA122" s="1384">
        <v>5787</v>
      </c>
      <c r="AB122" s="1384">
        <v>5712</v>
      </c>
      <c r="AC122" s="1384">
        <v>5717</v>
      </c>
      <c r="AD122" s="1384">
        <v>5817</v>
      </c>
      <c r="AE122" s="1384">
        <v>5914</v>
      </c>
      <c r="AF122" s="1384">
        <v>5849</v>
      </c>
      <c r="AG122" s="1385">
        <v>5728</v>
      </c>
      <c r="AH122" s="1429">
        <f t="shared" si="46"/>
        <v>34.589694656488547</v>
      </c>
      <c r="AI122" s="1430">
        <f t="shared" si="47"/>
        <v>25.683317624882189</v>
      </c>
      <c r="AJ122" s="1430">
        <f t="shared" si="48"/>
        <v>25.340715502555366</v>
      </c>
      <c r="AK122" s="1430">
        <f t="shared" si="49"/>
        <v>23.723361479694411</v>
      </c>
      <c r="AL122" s="1430">
        <f t="shared" si="50"/>
        <v>25.202000769526741</v>
      </c>
      <c r="AM122" s="1430">
        <f t="shared" si="51"/>
        <v>21.179477816322802</v>
      </c>
      <c r="AN122" s="1430">
        <f t="shared" si="52"/>
        <v>20.699500356887938</v>
      </c>
      <c r="AO122" s="1430">
        <f t="shared" si="53"/>
        <v>20.757020757020758</v>
      </c>
      <c r="AP122" s="1430">
        <f t="shared" si="54"/>
        <v>22.464143770520131</v>
      </c>
      <c r="AQ122" s="1430">
        <f t="shared" si="55"/>
        <v>17.50700280112045</v>
      </c>
      <c r="AR122" s="1430">
        <f t="shared" si="56"/>
        <v>18.891026762287911</v>
      </c>
      <c r="AS122" s="1430">
        <f t="shared" si="57"/>
        <v>19.253910950661854</v>
      </c>
      <c r="AT122" s="1430">
        <f t="shared" si="58"/>
        <v>16.909029421711192</v>
      </c>
      <c r="AU122" s="1430">
        <f t="shared" si="59"/>
        <v>13.164643528808343</v>
      </c>
      <c r="AV122" s="1431">
        <f t="shared" si="60"/>
        <v>12.220670391061452</v>
      </c>
    </row>
    <row r="123" spans="1:48" s="142" customFormat="1" ht="15.75" customHeight="1">
      <c r="A123" s="149" t="s">
        <v>230</v>
      </c>
      <c r="B123" s="189" t="s">
        <v>231</v>
      </c>
      <c r="C123" s="150" t="s">
        <v>264</v>
      </c>
      <c r="D123" s="1359">
        <v>615</v>
      </c>
      <c r="E123" s="1360">
        <v>580</v>
      </c>
      <c r="F123" s="1361">
        <v>523</v>
      </c>
      <c r="G123" s="1360">
        <v>552</v>
      </c>
      <c r="H123" s="1361">
        <v>534</v>
      </c>
      <c r="I123" s="1360">
        <v>494</v>
      </c>
      <c r="J123" s="1361">
        <v>515</v>
      </c>
      <c r="K123" s="1360">
        <v>462</v>
      </c>
      <c r="L123" s="1374">
        <v>490</v>
      </c>
      <c r="M123" s="1374">
        <v>501</v>
      </c>
      <c r="N123" s="1374">
        <v>430</v>
      </c>
      <c r="O123" s="1374">
        <v>411</v>
      </c>
      <c r="P123" s="1375">
        <v>372</v>
      </c>
      <c r="Q123" s="1375">
        <v>301</v>
      </c>
      <c r="R123" s="1376">
        <v>313</v>
      </c>
      <c r="S123" s="1383">
        <v>35984</v>
      </c>
      <c r="T123" s="1384">
        <v>37114</v>
      </c>
      <c r="U123" s="1384">
        <v>30982</v>
      </c>
      <c r="V123" s="1384">
        <v>31402</v>
      </c>
      <c r="W123" s="1384">
        <v>31633</v>
      </c>
      <c r="X123" s="1384">
        <v>32181</v>
      </c>
      <c r="Y123" s="1384">
        <v>32033</v>
      </c>
      <c r="Z123" s="1384">
        <v>31657</v>
      </c>
      <c r="AA123" s="1384">
        <v>31107</v>
      </c>
      <c r="AB123" s="1384">
        <v>30831</v>
      </c>
      <c r="AC123" s="1384">
        <v>30355</v>
      </c>
      <c r="AD123" s="1384">
        <v>28652</v>
      </c>
      <c r="AE123" s="1384">
        <v>28857</v>
      </c>
      <c r="AF123" s="1384">
        <v>28027</v>
      </c>
      <c r="AG123" s="1385">
        <v>27731</v>
      </c>
      <c r="AH123" s="1429">
        <f t="shared" si="46"/>
        <v>17.090929301911963</v>
      </c>
      <c r="AI123" s="1430">
        <f t="shared" si="47"/>
        <v>15.627526000969985</v>
      </c>
      <c r="AJ123" s="1430">
        <f t="shared" si="48"/>
        <v>16.880769479052354</v>
      </c>
      <c r="AK123" s="1430">
        <f t="shared" si="49"/>
        <v>17.578498184828991</v>
      </c>
      <c r="AL123" s="1430">
        <f t="shared" si="50"/>
        <v>16.881105174975499</v>
      </c>
      <c r="AM123" s="1430">
        <f t="shared" si="51"/>
        <v>15.350672757216991</v>
      </c>
      <c r="AN123" s="1430">
        <f t="shared" si="52"/>
        <v>16.077170418006428</v>
      </c>
      <c r="AO123" s="1430">
        <f t="shared" si="53"/>
        <v>14.593928672963326</v>
      </c>
      <c r="AP123" s="1430">
        <f t="shared" si="54"/>
        <v>15.752081525058667</v>
      </c>
      <c r="AQ123" s="1430">
        <f t="shared" si="55"/>
        <v>16.249878369173885</v>
      </c>
      <c r="AR123" s="1430">
        <f t="shared" si="56"/>
        <v>14.165705814528085</v>
      </c>
      <c r="AS123" s="1430">
        <f t="shared" si="57"/>
        <v>14.344548373586488</v>
      </c>
      <c r="AT123" s="1430">
        <f t="shared" si="58"/>
        <v>12.891152926499636</v>
      </c>
      <c r="AU123" s="1430">
        <f t="shared" si="59"/>
        <v>10.739643914796448</v>
      </c>
      <c r="AV123" s="1431">
        <f t="shared" si="60"/>
        <v>11.287007320327431</v>
      </c>
    </row>
    <row r="124" spans="1:48" s="142" customFormat="1" ht="15.75" customHeight="1">
      <c r="A124" s="149" t="s">
        <v>238</v>
      </c>
      <c r="B124" s="189" t="s">
        <v>239</v>
      </c>
      <c r="C124" s="150" t="s">
        <v>264</v>
      </c>
      <c r="D124" s="1359">
        <v>17</v>
      </c>
      <c r="E124" s="1360">
        <v>7</v>
      </c>
      <c r="F124" s="1361">
        <v>3</v>
      </c>
      <c r="G124" s="1360">
        <v>8</v>
      </c>
      <c r="H124" s="1361">
        <v>8</v>
      </c>
      <c r="I124" s="1360">
        <v>13</v>
      </c>
      <c r="J124" s="1361">
        <v>17</v>
      </c>
      <c r="K124" s="1360">
        <v>21</v>
      </c>
      <c r="L124" s="1374">
        <v>18</v>
      </c>
      <c r="M124" s="1374">
        <v>12</v>
      </c>
      <c r="N124" s="1374">
        <v>10</v>
      </c>
      <c r="O124" s="1374">
        <v>16</v>
      </c>
      <c r="P124" s="1375">
        <v>2</v>
      </c>
      <c r="Q124" s="1375">
        <v>7</v>
      </c>
      <c r="R124" s="1376">
        <v>6</v>
      </c>
      <c r="S124" s="1383">
        <v>1407</v>
      </c>
      <c r="T124" s="1384">
        <v>1416</v>
      </c>
      <c r="U124" s="1384">
        <v>1452</v>
      </c>
      <c r="V124" s="1384">
        <v>1432</v>
      </c>
      <c r="W124" s="1384">
        <v>1430</v>
      </c>
      <c r="X124" s="1384">
        <v>1389</v>
      </c>
      <c r="Y124" s="1384">
        <v>1364</v>
      </c>
      <c r="Z124" s="1384">
        <v>1390</v>
      </c>
      <c r="AA124" s="1384">
        <v>1415</v>
      </c>
      <c r="AB124" s="1384">
        <v>1464</v>
      </c>
      <c r="AC124" s="1384">
        <v>1452</v>
      </c>
      <c r="AD124" s="1384">
        <v>1515</v>
      </c>
      <c r="AE124" s="1384">
        <v>1474</v>
      </c>
      <c r="AF124" s="1384">
        <v>1518</v>
      </c>
      <c r="AG124" s="1385">
        <v>1505</v>
      </c>
      <c r="AH124" s="1429">
        <f t="shared" si="46"/>
        <v>12.082444918265814</v>
      </c>
      <c r="AI124" s="1430">
        <f t="shared" si="47"/>
        <v>4.9435028248587578</v>
      </c>
      <c r="AJ124" s="1430">
        <f t="shared" si="48"/>
        <v>2.0661157024793391</v>
      </c>
      <c r="AK124" s="1430">
        <f t="shared" si="49"/>
        <v>5.5865921787709496</v>
      </c>
      <c r="AL124" s="1430">
        <f t="shared" si="50"/>
        <v>5.5944055944055942</v>
      </c>
      <c r="AM124" s="1430">
        <f t="shared" si="51"/>
        <v>9.3592512598992084</v>
      </c>
      <c r="AN124" s="1430">
        <f t="shared" si="52"/>
        <v>12.463343108504398</v>
      </c>
      <c r="AO124" s="1430">
        <f t="shared" si="53"/>
        <v>15.107913669064748</v>
      </c>
      <c r="AP124" s="1430">
        <f t="shared" si="54"/>
        <v>12.720848056537102</v>
      </c>
      <c r="AQ124" s="1430">
        <f t="shared" si="55"/>
        <v>8.1967213114754109</v>
      </c>
      <c r="AR124" s="1430">
        <f t="shared" si="56"/>
        <v>6.887052341597796</v>
      </c>
      <c r="AS124" s="1430">
        <f t="shared" si="57"/>
        <v>10.561056105610561</v>
      </c>
      <c r="AT124" s="1430">
        <f t="shared" si="58"/>
        <v>1.3568521031207597</v>
      </c>
      <c r="AU124" s="1430">
        <f t="shared" si="59"/>
        <v>4.6113306982872198</v>
      </c>
      <c r="AV124" s="1431">
        <f t="shared" si="60"/>
        <v>3.986710963455149</v>
      </c>
    </row>
    <row r="125" spans="1:48" s="142" customFormat="1" ht="15.75" customHeight="1">
      <c r="A125" s="155" t="s">
        <v>240</v>
      </c>
      <c r="B125" s="191" t="s">
        <v>241</v>
      </c>
      <c r="C125" s="156" t="s">
        <v>267</v>
      </c>
      <c r="D125" s="1362">
        <v>43</v>
      </c>
      <c r="E125" s="1363">
        <v>41</v>
      </c>
      <c r="F125" s="1364">
        <v>47</v>
      </c>
      <c r="G125" s="1363">
        <v>54</v>
      </c>
      <c r="H125" s="1364">
        <v>56</v>
      </c>
      <c r="I125" s="1363">
        <v>49</v>
      </c>
      <c r="J125" s="1364">
        <v>56</v>
      </c>
      <c r="K125" s="1363">
        <v>55</v>
      </c>
      <c r="L125" s="1377">
        <v>65</v>
      </c>
      <c r="M125" s="1377">
        <v>79</v>
      </c>
      <c r="N125" s="1377">
        <v>64</v>
      </c>
      <c r="O125" s="1377">
        <v>41</v>
      </c>
      <c r="P125" s="1375">
        <v>43</v>
      </c>
      <c r="Q125" s="1375">
        <v>38</v>
      </c>
      <c r="R125" s="1376">
        <v>42</v>
      </c>
      <c r="S125" s="1383">
        <v>1509</v>
      </c>
      <c r="T125" s="1384">
        <v>1534</v>
      </c>
      <c r="U125" s="1384">
        <v>1589</v>
      </c>
      <c r="V125" s="1384">
        <v>1584</v>
      </c>
      <c r="W125" s="1384">
        <v>1540</v>
      </c>
      <c r="X125" s="1384">
        <v>1510</v>
      </c>
      <c r="Y125" s="1384">
        <v>1513</v>
      </c>
      <c r="Z125" s="1384">
        <v>1491</v>
      </c>
      <c r="AA125" s="1384">
        <v>1480</v>
      </c>
      <c r="AB125" s="1384">
        <v>1532</v>
      </c>
      <c r="AC125" s="1384">
        <v>1516</v>
      </c>
      <c r="AD125" s="1384">
        <v>1451</v>
      </c>
      <c r="AE125" s="1384">
        <v>1685</v>
      </c>
      <c r="AF125" s="1384">
        <v>1674</v>
      </c>
      <c r="AG125" s="1385">
        <v>1732</v>
      </c>
      <c r="AH125" s="1429">
        <f t="shared" si="46"/>
        <v>28.495692511597085</v>
      </c>
      <c r="AI125" s="1430">
        <f t="shared" si="47"/>
        <v>26.727509778357238</v>
      </c>
      <c r="AJ125" s="1430">
        <f t="shared" si="48"/>
        <v>29.578351164254247</v>
      </c>
      <c r="AK125" s="1430">
        <f t="shared" si="49"/>
        <v>34.090909090909086</v>
      </c>
      <c r="AL125" s="1430">
        <f t="shared" si="50"/>
        <v>36.36363636363636</v>
      </c>
      <c r="AM125" s="1430">
        <f t="shared" si="51"/>
        <v>32.450331125827809</v>
      </c>
      <c r="AN125" s="1430">
        <f t="shared" si="52"/>
        <v>37.012557832121615</v>
      </c>
      <c r="AO125" s="1430">
        <f t="shared" si="53"/>
        <v>36.887994634473507</v>
      </c>
      <c r="AP125" s="1430">
        <f t="shared" si="54"/>
        <v>43.918918918918919</v>
      </c>
      <c r="AQ125" s="1430">
        <f t="shared" si="55"/>
        <v>51.566579634464752</v>
      </c>
      <c r="AR125" s="1430">
        <f t="shared" si="56"/>
        <v>42.21635883905013</v>
      </c>
      <c r="AS125" s="1430">
        <f t="shared" si="57"/>
        <v>28.256374913852515</v>
      </c>
      <c r="AT125" s="1430">
        <f t="shared" si="58"/>
        <v>25.519287833827892</v>
      </c>
      <c r="AU125" s="1430">
        <f t="shared" si="59"/>
        <v>22.700119474313023</v>
      </c>
      <c r="AV125" s="1431">
        <f t="shared" si="60"/>
        <v>24.24942263279446</v>
      </c>
    </row>
    <row r="126" spans="1:48" s="142" customFormat="1" ht="15.75" customHeight="1">
      <c r="A126" s="284"/>
      <c r="B126" s="236"/>
      <c r="C126" s="285"/>
      <c r="D126" s="152"/>
      <c r="E126" s="151"/>
      <c r="F126" s="152"/>
      <c r="G126" s="286"/>
      <c r="H126" s="152"/>
      <c r="I126" s="151"/>
      <c r="J126" s="152"/>
      <c r="K126" s="151"/>
      <c r="L126" s="287"/>
      <c r="M126" s="287"/>
      <c r="N126" s="287"/>
      <c r="O126" s="287"/>
    </row>
    <row r="127" spans="1:48" s="142" customFormat="1" ht="15.75" customHeight="1">
      <c r="A127" s="284" t="s">
        <v>266</v>
      </c>
      <c r="B127" s="236"/>
      <c r="C127" s="285"/>
      <c r="D127" s="1399">
        <v>1749</v>
      </c>
      <c r="E127" s="1400">
        <v>1740</v>
      </c>
      <c r="F127" s="1401">
        <v>1696</v>
      </c>
      <c r="G127" s="1400">
        <v>1685</v>
      </c>
      <c r="H127" s="1401">
        <v>1606</v>
      </c>
      <c r="I127" s="1400">
        <v>1592</v>
      </c>
      <c r="J127" s="1401">
        <v>1481</v>
      </c>
      <c r="K127" s="1400">
        <v>1559</v>
      </c>
      <c r="L127" s="1368">
        <v>1590</v>
      </c>
      <c r="M127" s="1368">
        <v>1573</v>
      </c>
      <c r="N127" s="1368">
        <v>1570</v>
      </c>
      <c r="O127" s="1368">
        <v>1559</v>
      </c>
      <c r="P127" s="1384">
        <v>1312</v>
      </c>
      <c r="Q127" s="1384">
        <v>1151</v>
      </c>
      <c r="R127" s="1385">
        <v>1076</v>
      </c>
      <c r="S127" s="1432">
        <v>72429</v>
      </c>
      <c r="T127" s="1433">
        <v>73349</v>
      </c>
      <c r="U127" s="1384">
        <v>79212</v>
      </c>
      <c r="V127" s="1384">
        <v>80732</v>
      </c>
      <c r="W127" s="1384">
        <v>81792</v>
      </c>
      <c r="X127" s="1384">
        <v>82810</v>
      </c>
      <c r="Y127" s="1384">
        <v>83782</v>
      </c>
      <c r="Z127" s="1384">
        <v>83985</v>
      </c>
      <c r="AA127" s="1384">
        <v>83370</v>
      </c>
      <c r="AB127" s="1384">
        <v>84088</v>
      </c>
      <c r="AC127" s="1384">
        <v>83494</v>
      </c>
      <c r="AD127" s="1384">
        <v>84177</v>
      </c>
      <c r="AE127" s="1384">
        <v>87440</v>
      </c>
      <c r="AF127" s="1384">
        <v>86293</v>
      </c>
      <c r="AG127" s="1385">
        <v>86083</v>
      </c>
      <c r="AH127" s="1429">
        <f t="shared" ref="AH127:AH131" si="61">IF(D127=0,"0",(D127/S127)*1000)</f>
        <v>24.147786107774508</v>
      </c>
      <c r="AI127" s="1430">
        <f t="shared" ref="AI127:AI131" si="62">IF(E127=0,"0",(E127/T127)*1000)</f>
        <v>23.722204801701455</v>
      </c>
      <c r="AJ127" s="1430">
        <f t="shared" ref="AJ127:AJ131" si="63">IF(F127=0,"0",(F127/U127)*1000)</f>
        <v>21.410897338787052</v>
      </c>
      <c r="AK127" s="1430">
        <f t="shared" ref="AK127:AK131" si="64">IF(G127=0,"0",(G127/V127)*1000)</f>
        <v>20.871525541297132</v>
      </c>
      <c r="AL127" s="1430">
        <f t="shared" ref="AL127:AL131" si="65">IF(H127=0,"0",(H127/W127)*1000)</f>
        <v>19.635172143974959</v>
      </c>
      <c r="AM127" s="1430">
        <f t="shared" ref="AM127:AM131" si="66">IF(I127=0,"0",(I127/X127)*1000)</f>
        <v>19.224731312643399</v>
      </c>
      <c r="AN127" s="1430">
        <f t="shared" ref="AN127:AN131" si="67">IF(J127=0,"0",(J127/Y127)*1000)</f>
        <v>17.676827958272661</v>
      </c>
      <c r="AO127" s="1430">
        <f t="shared" ref="AO127:AO131" si="68">IF(K127=0,"0",(K127/Z127)*1000)</f>
        <v>18.562838602131333</v>
      </c>
      <c r="AP127" s="1430">
        <f t="shared" ref="AP127:AP131" si="69">IF(L127=0,"0",(L127/AA127)*1000)</f>
        <v>19.071608492263405</v>
      </c>
      <c r="AQ127" s="1430">
        <f t="shared" ref="AQ127:AQ131" si="70">IF(M127=0,"0",(M127/AB127)*1000)</f>
        <v>18.706593092950243</v>
      </c>
      <c r="AR127" s="1430">
        <f t="shared" ref="AR127:AR131" si="71">IF(N127=0,"0",(N127/AC127)*1000)</f>
        <v>18.80374637698517</v>
      </c>
      <c r="AS127" s="1430">
        <f t="shared" ref="AS127:AS131" si="72">IF(O127=0,"0",(O127/AD127)*1000)</f>
        <v>18.520498473454744</v>
      </c>
      <c r="AT127" s="1430">
        <f t="shared" ref="AT127:AT131" si="73">IF(P127=0,"0",(P127/AE127)*1000)</f>
        <v>15.004574565416284</v>
      </c>
      <c r="AU127" s="1430">
        <f t="shared" ref="AU127:AU131" si="74">IF(Q127=0,"0",(Q127/AF127)*1000)</f>
        <v>13.338277728205068</v>
      </c>
      <c r="AV127" s="1431">
        <f t="shared" ref="AV127:AV131" si="75">IF(R127=0,"0",(R127/AG127)*1000)</f>
        <v>12.499564373918194</v>
      </c>
    </row>
    <row r="128" spans="1:48" s="142" customFormat="1" ht="15.75" customHeight="1">
      <c r="A128" s="284" t="s">
        <v>264</v>
      </c>
      <c r="B128" s="236"/>
      <c r="C128" s="285"/>
      <c r="D128" s="1399">
        <v>3368</v>
      </c>
      <c r="E128" s="1400">
        <v>3337</v>
      </c>
      <c r="F128" s="1401">
        <v>3147</v>
      </c>
      <c r="G128" s="1400">
        <v>3071</v>
      </c>
      <c r="H128" s="1401">
        <v>2976</v>
      </c>
      <c r="I128" s="1400">
        <v>2773</v>
      </c>
      <c r="J128" s="1401">
        <v>2805</v>
      </c>
      <c r="K128" s="1400">
        <v>2724</v>
      </c>
      <c r="L128" s="1368">
        <v>2741</v>
      </c>
      <c r="M128" s="1368">
        <v>2746</v>
      </c>
      <c r="N128" s="1368">
        <v>2561</v>
      </c>
      <c r="O128" s="1368">
        <v>2383</v>
      </c>
      <c r="P128" s="1384">
        <v>2157</v>
      </c>
      <c r="Q128" s="1384">
        <v>1863</v>
      </c>
      <c r="R128" s="1385">
        <v>1692</v>
      </c>
      <c r="S128" s="1432">
        <v>128725</v>
      </c>
      <c r="T128" s="1433">
        <v>131262</v>
      </c>
      <c r="U128" s="1384">
        <v>126168</v>
      </c>
      <c r="V128" s="1384">
        <v>126899</v>
      </c>
      <c r="W128" s="1384">
        <v>127924</v>
      </c>
      <c r="X128" s="1384">
        <v>130166</v>
      </c>
      <c r="Y128" s="1384">
        <v>129942</v>
      </c>
      <c r="Z128" s="1384">
        <v>129032</v>
      </c>
      <c r="AA128" s="1384">
        <v>127717</v>
      </c>
      <c r="AB128" s="1384">
        <v>127702</v>
      </c>
      <c r="AC128" s="1384">
        <v>126592</v>
      </c>
      <c r="AD128" s="1384">
        <v>123427</v>
      </c>
      <c r="AE128" s="1384">
        <v>121689</v>
      </c>
      <c r="AF128" s="1384">
        <v>118821</v>
      </c>
      <c r="AG128" s="1385">
        <v>116990</v>
      </c>
      <c r="AH128" s="1429">
        <f t="shared" si="61"/>
        <v>26.16430374830064</v>
      </c>
      <c r="AI128" s="1430">
        <f t="shared" si="62"/>
        <v>25.422437567612867</v>
      </c>
      <c r="AJ128" s="1430">
        <f t="shared" si="63"/>
        <v>24.942933231881302</v>
      </c>
      <c r="AK128" s="1430">
        <f t="shared" si="64"/>
        <v>24.200348308497308</v>
      </c>
      <c r="AL128" s="1430">
        <f t="shared" si="65"/>
        <v>23.263812888902788</v>
      </c>
      <c r="AM128" s="1430">
        <f t="shared" si="66"/>
        <v>21.303566215447969</v>
      </c>
      <c r="AN128" s="1430">
        <f t="shared" si="67"/>
        <v>21.586554001015838</v>
      </c>
      <c r="AO128" s="1430">
        <f t="shared" si="68"/>
        <v>21.111042222084446</v>
      </c>
      <c r="AP128" s="1430">
        <f t="shared" si="69"/>
        <v>21.461512562932111</v>
      </c>
      <c r="AQ128" s="1430">
        <f t="shared" si="70"/>
        <v>21.50318710748461</v>
      </c>
      <c r="AR128" s="1430">
        <f t="shared" si="71"/>
        <v>20.230346309403437</v>
      </c>
      <c r="AS128" s="1430">
        <f t="shared" si="72"/>
        <v>19.306958769150995</v>
      </c>
      <c r="AT128" s="1430">
        <f t="shared" si="73"/>
        <v>17.725513398910337</v>
      </c>
      <c r="AU128" s="1430">
        <f t="shared" si="74"/>
        <v>15.679046633170904</v>
      </c>
      <c r="AV128" s="1431">
        <f t="shared" si="75"/>
        <v>14.462774596119328</v>
      </c>
    </row>
    <row r="129" spans="1:48" s="142" customFormat="1" ht="15.75" customHeight="1">
      <c r="A129" s="284" t="s">
        <v>267</v>
      </c>
      <c r="B129" s="236"/>
      <c r="C129" s="285"/>
      <c r="D129" s="1399">
        <v>2385</v>
      </c>
      <c r="E129" s="1400">
        <v>2477</v>
      </c>
      <c r="F129" s="1401">
        <v>2452</v>
      </c>
      <c r="G129" s="1400">
        <v>2490</v>
      </c>
      <c r="H129" s="1401">
        <v>2369</v>
      </c>
      <c r="I129" s="1400">
        <v>2347</v>
      </c>
      <c r="J129" s="1401">
        <v>2449</v>
      </c>
      <c r="K129" s="1400">
        <v>2459</v>
      </c>
      <c r="L129" s="1368">
        <v>2629</v>
      </c>
      <c r="M129" s="1368">
        <v>2585</v>
      </c>
      <c r="N129" s="1368">
        <v>2365</v>
      </c>
      <c r="O129" s="1368">
        <v>2112</v>
      </c>
      <c r="P129" s="1384">
        <v>1928</v>
      </c>
      <c r="Q129" s="1384">
        <v>1797</v>
      </c>
      <c r="R129" s="1385">
        <v>1724</v>
      </c>
      <c r="S129" s="1432">
        <v>151287</v>
      </c>
      <c r="T129" s="1433">
        <v>154494</v>
      </c>
      <c r="U129" s="1384">
        <v>161605</v>
      </c>
      <c r="V129" s="1384">
        <v>169393</v>
      </c>
      <c r="W129" s="1384">
        <v>173581</v>
      </c>
      <c r="X129" s="1384">
        <v>177265</v>
      </c>
      <c r="Y129" s="1384">
        <v>180682</v>
      </c>
      <c r="Z129" s="1384">
        <v>183555</v>
      </c>
      <c r="AA129" s="1384">
        <v>183011</v>
      </c>
      <c r="AB129" s="1384">
        <v>186356</v>
      </c>
      <c r="AC129" s="1384">
        <v>186572</v>
      </c>
      <c r="AD129" s="1384">
        <v>190395</v>
      </c>
      <c r="AE129" s="1384">
        <v>198927</v>
      </c>
      <c r="AF129" s="1384">
        <v>203315</v>
      </c>
      <c r="AG129" s="1385">
        <v>207128</v>
      </c>
      <c r="AH129" s="1429">
        <f t="shared" si="61"/>
        <v>15.764738543298501</v>
      </c>
      <c r="AI129" s="1430">
        <f t="shared" si="62"/>
        <v>16.032985099744973</v>
      </c>
      <c r="AJ129" s="1430">
        <f t="shared" si="63"/>
        <v>15.172797871352989</v>
      </c>
      <c r="AK129" s="1430">
        <f t="shared" si="64"/>
        <v>14.699544845418641</v>
      </c>
      <c r="AL129" s="1430">
        <f t="shared" si="65"/>
        <v>13.647807075659202</v>
      </c>
      <c r="AM129" s="1430">
        <f t="shared" si="66"/>
        <v>13.240064310495585</v>
      </c>
      <c r="AN129" s="1430">
        <f t="shared" si="67"/>
        <v>13.554200197031248</v>
      </c>
      <c r="AO129" s="1430">
        <f t="shared" si="68"/>
        <v>13.39652965051347</v>
      </c>
      <c r="AP129" s="1430">
        <f t="shared" si="69"/>
        <v>14.365256733201829</v>
      </c>
      <c r="AQ129" s="1430">
        <f t="shared" si="70"/>
        <v>13.871300092296465</v>
      </c>
      <c r="AR129" s="1430">
        <f t="shared" si="71"/>
        <v>12.676071436228373</v>
      </c>
      <c r="AS129" s="1430">
        <f t="shared" si="72"/>
        <v>11.092728275427401</v>
      </c>
      <c r="AT129" s="1430">
        <f t="shared" si="73"/>
        <v>9.6919975669466698</v>
      </c>
      <c r="AU129" s="1430">
        <f t="shared" si="74"/>
        <v>8.8385018321324047</v>
      </c>
      <c r="AV129" s="1431">
        <f t="shared" si="75"/>
        <v>8.3233556061952019</v>
      </c>
    </row>
    <row r="130" spans="1:48" s="142" customFormat="1" ht="15.75" customHeight="1">
      <c r="A130" s="284" t="s">
        <v>265</v>
      </c>
      <c r="B130" s="236"/>
      <c r="C130" s="285"/>
      <c r="D130" s="1399">
        <v>1689</v>
      </c>
      <c r="E130" s="1400">
        <v>1661</v>
      </c>
      <c r="F130" s="1401">
        <v>1644</v>
      </c>
      <c r="G130" s="1400">
        <v>1526</v>
      </c>
      <c r="H130" s="1401">
        <v>1504</v>
      </c>
      <c r="I130" s="1400">
        <v>1550</v>
      </c>
      <c r="J130" s="1401">
        <v>1469</v>
      </c>
      <c r="K130" s="1400">
        <v>1445</v>
      </c>
      <c r="L130" s="1368">
        <v>1512</v>
      </c>
      <c r="M130" s="1368">
        <v>1588</v>
      </c>
      <c r="N130" s="1368">
        <v>1564</v>
      </c>
      <c r="O130" s="1368">
        <v>1426</v>
      </c>
      <c r="P130" s="1384">
        <v>1225</v>
      </c>
      <c r="Q130" s="1384">
        <v>1084</v>
      </c>
      <c r="R130" s="1385">
        <v>967</v>
      </c>
      <c r="S130" s="1432">
        <v>68837</v>
      </c>
      <c r="T130" s="1433">
        <v>68970</v>
      </c>
      <c r="U130" s="1384">
        <v>73005</v>
      </c>
      <c r="V130" s="1384">
        <v>72374</v>
      </c>
      <c r="W130" s="1384">
        <v>72580</v>
      </c>
      <c r="X130" s="1384">
        <v>73084</v>
      </c>
      <c r="Y130" s="1384">
        <v>72997</v>
      </c>
      <c r="Z130" s="1384">
        <v>73368</v>
      </c>
      <c r="AA130" s="1384">
        <v>72167</v>
      </c>
      <c r="AB130" s="1384">
        <v>71830</v>
      </c>
      <c r="AC130" s="1384">
        <v>71046</v>
      </c>
      <c r="AD130" s="1384">
        <v>71941</v>
      </c>
      <c r="AE130" s="1384">
        <v>73968</v>
      </c>
      <c r="AF130" s="1384">
        <v>73083</v>
      </c>
      <c r="AG130" s="1385">
        <v>72177</v>
      </c>
      <c r="AH130" s="1429">
        <f t="shared" si="61"/>
        <v>24.536223252030158</v>
      </c>
      <c r="AI130" s="1430">
        <f t="shared" si="62"/>
        <v>24.082934609250401</v>
      </c>
      <c r="AJ130" s="1430">
        <f t="shared" si="63"/>
        <v>22.519005547565236</v>
      </c>
      <c r="AK130" s="1430">
        <f t="shared" si="64"/>
        <v>21.08491999889463</v>
      </c>
      <c r="AL130" s="1430">
        <f t="shared" si="65"/>
        <v>20.721961972995317</v>
      </c>
      <c r="AM130" s="1430">
        <f t="shared" si="66"/>
        <v>21.208472442668711</v>
      </c>
      <c r="AN130" s="1430">
        <f t="shared" si="67"/>
        <v>20.124114689644781</v>
      </c>
      <c r="AO130" s="1430">
        <f t="shared" si="68"/>
        <v>19.695234979827717</v>
      </c>
      <c r="AP130" s="1430">
        <f t="shared" si="69"/>
        <v>20.951404381504013</v>
      </c>
      <c r="AQ130" s="1430">
        <f t="shared" si="70"/>
        <v>22.107754420158706</v>
      </c>
      <c r="AR130" s="1430">
        <f t="shared" si="71"/>
        <v>22.013906483123609</v>
      </c>
      <c r="AS130" s="1430">
        <f t="shared" si="72"/>
        <v>19.821798418148205</v>
      </c>
      <c r="AT130" s="1430">
        <f t="shared" si="73"/>
        <v>16.561215660826303</v>
      </c>
      <c r="AU130" s="1430">
        <f t="shared" si="74"/>
        <v>14.832450775146068</v>
      </c>
      <c r="AV130" s="1431">
        <f t="shared" si="75"/>
        <v>13.397619740360504</v>
      </c>
    </row>
    <row r="131" spans="1:48" s="142" customFormat="1" ht="15.75" customHeight="1">
      <c r="A131" s="284" t="s">
        <v>268</v>
      </c>
      <c r="B131" s="236"/>
      <c r="C131" s="285"/>
      <c r="D131" s="1399">
        <v>911</v>
      </c>
      <c r="E131" s="1400">
        <v>875</v>
      </c>
      <c r="F131" s="1401">
        <v>864</v>
      </c>
      <c r="G131" s="1400">
        <v>805</v>
      </c>
      <c r="H131" s="1401">
        <v>740</v>
      </c>
      <c r="I131" s="1400">
        <v>679</v>
      </c>
      <c r="J131" s="1401">
        <v>710</v>
      </c>
      <c r="K131" s="1400">
        <v>718</v>
      </c>
      <c r="L131" s="1368">
        <v>724</v>
      </c>
      <c r="M131" s="1368">
        <v>814</v>
      </c>
      <c r="N131" s="1368">
        <v>842</v>
      </c>
      <c r="O131" s="1368">
        <v>804</v>
      </c>
      <c r="P131" s="1384">
        <v>822</v>
      </c>
      <c r="Q131" s="1384">
        <v>677</v>
      </c>
      <c r="R131" s="1385">
        <v>675</v>
      </c>
      <c r="S131" s="1432">
        <v>38047</v>
      </c>
      <c r="T131" s="1433">
        <v>37494</v>
      </c>
      <c r="U131" s="1384">
        <v>38250</v>
      </c>
      <c r="V131" s="1384">
        <v>37027</v>
      </c>
      <c r="W131" s="1384">
        <v>36507</v>
      </c>
      <c r="X131" s="1384">
        <v>36073</v>
      </c>
      <c r="Y131" s="1384">
        <v>36009</v>
      </c>
      <c r="Z131" s="1384">
        <v>36265</v>
      </c>
      <c r="AA131" s="1384">
        <v>36079</v>
      </c>
      <c r="AB131" s="1384">
        <v>35872</v>
      </c>
      <c r="AC131" s="1384">
        <v>35506</v>
      </c>
      <c r="AD131" s="1384">
        <v>36036</v>
      </c>
      <c r="AE131" s="1384">
        <v>37061</v>
      </c>
      <c r="AF131" s="1384">
        <v>35880</v>
      </c>
      <c r="AG131" s="1385">
        <v>35415</v>
      </c>
      <c r="AH131" s="1429">
        <f t="shared" si="61"/>
        <v>23.944069177596131</v>
      </c>
      <c r="AI131" s="1430">
        <f t="shared" si="62"/>
        <v>23.337067264095587</v>
      </c>
      <c r="AJ131" s="1430">
        <f t="shared" si="63"/>
        <v>22.588235294117649</v>
      </c>
      <c r="AK131" s="1430">
        <f t="shared" si="64"/>
        <v>21.740891781672833</v>
      </c>
      <c r="AL131" s="1430">
        <f t="shared" si="65"/>
        <v>20.27008518914181</v>
      </c>
      <c r="AM131" s="1430">
        <f t="shared" si="66"/>
        <v>18.822942366867185</v>
      </c>
      <c r="AN131" s="1430">
        <f t="shared" si="67"/>
        <v>19.717292898997474</v>
      </c>
      <c r="AO131" s="1430">
        <f t="shared" si="68"/>
        <v>19.798703984558113</v>
      </c>
      <c r="AP131" s="1430">
        <f t="shared" si="69"/>
        <v>20.067075029795724</v>
      </c>
      <c r="AQ131" s="1430">
        <f t="shared" si="70"/>
        <v>22.691793041926854</v>
      </c>
      <c r="AR131" s="1430">
        <f t="shared" si="71"/>
        <v>23.714301808145102</v>
      </c>
      <c r="AS131" s="1430">
        <f t="shared" si="72"/>
        <v>22.311022311022313</v>
      </c>
      <c r="AT131" s="1430">
        <f t="shared" si="73"/>
        <v>22.179649766601006</v>
      </c>
      <c r="AU131" s="1430">
        <f t="shared" si="74"/>
        <v>18.868450390189523</v>
      </c>
      <c r="AV131" s="1431">
        <f t="shared" si="75"/>
        <v>19.05972045743329</v>
      </c>
    </row>
    <row r="132" spans="1:48" s="142" customFormat="1" ht="15.75" customHeight="1">
      <c r="A132" s="284"/>
      <c r="B132" s="236"/>
      <c r="C132" s="285"/>
      <c r="D132" s="152"/>
      <c r="E132" s="151"/>
      <c r="F132" s="152"/>
      <c r="G132" s="286"/>
      <c r="H132" s="152"/>
      <c r="I132" s="151"/>
      <c r="J132" s="152"/>
      <c r="K132" s="151"/>
      <c r="L132" s="287"/>
      <c r="M132" s="287"/>
      <c r="N132" s="287"/>
      <c r="O132" s="287"/>
    </row>
    <row r="133" spans="1:48" ht="18" customHeight="1">
      <c r="A133" s="1899" t="s">
        <v>671</v>
      </c>
      <c r="B133" s="1899"/>
      <c r="C133" s="1899"/>
      <c r="D133" s="1899"/>
      <c r="E133" s="1899"/>
      <c r="F133" s="1899"/>
      <c r="G133" s="1899"/>
    </row>
    <row r="134" spans="1:48" s="185" customFormat="1" ht="12.75">
      <c r="A134" s="185" t="s">
        <v>248</v>
      </c>
    </row>
    <row r="135" spans="1:48" s="185" customFormat="1" ht="12.75">
      <c r="A135" s="192" t="s">
        <v>249</v>
      </c>
      <c r="B135" s="170" t="s">
        <v>250</v>
      </c>
    </row>
  </sheetData>
  <autoFilter ref="A4:C125"/>
  <sortState ref="A6:AV125">
    <sortCondition ref="A6:A125"/>
  </sortState>
  <mergeCells count="5">
    <mergeCell ref="E2:G2"/>
    <mergeCell ref="D3:R3"/>
    <mergeCell ref="S3:AG3"/>
    <mergeCell ref="AH3:AV3"/>
    <mergeCell ref="A133:G133"/>
  </mergeCells>
  <hyperlinks>
    <hyperlink ref="B135" r:id="rId1"/>
  </hyperlink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X134"/>
  <sheetViews>
    <sheetView workbookViewId="0">
      <pane xSplit="3" ySplit="4" topLeftCell="D5" activePane="bottomRight" state="frozen"/>
      <selection pane="topRight" activeCell="D1" sqref="D1"/>
      <selection pane="bottomLeft" activeCell="A5" sqref="A5"/>
      <selection pane="bottomRight" activeCell="A5" sqref="A5:XFD124"/>
    </sheetView>
  </sheetViews>
  <sheetFormatPr defaultRowHeight="15.75"/>
  <cols>
    <col min="1" max="1" width="7.75" style="134" customWidth="1"/>
    <col min="2" max="2" width="28.625" style="158" customWidth="1"/>
    <col min="3" max="3" width="10" style="158" customWidth="1"/>
    <col min="4" max="4" width="14.375" customWidth="1"/>
    <col min="5" max="8" width="13" customWidth="1"/>
    <col min="9" max="9" width="1.625" customWidth="1"/>
    <col min="10" max="13" width="13.75" customWidth="1"/>
    <col min="14" max="14" width="4.375" customWidth="1"/>
    <col min="15" max="15" width="11.125" bestFit="1" customWidth="1"/>
    <col min="20" max="20" width="2.375" customWidth="1"/>
  </cols>
  <sheetData>
    <row r="1" spans="1:24">
      <c r="A1" s="314" t="s">
        <v>966</v>
      </c>
      <c r="B1" s="314"/>
      <c r="C1" s="314"/>
    </row>
    <row r="2" spans="1:24">
      <c r="A2" s="96"/>
      <c r="B2" s="136"/>
      <c r="C2" s="136"/>
    </row>
    <row r="3" spans="1:24" ht="64.5">
      <c r="A3" s="1496" t="s">
        <v>4</v>
      </c>
      <c r="B3" s="1497" t="s">
        <v>5</v>
      </c>
      <c r="C3" s="1497" t="s">
        <v>251</v>
      </c>
      <c r="D3" s="1040" t="s">
        <v>967</v>
      </c>
      <c r="E3" s="1040" t="s">
        <v>968</v>
      </c>
      <c r="F3" s="1040" t="s">
        <v>969</v>
      </c>
      <c r="G3" s="1040" t="s">
        <v>970</v>
      </c>
      <c r="H3" s="1040" t="s">
        <v>971</v>
      </c>
      <c r="I3" s="1040"/>
      <c r="J3" s="1040" t="s">
        <v>972</v>
      </c>
      <c r="K3" s="1040" t="s">
        <v>973</v>
      </c>
      <c r="L3" s="1040" t="s">
        <v>974</v>
      </c>
      <c r="M3" s="1040" t="s">
        <v>975</v>
      </c>
      <c r="O3" s="1040" t="s">
        <v>976</v>
      </c>
      <c r="P3" s="1040" t="s">
        <v>977</v>
      </c>
      <c r="Q3" s="1040" t="s">
        <v>978</v>
      </c>
      <c r="R3" s="1040" t="s">
        <v>979</v>
      </c>
      <c r="S3" s="1040" t="s">
        <v>980</v>
      </c>
      <c r="T3" s="1040"/>
      <c r="U3" s="1040" t="s">
        <v>981</v>
      </c>
      <c r="V3" s="1040" t="s">
        <v>982</v>
      </c>
      <c r="W3" s="1040" t="s">
        <v>983</v>
      </c>
      <c r="X3" s="1040" t="s">
        <v>984</v>
      </c>
    </row>
    <row r="4" spans="1:24">
      <c r="A4" s="146" t="s">
        <v>8</v>
      </c>
      <c r="B4" s="147" t="s">
        <v>9</v>
      </c>
      <c r="C4" s="148"/>
      <c r="D4" s="1490">
        <v>903081</v>
      </c>
      <c r="E4" s="1491">
        <v>638675</v>
      </c>
      <c r="F4" s="1491">
        <f t="shared" ref="F4:F35" si="0">G4+H4</f>
        <v>264406</v>
      </c>
      <c r="G4" s="1491">
        <v>59973</v>
      </c>
      <c r="H4" s="1491">
        <v>204433</v>
      </c>
      <c r="I4" s="1491"/>
      <c r="J4" s="1492">
        <f t="shared" ref="J4:J35" si="1">E4/D4</f>
        <v>0.70721784646117014</v>
      </c>
      <c r="K4" s="1492">
        <f t="shared" ref="K4:K35" si="2">F4/D4</f>
        <v>0.29278215353882986</v>
      </c>
      <c r="L4" s="1492">
        <f t="shared" ref="L4:L35" si="3">G4/D4</f>
        <v>6.6409325409348657E-2</v>
      </c>
      <c r="M4" s="1492">
        <f t="shared" ref="M4:M35" si="4">H4/D4</f>
        <v>0.22637282812948117</v>
      </c>
      <c r="N4" s="1493"/>
      <c r="O4" s="1494">
        <v>213047</v>
      </c>
      <c r="P4" s="1494">
        <v>152462</v>
      </c>
      <c r="Q4" s="1494">
        <f t="shared" ref="Q4:Q35" si="5">R4+S4</f>
        <v>60585</v>
      </c>
      <c r="R4" s="1494">
        <v>16857</v>
      </c>
      <c r="S4" s="1494">
        <v>43728</v>
      </c>
      <c r="T4" s="1495"/>
      <c r="U4" s="1492">
        <f t="shared" ref="U4:U35" si="6">P4/O4</f>
        <v>0.71562612944561532</v>
      </c>
      <c r="V4" s="1492">
        <f t="shared" ref="V4:V35" si="7">Q4/O4</f>
        <v>0.28437387055438473</v>
      </c>
      <c r="W4" s="1492">
        <f t="shared" ref="W4:W35" si="8">R4/O4</f>
        <v>7.912338591953888E-2</v>
      </c>
      <c r="X4" s="1492">
        <f t="shared" ref="X4:X35" si="9">S4/O4</f>
        <v>0.20525048463484583</v>
      </c>
    </row>
    <row r="5" spans="1:24">
      <c r="A5" s="149" t="s">
        <v>10</v>
      </c>
      <c r="B5" s="188" t="s">
        <v>11</v>
      </c>
      <c r="C5" s="150" t="s">
        <v>264</v>
      </c>
      <c r="D5" s="243">
        <v>3020</v>
      </c>
      <c r="E5" s="243">
        <v>1852</v>
      </c>
      <c r="F5" s="243">
        <f t="shared" si="0"/>
        <v>1168</v>
      </c>
      <c r="G5" s="243">
        <v>248</v>
      </c>
      <c r="H5" s="243">
        <v>920</v>
      </c>
      <c r="I5" s="243"/>
      <c r="J5" s="1487">
        <f t="shared" si="1"/>
        <v>0.61324503311258283</v>
      </c>
      <c r="K5" s="1487">
        <f t="shared" si="2"/>
        <v>0.38675496688741723</v>
      </c>
      <c r="L5" s="1487">
        <f t="shared" si="3"/>
        <v>8.211920529801324E-2</v>
      </c>
      <c r="M5" s="1487">
        <f t="shared" si="4"/>
        <v>0.30463576158940397</v>
      </c>
      <c r="O5" s="1488">
        <v>440</v>
      </c>
      <c r="P5" s="1488">
        <v>319</v>
      </c>
      <c r="Q5" s="1488">
        <f t="shared" si="5"/>
        <v>121</v>
      </c>
      <c r="R5" s="1488">
        <v>26</v>
      </c>
      <c r="S5" s="1488">
        <v>95</v>
      </c>
      <c r="U5" s="1489">
        <f t="shared" si="6"/>
        <v>0.72499999999999998</v>
      </c>
      <c r="V5" s="1489">
        <f t="shared" si="7"/>
        <v>0.27500000000000002</v>
      </c>
      <c r="W5" s="1489">
        <f t="shared" si="8"/>
        <v>5.909090909090909E-2</v>
      </c>
      <c r="X5" s="1489">
        <f t="shared" si="9"/>
        <v>0.21590909090909091</v>
      </c>
    </row>
    <row r="6" spans="1:24">
      <c r="A6" s="149" t="s">
        <v>12</v>
      </c>
      <c r="B6" s="189" t="s">
        <v>13</v>
      </c>
      <c r="C6" s="150" t="s">
        <v>265</v>
      </c>
      <c r="D6" s="243">
        <v>10389</v>
      </c>
      <c r="E6" s="243">
        <v>8129</v>
      </c>
      <c r="F6" s="243">
        <f t="shared" si="0"/>
        <v>2260</v>
      </c>
      <c r="G6" s="243">
        <v>430</v>
      </c>
      <c r="H6" s="243">
        <v>1830</v>
      </c>
      <c r="I6" s="243"/>
      <c r="J6" s="1487">
        <f t="shared" si="1"/>
        <v>0.78246221965540474</v>
      </c>
      <c r="K6" s="1487">
        <f t="shared" si="2"/>
        <v>0.21753778034459526</v>
      </c>
      <c r="L6" s="1487">
        <f t="shared" si="3"/>
        <v>4.1389931658484938E-2</v>
      </c>
      <c r="M6" s="1487">
        <f t="shared" si="4"/>
        <v>0.1761478486861103</v>
      </c>
      <c r="O6" s="1488">
        <v>2529</v>
      </c>
      <c r="P6" s="1488">
        <v>1995</v>
      </c>
      <c r="Q6" s="1488">
        <f t="shared" si="5"/>
        <v>534</v>
      </c>
      <c r="R6" s="1488">
        <v>80</v>
      </c>
      <c r="S6" s="1488">
        <v>454</v>
      </c>
      <c r="U6" s="1489">
        <f t="shared" si="6"/>
        <v>0.78884934756820879</v>
      </c>
      <c r="V6" s="1489">
        <f t="shared" si="7"/>
        <v>0.21115065243179121</v>
      </c>
      <c r="W6" s="1489">
        <f t="shared" si="8"/>
        <v>3.1633056544088572E-2</v>
      </c>
      <c r="X6" s="1489">
        <f t="shared" si="9"/>
        <v>0.17951759588770264</v>
      </c>
    </row>
    <row r="7" spans="1:24">
      <c r="A7" s="149" t="s">
        <v>16</v>
      </c>
      <c r="B7" s="189" t="s">
        <v>297</v>
      </c>
      <c r="C7" s="150" t="s">
        <v>265</v>
      </c>
      <c r="D7" s="243">
        <v>2016</v>
      </c>
      <c r="E7" s="243">
        <v>1428</v>
      </c>
      <c r="F7" s="243">
        <f t="shared" si="0"/>
        <v>588</v>
      </c>
      <c r="G7" s="243">
        <v>153</v>
      </c>
      <c r="H7" s="243">
        <v>435</v>
      </c>
      <c r="I7" s="243"/>
      <c r="J7" s="1487">
        <f t="shared" si="1"/>
        <v>0.70833333333333337</v>
      </c>
      <c r="K7" s="1487">
        <f t="shared" si="2"/>
        <v>0.29166666666666669</v>
      </c>
      <c r="L7" s="1487">
        <f t="shared" si="3"/>
        <v>7.5892857142857137E-2</v>
      </c>
      <c r="M7" s="1487">
        <f t="shared" si="4"/>
        <v>0.21577380952380953</v>
      </c>
      <c r="O7" s="1488">
        <v>260</v>
      </c>
      <c r="P7" s="1488">
        <v>179</v>
      </c>
      <c r="Q7" s="1488">
        <f t="shared" si="5"/>
        <v>81</v>
      </c>
      <c r="R7" s="1488">
        <v>17</v>
      </c>
      <c r="S7" s="1488">
        <v>64</v>
      </c>
      <c r="U7" s="1489">
        <f t="shared" si="6"/>
        <v>0.68846153846153846</v>
      </c>
      <c r="V7" s="1489">
        <f t="shared" si="7"/>
        <v>0.31153846153846154</v>
      </c>
      <c r="W7" s="1489">
        <f t="shared" si="8"/>
        <v>6.5384615384615388E-2</v>
      </c>
      <c r="X7" s="1489">
        <f t="shared" si="9"/>
        <v>0.24615384615384617</v>
      </c>
    </row>
    <row r="8" spans="1:24">
      <c r="A8" s="149" t="s">
        <v>18</v>
      </c>
      <c r="B8" s="189" t="s">
        <v>19</v>
      </c>
      <c r="C8" s="150" t="s">
        <v>266</v>
      </c>
      <c r="D8" s="243">
        <v>1389</v>
      </c>
      <c r="E8" s="243">
        <v>927</v>
      </c>
      <c r="F8" s="243">
        <f t="shared" si="0"/>
        <v>462</v>
      </c>
      <c r="G8" s="243">
        <v>110</v>
      </c>
      <c r="H8" s="243">
        <v>352</v>
      </c>
      <c r="I8" s="243"/>
      <c r="J8" s="1487">
        <f t="shared" si="1"/>
        <v>0.66738660907127434</v>
      </c>
      <c r="K8" s="1487">
        <f t="shared" si="2"/>
        <v>0.33261339092872572</v>
      </c>
      <c r="L8" s="1487">
        <f t="shared" si="3"/>
        <v>7.9193664506839456E-2</v>
      </c>
      <c r="M8" s="1487">
        <f t="shared" si="4"/>
        <v>0.25341972642188626</v>
      </c>
      <c r="O8" s="1488">
        <v>295</v>
      </c>
      <c r="P8" s="1488">
        <v>128</v>
      </c>
      <c r="Q8" s="1488">
        <f t="shared" si="5"/>
        <v>167</v>
      </c>
      <c r="R8" s="1488">
        <v>30</v>
      </c>
      <c r="S8" s="1488">
        <v>137</v>
      </c>
      <c r="U8" s="1489">
        <f t="shared" si="6"/>
        <v>0.43389830508474575</v>
      </c>
      <c r="V8" s="1489">
        <f t="shared" si="7"/>
        <v>0.56610169491525419</v>
      </c>
      <c r="W8" s="1489">
        <f t="shared" si="8"/>
        <v>0.10169491525423729</v>
      </c>
      <c r="X8" s="1489">
        <f t="shared" si="9"/>
        <v>0.46440677966101696</v>
      </c>
    </row>
    <row r="9" spans="1:24">
      <c r="A9" s="149" t="s">
        <v>20</v>
      </c>
      <c r="B9" s="189" t="s">
        <v>21</v>
      </c>
      <c r="C9" s="150" t="s">
        <v>265</v>
      </c>
      <c r="D9" s="243">
        <v>3222</v>
      </c>
      <c r="E9" s="243">
        <v>2003</v>
      </c>
      <c r="F9" s="243">
        <f t="shared" si="0"/>
        <v>1219</v>
      </c>
      <c r="G9" s="243">
        <v>261</v>
      </c>
      <c r="H9" s="243">
        <v>958</v>
      </c>
      <c r="I9" s="243"/>
      <c r="J9" s="1487">
        <f t="shared" si="1"/>
        <v>0.62166356300434511</v>
      </c>
      <c r="K9" s="1487">
        <f t="shared" si="2"/>
        <v>0.37833643699565489</v>
      </c>
      <c r="L9" s="1487">
        <f t="shared" si="3"/>
        <v>8.1005586592178769E-2</v>
      </c>
      <c r="M9" s="1487">
        <f t="shared" si="4"/>
        <v>0.29733085040347612</v>
      </c>
      <c r="O9" s="1488">
        <v>798</v>
      </c>
      <c r="P9" s="1488">
        <v>563</v>
      </c>
      <c r="Q9" s="1488">
        <f t="shared" si="5"/>
        <v>235</v>
      </c>
      <c r="R9" s="1488">
        <v>64</v>
      </c>
      <c r="S9" s="1488">
        <v>171</v>
      </c>
      <c r="U9" s="1489">
        <f t="shared" si="6"/>
        <v>0.70551378446115287</v>
      </c>
      <c r="V9" s="1489">
        <f t="shared" si="7"/>
        <v>0.29448621553884713</v>
      </c>
      <c r="W9" s="1489">
        <f t="shared" si="8"/>
        <v>8.0200501253132828E-2</v>
      </c>
      <c r="X9" s="1489">
        <f t="shared" si="9"/>
        <v>0.21428571428571427</v>
      </c>
    </row>
    <row r="10" spans="1:24">
      <c r="A10" s="149" t="s">
        <v>22</v>
      </c>
      <c r="B10" s="189" t="s">
        <v>23</v>
      </c>
      <c r="C10" s="150" t="s">
        <v>265</v>
      </c>
      <c r="D10" s="243">
        <v>1575</v>
      </c>
      <c r="E10" s="243">
        <v>1022</v>
      </c>
      <c r="F10" s="243">
        <f t="shared" si="0"/>
        <v>553</v>
      </c>
      <c r="G10" s="243">
        <v>142</v>
      </c>
      <c r="H10" s="243">
        <v>411</v>
      </c>
      <c r="I10" s="243"/>
      <c r="J10" s="1487">
        <f t="shared" si="1"/>
        <v>0.64888888888888885</v>
      </c>
      <c r="K10" s="1487">
        <f t="shared" si="2"/>
        <v>0.3511111111111111</v>
      </c>
      <c r="L10" s="1487">
        <f t="shared" si="3"/>
        <v>9.015873015873016E-2</v>
      </c>
      <c r="M10" s="1487">
        <f t="shared" si="4"/>
        <v>0.26095238095238094</v>
      </c>
      <c r="O10" s="1488">
        <v>294</v>
      </c>
      <c r="P10" s="1488">
        <v>195</v>
      </c>
      <c r="Q10" s="1488">
        <f t="shared" si="5"/>
        <v>99</v>
      </c>
      <c r="R10" s="1488">
        <v>80</v>
      </c>
      <c r="S10" s="1488">
        <v>19</v>
      </c>
      <c r="U10" s="1489">
        <f t="shared" si="6"/>
        <v>0.66326530612244894</v>
      </c>
      <c r="V10" s="1489">
        <f t="shared" si="7"/>
        <v>0.33673469387755101</v>
      </c>
      <c r="W10" s="1489">
        <f t="shared" si="8"/>
        <v>0.27210884353741499</v>
      </c>
      <c r="X10" s="1489">
        <f t="shared" si="9"/>
        <v>6.4625850340136057E-2</v>
      </c>
    </row>
    <row r="11" spans="1:24">
      <c r="A11" s="149" t="s">
        <v>24</v>
      </c>
      <c r="B11" s="189" t="s">
        <v>25</v>
      </c>
      <c r="C11" s="150" t="s">
        <v>267</v>
      </c>
      <c r="D11" s="243">
        <v>18268</v>
      </c>
      <c r="E11" s="243">
        <v>14470</v>
      </c>
      <c r="F11" s="243">
        <f t="shared" si="0"/>
        <v>3798</v>
      </c>
      <c r="G11" s="243">
        <v>909</v>
      </c>
      <c r="H11" s="243">
        <v>2889</v>
      </c>
      <c r="I11" s="243"/>
      <c r="J11" s="1487">
        <f t="shared" si="1"/>
        <v>0.79209546748412529</v>
      </c>
      <c r="K11" s="1487">
        <f t="shared" si="2"/>
        <v>0.20790453251587476</v>
      </c>
      <c r="L11" s="1487">
        <f t="shared" si="3"/>
        <v>4.9759141668491352E-2</v>
      </c>
      <c r="M11" s="1487">
        <f t="shared" si="4"/>
        <v>0.15814539084738341</v>
      </c>
      <c r="O11" s="1488">
        <v>6718</v>
      </c>
      <c r="P11" s="1488">
        <v>5746</v>
      </c>
      <c r="Q11" s="1488">
        <f t="shared" si="5"/>
        <v>972</v>
      </c>
      <c r="R11" s="1488">
        <v>272</v>
      </c>
      <c r="S11" s="1488">
        <v>700</v>
      </c>
      <c r="U11" s="1489">
        <f t="shared" si="6"/>
        <v>0.85531408157189637</v>
      </c>
      <c r="V11" s="1489">
        <f t="shared" si="7"/>
        <v>0.1446859184281036</v>
      </c>
      <c r="W11" s="1489">
        <f t="shared" si="8"/>
        <v>4.0488240547782078E-2</v>
      </c>
      <c r="X11" s="1489">
        <f t="shared" si="9"/>
        <v>0.10419767788032153</v>
      </c>
    </row>
    <row r="12" spans="1:24">
      <c r="A12" s="149" t="s">
        <v>26</v>
      </c>
      <c r="B12" s="189" t="s">
        <v>298</v>
      </c>
      <c r="C12" s="150" t="s">
        <v>265</v>
      </c>
      <c r="D12" s="243">
        <v>12252</v>
      </c>
      <c r="E12" s="243">
        <v>8257</v>
      </c>
      <c r="F12" s="243">
        <f t="shared" si="0"/>
        <v>3995</v>
      </c>
      <c r="G12" s="243">
        <v>1127</v>
      </c>
      <c r="H12" s="243">
        <v>2868</v>
      </c>
      <c r="I12" s="243"/>
      <c r="J12" s="1487">
        <f t="shared" si="1"/>
        <v>0.67393078681031671</v>
      </c>
      <c r="K12" s="1487">
        <f t="shared" si="2"/>
        <v>0.32606921318968329</v>
      </c>
      <c r="L12" s="1487">
        <f t="shared" si="3"/>
        <v>9.1984982043747957E-2</v>
      </c>
      <c r="M12" s="1487">
        <f t="shared" si="4"/>
        <v>0.23408423114593535</v>
      </c>
      <c r="O12" s="1488">
        <v>2509</v>
      </c>
      <c r="P12" s="1488">
        <v>1692</v>
      </c>
      <c r="Q12" s="1488">
        <f t="shared" si="5"/>
        <v>817</v>
      </c>
      <c r="R12" s="1488">
        <v>214</v>
      </c>
      <c r="S12" s="1488">
        <v>603</v>
      </c>
      <c r="U12" s="1489">
        <f t="shared" si="6"/>
        <v>0.67437225986448779</v>
      </c>
      <c r="V12" s="1489">
        <f t="shared" si="7"/>
        <v>0.32562774013551216</v>
      </c>
      <c r="W12" s="1489">
        <f t="shared" si="8"/>
        <v>8.5292945396572339E-2</v>
      </c>
      <c r="X12" s="1489">
        <f t="shared" si="9"/>
        <v>0.24033479473893982</v>
      </c>
    </row>
    <row r="13" spans="1:24">
      <c r="A13" s="149" t="s">
        <v>27</v>
      </c>
      <c r="B13" s="189" t="s">
        <v>28</v>
      </c>
      <c r="C13" s="150" t="s">
        <v>265</v>
      </c>
      <c r="D13" s="243">
        <v>541</v>
      </c>
      <c r="E13" s="243">
        <v>383</v>
      </c>
      <c r="F13" s="243">
        <f t="shared" si="0"/>
        <v>158</v>
      </c>
      <c r="G13" s="243">
        <v>54</v>
      </c>
      <c r="H13" s="243">
        <v>104</v>
      </c>
      <c r="I13" s="243"/>
      <c r="J13" s="1487">
        <f t="shared" si="1"/>
        <v>0.70794824399260625</v>
      </c>
      <c r="K13" s="1487">
        <f t="shared" si="2"/>
        <v>0.29205175600739369</v>
      </c>
      <c r="L13" s="1487">
        <f t="shared" si="3"/>
        <v>9.9815157116451017E-2</v>
      </c>
      <c r="M13" s="1487">
        <f t="shared" si="4"/>
        <v>0.19223659889094269</v>
      </c>
      <c r="O13" s="1488">
        <v>140</v>
      </c>
      <c r="P13" s="1488">
        <v>78</v>
      </c>
      <c r="Q13" s="1488">
        <f t="shared" si="5"/>
        <v>62</v>
      </c>
      <c r="R13" s="1488">
        <v>0</v>
      </c>
      <c r="S13" s="1488">
        <v>62</v>
      </c>
      <c r="U13" s="1489">
        <f t="shared" si="6"/>
        <v>0.55714285714285716</v>
      </c>
      <c r="V13" s="1489">
        <f t="shared" si="7"/>
        <v>0.44285714285714284</v>
      </c>
      <c r="W13" s="1489">
        <f t="shared" si="8"/>
        <v>0</v>
      </c>
      <c r="X13" s="1489">
        <f t="shared" si="9"/>
        <v>0.44285714285714284</v>
      </c>
    </row>
    <row r="14" spans="1:24">
      <c r="A14" s="149" t="s">
        <v>29</v>
      </c>
      <c r="B14" s="189" t="s">
        <v>1012</v>
      </c>
      <c r="C14" s="150" t="s">
        <v>265</v>
      </c>
      <c r="D14" s="243">
        <v>8105</v>
      </c>
      <c r="E14" s="243">
        <v>5884</v>
      </c>
      <c r="F14" s="243">
        <f t="shared" si="0"/>
        <v>2221</v>
      </c>
      <c r="G14" s="243">
        <v>476</v>
      </c>
      <c r="H14" s="243">
        <v>1745</v>
      </c>
      <c r="I14" s="243"/>
      <c r="J14" s="1487">
        <f t="shared" si="1"/>
        <v>0.72597162245527447</v>
      </c>
      <c r="K14" s="1487">
        <f t="shared" si="2"/>
        <v>0.27402837754472548</v>
      </c>
      <c r="L14" s="1487">
        <f t="shared" si="3"/>
        <v>5.8729179518815545E-2</v>
      </c>
      <c r="M14" s="1487">
        <f t="shared" si="4"/>
        <v>0.21529919802590994</v>
      </c>
      <c r="O14" s="1488">
        <v>1409</v>
      </c>
      <c r="P14" s="1488">
        <v>1050</v>
      </c>
      <c r="Q14" s="1488">
        <f t="shared" si="5"/>
        <v>359</v>
      </c>
      <c r="R14" s="1488">
        <v>103</v>
      </c>
      <c r="S14" s="1488">
        <v>256</v>
      </c>
      <c r="U14" s="1489">
        <f t="shared" si="6"/>
        <v>0.74520936834634488</v>
      </c>
      <c r="V14" s="1489">
        <f t="shared" si="7"/>
        <v>0.25479063165365506</v>
      </c>
      <c r="W14" s="1489">
        <f t="shared" si="8"/>
        <v>7.3101490418736689E-2</v>
      </c>
      <c r="X14" s="1489">
        <f t="shared" si="9"/>
        <v>0.18168914123491839</v>
      </c>
    </row>
    <row r="15" spans="1:24">
      <c r="A15" s="149" t="s">
        <v>30</v>
      </c>
      <c r="B15" s="189" t="s">
        <v>31</v>
      </c>
      <c r="C15" s="150" t="s">
        <v>268</v>
      </c>
      <c r="D15" s="243">
        <v>619</v>
      </c>
      <c r="E15" s="243">
        <v>505</v>
      </c>
      <c r="F15" s="243">
        <f t="shared" si="0"/>
        <v>114</v>
      </c>
      <c r="G15" s="243">
        <v>18</v>
      </c>
      <c r="H15" s="243">
        <v>96</v>
      </c>
      <c r="I15" s="243"/>
      <c r="J15" s="1487">
        <f t="shared" si="1"/>
        <v>0.81583198707592897</v>
      </c>
      <c r="K15" s="1487">
        <f t="shared" si="2"/>
        <v>0.18416801292407109</v>
      </c>
      <c r="L15" s="1487">
        <f t="shared" si="3"/>
        <v>2.9079159935379646E-2</v>
      </c>
      <c r="M15" s="1487">
        <f t="shared" si="4"/>
        <v>0.15508885298869143</v>
      </c>
      <c r="O15" s="1488">
        <v>103</v>
      </c>
      <c r="P15" s="1488">
        <v>49</v>
      </c>
      <c r="Q15" s="1488">
        <f t="shared" si="5"/>
        <v>54</v>
      </c>
      <c r="R15" s="1488">
        <v>0</v>
      </c>
      <c r="S15" s="1488">
        <v>54</v>
      </c>
      <c r="U15" s="1489">
        <f t="shared" si="6"/>
        <v>0.47572815533980584</v>
      </c>
      <c r="V15" s="1489">
        <f t="shared" si="7"/>
        <v>0.52427184466019416</v>
      </c>
      <c r="W15" s="1489">
        <f t="shared" si="8"/>
        <v>0</v>
      </c>
      <c r="X15" s="1489">
        <f t="shared" si="9"/>
        <v>0.52427184466019416</v>
      </c>
    </row>
    <row r="16" spans="1:24">
      <c r="A16" s="149" t="s">
        <v>32</v>
      </c>
      <c r="B16" s="189" t="s">
        <v>33</v>
      </c>
      <c r="C16" s="150" t="s">
        <v>265</v>
      </c>
      <c r="D16" s="243">
        <v>3315</v>
      </c>
      <c r="E16" s="243">
        <v>2789</v>
      </c>
      <c r="F16" s="243">
        <f t="shared" si="0"/>
        <v>526</v>
      </c>
      <c r="G16" s="243">
        <v>84</v>
      </c>
      <c r="H16" s="243">
        <v>442</v>
      </c>
      <c r="I16" s="243"/>
      <c r="J16" s="1487">
        <f t="shared" si="1"/>
        <v>0.84132730015082957</v>
      </c>
      <c r="K16" s="1487">
        <f t="shared" si="2"/>
        <v>0.15867269984917043</v>
      </c>
      <c r="L16" s="1487">
        <f t="shared" si="3"/>
        <v>2.5339366515837104E-2</v>
      </c>
      <c r="M16" s="1487">
        <f t="shared" si="4"/>
        <v>0.13333333333333333</v>
      </c>
      <c r="O16" s="1488">
        <v>711</v>
      </c>
      <c r="P16" s="1488">
        <v>678</v>
      </c>
      <c r="Q16" s="1488">
        <f t="shared" si="5"/>
        <v>33</v>
      </c>
      <c r="R16" s="1488">
        <v>0</v>
      </c>
      <c r="S16" s="1488">
        <v>33</v>
      </c>
      <c r="U16" s="1489">
        <f t="shared" si="6"/>
        <v>0.95358649789029537</v>
      </c>
      <c r="V16" s="1489">
        <f t="shared" si="7"/>
        <v>4.6413502109704644E-2</v>
      </c>
      <c r="W16" s="1489">
        <f t="shared" si="8"/>
        <v>0</v>
      </c>
      <c r="X16" s="1489">
        <f t="shared" si="9"/>
        <v>4.6413502109704644E-2</v>
      </c>
    </row>
    <row r="17" spans="1:24">
      <c r="A17" s="149" t="s">
        <v>36</v>
      </c>
      <c r="B17" s="189" t="s">
        <v>37</v>
      </c>
      <c r="C17" s="150" t="s">
        <v>264</v>
      </c>
      <c r="D17" s="243">
        <v>1165</v>
      </c>
      <c r="E17" s="243">
        <v>715</v>
      </c>
      <c r="F17" s="243">
        <f t="shared" si="0"/>
        <v>450</v>
      </c>
      <c r="G17" s="243">
        <v>56</v>
      </c>
      <c r="H17" s="243">
        <v>394</v>
      </c>
      <c r="I17" s="243"/>
      <c r="J17" s="1487">
        <f t="shared" si="1"/>
        <v>0.61373390557939911</v>
      </c>
      <c r="K17" s="1487">
        <f t="shared" si="2"/>
        <v>0.38626609442060084</v>
      </c>
      <c r="L17" s="1487">
        <f t="shared" si="3"/>
        <v>4.8068669527896998E-2</v>
      </c>
      <c r="M17" s="1487">
        <f t="shared" si="4"/>
        <v>0.33819742489270388</v>
      </c>
      <c r="O17" s="1488">
        <v>206</v>
      </c>
      <c r="P17" s="1488">
        <v>98</v>
      </c>
      <c r="Q17" s="1488">
        <f t="shared" si="5"/>
        <v>108</v>
      </c>
      <c r="R17" s="1488">
        <v>7</v>
      </c>
      <c r="S17" s="1488">
        <v>101</v>
      </c>
      <c r="U17" s="1489">
        <f t="shared" si="6"/>
        <v>0.47572815533980584</v>
      </c>
      <c r="V17" s="1489">
        <f t="shared" si="7"/>
        <v>0.52427184466019416</v>
      </c>
      <c r="W17" s="1489">
        <f t="shared" si="8"/>
        <v>3.3980582524271843E-2</v>
      </c>
      <c r="X17" s="1489">
        <f t="shared" si="9"/>
        <v>0.49029126213592233</v>
      </c>
    </row>
    <row r="18" spans="1:24">
      <c r="A18" s="149" t="s">
        <v>38</v>
      </c>
      <c r="B18" s="189" t="s">
        <v>39</v>
      </c>
      <c r="C18" s="150" t="s">
        <v>268</v>
      </c>
      <c r="D18" s="243">
        <v>2481</v>
      </c>
      <c r="E18" s="243">
        <v>1636</v>
      </c>
      <c r="F18" s="243">
        <f t="shared" si="0"/>
        <v>845</v>
      </c>
      <c r="G18" s="243">
        <v>150</v>
      </c>
      <c r="H18" s="243">
        <v>695</v>
      </c>
      <c r="I18" s="243"/>
      <c r="J18" s="1487">
        <f t="shared" si="1"/>
        <v>0.65941152760983479</v>
      </c>
      <c r="K18" s="1487">
        <f t="shared" si="2"/>
        <v>0.34058847239016526</v>
      </c>
      <c r="L18" s="1487">
        <f t="shared" si="3"/>
        <v>6.0459492140266025E-2</v>
      </c>
      <c r="M18" s="1487">
        <f t="shared" si="4"/>
        <v>0.28012898024989924</v>
      </c>
      <c r="O18" s="1488">
        <v>492</v>
      </c>
      <c r="P18" s="1488">
        <v>391</v>
      </c>
      <c r="Q18" s="1488">
        <f t="shared" si="5"/>
        <v>101</v>
      </c>
      <c r="R18" s="1488">
        <v>28</v>
      </c>
      <c r="S18" s="1488">
        <v>73</v>
      </c>
      <c r="U18" s="1489">
        <f t="shared" si="6"/>
        <v>0.79471544715447151</v>
      </c>
      <c r="V18" s="1489">
        <f t="shared" si="7"/>
        <v>0.20528455284552846</v>
      </c>
      <c r="W18" s="1489">
        <f t="shared" si="8"/>
        <v>5.6910569105691054E-2</v>
      </c>
      <c r="X18" s="1489">
        <f t="shared" si="9"/>
        <v>0.1483739837398374</v>
      </c>
    </row>
    <row r="19" spans="1:24">
      <c r="A19" s="149" t="s">
        <v>40</v>
      </c>
      <c r="B19" s="189" t="s">
        <v>41</v>
      </c>
      <c r="C19" s="150" t="s">
        <v>266</v>
      </c>
      <c r="D19" s="243">
        <v>1539</v>
      </c>
      <c r="E19" s="243">
        <v>844</v>
      </c>
      <c r="F19" s="243">
        <f t="shared" si="0"/>
        <v>695</v>
      </c>
      <c r="G19" s="243">
        <v>223</v>
      </c>
      <c r="H19" s="243">
        <v>472</v>
      </c>
      <c r="I19" s="243"/>
      <c r="J19" s="1487">
        <f t="shared" si="1"/>
        <v>0.54840805717998697</v>
      </c>
      <c r="K19" s="1487">
        <f t="shared" si="2"/>
        <v>0.45159194282001297</v>
      </c>
      <c r="L19" s="1487">
        <f t="shared" si="3"/>
        <v>0.14489928525016244</v>
      </c>
      <c r="M19" s="1487">
        <f t="shared" si="4"/>
        <v>0.30669265756985054</v>
      </c>
      <c r="O19" s="1488">
        <v>383</v>
      </c>
      <c r="P19" s="1488">
        <v>222</v>
      </c>
      <c r="Q19" s="1488">
        <f t="shared" si="5"/>
        <v>161</v>
      </c>
      <c r="R19" s="1488">
        <v>128</v>
      </c>
      <c r="S19" s="1488">
        <v>33</v>
      </c>
      <c r="U19" s="1489">
        <f t="shared" si="6"/>
        <v>0.57963446475195823</v>
      </c>
      <c r="V19" s="1489">
        <f t="shared" si="7"/>
        <v>0.42036553524804177</v>
      </c>
      <c r="W19" s="1489">
        <f t="shared" si="8"/>
        <v>0.33420365535248042</v>
      </c>
      <c r="X19" s="1489">
        <f t="shared" si="9"/>
        <v>8.6161879895561358E-2</v>
      </c>
    </row>
    <row r="20" spans="1:24">
      <c r="A20" s="149" t="s">
        <v>42</v>
      </c>
      <c r="B20" s="189" t="s">
        <v>43</v>
      </c>
      <c r="C20" s="150" t="s">
        <v>265</v>
      </c>
      <c r="D20" s="243">
        <v>5923</v>
      </c>
      <c r="E20" s="243">
        <v>3903</v>
      </c>
      <c r="F20" s="243">
        <f t="shared" si="0"/>
        <v>2020</v>
      </c>
      <c r="G20" s="243">
        <v>495</v>
      </c>
      <c r="H20" s="243">
        <v>1525</v>
      </c>
      <c r="I20" s="243"/>
      <c r="J20" s="1487">
        <f t="shared" si="1"/>
        <v>0.6589566098261016</v>
      </c>
      <c r="K20" s="1487">
        <f t="shared" si="2"/>
        <v>0.34104339017389834</v>
      </c>
      <c r="L20" s="1487">
        <f t="shared" si="3"/>
        <v>8.3572513928752326E-2</v>
      </c>
      <c r="M20" s="1487">
        <f t="shared" si="4"/>
        <v>0.25747087624514603</v>
      </c>
      <c r="O20" s="1488">
        <v>1161</v>
      </c>
      <c r="P20" s="1488">
        <v>742</v>
      </c>
      <c r="Q20" s="1488">
        <f t="shared" si="5"/>
        <v>419</v>
      </c>
      <c r="R20" s="1488">
        <v>164</v>
      </c>
      <c r="S20" s="1488">
        <v>255</v>
      </c>
      <c r="U20" s="1489">
        <f t="shared" si="6"/>
        <v>0.63910422049956939</v>
      </c>
      <c r="V20" s="1489">
        <f t="shared" si="7"/>
        <v>0.36089577950043067</v>
      </c>
      <c r="W20" s="1489">
        <f t="shared" si="8"/>
        <v>0.14125753660637383</v>
      </c>
      <c r="X20" s="1489">
        <f t="shared" si="9"/>
        <v>0.21963824289405684</v>
      </c>
    </row>
    <row r="21" spans="1:24">
      <c r="A21" s="149" t="s">
        <v>44</v>
      </c>
      <c r="B21" s="189" t="s">
        <v>45</v>
      </c>
      <c r="C21" s="150" t="s">
        <v>266</v>
      </c>
      <c r="D21" s="243">
        <v>3180</v>
      </c>
      <c r="E21" s="243">
        <v>2011</v>
      </c>
      <c r="F21" s="243">
        <f t="shared" si="0"/>
        <v>1169</v>
      </c>
      <c r="G21" s="243">
        <v>281</v>
      </c>
      <c r="H21" s="243">
        <v>888</v>
      </c>
      <c r="I21" s="243"/>
      <c r="J21" s="1487">
        <f t="shared" si="1"/>
        <v>0.63238993710691827</v>
      </c>
      <c r="K21" s="1487">
        <f t="shared" si="2"/>
        <v>0.36761006289308173</v>
      </c>
      <c r="L21" s="1487">
        <f t="shared" si="3"/>
        <v>8.8364779874213831E-2</v>
      </c>
      <c r="M21" s="1487">
        <f t="shared" si="4"/>
        <v>0.27924528301886792</v>
      </c>
      <c r="O21" s="1488">
        <v>809</v>
      </c>
      <c r="P21" s="1488">
        <v>404</v>
      </c>
      <c r="Q21" s="1488">
        <f t="shared" si="5"/>
        <v>405</v>
      </c>
      <c r="R21" s="1488">
        <v>118</v>
      </c>
      <c r="S21" s="1488">
        <v>287</v>
      </c>
      <c r="U21" s="1489">
        <f t="shared" si="6"/>
        <v>0.49938195302843014</v>
      </c>
      <c r="V21" s="1489">
        <f t="shared" si="7"/>
        <v>0.50061804697156986</v>
      </c>
      <c r="W21" s="1489">
        <f t="shared" si="8"/>
        <v>0.14585908529048208</v>
      </c>
      <c r="X21" s="1489">
        <f t="shared" si="9"/>
        <v>0.35475896168108778</v>
      </c>
    </row>
    <row r="22" spans="1:24">
      <c r="A22" s="149" t="s">
        <v>46</v>
      </c>
      <c r="B22" s="189" t="s">
        <v>47</v>
      </c>
      <c r="C22" s="150" t="s">
        <v>268</v>
      </c>
      <c r="D22" s="243">
        <v>3046</v>
      </c>
      <c r="E22" s="243">
        <v>2032</v>
      </c>
      <c r="F22" s="243">
        <f t="shared" si="0"/>
        <v>1014</v>
      </c>
      <c r="G22" s="243">
        <v>356</v>
      </c>
      <c r="H22" s="243">
        <v>658</v>
      </c>
      <c r="I22" s="243"/>
      <c r="J22" s="1487">
        <f t="shared" si="1"/>
        <v>0.66710439921208142</v>
      </c>
      <c r="K22" s="1487">
        <f t="shared" si="2"/>
        <v>0.33289560078791858</v>
      </c>
      <c r="L22" s="1487">
        <f t="shared" si="3"/>
        <v>0.11687458962573867</v>
      </c>
      <c r="M22" s="1487">
        <f t="shared" si="4"/>
        <v>0.21602101116217992</v>
      </c>
      <c r="O22" s="1488">
        <v>724</v>
      </c>
      <c r="P22" s="1488">
        <v>430</v>
      </c>
      <c r="Q22" s="1488">
        <f t="shared" si="5"/>
        <v>294</v>
      </c>
      <c r="R22" s="1488">
        <v>56</v>
      </c>
      <c r="S22" s="1488">
        <v>238</v>
      </c>
      <c r="U22" s="1489">
        <f t="shared" si="6"/>
        <v>0.59392265193370164</v>
      </c>
      <c r="V22" s="1489">
        <f t="shared" si="7"/>
        <v>0.40607734806629836</v>
      </c>
      <c r="W22" s="1489">
        <f t="shared" si="8"/>
        <v>7.7348066298342538E-2</v>
      </c>
      <c r="X22" s="1489">
        <f t="shared" si="9"/>
        <v>0.32872928176795579</v>
      </c>
    </row>
    <row r="23" spans="1:24">
      <c r="A23" s="149" t="s">
        <v>48</v>
      </c>
      <c r="B23" s="189" t="s">
        <v>269</v>
      </c>
      <c r="C23" s="150" t="s">
        <v>266</v>
      </c>
      <c r="D23" s="243">
        <v>526</v>
      </c>
      <c r="E23" s="243">
        <v>338</v>
      </c>
      <c r="F23" s="243">
        <f t="shared" si="0"/>
        <v>188</v>
      </c>
      <c r="G23" s="243">
        <v>50</v>
      </c>
      <c r="H23" s="243">
        <v>138</v>
      </c>
      <c r="I23" s="243"/>
      <c r="J23" s="1487">
        <f t="shared" si="1"/>
        <v>0.64258555133079853</v>
      </c>
      <c r="K23" s="1487">
        <f t="shared" si="2"/>
        <v>0.35741444866920152</v>
      </c>
      <c r="L23" s="1487">
        <f t="shared" si="3"/>
        <v>9.5057034220532313E-2</v>
      </c>
      <c r="M23" s="1487">
        <f t="shared" si="4"/>
        <v>0.26235741444866922</v>
      </c>
      <c r="O23" s="1488">
        <v>85</v>
      </c>
      <c r="P23" s="1488">
        <v>72</v>
      </c>
      <c r="Q23" s="1488">
        <f t="shared" si="5"/>
        <v>13</v>
      </c>
      <c r="R23" s="1488">
        <v>3</v>
      </c>
      <c r="S23" s="1488">
        <v>10</v>
      </c>
      <c r="U23" s="1489">
        <f t="shared" si="6"/>
        <v>0.84705882352941175</v>
      </c>
      <c r="V23" s="1489">
        <f t="shared" si="7"/>
        <v>0.15294117647058825</v>
      </c>
      <c r="W23" s="1489">
        <f t="shared" si="8"/>
        <v>3.5294117647058823E-2</v>
      </c>
      <c r="X23" s="1489">
        <f t="shared" si="9"/>
        <v>0.11764705882352941</v>
      </c>
    </row>
    <row r="24" spans="1:24">
      <c r="A24" s="149" t="s">
        <v>50</v>
      </c>
      <c r="B24" s="189" t="s">
        <v>51</v>
      </c>
      <c r="C24" s="150" t="s">
        <v>265</v>
      </c>
      <c r="D24" s="243">
        <v>1130</v>
      </c>
      <c r="E24" s="243">
        <v>649</v>
      </c>
      <c r="F24" s="243">
        <f t="shared" si="0"/>
        <v>481</v>
      </c>
      <c r="G24" s="243">
        <v>155</v>
      </c>
      <c r="H24" s="243">
        <v>326</v>
      </c>
      <c r="I24" s="243"/>
      <c r="J24" s="1487">
        <f t="shared" si="1"/>
        <v>0.57433628318584073</v>
      </c>
      <c r="K24" s="1487">
        <f t="shared" si="2"/>
        <v>0.42566371681415927</v>
      </c>
      <c r="L24" s="1487">
        <f t="shared" si="3"/>
        <v>0.13716814159292035</v>
      </c>
      <c r="M24" s="1487">
        <f t="shared" si="4"/>
        <v>0.28849557522123892</v>
      </c>
      <c r="O24" s="1488">
        <v>153</v>
      </c>
      <c r="P24" s="1488">
        <v>52</v>
      </c>
      <c r="Q24" s="1488">
        <f t="shared" si="5"/>
        <v>101</v>
      </c>
      <c r="R24" s="1488">
        <v>30</v>
      </c>
      <c r="S24" s="1488">
        <v>71</v>
      </c>
      <c r="U24" s="1489">
        <f t="shared" si="6"/>
        <v>0.33986928104575165</v>
      </c>
      <c r="V24" s="1489">
        <f t="shared" si="7"/>
        <v>0.66013071895424835</v>
      </c>
      <c r="W24" s="1489">
        <f t="shared" si="8"/>
        <v>0.19607843137254902</v>
      </c>
      <c r="X24" s="1489">
        <f t="shared" si="9"/>
        <v>0.46405228758169936</v>
      </c>
    </row>
    <row r="25" spans="1:24">
      <c r="A25" s="149" t="s">
        <v>56</v>
      </c>
      <c r="B25" s="189" t="s">
        <v>295</v>
      </c>
      <c r="C25" s="150" t="s">
        <v>266</v>
      </c>
      <c r="D25" s="243">
        <v>41256</v>
      </c>
      <c r="E25" s="243">
        <v>29666</v>
      </c>
      <c r="F25" s="243">
        <f t="shared" si="0"/>
        <v>11590</v>
      </c>
      <c r="G25" s="243">
        <v>2847</v>
      </c>
      <c r="H25" s="243">
        <v>8743</v>
      </c>
      <c r="I25" s="243"/>
      <c r="J25" s="1487">
        <f t="shared" si="1"/>
        <v>0.71907116540624394</v>
      </c>
      <c r="K25" s="1487">
        <f t="shared" si="2"/>
        <v>0.28092883459375606</v>
      </c>
      <c r="L25" s="1487">
        <f t="shared" si="3"/>
        <v>6.9008144269924368E-2</v>
      </c>
      <c r="M25" s="1487">
        <f t="shared" si="4"/>
        <v>0.21192069032383168</v>
      </c>
      <c r="O25" s="1488">
        <v>8486</v>
      </c>
      <c r="P25" s="1488">
        <v>5916</v>
      </c>
      <c r="Q25" s="1488">
        <f t="shared" si="5"/>
        <v>2570</v>
      </c>
      <c r="R25" s="1488">
        <v>752</v>
      </c>
      <c r="S25" s="1488">
        <v>1818</v>
      </c>
      <c r="U25" s="1489">
        <f t="shared" si="6"/>
        <v>0.69714824416686305</v>
      </c>
      <c r="V25" s="1489">
        <f t="shared" si="7"/>
        <v>0.30285175583313695</v>
      </c>
      <c r="W25" s="1489">
        <f t="shared" si="8"/>
        <v>8.8616544897478194E-2</v>
      </c>
      <c r="X25" s="1489">
        <f t="shared" si="9"/>
        <v>0.21423521093565873</v>
      </c>
    </row>
    <row r="26" spans="1:24">
      <c r="A26" s="149" t="s">
        <v>58</v>
      </c>
      <c r="B26" s="189" t="s">
        <v>59</v>
      </c>
      <c r="C26" s="150" t="s">
        <v>267</v>
      </c>
      <c r="D26" s="243">
        <v>1452</v>
      </c>
      <c r="E26" s="243">
        <v>1141</v>
      </c>
      <c r="F26" s="243">
        <f t="shared" si="0"/>
        <v>311</v>
      </c>
      <c r="G26" s="243">
        <v>67</v>
      </c>
      <c r="H26" s="243">
        <v>244</v>
      </c>
      <c r="I26" s="243"/>
      <c r="J26" s="1487">
        <f t="shared" si="1"/>
        <v>0.78581267217630857</v>
      </c>
      <c r="K26" s="1487">
        <f t="shared" si="2"/>
        <v>0.21418732782369146</v>
      </c>
      <c r="L26" s="1487">
        <f t="shared" si="3"/>
        <v>4.6143250688705235E-2</v>
      </c>
      <c r="M26" s="1487">
        <f t="shared" si="4"/>
        <v>0.16804407713498623</v>
      </c>
      <c r="O26" s="1488">
        <v>365</v>
      </c>
      <c r="P26" s="1488">
        <v>293</v>
      </c>
      <c r="Q26" s="1488">
        <f t="shared" si="5"/>
        <v>72</v>
      </c>
      <c r="R26" s="1488">
        <v>0</v>
      </c>
      <c r="S26" s="1488">
        <v>72</v>
      </c>
      <c r="U26" s="1489">
        <f t="shared" si="6"/>
        <v>0.80273972602739729</v>
      </c>
      <c r="V26" s="1489">
        <f t="shared" si="7"/>
        <v>0.19726027397260273</v>
      </c>
      <c r="W26" s="1489">
        <f t="shared" si="8"/>
        <v>0</v>
      </c>
      <c r="X26" s="1489">
        <f t="shared" si="9"/>
        <v>0.19726027397260273</v>
      </c>
    </row>
    <row r="27" spans="1:24">
      <c r="A27" s="149" t="s">
        <v>60</v>
      </c>
      <c r="B27" s="189" t="s">
        <v>61</v>
      </c>
      <c r="C27" s="150" t="s">
        <v>265</v>
      </c>
      <c r="D27" s="243">
        <v>555</v>
      </c>
      <c r="E27" s="243">
        <v>417</v>
      </c>
      <c r="F27" s="243">
        <f t="shared" si="0"/>
        <v>138</v>
      </c>
      <c r="G27" s="243">
        <v>58</v>
      </c>
      <c r="H27" s="243">
        <v>80</v>
      </c>
      <c r="I27" s="243"/>
      <c r="J27" s="1487">
        <f t="shared" si="1"/>
        <v>0.75135135135135134</v>
      </c>
      <c r="K27" s="1487">
        <f t="shared" si="2"/>
        <v>0.24864864864864866</v>
      </c>
      <c r="L27" s="1487">
        <f t="shared" si="3"/>
        <v>0.10450450450450451</v>
      </c>
      <c r="M27" s="1487">
        <f t="shared" si="4"/>
        <v>0.14414414414414414</v>
      </c>
      <c r="O27" s="1488">
        <v>104</v>
      </c>
      <c r="P27" s="1488">
        <v>104</v>
      </c>
      <c r="Q27" s="1488">
        <f t="shared" si="5"/>
        <v>0</v>
      </c>
      <c r="R27" s="1488">
        <v>0</v>
      </c>
      <c r="S27" s="1488">
        <v>0</v>
      </c>
      <c r="U27" s="1489">
        <f t="shared" si="6"/>
        <v>1</v>
      </c>
      <c r="V27" s="1489">
        <f t="shared" si="7"/>
        <v>0</v>
      </c>
      <c r="W27" s="1489">
        <f t="shared" si="8"/>
        <v>0</v>
      </c>
      <c r="X27" s="1489">
        <f t="shared" si="9"/>
        <v>0</v>
      </c>
    </row>
    <row r="28" spans="1:24">
      <c r="A28" s="149" t="s">
        <v>62</v>
      </c>
      <c r="B28" s="189" t="s">
        <v>63</v>
      </c>
      <c r="C28" s="150" t="s">
        <v>267</v>
      </c>
      <c r="D28" s="243">
        <v>5395</v>
      </c>
      <c r="E28" s="243">
        <v>3829</v>
      </c>
      <c r="F28" s="243">
        <f t="shared" si="0"/>
        <v>1566</v>
      </c>
      <c r="G28" s="243">
        <v>517</v>
      </c>
      <c r="H28" s="243">
        <v>1049</v>
      </c>
      <c r="I28" s="243"/>
      <c r="J28" s="1487">
        <f t="shared" si="1"/>
        <v>0.70973123262279891</v>
      </c>
      <c r="K28" s="1487">
        <f t="shared" si="2"/>
        <v>0.29026876737720109</v>
      </c>
      <c r="L28" s="1487">
        <f t="shared" si="3"/>
        <v>9.5829471733086188E-2</v>
      </c>
      <c r="M28" s="1487">
        <f t="shared" si="4"/>
        <v>0.19443929564411491</v>
      </c>
      <c r="O28" s="1488">
        <v>823</v>
      </c>
      <c r="P28" s="1488">
        <v>496</v>
      </c>
      <c r="Q28" s="1488">
        <f t="shared" si="5"/>
        <v>327</v>
      </c>
      <c r="R28" s="1488">
        <v>117</v>
      </c>
      <c r="S28" s="1488">
        <v>210</v>
      </c>
      <c r="U28" s="1489">
        <f t="shared" si="6"/>
        <v>0.60267314702308628</v>
      </c>
      <c r="V28" s="1489">
        <f t="shared" si="7"/>
        <v>0.39732685297691372</v>
      </c>
      <c r="W28" s="1489">
        <f t="shared" si="8"/>
        <v>0.14216281895504251</v>
      </c>
      <c r="X28" s="1489">
        <f t="shared" si="9"/>
        <v>0.25516403402187121</v>
      </c>
    </row>
    <row r="29" spans="1:24">
      <c r="A29" s="149" t="s">
        <v>64</v>
      </c>
      <c r="B29" s="189" t="s">
        <v>65</v>
      </c>
      <c r="C29" s="150" t="s">
        <v>266</v>
      </c>
      <c r="D29" s="243">
        <v>908</v>
      </c>
      <c r="E29" s="243">
        <v>600</v>
      </c>
      <c r="F29" s="243">
        <f t="shared" si="0"/>
        <v>308</v>
      </c>
      <c r="G29" s="243">
        <v>148</v>
      </c>
      <c r="H29" s="243">
        <v>160</v>
      </c>
      <c r="I29" s="243"/>
      <c r="J29" s="1487">
        <f t="shared" si="1"/>
        <v>0.66079295154185025</v>
      </c>
      <c r="K29" s="1487">
        <f t="shared" si="2"/>
        <v>0.33920704845814981</v>
      </c>
      <c r="L29" s="1487">
        <f t="shared" si="3"/>
        <v>0.16299559471365638</v>
      </c>
      <c r="M29" s="1487">
        <f t="shared" si="4"/>
        <v>0.1762114537444934</v>
      </c>
      <c r="O29" s="1488">
        <v>175</v>
      </c>
      <c r="P29" s="1488">
        <v>112</v>
      </c>
      <c r="Q29" s="1488">
        <f t="shared" si="5"/>
        <v>63</v>
      </c>
      <c r="R29" s="1488">
        <v>51</v>
      </c>
      <c r="S29" s="1488">
        <v>12</v>
      </c>
      <c r="U29" s="1489">
        <f t="shared" si="6"/>
        <v>0.64</v>
      </c>
      <c r="V29" s="1489">
        <f t="shared" si="7"/>
        <v>0.36</v>
      </c>
      <c r="W29" s="1489">
        <f t="shared" si="8"/>
        <v>0.29142857142857143</v>
      </c>
      <c r="X29" s="1489">
        <f t="shared" si="9"/>
        <v>6.8571428571428575E-2</v>
      </c>
    </row>
    <row r="30" spans="1:24">
      <c r="A30" s="149" t="s">
        <v>68</v>
      </c>
      <c r="B30" s="189" t="s">
        <v>69</v>
      </c>
      <c r="C30" s="150" t="s">
        <v>268</v>
      </c>
      <c r="D30" s="243">
        <v>1531</v>
      </c>
      <c r="E30" s="243">
        <v>1010</v>
      </c>
      <c r="F30" s="243">
        <f t="shared" si="0"/>
        <v>521</v>
      </c>
      <c r="G30" s="243">
        <v>156</v>
      </c>
      <c r="H30" s="243">
        <v>365</v>
      </c>
      <c r="I30" s="243"/>
      <c r="J30" s="1487">
        <f t="shared" si="1"/>
        <v>0.6596995427824951</v>
      </c>
      <c r="K30" s="1487">
        <f t="shared" si="2"/>
        <v>0.3403004572175049</v>
      </c>
      <c r="L30" s="1487">
        <f t="shared" si="3"/>
        <v>0.10189418680600915</v>
      </c>
      <c r="M30" s="1487">
        <f t="shared" si="4"/>
        <v>0.23840627041149576</v>
      </c>
      <c r="O30" s="1488">
        <v>370</v>
      </c>
      <c r="P30" s="1488">
        <v>182</v>
      </c>
      <c r="Q30" s="1488">
        <f t="shared" si="5"/>
        <v>188</v>
      </c>
      <c r="R30" s="1488">
        <v>30</v>
      </c>
      <c r="S30" s="1488">
        <v>158</v>
      </c>
      <c r="U30" s="1489">
        <f t="shared" si="6"/>
        <v>0.49189189189189192</v>
      </c>
      <c r="V30" s="1489">
        <f t="shared" si="7"/>
        <v>0.50810810810810814</v>
      </c>
      <c r="W30" s="1489">
        <f t="shared" si="8"/>
        <v>8.1081081081081086E-2</v>
      </c>
      <c r="X30" s="1489">
        <f t="shared" si="9"/>
        <v>0.42702702702702705</v>
      </c>
    </row>
    <row r="31" spans="1:24">
      <c r="A31" s="149" t="s">
        <v>70</v>
      </c>
      <c r="B31" s="189" t="s">
        <v>71</v>
      </c>
      <c r="C31" s="150" t="s">
        <v>264</v>
      </c>
      <c r="D31" s="243">
        <v>3015</v>
      </c>
      <c r="E31" s="243">
        <v>1943</v>
      </c>
      <c r="F31" s="243">
        <f t="shared" si="0"/>
        <v>1072</v>
      </c>
      <c r="G31" s="243">
        <v>163</v>
      </c>
      <c r="H31" s="243">
        <v>909</v>
      </c>
      <c r="I31" s="243"/>
      <c r="J31" s="1487">
        <f t="shared" si="1"/>
        <v>0.64444444444444449</v>
      </c>
      <c r="K31" s="1487">
        <f t="shared" si="2"/>
        <v>0.35555555555555557</v>
      </c>
      <c r="L31" s="1487">
        <f t="shared" si="3"/>
        <v>5.4063018242122722E-2</v>
      </c>
      <c r="M31" s="1487">
        <f t="shared" si="4"/>
        <v>0.30149253731343284</v>
      </c>
      <c r="O31" s="1488">
        <v>645</v>
      </c>
      <c r="P31" s="1488">
        <v>393</v>
      </c>
      <c r="Q31" s="1488">
        <f t="shared" si="5"/>
        <v>252</v>
      </c>
      <c r="R31" s="1488">
        <v>43</v>
      </c>
      <c r="S31" s="1488">
        <v>209</v>
      </c>
      <c r="U31" s="1489">
        <f t="shared" si="6"/>
        <v>0.6093023255813953</v>
      </c>
      <c r="V31" s="1489">
        <f t="shared" si="7"/>
        <v>0.39069767441860465</v>
      </c>
      <c r="W31" s="1489">
        <f t="shared" si="8"/>
        <v>6.6666666666666666E-2</v>
      </c>
      <c r="X31" s="1489">
        <f t="shared" si="9"/>
        <v>0.32403100775193799</v>
      </c>
    </row>
    <row r="32" spans="1:24">
      <c r="A32" s="149" t="s">
        <v>72</v>
      </c>
      <c r="B32" s="189" t="s">
        <v>73</v>
      </c>
      <c r="C32" s="150" t="s">
        <v>266</v>
      </c>
      <c r="D32" s="243">
        <v>953</v>
      </c>
      <c r="E32" s="243">
        <v>664</v>
      </c>
      <c r="F32" s="243">
        <f t="shared" si="0"/>
        <v>289</v>
      </c>
      <c r="G32" s="243">
        <v>86</v>
      </c>
      <c r="H32" s="243">
        <v>203</v>
      </c>
      <c r="I32" s="243"/>
      <c r="J32" s="1487">
        <f t="shared" si="1"/>
        <v>0.69674711437565584</v>
      </c>
      <c r="K32" s="1487">
        <f t="shared" si="2"/>
        <v>0.30325288562434416</v>
      </c>
      <c r="L32" s="1487">
        <f t="shared" si="3"/>
        <v>9.0241343126967466E-2</v>
      </c>
      <c r="M32" s="1487">
        <f t="shared" si="4"/>
        <v>0.21301154249737669</v>
      </c>
      <c r="O32" s="1488">
        <v>126</v>
      </c>
      <c r="P32" s="1488">
        <v>95</v>
      </c>
      <c r="Q32" s="1488">
        <f t="shared" si="5"/>
        <v>31</v>
      </c>
      <c r="R32" s="1488">
        <v>11</v>
      </c>
      <c r="S32" s="1488">
        <v>20</v>
      </c>
      <c r="U32" s="1489">
        <f t="shared" si="6"/>
        <v>0.75396825396825395</v>
      </c>
      <c r="V32" s="1489">
        <f t="shared" si="7"/>
        <v>0.24603174603174602</v>
      </c>
      <c r="W32" s="1489">
        <f t="shared" si="8"/>
        <v>8.7301587301587297E-2</v>
      </c>
      <c r="X32" s="1489">
        <f t="shared" si="9"/>
        <v>0.15873015873015872</v>
      </c>
    </row>
    <row r="33" spans="1:24">
      <c r="A33" s="149" t="s">
        <v>74</v>
      </c>
      <c r="B33" s="189" t="s">
        <v>618</v>
      </c>
      <c r="C33" s="150" t="s">
        <v>267</v>
      </c>
      <c r="D33" s="243">
        <v>139666</v>
      </c>
      <c r="E33" s="243">
        <v>114288</v>
      </c>
      <c r="F33" s="243">
        <f t="shared" si="0"/>
        <v>25378</v>
      </c>
      <c r="G33" s="243">
        <v>6240</v>
      </c>
      <c r="H33" s="243">
        <v>19138</v>
      </c>
      <c r="I33" s="243"/>
      <c r="J33" s="1487">
        <f t="shared" si="1"/>
        <v>0.81829507539415458</v>
      </c>
      <c r="K33" s="1487">
        <f t="shared" si="2"/>
        <v>0.18170492460584536</v>
      </c>
      <c r="L33" s="1487">
        <f t="shared" si="3"/>
        <v>4.4678017556169722E-2</v>
      </c>
      <c r="M33" s="1487">
        <f t="shared" si="4"/>
        <v>0.13702690704967566</v>
      </c>
      <c r="O33" s="1488">
        <v>35813</v>
      </c>
      <c r="P33" s="1488">
        <v>30609</v>
      </c>
      <c r="Q33" s="1488">
        <f t="shared" si="5"/>
        <v>5204</v>
      </c>
      <c r="R33" s="1488">
        <v>1548</v>
      </c>
      <c r="S33" s="1488">
        <v>3656</v>
      </c>
      <c r="U33" s="1489">
        <f t="shared" si="6"/>
        <v>0.85468963784100749</v>
      </c>
      <c r="V33" s="1489">
        <f t="shared" si="7"/>
        <v>0.14531036215899254</v>
      </c>
      <c r="W33" s="1489">
        <f t="shared" si="8"/>
        <v>4.322452740624913E-2</v>
      </c>
      <c r="X33" s="1489">
        <f t="shared" si="9"/>
        <v>0.10208583475274342</v>
      </c>
    </row>
    <row r="34" spans="1:24">
      <c r="A34" s="149" t="s">
        <v>76</v>
      </c>
      <c r="B34" s="189" t="s">
        <v>77</v>
      </c>
      <c r="C34" s="150" t="s">
        <v>267</v>
      </c>
      <c r="D34" s="243">
        <v>7213</v>
      </c>
      <c r="E34" s="243">
        <v>5744</v>
      </c>
      <c r="F34" s="243">
        <f t="shared" si="0"/>
        <v>1469</v>
      </c>
      <c r="G34" s="243">
        <v>438</v>
      </c>
      <c r="H34" s="243">
        <v>1031</v>
      </c>
      <c r="I34" s="243"/>
      <c r="J34" s="1487">
        <f t="shared" si="1"/>
        <v>0.7963399417718009</v>
      </c>
      <c r="K34" s="1487">
        <f t="shared" si="2"/>
        <v>0.20366005822819908</v>
      </c>
      <c r="L34" s="1487">
        <f t="shared" si="3"/>
        <v>6.0723693331484821E-2</v>
      </c>
      <c r="M34" s="1487">
        <f t="shared" si="4"/>
        <v>0.14293636489671427</v>
      </c>
      <c r="O34" s="1488">
        <v>1004</v>
      </c>
      <c r="P34" s="1488">
        <v>805</v>
      </c>
      <c r="Q34" s="1488">
        <f t="shared" si="5"/>
        <v>199</v>
      </c>
      <c r="R34" s="1488">
        <v>64</v>
      </c>
      <c r="S34" s="1488">
        <v>135</v>
      </c>
      <c r="U34" s="1489">
        <f t="shared" si="6"/>
        <v>0.80179282868525892</v>
      </c>
      <c r="V34" s="1489">
        <f t="shared" si="7"/>
        <v>0.19820717131474103</v>
      </c>
      <c r="W34" s="1489">
        <f t="shared" si="8"/>
        <v>6.3745019920318724E-2</v>
      </c>
      <c r="X34" s="1489">
        <f t="shared" si="9"/>
        <v>0.1344621513944223</v>
      </c>
    </row>
    <row r="35" spans="1:24">
      <c r="A35" s="149" t="s">
        <v>78</v>
      </c>
      <c r="B35" s="189" t="s">
        <v>79</v>
      </c>
      <c r="C35" s="150" t="s">
        <v>268</v>
      </c>
      <c r="D35" s="243">
        <v>1458</v>
      </c>
      <c r="E35" s="243">
        <v>1261</v>
      </c>
      <c r="F35" s="243">
        <f t="shared" si="0"/>
        <v>197</v>
      </c>
      <c r="G35" s="243">
        <v>48</v>
      </c>
      <c r="H35" s="243">
        <v>149</v>
      </c>
      <c r="I35" s="243"/>
      <c r="J35" s="1487">
        <f t="shared" si="1"/>
        <v>0.864883401920439</v>
      </c>
      <c r="K35" s="1487">
        <f t="shared" si="2"/>
        <v>0.13511659807956103</v>
      </c>
      <c r="L35" s="1487">
        <f t="shared" si="3"/>
        <v>3.292181069958848E-2</v>
      </c>
      <c r="M35" s="1487">
        <f t="shared" si="4"/>
        <v>0.10219478737997256</v>
      </c>
      <c r="O35" s="1488">
        <v>196</v>
      </c>
      <c r="P35" s="1488">
        <v>193</v>
      </c>
      <c r="Q35" s="1488">
        <f t="shared" si="5"/>
        <v>3</v>
      </c>
      <c r="R35" s="1488">
        <v>0</v>
      </c>
      <c r="S35" s="1488">
        <v>3</v>
      </c>
      <c r="U35" s="1489">
        <f t="shared" si="6"/>
        <v>0.98469387755102045</v>
      </c>
      <c r="V35" s="1489">
        <f t="shared" si="7"/>
        <v>1.5306122448979591E-2</v>
      </c>
      <c r="W35" s="1489">
        <f t="shared" si="8"/>
        <v>0</v>
      </c>
      <c r="X35" s="1489">
        <f t="shared" si="9"/>
        <v>1.5306122448979591E-2</v>
      </c>
    </row>
    <row r="36" spans="1:24">
      <c r="A36" s="149" t="s">
        <v>80</v>
      </c>
      <c r="B36" s="189" t="s">
        <v>81</v>
      </c>
      <c r="C36" s="150" t="s">
        <v>266</v>
      </c>
      <c r="D36" s="243">
        <v>2578</v>
      </c>
      <c r="E36" s="243">
        <v>1989</v>
      </c>
      <c r="F36" s="243">
        <f t="shared" ref="F36:F67" si="10">G36+H36</f>
        <v>589</v>
      </c>
      <c r="G36" s="243">
        <v>87</v>
      </c>
      <c r="H36" s="243">
        <v>502</v>
      </c>
      <c r="I36" s="243"/>
      <c r="J36" s="1487">
        <f t="shared" ref="J36:J67" si="11">E36/D36</f>
        <v>0.77152831652443754</v>
      </c>
      <c r="K36" s="1487">
        <f t="shared" ref="K36:K67" si="12">F36/D36</f>
        <v>0.22847168347556246</v>
      </c>
      <c r="L36" s="1487">
        <f t="shared" ref="L36:L67" si="13">G36/D36</f>
        <v>3.3747090768037238E-2</v>
      </c>
      <c r="M36" s="1487">
        <f t="shared" ref="M36:M67" si="14">H36/D36</f>
        <v>0.19472459270752521</v>
      </c>
      <c r="O36" s="1488">
        <v>531</v>
      </c>
      <c r="P36" s="1488">
        <v>456</v>
      </c>
      <c r="Q36" s="1488">
        <f t="shared" ref="Q36:Q67" si="15">R36+S36</f>
        <v>75</v>
      </c>
      <c r="R36" s="1488">
        <v>32</v>
      </c>
      <c r="S36" s="1488">
        <v>43</v>
      </c>
      <c r="U36" s="1489">
        <f t="shared" ref="U36:U67" si="16">P36/O36</f>
        <v>0.85875706214689262</v>
      </c>
      <c r="V36" s="1489">
        <f t="shared" ref="V36:V67" si="17">Q36/O36</f>
        <v>0.14124293785310735</v>
      </c>
      <c r="W36" s="1489">
        <f t="shared" ref="W36:W67" si="18">R36/O36</f>
        <v>6.0263653483992465E-2</v>
      </c>
      <c r="X36" s="1489">
        <f t="shared" ref="X36:X67" si="19">S36/O36</f>
        <v>8.0979284369114876E-2</v>
      </c>
    </row>
    <row r="37" spans="1:24">
      <c r="A37" s="149" t="s">
        <v>84</v>
      </c>
      <c r="B37" s="189" t="s">
        <v>85</v>
      </c>
      <c r="C37" s="150" t="s">
        <v>265</v>
      </c>
      <c r="D37" s="243">
        <v>6231</v>
      </c>
      <c r="E37" s="243">
        <v>4608</v>
      </c>
      <c r="F37" s="243">
        <f t="shared" si="10"/>
        <v>1623</v>
      </c>
      <c r="G37" s="243">
        <v>359</v>
      </c>
      <c r="H37" s="243">
        <v>1264</v>
      </c>
      <c r="I37" s="243"/>
      <c r="J37" s="1487">
        <f t="shared" si="11"/>
        <v>0.73952816562349544</v>
      </c>
      <c r="K37" s="1487">
        <f t="shared" si="12"/>
        <v>0.26047183437650456</v>
      </c>
      <c r="L37" s="1487">
        <f t="shared" si="13"/>
        <v>5.7615150056170759E-2</v>
      </c>
      <c r="M37" s="1487">
        <f t="shared" si="14"/>
        <v>0.20285668432033382</v>
      </c>
      <c r="O37" s="1488">
        <v>1304</v>
      </c>
      <c r="P37" s="1488">
        <v>968</v>
      </c>
      <c r="Q37" s="1488">
        <f t="shared" si="15"/>
        <v>336</v>
      </c>
      <c r="R37" s="1488">
        <v>186</v>
      </c>
      <c r="S37" s="1488">
        <v>150</v>
      </c>
      <c r="U37" s="1489">
        <f t="shared" si="16"/>
        <v>0.74233128834355833</v>
      </c>
      <c r="V37" s="1489">
        <f t="shared" si="17"/>
        <v>0.25766871165644173</v>
      </c>
      <c r="W37" s="1489">
        <f t="shared" si="18"/>
        <v>0.14263803680981596</v>
      </c>
      <c r="X37" s="1489">
        <f t="shared" si="19"/>
        <v>0.11503067484662577</v>
      </c>
    </row>
    <row r="38" spans="1:24">
      <c r="A38" s="149" t="s">
        <v>86</v>
      </c>
      <c r="B38" s="189" t="s">
        <v>87</v>
      </c>
      <c r="C38" s="150" t="s">
        <v>267</v>
      </c>
      <c r="D38" s="243">
        <v>9653</v>
      </c>
      <c r="E38" s="243">
        <v>7462</v>
      </c>
      <c r="F38" s="243">
        <f t="shared" si="10"/>
        <v>2191</v>
      </c>
      <c r="G38" s="243">
        <v>567</v>
      </c>
      <c r="H38" s="243">
        <v>1624</v>
      </c>
      <c r="I38" s="243"/>
      <c r="J38" s="1487">
        <f t="shared" si="11"/>
        <v>0.77302393038433648</v>
      </c>
      <c r="K38" s="1487">
        <f t="shared" si="12"/>
        <v>0.22697606961566352</v>
      </c>
      <c r="L38" s="1487">
        <f t="shared" si="13"/>
        <v>5.873821609862219E-2</v>
      </c>
      <c r="M38" s="1487">
        <f t="shared" si="14"/>
        <v>0.16823785351704135</v>
      </c>
      <c r="O38" s="1488">
        <v>1964</v>
      </c>
      <c r="P38" s="1488">
        <v>1489</v>
      </c>
      <c r="Q38" s="1488">
        <f t="shared" si="15"/>
        <v>475</v>
      </c>
      <c r="R38" s="1488">
        <v>181</v>
      </c>
      <c r="S38" s="1488">
        <v>294</v>
      </c>
      <c r="U38" s="1489">
        <f t="shared" si="16"/>
        <v>0.75814663951120165</v>
      </c>
      <c r="V38" s="1489">
        <f t="shared" si="17"/>
        <v>0.24185336048879838</v>
      </c>
      <c r="W38" s="1489">
        <f t="shared" si="18"/>
        <v>9.2158859470468438E-2</v>
      </c>
      <c r="X38" s="1489">
        <f t="shared" si="19"/>
        <v>0.14969450101832993</v>
      </c>
    </row>
    <row r="39" spans="1:24">
      <c r="A39" s="149" t="s">
        <v>92</v>
      </c>
      <c r="B39" s="189" t="s">
        <v>93</v>
      </c>
      <c r="C39" s="150" t="s">
        <v>268</v>
      </c>
      <c r="D39" s="243">
        <v>1591</v>
      </c>
      <c r="E39" s="243">
        <v>1127</v>
      </c>
      <c r="F39" s="243">
        <f t="shared" si="10"/>
        <v>464</v>
      </c>
      <c r="G39" s="243">
        <v>134</v>
      </c>
      <c r="H39" s="243">
        <v>330</v>
      </c>
      <c r="I39" s="243"/>
      <c r="J39" s="1487">
        <f t="shared" si="11"/>
        <v>0.70835952231301069</v>
      </c>
      <c r="K39" s="1487">
        <f t="shared" si="12"/>
        <v>0.29164047768698931</v>
      </c>
      <c r="L39" s="1487">
        <f t="shared" si="13"/>
        <v>8.4223758642363297E-2</v>
      </c>
      <c r="M39" s="1487">
        <f t="shared" si="14"/>
        <v>0.20741671904462602</v>
      </c>
      <c r="O39" s="1488">
        <v>278</v>
      </c>
      <c r="P39" s="1488">
        <v>133</v>
      </c>
      <c r="Q39" s="1488">
        <f t="shared" si="15"/>
        <v>145</v>
      </c>
      <c r="R39" s="1488">
        <v>64</v>
      </c>
      <c r="S39" s="1488">
        <v>81</v>
      </c>
      <c r="U39" s="1489">
        <f t="shared" si="16"/>
        <v>0.47841726618705038</v>
      </c>
      <c r="V39" s="1489">
        <f t="shared" si="17"/>
        <v>0.52158273381294962</v>
      </c>
      <c r="W39" s="1489">
        <f t="shared" si="18"/>
        <v>0.23021582733812951</v>
      </c>
      <c r="X39" s="1489">
        <f t="shared" si="19"/>
        <v>0.29136690647482016</v>
      </c>
    </row>
    <row r="40" spans="1:24">
      <c r="A40" s="149" t="s">
        <v>94</v>
      </c>
      <c r="B40" s="189" t="s">
        <v>95</v>
      </c>
      <c r="C40" s="150" t="s">
        <v>264</v>
      </c>
      <c r="D40" s="243">
        <v>4017</v>
      </c>
      <c r="E40" s="243">
        <v>3001</v>
      </c>
      <c r="F40" s="243">
        <f t="shared" si="10"/>
        <v>1016</v>
      </c>
      <c r="G40" s="243">
        <v>289</v>
      </c>
      <c r="H40" s="243">
        <v>727</v>
      </c>
      <c r="I40" s="243"/>
      <c r="J40" s="1487">
        <f t="shared" si="11"/>
        <v>0.74707493154095095</v>
      </c>
      <c r="K40" s="1487">
        <f t="shared" si="12"/>
        <v>0.25292506845904905</v>
      </c>
      <c r="L40" s="1487">
        <f t="shared" si="13"/>
        <v>7.1944236992780686E-2</v>
      </c>
      <c r="M40" s="1487">
        <f t="shared" si="14"/>
        <v>0.18098083146626837</v>
      </c>
      <c r="O40" s="1488">
        <v>520</v>
      </c>
      <c r="P40" s="1488">
        <v>392</v>
      </c>
      <c r="Q40" s="1488">
        <f t="shared" si="15"/>
        <v>128</v>
      </c>
      <c r="R40" s="1488">
        <v>6</v>
      </c>
      <c r="S40" s="1488">
        <v>122</v>
      </c>
      <c r="U40" s="1489">
        <f t="shared" si="16"/>
        <v>0.75384615384615383</v>
      </c>
      <c r="V40" s="1489">
        <f t="shared" si="17"/>
        <v>0.24615384615384617</v>
      </c>
      <c r="W40" s="1489">
        <f t="shared" si="18"/>
        <v>1.1538461538461539E-2</v>
      </c>
      <c r="X40" s="1489">
        <f t="shared" si="19"/>
        <v>0.23461538461538461</v>
      </c>
    </row>
    <row r="41" spans="1:24">
      <c r="A41" s="149" t="s">
        <v>96</v>
      </c>
      <c r="B41" s="189" t="s">
        <v>97</v>
      </c>
      <c r="C41" s="150" t="s">
        <v>266</v>
      </c>
      <c r="D41" s="243">
        <v>2050</v>
      </c>
      <c r="E41" s="243">
        <v>1767</v>
      </c>
      <c r="F41" s="243">
        <f t="shared" si="10"/>
        <v>283</v>
      </c>
      <c r="G41" s="243">
        <v>30</v>
      </c>
      <c r="H41" s="243">
        <v>253</v>
      </c>
      <c r="I41" s="243"/>
      <c r="J41" s="1487">
        <f t="shared" si="11"/>
        <v>0.86195121951219511</v>
      </c>
      <c r="K41" s="1487">
        <f t="shared" si="12"/>
        <v>0.13804878048780489</v>
      </c>
      <c r="L41" s="1487">
        <f t="shared" si="13"/>
        <v>1.4634146341463415E-2</v>
      </c>
      <c r="M41" s="1487">
        <f t="shared" si="14"/>
        <v>0.12341463414634146</v>
      </c>
      <c r="O41" s="1488">
        <v>586</v>
      </c>
      <c r="P41" s="1488">
        <v>495</v>
      </c>
      <c r="Q41" s="1488">
        <f t="shared" si="15"/>
        <v>91</v>
      </c>
      <c r="R41" s="1488">
        <v>20</v>
      </c>
      <c r="S41" s="1488">
        <v>71</v>
      </c>
      <c r="U41" s="1489">
        <f t="shared" si="16"/>
        <v>0.84470989761092152</v>
      </c>
      <c r="V41" s="1489">
        <f t="shared" si="17"/>
        <v>0.1552901023890785</v>
      </c>
      <c r="W41" s="1489">
        <f t="shared" si="18"/>
        <v>3.4129692832764506E-2</v>
      </c>
      <c r="X41" s="1489">
        <f t="shared" si="19"/>
        <v>0.12116040955631399</v>
      </c>
    </row>
    <row r="42" spans="1:24">
      <c r="A42" s="149" t="s">
        <v>98</v>
      </c>
      <c r="B42" s="189" t="s">
        <v>99</v>
      </c>
      <c r="C42" s="150" t="s">
        <v>268</v>
      </c>
      <c r="D42" s="243">
        <v>1451</v>
      </c>
      <c r="E42" s="243">
        <v>872</v>
      </c>
      <c r="F42" s="243">
        <f t="shared" si="10"/>
        <v>579</v>
      </c>
      <c r="G42" s="243">
        <v>157</v>
      </c>
      <c r="H42" s="243">
        <v>422</v>
      </c>
      <c r="I42" s="243"/>
      <c r="J42" s="1487">
        <f t="shared" si="11"/>
        <v>0.60096485182632664</v>
      </c>
      <c r="K42" s="1487">
        <f t="shared" si="12"/>
        <v>0.3990351481736733</v>
      </c>
      <c r="L42" s="1487">
        <f t="shared" si="13"/>
        <v>0.10820124052377671</v>
      </c>
      <c r="M42" s="1487">
        <f t="shared" si="14"/>
        <v>0.29083390764989664</v>
      </c>
      <c r="O42" s="1488">
        <v>432</v>
      </c>
      <c r="P42" s="1488">
        <v>186</v>
      </c>
      <c r="Q42" s="1488">
        <f t="shared" si="15"/>
        <v>246</v>
      </c>
      <c r="R42" s="1488">
        <v>46</v>
      </c>
      <c r="S42" s="1488">
        <v>200</v>
      </c>
      <c r="U42" s="1489">
        <f t="shared" si="16"/>
        <v>0.43055555555555558</v>
      </c>
      <c r="V42" s="1489">
        <f t="shared" si="17"/>
        <v>0.56944444444444442</v>
      </c>
      <c r="W42" s="1489">
        <f t="shared" si="18"/>
        <v>0.10648148148148148</v>
      </c>
      <c r="X42" s="1489">
        <f t="shared" si="19"/>
        <v>0.46296296296296297</v>
      </c>
    </row>
    <row r="43" spans="1:24">
      <c r="A43" s="149" t="s">
        <v>100</v>
      </c>
      <c r="B43" s="189" t="s">
        <v>101</v>
      </c>
      <c r="C43" s="150" t="s">
        <v>267</v>
      </c>
      <c r="D43" s="243">
        <v>2039</v>
      </c>
      <c r="E43" s="243">
        <v>1480</v>
      </c>
      <c r="F43" s="243">
        <f t="shared" si="10"/>
        <v>559</v>
      </c>
      <c r="G43" s="243">
        <v>151</v>
      </c>
      <c r="H43" s="243">
        <v>408</v>
      </c>
      <c r="I43" s="243"/>
      <c r="J43" s="1487">
        <f t="shared" si="11"/>
        <v>0.72584600294261892</v>
      </c>
      <c r="K43" s="1487">
        <f t="shared" si="12"/>
        <v>0.27415399705738108</v>
      </c>
      <c r="L43" s="1487">
        <f t="shared" si="13"/>
        <v>7.4055909759686123E-2</v>
      </c>
      <c r="M43" s="1487">
        <f t="shared" si="14"/>
        <v>0.20009808729769496</v>
      </c>
      <c r="O43" s="1488">
        <v>474</v>
      </c>
      <c r="P43" s="1488">
        <v>272</v>
      </c>
      <c r="Q43" s="1488">
        <f t="shared" si="15"/>
        <v>202</v>
      </c>
      <c r="R43" s="1488">
        <v>55</v>
      </c>
      <c r="S43" s="1488">
        <v>147</v>
      </c>
      <c r="U43" s="1489">
        <f t="shared" si="16"/>
        <v>0.57383966244725737</v>
      </c>
      <c r="V43" s="1489">
        <f t="shared" si="17"/>
        <v>0.42616033755274263</v>
      </c>
      <c r="W43" s="1489">
        <f t="shared" si="18"/>
        <v>0.1160337552742616</v>
      </c>
      <c r="X43" s="1489">
        <f t="shared" si="19"/>
        <v>0.310126582278481</v>
      </c>
    </row>
    <row r="44" spans="1:24">
      <c r="A44" s="149" t="s">
        <v>102</v>
      </c>
      <c r="B44" s="189" t="s">
        <v>282</v>
      </c>
      <c r="C44" s="150" t="s">
        <v>264</v>
      </c>
      <c r="D44" s="243">
        <v>1590</v>
      </c>
      <c r="E44" s="243">
        <v>780</v>
      </c>
      <c r="F44" s="243">
        <f t="shared" si="10"/>
        <v>810</v>
      </c>
      <c r="G44" s="243">
        <v>125</v>
      </c>
      <c r="H44" s="243">
        <v>685</v>
      </c>
      <c r="I44" s="243"/>
      <c r="J44" s="1487">
        <f t="shared" si="11"/>
        <v>0.49056603773584906</v>
      </c>
      <c r="K44" s="1487">
        <f t="shared" si="12"/>
        <v>0.50943396226415094</v>
      </c>
      <c r="L44" s="1487">
        <f t="shared" si="13"/>
        <v>7.8616352201257858E-2</v>
      </c>
      <c r="M44" s="1487">
        <f t="shared" si="14"/>
        <v>0.4308176100628931</v>
      </c>
      <c r="O44" s="1488">
        <v>368</v>
      </c>
      <c r="P44" s="1488">
        <v>154</v>
      </c>
      <c r="Q44" s="1488">
        <f t="shared" si="15"/>
        <v>214</v>
      </c>
      <c r="R44" s="1488">
        <v>14</v>
      </c>
      <c r="S44" s="1488">
        <v>200</v>
      </c>
      <c r="U44" s="1489">
        <f t="shared" si="16"/>
        <v>0.41847826086956524</v>
      </c>
      <c r="V44" s="1489">
        <f t="shared" si="17"/>
        <v>0.58152173913043481</v>
      </c>
      <c r="W44" s="1489">
        <f t="shared" si="18"/>
        <v>3.8043478260869568E-2</v>
      </c>
      <c r="X44" s="1489">
        <f t="shared" si="19"/>
        <v>0.54347826086956519</v>
      </c>
    </row>
    <row r="45" spans="1:24">
      <c r="A45" s="149" t="s">
        <v>104</v>
      </c>
      <c r="B45" s="189" t="s">
        <v>105</v>
      </c>
      <c r="C45" s="150" t="s">
        <v>265</v>
      </c>
      <c r="D45" s="243">
        <v>3649</v>
      </c>
      <c r="E45" s="243">
        <v>2004</v>
      </c>
      <c r="F45" s="243">
        <f t="shared" si="10"/>
        <v>1645</v>
      </c>
      <c r="G45" s="243">
        <v>246</v>
      </c>
      <c r="H45" s="243">
        <v>1399</v>
      </c>
      <c r="I45" s="243"/>
      <c r="J45" s="1487">
        <f t="shared" si="11"/>
        <v>0.54919155933132369</v>
      </c>
      <c r="K45" s="1487">
        <f t="shared" si="12"/>
        <v>0.45080844066867637</v>
      </c>
      <c r="L45" s="1487">
        <f t="shared" si="13"/>
        <v>6.741573033707865E-2</v>
      </c>
      <c r="M45" s="1487">
        <f t="shared" si="14"/>
        <v>0.38339271033159772</v>
      </c>
      <c r="O45" s="1488">
        <v>700</v>
      </c>
      <c r="P45" s="1488">
        <v>365</v>
      </c>
      <c r="Q45" s="1488">
        <f t="shared" si="15"/>
        <v>335</v>
      </c>
      <c r="R45" s="1488">
        <v>60</v>
      </c>
      <c r="S45" s="1488">
        <v>275</v>
      </c>
      <c r="U45" s="1489">
        <f t="shared" si="16"/>
        <v>0.52142857142857146</v>
      </c>
      <c r="V45" s="1489">
        <f t="shared" si="17"/>
        <v>0.47857142857142859</v>
      </c>
      <c r="W45" s="1489">
        <f t="shared" si="18"/>
        <v>8.5714285714285715E-2</v>
      </c>
      <c r="X45" s="1489">
        <f t="shared" si="19"/>
        <v>0.39285714285714285</v>
      </c>
    </row>
    <row r="46" spans="1:24">
      <c r="A46" s="149" t="s">
        <v>108</v>
      </c>
      <c r="B46" s="189" t="s">
        <v>109</v>
      </c>
      <c r="C46" s="150" t="s">
        <v>266</v>
      </c>
      <c r="D46" s="243">
        <v>12205</v>
      </c>
      <c r="E46" s="243">
        <v>9716</v>
      </c>
      <c r="F46" s="243">
        <f t="shared" si="10"/>
        <v>2489</v>
      </c>
      <c r="G46" s="243">
        <v>727</v>
      </c>
      <c r="H46" s="243">
        <v>1762</v>
      </c>
      <c r="I46" s="243"/>
      <c r="J46" s="1487">
        <f t="shared" si="11"/>
        <v>0.79606718557968048</v>
      </c>
      <c r="K46" s="1487">
        <f t="shared" si="12"/>
        <v>0.20393281442031955</v>
      </c>
      <c r="L46" s="1487">
        <f t="shared" si="13"/>
        <v>5.9565751741089717E-2</v>
      </c>
      <c r="M46" s="1487">
        <f t="shared" si="14"/>
        <v>0.14436706267922983</v>
      </c>
      <c r="O46" s="1488">
        <v>2519</v>
      </c>
      <c r="P46" s="1488">
        <v>2014</v>
      </c>
      <c r="Q46" s="1488">
        <f t="shared" si="15"/>
        <v>505</v>
      </c>
      <c r="R46" s="1488">
        <v>157</v>
      </c>
      <c r="S46" s="1488">
        <v>348</v>
      </c>
      <c r="U46" s="1489">
        <f t="shared" si="16"/>
        <v>0.79952362048431913</v>
      </c>
      <c r="V46" s="1489">
        <f t="shared" si="17"/>
        <v>0.20047637951568081</v>
      </c>
      <c r="W46" s="1489">
        <f t="shared" si="18"/>
        <v>6.2326319968241367E-2</v>
      </c>
      <c r="X46" s="1489">
        <f t="shared" si="19"/>
        <v>0.13815005954743945</v>
      </c>
    </row>
    <row r="47" spans="1:24">
      <c r="A47" s="149" t="s">
        <v>110</v>
      </c>
      <c r="B47" s="189" t="s">
        <v>111</v>
      </c>
      <c r="C47" s="150" t="s">
        <v>266</v>
      </c>
      <c r="D47" s="243">
        <v>38417</v>
      </c>
      <c r="E47" s="243">
        <v>25274</v>
      </c>
      <c r="F47" s="243">
        <f t="shared" si="10"/>
        <v>13143</v>
      </c>
      <c r="G47" s="243">
        <v>2322</v>
      </c>
      <c r="H47" s="243">
        <v>10821</v>
      </c>
      <c r="I47" s="243"/>
      <c r="J47" s="1487">
        <f t="shared" si="11"/>
        <v>0.65788583179321658</v>
      </c>
      <c r="K47" s="1487">
        <f t="shared" si="12"/>
        <v>0.34211416820678348</v>
      </c>
      <c r="L47" s="1487">
        <f t="shared" si="13"/>
        <v>6.0441991826535126E-2</v>
      </c>
      <c r="M47" s="1487">
        <f t="shared" si="14"/>
        <v>0.28167217638024833</v>
      </c>
      <c r="O47" s="1488">
        <v>10167</v>
      </c>
      <c r="P47" s="1488">
        <v>6588</v>
      </c>
      <c r="Q47" s="1488">
        <f t="shared" si="15"/>
        <v>3579</v>
      </c>
      <c r="R47" s="1488">
        <v>790</v>
      </c>
      <c r="S47" s="1488">
        <v>2789</v>
      </c>
      <c r="U47" s="1489">
        <f t="shared" si="16"/>
        <v>0.64797875479492473</v>
      </c>
      <c r="V47" s="1489">
        <f t="shared" si="17"/>
        <v>0.35202124520507522</v>
      </c>
      <c r="W47" s="1489">
        <f t="shared" si="18"/>
        <v>7.7702370414084787E-2</v>
      </c>
      <c r="X47" s="1489">
        <f t="shared" si="19"/>
        <v>0.27431887479099049</v>
      </c>
    </row>
    <row r="48" spans="1:24">
      <c r="A48" s="149" t="s">
        <v>112</v>
      </c>
      <c r="B48" s="189" t="s">
        <v>300</v>
      </c>
      <c r="C48" s="150" t="s">
        <v>265</v>
      </c>
      <c r="D48" s="243">
        <v>6968</v>
      </c>
      <c r="E48" s="243">
        <v>3900</v>
      </c>
      <c r="F48" s="243">
        <f t="shared" si="10"/>
        <v>3068</v>
      </c>
      <c r="G48" s="243">
        <v>511</v>
      </c>
      <c r="H48" s="243">
        <v>2557</v>
      </c>
      <c r="I48" s="243"/>
      <c r="J48" s="1487">
        <f t="shared" si="11"/>
        <v>0.55970149253731338</v>
      </c>
      <c r="K48" s="1487">
        <f t="shared" si="12"/>
        <v>0.44029850746268656</v>
      </c>
      <c r="L48" s="1487">
        <f t="shared" si="13"/>
        <v>7.3335246842709534E-2</v>
      </c>
      <c r="M48" s="1487">
        <f t="shared" si="14"/>
        <v>0.36696326061997703</v>
      </c>
      <c r="O48" s="1488">
        <v>1579</v>
      </c>
      <c r="P48" s="1488">
        <v>805</v>
      </c>
      <c r="Q48" s="1488">
        <f t="shared" si="15"/>
        <v>774</v>
      </c>
      <c r="R48" s="1488">
        <v>76</v>
      </c>
      <c r="S48" s="1488">
        <v>698</v>
      </c>
      <c r="U48" s="1489">
        <f t="shared" si="16"/>
        <v>0.50981633945535154</v>
      </c>
      <c r="V48" s="1489">
        <f t="shared" si="17"/>
        <v>0.49018366054464851</v>
      </c>
      <c r="W48" s="1489">
        <f t="shared" si="18"/>
        <v>4.8131728942368585E-2</v>
      </c>
      <c r="X48" s="1489">
        <f t="shared" si="19"/>
        <v>0.4420519316022799</v>
      </c>
    </row>
    <row r="49" spans="1:24">
      <c r="A49" s="149" t="s">
        <v>114</v>
      </c>
      <c r="B49" s="189" t="s">
        <v>115</v>
      </c>
      <c r="C49" s="150" t="s">
        <v>265</v>
      </c>
      <c r="D49" s="243">
        <v>109</v>
      </c>
      <c r="E49" s="243">
        <v>95</v>
      </c>
      <c r="F49" s="243">
        <f t="shared" si="10"/>
        <v>14</v>
      </c>
      <c r="G49" s="243">
        <v>5</v>
      </c>
      <c r="H49" s="243">
        <v>9</v>
      </c>
      <c r="I49" s="243"/>
      <c r="J49" s="1487">
        <f t="shared" si="11"/>
        <v>0.87155963302752293</v>
      </c>
      <c r="K49" s="1487">
        <f t="shared" si="12"/>
        <v>0.12844036697247707</v>
      </c>
      <c r="L49" s="1487">
        <f t="shared" si="13"/>
        <v>4.5871559633027525E-2</v>
      </c>
      <c r="M49" s="1487">
        <f t="shared" si="14"/>
        <v>8.2568807339449546E-2</v>
      </c>
      <c r="O49" s="1488">
        <v>16</v>
      </c>
      <c r="P49" s="1488">
        <v>16</v>
      </c>
      <c r="Q49" s="1488">
        <f t="shared" si="15"/>
        <v>0</v>
      </c>
      <c r="R49" s="1488">
        <v>0</v>
      </c>
      <c r="S49" s="1488">
        <v>0</v>
      </c>
      <c r="U49" s="1489">
        <f t="shared" si="16"/>
        <v>1</v>
      </c>
      <c r="V49" s="1489">
        <f t="shared" si="17"/>
        <v>0</v>
      </c>
      <c r="W49" s="1489">
        <f t="shared" si="18"/>
        <v>0</v>
      </c>
      <c r="X49" s="1489">
        <f t="shared" si="19"/>
        <v>0</v>
      </c>
    </row>
    <row r="50" spans="1:24">
      <c r="A50" s="149" t="s">
        <v>118</v>
      </c>
      <c r="B50" s="189" t="s">
        <v>270</v>
      </c>
      <c r="C50" s="150" t="s">
        <v>264</v>
      </c>
      <c r="D50" s="243">
        <v>3875</v>
      </c>
      <c r="E50" s="243">
        <v>2858</v>
      </c>
      <c r="F50" s="243">
        <f t="shared" si="10"/>
        <v>1017</v>
      </c>
      <c r="G50" s="243">
        <v>217</v>
      </c>
      <c r="H50" s="243">
        <v>800</v>
      </c>
      <c r="I50" s="243"/>
      <c r="J50" s="1487">
        <f t="shared" si="11"/>
        <v>0.73754838709677417</v>
      </c>
      <c r="K50" s="1487">
        <f t="shared" si="12"/>
        <v>0.26245161290322583</v>
      </c>
      <c r="L50" s="1487">
        <f t="shared" si="13"/>
        <v>5.6000000000000001E-2</v>
      </c>
      <c r="M50" s="1487">
        <f t="shared" si="14"/>
        <v>0.20645161290322581</v>
      </c>
      <c r="O50" s="1488">
        <v>739</v>
      </c>
      <c r="P50" s="1488">
        <v>597</v>
      </c>
      <c r="Q50" s="1488">
        <f t="shared" si="15"/>
        <v>142</v>
      </c>
      <c r="R50" s="1488">
        <v>42</v>
      </c>
      <c r="S50" s="1488">
        <v>100</v>
      </c>
      <c r="U50" s="1489">
        <f t="shared" si="16"/>
        <v>0.80784844384303112</v>
      </c>
      <c r="V50" s="1489">
        <f t="shared" si="17"/>
        <v>0.19215155615696888</v>
      </c>
      <c r="W50" s="1489">
        <f t="shared" si="18"/>
        <v>5.6833558863328824E-2</v>
      </c>
      <c r="X50" s="1489">
        <f t="shared" si="19"/>
        <v>0.13531799729364005</v>
      </c>
    </row>
    <row r="51" spans="1:24">
      <c r="A51" s="149" t="s">
        <v>120</v>
      </c>
      <c r="B51" s="189" t="s">
        <v>121</v>
      </c>
      <c r="C51" s="150" t="s">
        <v>264</v>
      </c>
      <c r="D51" s="243">
        <v>6715</v>
      </c>
      <c r="E51" s="243">
        <v>4890</v>
      </c>
      <c r="F51" s="243">
        <f t="shared" si="10"/>
        <v>1825</v>
      </c>
      <c r="G51" s="243">
        <v>324</v>
      </c>
      <c r="H51" s="243">
        <v>1501</v>
      </c>
      <c r="I51" s="243"/>
      <c r="J51" s="1487">
        <f t="shared" si="11"/>
        <v>0.72822040208488459</v>
      </c>
      <c r="K51" s="1487">
        <f t="shared" si="12"/>
        <v>0.27177959791511541</v>
      </c>
      <c r="L51" s="1487">
        <f t="shared" si="13"/>
        <v>4.8250186150409533E-2</v>
      </c>
      <c r="M51" s="1487">
        <f t="shared" si="14"/>
        <v>0.22352941176470589</v>
      </c>
      <c r="O51" s="1488">
        <v>1375</v>
      </c>
      <c r="P51" s="1488">
        <v>1041</v>
      </c>
      <c r="Q51" s="1488">
        <f t="shared" si="15"/>
        <v>334</v>
      </c>
      <c r="R51" s="1488">
        <v>92</v>
      </c>
      <c r="S51" s="1488">
        <v>242</v>
      </c>
      <c r="U51" s="1489">
        <f t="shared" si="16"/>
        <v>0.75709090909090904</v>
      </c>
      <c r="V51" s="1489">
        <f t="shared" si="17"/>
        <v>0.24290909090909091</v>
      </c>
      <c r="W51" s="1489">
        <f t="shared" si="18"/>
        <v>6.6909090909090904E-2</v>
      </c>
      <c r="X51" s="1489">
        <f t="shared" si="19"/>
        <v>0.17599999999999999</v>
      </c>
    </row>
    <row r="52" spans="1:24">
      <c r="A52" s="149" t="s">
        <v>122</v>
      </c>
      <c r="B52" s="189" t="s">
        <v>271</v>
      </c>
      <c r="C52" s="150" t="s">
        <v>266</v>
      </c>
      <c r="D52" s="243">
        <v>575</v>
      </c>
      <c r="E52" s="243">
        <v>502</v>
      </c>
      <c r="F52" s="243">
        <f t="shared" si="10"/>
        <v>73</v>
      </c>
      <c r="G52" s="243">
        <v>0</v>
      </c>
      <c r="H52" s="243">
        <v>73</v>
      </c>
      <c r="I52" s="243"/>
      <c r="J52" s="1487">
        <f t="shared" si="11"/>
        <v>0.87304347826086959</v>
      </c>
      <c r="K52" s="1487">
        <f t="shared" si="12"/>
        <v>0.12695652173913044</v>
      </c>
      <c r="L52" s="1487">
        <f t="shared" si="13"/>
        <v>0</v>
      </c>
      <c r="M52" s="1487">
        <f t="shared" si="14"/>
        <v>0.12695652173913044</v>
      </c>
      <c r="O52" s="1488">
        <v>269</v>
      </c>
      <c r="P52" s="1488">
        <v>236</v>
      </c>
      <c r="Q52" s="1488">
        <f t="shared" si="15"/>
        <v>33</v>
      </c>
      <c r="R52" s="1488">
        <v>0</v>
      </c>
      <c r="S52" s="1488">
        <v>33</v>
      </c>
      <c r="U52" s="1489">
        <f t="shared" si="16"/>
        <v>0.87732342007434949</v>
      </c>
      <c r="V52" s="1489">
        <f t="shared" si="17"/>
        <v>0.12267657992565056</v>
      </c>
      <c r="W52" s="1489">
        <f t="shared" si="18"/>
        <v>0</v>
      </c>
      <c r="X52" s="1489">
        <f t="shared" si="19"/>
        <v>0.12267657992565056</v>
      </c>
    </row>
    <row r="53" spans="1:24">
      <c r="A53" s="149" t="s">
        <v>124</v>
      </c>
      <c r="B53" s="189" t="s">
        <v>125</v>
      </c>
      <c r="C53" s="150" t="s">
        <v>267</v>
      </c>
      <c r="D53" s="243">
        <v>2964</v>
      </c>
      <c r="E53" s="243">
        <v>2161</v>
      </c>
      <c r="F53" s="243">
        <f t="shared" si="10"/>
        <v>803</v>
      </c>
      <c r="G53" s="243">
        <v>149</v>
      </c>
      <c r="H53" s="243">
        <v>654</v>
      </c>
      <c r="I53" s="243"/>
      <c r="J53" s="1487">
        <f t="shared" si="11"/>
        <v>0.72908232118758431</v>
      </c>
      <c r="K53" s="1487">
        <f t="shared" si="12"/>
        <v>0.27091767881241563</v>
      </c>
      <c r="L53" s="1487">
        <f t="shared" si="13"/>
        <v>5.026990553306343E-2</v>
      </c>
      <c r="M53" s="1487">
        <f t="shared" si="14"/>
        <v>0.22064777327935223</v>
      </c>
      <c r="O53" s="1488">
        <v>649</v>
      </c>
      <c r="P53" s="1488">
        <v>380</v>
      </c>
      <c r="Q53" s="1488">
        <f t="shared" si="15"/>
        <v>269</v>
      </c>
      <c r="R53" s="1488">
        <v>40</v>
      </c>
      <c r="S53" s="1488">
        <v>229</v>
      </c>
      <c r="U53" s="1489">
        <f t="shared" si="16"/>
        <v>0.58551617873651773</v>
      </c>
      <c r="V53" s="1489">
        <f t="shared" si="17"/>
        <v>0.41448382126348227</v>
      </c>
      <c r="W53" s="1489">
        <f t="shared" si="18"/>
        <v>6.1633281972265024E-2</v>
      </c>
      <c r="X53" s="1489">
        <f t="shared" si="19"/>
        <v>0.35285053929121724</v>
      </c>
    </row>
    <row r="54" spans="1:24">
      <c r="A54" s="149" t="s">
        <v>126</v>
      </c>
      <c r="B54" s="189" t="s">
        <v>127</v>
      </c>
      <c r="C54" s="150" t="s">
        <v>266</v>
      </c>
      <c r="D54" s="243">
        <v>2135</v>
      </c>
      <c r="E54" s="243">
        <v>1588</v>
      </c>
      <c r="F54" s="243">
        <f t="shared" si="10"/>
        <v>547</v>
      </c>
      <c r="G54" s="243">
        <v>129</v>
      </c>
      <c r="H54" s="243">
        <v>418</v>
      </c>
      <c r="I54" s="243"/>
      <c r="J54" s="1487">
        <f t="shared" si="11"/>
        <v>0.74379391100702574</v>
      </c>
      <c r="K54" s="1487">
        <f t="shared" si="12"/>
        <v>0.25620608899297426</v>
      </c>
      <c r="L54" s="1487">
        <f t="shared" si="13"/>
        <v>6.0421545667447306E-2</v>
      </c>
      <c r="M54" s="1487">
        <f t="shared" si="14"/>
        <v>0.19578454332552694</v>
      </c>
      <c r="O54" s="1488">
        <v>391</v>
      </c>
      <c r="P54" s="1488">
        <v>353</v>
      </c>
      <c r="Q54" s="1488">
        <f t="shared" si="15"/>
        <v>38</v>
      </c>
      <c r="R54" s="1488">
        <v>11</v>
      </c>
      <c r="S54" s="1488">
        <v>27</v>
      </c>
      <c r="U54" s="1489">
        <f t="shared" si="16"/>
        <v>0.90281329923273657</v>
      </c>
      <c r="V54" s="1489">
        <f t="shared" si="17"/>
        <v>9.718670076726342E-2</v>
      </c>
      <c r="W54" s="1489">
        <f t="shared" si="18"/>
        <v>2.8132992327365727E-2</v>
      </c>
      <c r="X54" s="1489">
        <f t="shared" si="19"/>
        <v>6.9053708439897693E-2</v>
      </c>
    </row>
    <row r="55" spans="1:24">
      <c r="A55" s="149" t="s">
        <v>128</v>
      </c>
      <c r="B55" s="189" t="s">
        <v>129</v>
      </c>
      <c r="C55" s="150" t="s">
        <v>266</v>
      </c>
      <c r="D55" s="243">
        <v>903</v>
      </c>
      <c r="E55" s="243">
        <v>458</v>
      </c>
      <c r="F55" s="243">
        <f t="shared" si="10"/>
        <v>445</v>
      </c>
      <c r="G55" s="243">
        <v>142</v>
      </c>
      <c r="H55" s="243">
        <v>303</v>
      </c>
      <c r="I55" s="243"/>
      <c r="J55" s="1487">
        <f t="shared" si="11"/>
        <v>0.50719822812846072</v>
      </c>
      <c r="K55" s="1487">
        <f t="shared" si="12"/>
        <v>0.49280177187153934</v>
      </c>
      <c r="L55" s="1487">
        <f t="shared" si="13"/>
        <v>0.15725359911406422</v>
      </c>
      <c r="M55" s="1487">
        <f t="shared" si="14"/>
        <v>0.33554817275747506</v>
      </c>
      <c r="O55" s="1488">
        <v>94</v>
      </c>
      <c r="P55" s="1488">
        <v>15</v>
      </c>
      <c r="Q55" s="1488">
        <f t="shared" si="15"/>
        <v>79</v>
      </c>
      <c r="R55" s="1488">
        <v>31</v>
      </c>
      <c r="S55" s="1488">
        <v>48</v>
      </c>
      <c r="U55" s="1489">
        <f t="shared" si="16"/>
        <v>0.15957446808510639</v>
      </c>
      <c r="V55" s="1489">
        <f t="shared" si="17"/>
        <v>0.84042553191489366</v>
      </c>
      <c r="W55" s="1489">
        <f t="shared" si="18"/>
        <v>0.32978723404255317</v>
      </c>
      <c r="X55" s="1489">
        <f t="shared" si="19"/>
        <v>0.51063829787234039</v>
      </c>
    </row>
    <row r="56" spans="1:24">
      <c r="A56" s="149" t="s">
        <v>130</v>
      </c>
      <c r="B56" s="189" t="s">
        <v>131</v>
      </c>
      <c r="C56" s="150" t="s">
        <v>268</v>
      </c>
      <c r="D56" s="243">
        <v>2420</v>
      </c>
      <c r="E56" s="243">
        <v>1695</v>
      </c>
      <c r="F56" s="243">
        <f t="shared" si="10"/>
        <v>725</v>
      </c>
      <c r="G56" s="243">
        <v>277</v>
      </c>
      <c r="H56" s="243">
        <v>448</v>
      </c>
      <c r="I56" s="243"/>
      <c r="J56" s="1487">
        <f t="shared" si="11"/>
        <v>0.70041322314049592</v>
      </c>
      <c r="K56" s="1487">
        <f t="shared" si="12"/>
        <v>0.29958677685950413</v>
      </c>
      <c r="L56" s="1487">
        <f t="shared" si="13"/>
        <v>0.11446280991735537</v>
      </c>
      <c r="M56" s="1487">
        <f t="shared" si="14"/>
        <v>0.18512396694214875</v>
      </c>
      <c r="O56" s="1488">
        <v>637</v>
      </c>
      <c r="P56" s="1488">
        <v>390</v>
      </c>
      <c r="Q56" s="1488">
        <f t="shared" si="15"/>
        <v>247</v>
      </c>
      <c r="R56" s="1488">
        <v>112</v>
      </c>
      <c r="S56" s="1488">
        <v>135</v>
      </c>
      <c r="U56" s="1489">
        <f t="shared" si="16"/>
        <v>0.61224489795918369</v>
      </c>
      <c r="V56" s="1489">
        <f t="shared" si="17"/>
        <v>0.38775510204081631</v>
      </c>
      <c r="W56" s="1489">
        <f t="shared" si="18"/>
        <v>0.17582417582417584</v>
      </c>
      <c r="X56" s="1489">
        <f t="shared" si="19"/>
        <v>0.2119309262166405</v>
      </c>
    </row>
    <row r="57" spans="1:24">
      <c r="A57" s="149" t="s">
        <v>132</v>
      </c>
      <c r="B57" s="189" t="s">
        <v>133</v>
      </c>
      <c r="C57" s="150" t="s">
        <v>267</v>
      </c>
      <c r="D57" s="243">
        <v>49491</v>
      </c>
      <c r="E57" s="243">
        <v>42222</v>
      </c>
      <c r="F57" s="243">
        <f t="shared" si="10"/>
        <v>7269</v>
      </c>
      <c r="G57" s="243">
        <v>2091</v>
      </c>
      <c r="H57" s="243">
        <v>5178</v>
      </c>
      <c r="I57" s="243"/>
      <c r="J57" s="1487">
        <f t="shared" si="11"/>
        <v>0.85312481057161904</v>
      </c>
      <c r="K57" s="1487">
        <f t="shared" si="12"/>
        <v>0.14687518942838093</v>
      </c>
      <c r="L57" s="1487">
        <f t="shared" si="13"/>
        <v>4.2250106079893317E-2</v>
      </c>
      <c r="M57" s="1487">
        <f t="shared" si="14"/>
        <v>0.10462508334848761</v>
      </c>
      <c r="O57" s="1488">
        <v>12687</v>
      </c>
      <c r="P57" s="1488">
        <v>11481</v>
      </c>
      <c r="Q57" s="1488">
        <f t="shared" si="15"/>
        <v>1206</v>
      </c>
      <c r="R57" s="1488">
        <v>244</v>
      </c>
      <c r="S57" s="1488">
        <v>962</v>
      </c>
      <c r="U57" s="1489">
        <f t="shared" si="16"/>
        <v>0.90494206668243082</v>
      </c>
      <c r="V57" s="1489">
        <f t="shared" si="17"/>
        <v>9.5057933317569163E-2</v>
      </c>
      <c r="W57" s="1489">
        <f t="shared" si="18"/>
        <v>1.9232285016158271E-2</v>
      </c>
      <c r="X57" s="1489">
        <f t="shared" si="19"/>
        <v>7.5825648301410892E-2</v>
      </c>
    </row>
    <row r="58" spans="1:24">
      <c r="A58" s="149" t="s">
        <v>134</v>
      </c>
      <c r="B58" s="189" t="s">
        <v>135</v>
      </c>
      <c r="C58" s="150" t="s">
        <v>267</v>
      </c>
      <c r="D58" s="243">
        <v>3512</v>
      </c>
      <c r="E58" s="243">
        <v>2451</v>
      </c>
      <c r="F58" s="243">
        <f t="shared" si="10"/>
        <v>1061</v>
      </c>
      <c r="G58" s="243">
        <v>318</v>
      </c>
      <c r="H58" s="243">
        <v>743</v>
      </c>
      <c r="I58" s="243"/>
      <c r="J58" s="1487">
        <f t="shared" si="11"/>
        <v>0.69789293849658318</v>
      </c>
      <c r="K58" s="1487">
        <f t="shared" si="12"/>
        <v>0.30210706150341687</v>
      </c>
      <c r="L58" s="1487">
        <f t="shared" si="13"/>
        <v>9.054669703872438E-2</v>
      </c>
      <c r="M58" s="1487">
        <f t="shared" si="14"/>
        <v>0.21156036446469248</v>
      </c>
      <c r="O58" s="1488">
        <v>775</v>
      </c>
      <c r="P58" s="1488">
        <v>555</v>
      </c>
      <c r="Q58" s="1488">
        <f t="shared" si="15"/>
        <v>220</v>
      </c>
      <c r="R58" s="1488">
        <v>88</v>
      </c>
      <c r="S58" s="1488">
        <v>132</v>
      </c>
      <c r="U58" s="1489">
        <f t="shared" si="16"/>
        <v>0.71612903225806457</v>
      </c>
      <c r="V58" s="1489">
        <f t="shared" si="17"/>
        <v>0.28387096774193549</v>
      </c>
      <c r="W58" s="1489">
        <f t="shared" si="18"/>
        <v>0.1135483870967742</v>
      </c>
      <c r="X58" s="1489">
        <f t="shared" si="19"/>
        <v>0.17032258064516129</v>
      </c>
    </row>
    <row r="59" spans="1:24">
      <c r="A59" s="149" t="s">
        <v>136</v>
      </c>
      <c r="B59" s="189" t="s">
        <v>137</v>
      </c>
      <c r="C59" s="150" t="s">
        <v>266</v>
      </c>
      <c r="D59" s="243">
        <v>987</v>
      </c>
      <c r="E59" s="243">
        <v>617</v>
      </c>
      <c r="F59" s="243">
        <f t="shared" si="10"/>
        <v>370</v>
      </c>
      <c r="G59" s="243">
        <v>88</v>
      </c>
      <c r="H59" s="243">
        <v>282</v>
      </c>
      <c r="I59" s="243"/>
      <c r="J59" s="1487">
        <f t="shared" si="11"/>
        <v>0.62512664640324211</v>
      </c>
      <c r="K59" s="1487">
        <f t="shared" si="12"/>
        <v>0.37487335359675783</v>
      </c>
      <c r="L59" s="1487">
        <f t="shared" si="13"/>
        <v>8.9159067882472132E-2</v>
      </c>
      <c r="M59" s="1487">
        <f t="shared" si="14"/>
        <v>0.2857142857142857</v>
      </c>
      <c r="O59" s="1488">
        <v>163</v>
      </c>
      <c r="P59" s="1488">
        <v>144</v>
      </c>
      <c r="Q59" s="1488">
        <f t="shared" si="15"/>
        <v>19</v>
      </c>
      <c r="R59" s="1488">
        <v>4</v>
      </c>
      <c r="S59" s="1488">
        <v>15</v>
      </c>
      <c r="U59" s="1489">
        <f t="shared" si="16"/>
        <v>0.8834355828220859</v>
      </c>
      <c r="V59" s="1489">
        <f t="shared" si="17"/>
        <v>0.1165644171779141</v>
      </c>
      <c r="W59" s="1489">
        <f t="shared" si="18"/>
        <v>2.4539877300613498E-2</v>
      </c>
      <c r="X59" s="1489">
        <f t="shared" si="19"/>
        <v>9.202453987730061E-2</v>
      </c>
    </row>
    <row r="60" spans="1:24">
      <c r="A60" s="149" t="s">
        <v>140</v>
      </c>
      <c r="B60" s="189" t="s">
        <v>141</v>
      </c>
      <c r="C60" s="150" t="s">
        <v>267</v>
      </c>
      <c r="D60" s="243">
        <v>1185</v>
      </c>
      <c r="E60" s="243">
        <v>931</v>
      </c>
      <c r="F60" s="243">
        <f t="shared" si="10"/>
        <v>254</v>
      </c>
      <c r="G60" s="243">
        <v>80</v>
      </c>
      <c r="H60" s="243">
        <v>174</v>
      </c>
      <c r="I60" s="243"/>
      <c r="J60" s="1487">
        <f t="shared" si="11"/>
        <v>0.78565400843881861</v>
      </c>
      <c r="K60" s="1487">
        <f t="shared" si="12"/>
        <v>0.21434599156118145</v>
      </c>
      <c r="L60" s="1487">
        <f t="shared" si="13"/>
        <v>6.7510548523206745E-2</v>
      </c>
      <c r="M60" s="1487">
        <f t="shared" si="14"/>
        <v>0.14683544303797469</v>
      </c>
      <c r="O60" s="1488">
        <v>104</v>
      </c>
      <c r="P60" s="1488">
        <v>65</v>
      </c>
      <c r="Q60" s="1488">
        <f t="shared" si="15"/>
        <v>39</v>
      </c>
      <c r="R60" s="1488">
        <v>29</v>
      </c>
      <c r="S60" s="1488">
        <v>10</v>
      </c>
      <c r="U60" s="1489">
        <f t="shared" si="16"/>
        <v>0.625</v>
      </c>
      <c r="V60" s="1489">
        <f t="shared" si="17"/>
        <v>0.375</v>
      </c>
      <c r="W60" s="1489">
        <f t="shared" si="18"/>
        <v>0.27884615384615385</v>
      </c>
      <c r="X60" s="1489">
        <f t="shared" si="19"/>
        <v>9.6153846153846159E-2</v>
      </c>
    </row>
    <row r="61" spans="1:24">
      <c r="A61" s="149" t="s">
        <v>146</v>
      </c>
      <c r="B61" s="189" t="s">
        <v>147</v>
      </c>
      <c r="C61" s="150" t="s">
        <v>264</v>
      </c>
      <c r="D61" s="243">
        <v>850</v>
      </c>
      <c r="E61" s="243">
        <v>513</v>
      </c>
      <c r="F61" s="243">
        <f t="shared" si="10"/>
        <v>337</v>
      </c>
      <c r="G61" s="243">
        <v>119</v>
      </c>
      <c r="H61" s="243">
        <v>218</v>
      </c>
      <c r="I61" s="243"/>
      <c r="J61" s="1487">
        <f t="shared" si="11"/>
        <v>0.60352941176470587</v>
      </c>
      <c r="K61" s="1487">
        <f t="shared" si="12"/>
        <v>0.39647058823529413</v>
      </c>
      <c r="L61" s="1487">
        <f t="shared" si="13"/>
        <v>0.14000000000000001</v>
      </c>
      <c r="M61" s="1487">
        <f t="shared" si="14"/>
        <v>0.25647058823529412</v>
      </c>
      <c r="O61" s="1488">
        <v>135</v>
      </c>
      <c r="P61" s="1488">
        <v>26</v>
      </c>
      <c r="Q61" s="1488">
        <f t="shared" si="15"/>
        <v>109</v>
      </c>
      <c r="R61" s="1488">
        <v>45</v>
      </c>
      <c r="S61" s="1488">
        <v>64</v>
      </c>
      <c r="U61" s="1489">
        <f t="shared" si="16"/>
        <v>0.19259259259259259</v>
      </c>
      <c r="V61" s="1489">
        <f t="shared" si="17"/>
        <v>0.80740740740740746</v>
      </c>
      <c r="W61" s="1489">
        <f t="shared" si="18"/>
        <v>0.33333333333333331</v>
      </c>
      <c r="X61" s="1489">
        <f t="shared" si="19"/>
        <v>0.47407407407407409</v>
      </c>
    </row>
    <row r="62" spans="1:24">
      <c r="A62" s="149" t="s">
        <v>148</v>
      </c>
      <c r="B62" s="189" t="s">
        <v>149</v>
      </c>
      <c r="C62" s="150" t="s">
        <v>265</v>
      </c>
      <c r="D62" s="243">
        <v>2633</v>
      </c>
      <c r="E62" s="243">
        <v>1620</v>
      </c>
      <c r="F62" s="243">
        <f t="shared" si="10"/>
        <v>1013</v>
      </c>
      <c r="G62" s="243">
        <v>268</v>
      </c>
      <c r="H62" s="243">
        <v>745</v>
      </c>
      <c r="I62" s="243"/>
      <c r="J62" s="1487">
        <f t="shared" si="11"/>
        <v>0.61526775541207746</v>
      </c>
      <c r="K62" s="1487">
        <f t="shared" si="12"/>
        <v>0.38473224458792254</v>
      </c>
      <c r="L62" s="1487">
        <f t="shared" si="13"/>
        <v>0.10178503608051652</v>
      </c>
      <c r="M62" s="1487">
        <f t="shared" si="14"/>
        <v>0.28294720850740601</v>
      </c>
      <c r="O62" s="1488">
        <v>383</v>
      </c>
      <c r="P62" s="1488">
        <v>229</v>
      </c>
      <c r="Q62" s="1488">
        <f t="shared" si="15"/>
        <v>154</v>
      </c>
      <c r="R62" s="1488">
        <v>40</v>
      </c>
      <c r="S62" s="1488">
        <v>114</v>
      </c>
      <c r="U62" s="1489">
        <f t="shared" si="16"/>
        <v>0.59791122715404699</v>
      </c>
      <c r="V62" s="1489">
        <f t="shared" si="17"/>
        <v>0.40208877284595301</v>
      </c>
      <c r="W62" s="1489">
        <f t="shared" si="18"/>
        <v>0.10443864229765012</v>
      </c>
      <c r="X62" s="1489">
        <f t="shared" si="19"/>
        <v>0.29765013054830286</v>
      </c>
    </row>
    <row r="63" spans="1:24">
      <c r="A63" s="149" t="s">
        <v>150</v>
      </c>
      <c r="B63" s="189" t="s">
        <v>151</v>
      </c>
      <c r="C63" s="150" t="s">
        <v>266</v>
      </c>
      <c r="D63" s="243">
        <v>831</v>
      </c>
      <c r="E63" s="243">
        <v>610</v>
      </c>
      <c r="F63" s="243">
        <f t="shared" si="10"/>
        <v>221</v>
      </c>
      <c r="G63" s="243">
        <v>58</v>
      </c>
      <c r="H63" s="243">
        <v>163</v>
      </c>
      <c r="I63" s="243"/>
      <c r="J63" s="1487">
        <f t="shared" si="11"/>
        <v>0.73405535499398311</v>
      </c>
      <c r="K63" s="1487">
        <f t="shared" si="12"/>
        <v>0.26594464500601683</v>
      </c>
      <c r="L63" s="1487">
        <f t="shared" si="13"/>
        <v>6.9795427196149215E-2</v>
      </c>
      <c r="M63" s="1487">
        <f t="shared" si="14"/>
        <v>0.19614921780986763</v>
      </c>
      <c r="O63" s="1488">
        <v>73</v>
      </c>
      <c r="P63" s="1488">
        <v>49</v>
      </c>
      <c r="Q63" s="1488">
        <f t="shared" si="15"/>
        <v>24</v>
      </c>
      <c r="R63" s="1488">
        <v>11</v>
      </c>
      <c r="S63" s="1488">
        <v>13</v>
      </c>
      <c r="U63" s="1489">
        <f t="shared" si="16"/>
        <v>0.67123287671232879</v>
      </c>
      <c r="V63" s="1489">
        <f t="shared" si="17"/>
        <v>0.32876712328767121</v>
      </c>
      <c r="W63" s="1489">
        <f t="shared" si="18"/>
        <v>0.15068493150684931</v>
      </c>
      <c r="X63" s="1489">
        <f t="shared" si="19"/>
        <v>0.17808219178082191</v>
      </c>
    </row>
    <row r="64" spans="1:24">
      <c r="A64" s="149" t="s">
        <v>152</v>
      </c>
      <c r="B64" s="189" t="s">
        <v>153</v>
      </c>
      <c r="C64" s="150" t="s">
        <v>268</v>
      </c>
      <c r="D64" s="243">
        <v>8105</v>
      </c>
      <c r="E64" s="243">
        <v>6006</v>
      </c>
      <c r="F64" s="243">
        <f t="shared" si="10"/>
        <v>2099</v>
      </c>
      <c r="G64" s="243">
        <v>607</v>
      </c>
      <c r="H64" s="243">
        <v>1492</v>
      </c>
      <c r="I64" s="243"/>
      <c r="J64" s="1487">
        <f t="shared" si="11"/>
        <v>0.74102405922270198</v>
      </c>
      <c r="K64" s="1487">
        <f t="shared" si="12"/>
        <v>0.25897594077729796</v>
      </c>
      <c r="L64" s="1487">
        <f t="shared" si="13"/>
        <v>7.4892041949413943E-2</v>
      </c>
      <c r="M64" s="1487">
        <f t="shared" si="14"/>
        <v>0.18408389882788403</v>
      </c>
      <c r="O64" s="1488">
        <v>1960</v>
      </c>
      <c r="P64" s="1488">
        <v>1535</v>
      </c>
      <c r="Q64" s="1488">
        <f t="shared" si="15"/>
        <v>425</v>
      </c>
      <c r="R64" s="1488">
        <v>151</v>
      </c>
      <c r="S64" s="1488">
        <v>274</v>
      </c>
      <c r="U64" s="1489">
        <f t="shared" si="16"/>
        <v>0.78316326530612246</v>
      </c>
      <c r="V64" s="1489">
        <f t="shared" si="17"/>
        <v>0.21683673469387754</v>
      </c>
      <c r="W64" s="1489">
        <f t="shared" si="18"/>
        <v>7.7040816326530606E-2</v>
      </c>
      <c r="X64" s="1489">
        <f t="shared" si="19"/>
        <v>0.13979591836734695</v>
      </c>
    </row>
    <row r="65" spans="1:24">
      <c r="A65" s="149" t="s">
        <v>154</v>
      </c>
      <c r="B65" s="189" t="s">
        <v>155</v>
      </c>
      <c r="C65" s="150" t="s">
        <v>265</v>
      </c>
      <c r="D65" s="243">
        <v>1339</v>
      </c>
      <c r="E65" s="243">
        <v>765</v>
      </c>
      <c r="F65" s="243">
        <f t="shared" si="10"/>
        <v>574</v>
      </c>
      <c r="G65" s="243">
        <v>23</v>
      </c>
      <c r="H65" s="243">
        <v>551</v>
      </c>
      <c r="I65" s="243"/>
      <c r="J65" s="1487">
        <f t="shared" si="11"/>
        <v>0.5713218820014937</v>
      </c>
      <c r="K65" s="1487">
        <f t="shared" si="12"/>
        <v>0.42867811799850636</v>
      </c>
      <c r="L65" s="1487">
        <f t="shared" si="13"/>
        <v>1.7176997759522031E-2</v>
      </c>
      <c r="M65" s="1487">
        <f t="shared" si="14"/>
        <v>0.41150112023898433</v>
      </c>
      <c r="O65" s="1488">
        <v>161</v>
      </c>
      <c r="P65" s="1488">
        <v>100</v>
      </c>
      <c r="Q65" s="1488">
        <f t="shared" si="15"/>
        <v>61</v>
      </c>
      <c r="R65" s="1488">
        <v>0</v>
      </c>
      <c r="S65" s="1488">
        <v>61</v>
      </c>
      <c r="U65" s="1489">
        <f t="shared" si="16"/>
        <v>0.6211180124223602</v>
      </c>
      <c r="V65" s="1489">
        <f t="shared" si="17"/>
        <v>0.37888198757763975</v>
      </c>
      <c r="W65" s="1489">
        <f t="shared" si="18"/>
        <v>0</v>
      </c>
      <c r="X65" s="1489">
        <f t="shared" si="19"/>
        <v>0.37888198757763975</v>
      </c>
    </row>
    <row r="66" spans="1:24">
      <c r="A66" s="149" t="s">
        <v>156</v>
      </c>
      <c r="B66" s="189" t="s">
        <v>157</v>
      </c>
      <c r="C66" s="150" t="s">
        <v>266</v>
      </c>
      <c r="D66" s="243">
        <v>1887</v>
      </c>
      <c r="E66" s="243">
        <v>1386</v>
      </c>
      <c r="F66" s="243">
        <f t="shared" si="10"/>
        <v>501</v>
      </c>
      <c r="G66" s="243">
        <v>86</v>
      </c>
      <c r="H66" s="243">
        <v>415</v>
      </c>
      <c r="I66" s="243"/>
      <c r="J66" s="1487">
        <f t="shared" si="11"/>
        <v>0.73449920508744038</v>
      </c>
      <c r="K66" s="1487">
        <f t="shared" si="12"/>
        <v>0.26550079491255962</v>
      </c>
      <c r="L66" s="1487">
        <f t="shared" si="13"/>
        <v>4.5574986751457339E-2</v>
      </c>
      <c r="M66" s="1487">
        <f t="shared" si="14"/>
        <v>0.21992580816110227</v>
      </c>
      <c r="O66" s="1488">
        <v>231</v>
      </c>
      <c r="P66" s="1488">
        <v>195</v>
      </c>
      <c r="Q66" s="1488">
        <f t="shared" si="15"/>
        <v>36</v>
      </c>
      <c r="R66" s="1488">
        <v>17</v>
      </c>
      <c r="S66" s="1488">
        <v>19</v>
      </c>
      <c r="U66" s="1489">
        <f t="shared" si="16"/>
        <v>0.8441558441558441</v>
      </c>
      <c r="V66" s="1489">
        <f t="shared" si="17"/>
        <v>0.15584415584415584</v>
      </c>
      <c r="W66" s="1489">
        <f t="shared" si="18"/>
        <v>7.3593073593073599E-2</v>
      </c>
      <c r="X66" s="1489">
        <f t="shared" si="19"/>
        <v>8.2251082251082255E-2</v>
      </c>
    </row>
    <row r="67" spans="1:24">
      <c r="A67" s="149" t="s">
        <v>162</v>
      </c>
      <c r="B67" s="189" t="s">
        <v>163</v>
      </c>
      <c r="C67" s="150" t="s">
        <v>264</v>
      </c>
      <c r="D67" s="243">
        <v>873</v>
      </c>
      <c r="E67" s="243">
        <v>538</v>
      </c>
      <c r="F67" s="243">
        <f t="shared" si="10"/>
        <v>335</v>
      </c>
      <c r="G67" s="243">
        <v>36</v>
      </c>
      <c r="H67" s="243">
        <v>299</v>
      </c>
      <c r="I67" s="243"/>
      <c r="J67" s="1487">
        <f t="shared" si="11"/>
        <v>0.61626575028636887</v>
      </c>
      <c r="K67" s="1487">
        <f t="shared" si="12"/>
        <v>0.38373424971363118</v>
      </c>
      <c r="L67" s="1487">
        <f t="shared" si="13"/>
        <v>4.1237113402061855E-2</v>
      </c>
      <c r="M67" s="1487">
        <f t="shared" si="14"/>
        <v>0.34249713631156931</v>
      </c>
      <c r="O67" s="1488">
        <v>164</v>
      </c>
      <c r="P67" s="1488">
        <v>104</v>
      </c>
      <c r="Q67" s="1488">
        <f t="shared" si="15"/>
        <v>60</v>
      </c>
      <c r="R67" s="1488">
        <v>7</v>
      </c>
      <c r="S67" s="1488">
        <v>53</v>
      </c>
      <c r="U67" s="1489">
        <f t="shared" si="16"/>
        <v>0.63414634146341464</v>
      </c>
      <c r="V67" s="1489">
        <f t="shared" si="17"/>
        <v>0.36585365853658536</v>
      </c>
      <c r="W67" s="1489">
        <f t="shared" si="18"/>
        <v>4.2682926829268296E-2</v>
      </c>
      <c r="X67" s="1489">
        <f t="shared" si="19"/>
        <v>0.32317073170731708</v>
      </c>
    </row>
    <row r="68" spans="1:24">
      <c r="A68" s="149" t="s">
        <v>164</v>
      </c>
      <c r="B68" s="189" t="s">
        <v>165</v>
      </c>
      <c r="C68" s="150" t="s">
        <v>266</v>
      </c>
      <c r="D68" s="243">
        <v>1037</v>
      </c>
      <c r="E68" s="243">
        <v>705</v>
      </c>
      <c r="F68" s="243">
        <f t="shared" ref="F68:F99" si="20">G68+H68</f>
        <v>332</v>
      </c>
      <c r="G68" s="243">
        <v>39</v>
      </c>
      <c r="H68" s="243">
        <v>293</v>
      </c>
      <c r="I68" s="243"/>
      <c r="J68" s="1487">
        <f t="shared" ref="J68:J99" si="21">E68/D68</f>
        <v>0.67984570877531336</v>
      </c>
      <c r="K68" s="1487">
        <f t="shared" ref="K68:K99" si="22">F68/D68</f>
        <v>0.32015429122468658</v>
      </c>
      <c r="L68" s="1487">
        <f t="shared" ref="L68:L99" si="23">G68/D68</f>
        <v>3.7608486017357765E-2</v>
      </c>
      <c r="M68" s="1487">
        <f t="shared" ref="M68:M99" si="24">H68/D68</f>
        <v>0.28254580520732886</v>
      </c>
      <c r="O68" s="1488">
        <v>216</v>
      </c>
      <c r="P68" s="1488">
        <v>90</v>
      </c>
      <c r="Q68" s="1488">
        <f t="shared" ref="Q68:Q99" si="25">R68+S68</f>
        <v>126</v>
      </c>
      <c r="R68" s="1488">
        <v>0</v>
      </c>
      <c r="S68" s="1488">
        <v>126</v>
      </c>
      <c r="U68" s="1489">
        <f t="shared" ref="U68:U99" si="26">P68/O68</f>
        <v>0.41666666666666669</v>
      </c>
      <c r="V68" s="1489">
        <f t="shared" ref="V68:V99" si="27">Q68/O68</f>
        <v>0.58333333333333337</v>
      </c>
      <c r="W68" s="1489">
        <f t="shared" ref="W68:W99" si="28">R68/O68</f>
        <v>0</v>
      </c>
      <c r="X68" s="1489">
        <f t="shared" ref="X68:X99" si="29">S68/O68</f>
        <v>0.58333333333333337</v>
      </c>
    </row>
    <row r="69" spans="1:24">
      <c r="A69" s="149" t="s">
        <v>168</v>
      </c>
      <c r="B69" s="189" t="s">
        <v>169</v>
      </c>
      <c r="C69" s="150" t="s">
        <v>266</v>
      </c>
      <c r="D69" s="243">
        <v>1504</v>
      </c>
      <c r="E69" s="243">
        <v>925</v>
      </c>
      <c r="F69" s="243">
        <f t="shared" si="20"/>
        <v>579</v>
      </c>
      <c r="G69" s="243">
        <v>188</v>
      </c>
      <c r="H69" s="243">
        <v>391</v>
      </c>
      <c r="I69" s="243"/>
      <c r="J69" s="1487">
        <f t="shared" si="21"/>
        <v>0.61502659574468088</v>
      </c>
      <c r="K69" s="1487">
        <f t="shared" si="22"/>
        <v>0.38497340425531917</v>
      </c>
      <c r="L69" s="1487">
        <f t="shared" si="23"/>
        <v>0.125</v>
      </c>
      <c r="M69" s="1487">
        <f t="shared" si="24"/>
        <v>0.25997340425531917</v>
      </c>
      <c r="O69" s="1488">
        <v>276</v>
      </c>
      <c r="P69" s="1488">
        <v>187</v>
      </c>
      <c r="Q69" s="1488">
        <f t="shared" si="25"/>
        <v>89</v>
      </c>
      <c r="R69" s="1488">
        <v>42</v>
      </c>
      <c r="S69" s="1488">
        <v>47</v>
      </c>
      <c r="U69" s="1489">
        <f t="shared" si="26"/>
        <v>0.67753623188405798</v>
      </c>
      <c r="V69" s="1489">
        <f t="shared" si="27"/>
        <v>0.32246376811594202</v>
      </c>
      <c r="W69" s="1489">
        <f t="shared" si="28"/>
        <v>0.15217391304347827</v>
      </c>
      <c r="X69" s="1489">
        <f t="shared" si="29"/>
        <v>0.17028985507246377</v>
      </c>
    </row>
    <row r="70" spans="1:24">
      <c r="A70" s="149" t="s">
        <v>170</v>
      </c>
      <c r="B70" s="189" t="s">
        <v>171</v>
      </c>
      <c r="C70" s="150" t="s">
        <v>267</v>
      </c>
      <c r="D70" s="243">
        <v>3531</v>
      </c>
      <c r="E70" s="243">
        <v>2347</v>
      </c>
      <c r="F70" s="243">
        <f t="shared" si="20"/>
        <v>1184</v>
      </c>
      <c r="G70" s="243">
        <v>449</v>
      </c>
      <c r="H70" s="243">
        <v>735</v>
      </c>
      <c r="I70" s="243"/>
      <c r="J70" s="1487">
        <f t="shared" si="21"/>
        <v>0.66468422543188899</v>
      </c>
      <c r="K70" s="1487">
        <f t="shared" si="22"/>
        <v>0.33531577456811101</v>
      </c>
      <c r="L70" s="1487">
        <f t="shared" si="23"/>
        <v>0.12715944491645426</v>
      </c>
      <c r="M70" s="1487">
        <f t="shared" si="24"/>
        <v>0.20815632965165676</v>
      </c>
      <c r="O70" s="1488">
        <v>675</v>
      </c>
      <c r="P70" s="1488">
        <v>416</v>
      </c>
      <c r="Q70" s="1488">
        <f t="shared" si="25"/>
        <v>259</v>
      </c>
      <c r="R70" s="1488">
        <v>164</v>
      </c>
      <c r="S70" s="1488">
        <v>95</v>
      </c>
      <c r="U70" s="1489">
        <f t="shared" si="26"/>
        <v>0.61629629629629634</v>
      </c>
      <c r="V70" s="1489">
        <f t="shared" si="27"/>
        <v>0.38370370370370371</v>
      </c>
      <c r="W70" s="1489">
        <f t="shared" si="28"/>
        <v>0.24296296296296296</v>
      </c>
      <c r="X70" s="1489">
        <f t="shared" si="29"/>
        <v>0.14074074074074075</v>
      </c>
    </row>
    <row r="71" spans="1:24">
      <c r="A71" s="149" t="s">
        <v>172</v>
      </c>
      <c r="B71" s="189" t="s">
        <v>173</v>
      </c>
      <c r="C71" s="150" t="s">
        <v>267</v>
      </c>
      <c r="D71" s="243">
        <v>2614</v>
      </c>
      <c r="E71" s="243">
        <v>1635</v>
      </c>
      <c r="F71" s="243">
        <f t="shared" si="20"/>
        <v>979</v>
      </c>
      <c r="G71" s="243">
        <v>388</v>
      </c>
      <c r="H71" s="243">
        <v>591</v>
      </c>
      <c r="I71" s="243"/>
      <c r="J71" s="1487">
        <f t="shared" si="21"/>
        <v>0.62547819433817908</v>
      </c>
      <c r="K71" s="1487">
        <f t="shared" si="22"/>
        <v>0.37452180566182097</v>
      </c>
      <c r="L71" s="1487">
        <f t="shared" si="23"/>
        <v>0.14843152257077277</v>
      </c>
      <c r="M71" s="1487">
        <f t="shared" si="24"/>
        <v>0.2260902830910482</v>
      </c>
      <c r="O71" s="1488">
        <v>570</v>
      </c>
      <c r="P71" s="1488">
        <v>252</v>
      </c>
      <c r="Q71" s="1488">
        <f t="shared" si="25"/>
        <v>318</v>
      </c>
      <c r="R71" s="1488">
        <v>112</v>
      </c>
      <c r="S71" s="1488">
        <v>206</v>
      </c>
      <c r="U71" s="1489">
        <f t="shared" si="26"/>
        <v>0.44210526315789472</v>
      </c>
      <c r="V71" s="1489">
        <f t="shared" si="27"/>
        <v>0.55789473684210522</v>
      </c>
      <c r="W71" s="1489">
        <f t="shared" si="28"/>
        <v>0.19649122807017544</v>
      </c>
      <c r="X71" s="1489">
        <f t="shared" si="29"/>
        <v>0.36140350877192984</v>
      </c>
    </row>
    <row r="72" spans="1:24">
      <c r="A72" s="149" t="s">
        <v>174</v>
      </c>
      <c r="B72" s="189" t="s">
        <v>175</v>
      </c>
      <c r="C72" s="150" t="s">
        <v>268</v>
      </c>
      <c r="D72" s="243">
        <v>1709</v>
      </c>
      <c r="E72" s="243">
        <v>1094</v>
      </c>
      <c r="F72" s="243">
        <f t="shared" si="20"/>
        <v>615</v>
      </c>
      <c r="G72" s="243">
        <v>71</v>
      </c>
      <c r="H72" s="243">
        <v>544</v>
      </c>
      <c r="I72" s="243"/>
      <c r="J72" s="1487">
        <f t="shared" si="21"/>
        <v>0.64014043300175538</v>
      </c>
      <c r="K72" s="1487">
        <f t="shared" si="22"/>
        <v>0.35985956699824456</v>
      </c>
      <c r="L72" s="1487">
        <f t="shared" si="23"/>
        <v>4.1544763019309539E-2</v>
      </c>
      <c r="M72" s="1487">
        <f t="shared" si="24"/>
        <v>0.31831480397893502</v>
      </c>
      <c r="O72" s="1488">
        <v>218</v>
      </c>
      <c r="P72" s="1488">
        <v>150</v>
      </c>
      <c r="Q72" s="1488">
        <f t="shared" si="25"/>
        <v>68</v>
      </c>
      <c r="R72" s="1488">
        <v>0</v>
      </c>
      <c r="S72" s="1488">
        <v>68</v>
      </c>
      <c r="U72" s="1489">
        <f t="shared" si="26"/>
        <v>0.68807339449541283</v>
      </c>
      <c r="V72" s="1489">
        <f t="shared" si="27"/>
        <v>0.31192660550458717</v>
      </c>
      <c r="W72" s="1489">
        <f t="shared" si="28"/>
        <v>0</v>
      </c>
      <c r="X72" s="1489">
        <f t="shared" si="29"/>
        <v>0.31192660550458717</v>
      </c>
    </row>
    <row r="73" spans="1:24">
      <c r="A73" s="149" t="s">
        <v>178</v>
      </c>
      <c r="B73" s="189" t="s">
        <v>179</v>
      </c>
      <c r="C73" s="150" t="s">
        <v>265</v>
      </c>
      <c r="D73" s="243">
        <v>6358</v>
      </c>
      <c r="E73" s="243">
        <v>4359</v>
      </c>
      <c r="F73" s="243">
        <f t="shared" si="20"/>
        <v>1999</v>
      </c>
      <c r="G73" s="243">
        <v>463</v>
      </c>
      <c r="H73" s="243">
        <v>1536</v>
      </c>
      <c r="I73" s="243"/>
      <c r="J73" s="1487">
        <f t="shared" si="21"/>
        <v>0.68559295375904372</v>
      </c>
      <c r="K73" s="1487">
        <f t="shared" si="22"/>
        <v>0.31440704624095628</v>
      </c>
      <c r="L73" s="1487">
        <f t="shared" si="23"/>
        <v>7.2821642025794275E-2</v>
      </c>
      <c r="M73" s="1487">
        <f t="shared" si="24"/>
        <v>0.241585404215162</v>
      </c>
      <c r="O73" s="1488">
        <v>1315</v>
      </c>
      <c r="P73" s="1488">
        <v>629</v>
      </c>
      <c r="Q73" s="1488">
        <f t="shared" si="25"/>
        <v>686</v>
      </c>
      <c r="R73" s="1488">
        <v>209</v>
      </c>
      <c r="S73" s="1488">
        <v>477</v>
      </c>
      <c r="U73" s="1489">
        <f t="shared" si="26"/>
        <v>0.47832699619771862</v>
      </c>
      <c r="V73" s="1489">
        <f t="shared" si="27"/>
        <v>0.52167300380228132</v>
      </c>
      <c r="W73" s="1489">
        <f t="shared" si="28"/>
        <v>0.15893536121673005</v>
      </c>
      <c r="X73" s="1489">
        <f t="shared" si="29"/>
        <v>0.36273764258555136</v>
      </c>
    </row>
    <row r="74" spans="1:24">
      <c r="A74" s="149" t="s">
        <v>182</v>
      </c>
      <c r="B74" s="189" t="s">
        <v>183</v>
      </c>
      <c r="C74" s="150" t="s">
        <v>266</v>
      </c>
      <c r="D74" s="243">
        <v>2869</v>
      </c>
      <c r="E74" s="243">
        <v>2387</v>
      </c>
      <c r="F74" s="243">
        <f t="shared" si="20"/>
        <v>482</v>
      </c>
      <c r="G74" s="243">
        <v>176</v>
      </c>
      <c r="H74" s="243">
        <v>306</v>
      </c>
      <c r="I74" s="243"/>
      <c r="J74" s="1487">
        <f t="shared" si="21"/>
        <v>0.83199721157197626</v>
      </c>
      <c r="K74" s="1487">
        <f t="shared" si="22"/>
        <v>0.16800278842802371</v>
      </c>
      <c r="L74" s="1487">
        <f t="shared" si="23"/>
        <v>6.134541652143604E-2</v>
      </c>
      <c r="M74" s="1487">
        <f t="shared" si="24"/>
        <v>0.10665737190658767</v>
      </c>
      <c r="O74" s="1488">
        <v>584</v>
      </c>
      <c r="P74" s="1488">
        <v>406</v>
      </c>
      <c r="Q74" s="1488">
        <f t="shared" si="25"/>
        <v>178</v>
      </c>
      <c r="R74" s="1488">
        <v>98</v>
      </c>
      <c r="S74" s="1488">
        <v>80</v>
      </c>
      <c r="U74" s="1489">
        <f t="shared" si="26"/>
        <v>0.6952054794520548</v>
      </c>
      <c r="V74" s="1489">
        <f t="shared" si="27"/>
        <v>0.3047945205479452</v>
      </c>
      <c r="W74" s="1489">
        <f t="shared" si="28"/>
        <v>0.1678082191780822</v>
      </c>
      <c r="X74" s="1489">
        <f t="shared" si="29"/>
        <v>0.13698630136986301</v>
      </c>
    </row>
    <row r="75" spans="1:24">
      <c r="A75" s="149" t="s">
        <v>184</v>
      </c>
      <c r="B75" s="189" t="s">
        <v>185</v>
      </c>
      <c r="C75" s="150" t="s">
        <v>266</v>
      </c>
      <c r="D75" s="243">
        <v>1927</v>
      </c>
      <c r="E75" s="243">
        <v>1123</v>
      </c>
      <c r="F75" s="243">
        <f t="shared" si="20"/>
        <v>804</v>
      </c>
      <c r="G75" s="243">
        <v>173</v>
      </c>
      <c r="H75" s="243">
        <v>631</v>
      </c>
      <c r="I75" s="243"/>
      <c r="J75" s="1487">
        <f t="shared" si="21"/>
        <v>0.58277114686040477</v>
      </c>
      <c r="K75" s="1487">
        <f t="shared" si="22"/>
        <v>0.41722885313959523</v>
      </c>
      <c r="L75" s="1487">
        <f t="shared" si="23"/>
        <v>8.9776855215360662E-2</v>
      </c>
      <c r="M75" s="1487">
        <f t="shared" si="24"/>
        <v>0.32745199792423457</v>
      </c>
      <c r="O75" s="1488">
        <v>547</v>
      </c>
      <c r="P75" s="1488">
        <v>248</v>
      </c>
      <c r="Q75" s="1488">
        <f t="shared" si="25"/>
        <v>299</v>
      </c>
      <c r="R75" s="1488">
        <v>0</v>
      </c>
      <c r="S75" s="1488">
        <v>299</v>
      </c>
      <c r="U75" s="1489">
        <f t="shared" si="26"/>
        <v>0.45338208409506398</v>
      </c>
      <c r="V75" s="1489">
        <f t="shared" si="27"/>
        <v>0.54661791590493602</v>
      </c>
      <c r="W75" s="1489">
        <f t="shared" si="28"/>
        <v>0</v>
      </c>
      <c r="X75" s="1489">
        <f t="shared" si="29"/>
        <v>0.54661791590493602</v>
      </c>
    </row>
    <row r="76" spans="1:24">
      <c r="A76" s="149" t="s">
        <v>186</v>
      </c>
      <c r="B76" s="189" t="s">
        <v>187</v>
      </c>
      <c r="C76" s="150" t="s">
        <v>264</v>
      </c>
      <c r="D76" s="243">
        <v>4096</v>
      </c>
      <c r="E76" s="243">
        <v>3043</v>
      </c>
      <c r="F76" s="243">
        <f t="shared" si="20"/>
        <v>1053</v>
      </c>
      <c r="G76" s="243">
        <v>407</v>
      </c>
      <c r="H76" s="243">
        <v>646</v>
      </c>
      <c r="I76" s="243"/>
      <c r="J76" s="1487">
        <f t="shared" si="21"/>
        <v>0.742919921875</v>
      </c>
      <c r="K76" s="1487">
        <f t="shared" si="22"/>
        <v>0.257080078125</v>
      </c>
      <c r="L76" s="1487">
        <f t="shared" si="23"/>
        <v>9.9365234375E-2</v>
      </c>
      <c r="M76" s="1487">
        <f t="shared" si="24"/>
        <v>0.15771484375</v>
      </c>
      <c r="O76" s="1488">
        <v>456</v>
      </c>
      <c r="P76" s="1488">
        <v>406</v>
      </c>
      <c r="Q76" s="1488">
        <f t="shared" si="25"/>
        <v>50</v>
      </c>
      <c r="R76" s="1488">
        <v>0</v>
      </c>
      <c r="S76" s="1488">
        <v>50</v>
      </c>
      <c r="U76" s="1489">
        <f t="shared" si="26"/>
        <v>0.89035087719298245</v>
      </c>
      <c r="V76" s="1489">
        <f t="shared" si="27"/>
        <v>0.10964912280701754</v>
      </c>
      <c r="W76" s="1489">
        <f t="shared" si="28"/>
        <v>0</v>
      </c>
      <c r="X76" s="1489">
        <f t="shared" si="29"/>
        <v>0.10964912280701754</v>
      </c>
    </row>
    <row r="77" spans="1:24">
      <c r="A77" s="149" t="s">
        <v>188</v>
      </c>
      <c r="B77" s="189" t="s">
        <v>189</v>
      </c>
      <c r="C77" s="150" t="s">
        <v>267</v>
      </c>
      <c r="D77" s="243">
        <v>56870</v>
      </c>
      <c r="E77" s="243">
        <v>43732</v>
      </c>
      <c r="F77" s="243">
        <f t="shared" si="20"/>
        <v>13138</v>
      </c>
      <c r="G77" s="243">
        <v>4035</v>
      </c>
      <c r="H77" s="243">
        <v>9103</v>
      </c>
      <c r="I77" s="243"/>
      <c r="J77" s="1487">
        <f t="shared" si="21"/>
        <v>0.76898188851767191</v>
      </c>
      <c r="K77" s="1487">
        <f t="shared" si="22"/>
        <v>0.23101811148232812</v>
      </c>
      <c r="L77" s="1487">
        <f t="shared" si="23"/>
        <v>7.0951292421311762E-2</v>
      </c>
      <c r="M77" s="1487">
        <f t="shared" si="24"/>
        <v>0.16006681906101636</v>
      </c>
      <c r="O77" s="1488">
        <v>13162</v>
      </c>
      <c r="P77" s="1488">
        <v>10195</v>
      </c>
      <c r="Q77" s="1488">
        <f t="shared" si="25"/>
        <v>2967</v>
      </c>
      <c r="R77" s="1488">
        <v>1321</v>
      </c>
      <c r="S77" s="1488">
        <v>1646</v>
      </c>
      <c r="U77" s="1489">
        <f t="shared" si="26"/>
        <v>0.77457833156055311</v>
      </c>
      <c r="V77" s="1489">
        <f t="shared" si="27"/>
        <v>0.22542166843944689</v>
      </c>
      <c r="W77" s="1489">
        <f t="shared" si="28"/>
        <v>0.10036468621790001</v>
      </c>
      <c r="X77" s="1489">
        <f t="shared" si="29"/>
        <v>0.12505698222154688</v>
      </c>
    </row>
    <row r="78" spans="1:24">
      <c r="A78" s="149" t="s">
        <v>190</v>
      </c>
      <c r="B78" s="189" t="s">
        <v>191</v>
      </c>
      <c r="C78" s="150" t="s">
        <v>268</v>
      </c>
      <c r="D78" s="243">
        <v>3147</v>
      </c>
      <c r="E78" s="243">
        <v>2065</v>
      </c>
      <c r="F78" s="243">
        <f t="shared" si="20"/>
        <v>1082</v>
      </c>
      <c r="G78" s="243">
        <v>326</v>
      </c>
      <c r="H78" s="243">
        <v>756</v>
      </c>
      <c r="I78" s="243"/>
      <c r="J78" s="1487">
        <f t="shared" si="21"/>
        <v>0.65618048935494122</v>
      </c>
      <c r="K78" s="1487">
        <f t="shared" si="22"/>
        <v>0.34381951064505878</v>
      </c>
      <c r="L78" s="1487">
        <f t="shared" si="23"/>
        <v>0.10359072132189387</v>
      </c>
      <c r="M78" s="1487">
        <f t="shared" si="24"/>
        <v>0.24022878932316491</v>
      </c>
      <c r="O78" s="1488">
        <v>737</v>
      </c>
      <c r="P78" s="1488">
        <v>512</v>
      </c>
      <c r="Q78" s="1488">
        <f t="shared" si="25"/>
        <v>225</v>
      </c>
      <c r="R78" s="1488">
        <v>99</v>
      </c>
      <c r="S78" s="1488">
        <v>126</v>
      </c>
      <c r="U78" s="1489">
        <f t="shared" si="26"/>
        <v>0.69470827679782898</v>
      </c>
      <c r="V78" s="1489">
        <f t="shared" si="27"/>
        <v>0.30529172320217096</v>
      </c>
      <c r="W78" s="1489">
        <f t="shared" si="28"/>
        <v>0.13432835820895522</v>
      </c>
      <c r="X78" s="1489">
        <f t="shared" si="29"/>
        <v>0.17096336499321574</v>
      </c>
    </row>
    <row r="79" spans="1:24">
      <c r="A79" s="149" t="s">
        <v>194</v>
      </c>
      <c r="B79" s="189" t="s">
        <v>195</v>
      </c>
      <c r="C79" s="150" t="s">
        <v>267</v>
      </c>
      <c r="D79" s="243">
        <v>711</v>
      </c>
      <c r="E79" s="243">
        <v>577</v>
      </c>
      <c r="F79" s="243">
        <f t="shared" si="20"/>
        <v>134</v>
      </c>
      <c r="G79" s="243">
        <v>91</v>
      </c>
      <c r="H79" s="243">
        <v>43</v>
      </c>
      <c r="I79" s="243"/>
      <c r="J79" s="1487">
        <f t="shared" si="21"/>
        <v>0.8115330520393812</v>
      </c>
      <c r="K79" s="1487">
        <f t="shared" si="22"/>
        <v>0.18846694796061886</v>
      </c>
      <c r="L79" s="1487">
        <f t="shared" si="23"/>
        <v>0.12798874824191281</v>
      </c>
      <c r="M79" s="1487">
        <f t="shared" si="24"/>
        <v>6.0478199718706049E-2</v>
      </c>
      <c r="O79" s="1488">
        <v>164</v>
      </c>
      <c r="P79" s="1488">
        <v>109</v>
      </c>
      <c r="Q79" s="1488">
        <f t="shared" si="25"/>
        <v>55</v>
      </c>
      <c r="R79" s="1488">
        <v>34</v>
      </c>
      <c r="S79" s="1488">
        <v>21</v>
      </c>
      <c r="U79" s="1489">
        <f t="shared" si="26"/>
        <v>0.66463414634146345</v>
      </c>
      <c r="V79" s="1489">
        <f t="shared" si="27"/>
        <v>0.33536585365853661</v>
      </c>
      <c r="W79" s="1489">
        <f t="shared" si="28"/>
        <v>0.2073170731707317</v>
      </c>
      <c r="X79" s="1489">
        <f t="shared" si="29"/>
        <v>0.12804878048780488</v>
      </c>
    </row>
    <row r="80" spans="1:24">
      <c r="A80" s="149" t="s">
        <v>198</v>
      </c>
      <c r="B80" s="189" t="s">
        <v>272</v>
      </c>
      <c r="C80" s="150" t="s">
        <v>266</v>
      </c>
      <c r="D80" s="243">
        <v>646</v>
      </c>
      <c r="E80" s="243">
        <v>392</v>
      </c>
      <c r="F80" s="243">
        <f t="shared" si="20"/>
        <v>254</v>
      </c>
      <c r="G80" s="243">
        <v>31</v>
      </c>
      <c r="H80" s="243">
        <v>223</v>
      </c>
      <c r="I80" s="243"/>
      <c r="J80" s="1487">
        <f t="shared" si="21"/>
        <v>0.60681114551083593</v>
      </c>
      <c r="K80" s="1487">
        <f t="shared" si="22"/>
        <v>0.39318885448916407</v>
      </c>
      <c r="L80" s="1487">
        <f t="shared" si="23"/>
        <v>4.7987616099071206E-2</v>
      </c>
      <c r="M80" s="1487">
        <f t="shared" si="24"/>
        <v>0.34520123839009287</v>
      </c>
      <c r="O80" s="1488">
        <v>43</v>
      </c>
      <c r="P80" s="1488">
        <v>17</v>
      </c>
      <c r="Q80" s="1488">
        <f t="shared" si="25"/>
        <v>26</v>
      </c>
      <c r="R80" s="1488">
        <v>3</v>
      </c>
      <c r="S80" s="1488">
        <v>23</v>
      </c>
      <c r="U80" s="1489">
        <f t="shared" si="26"/>
        <v>0.39534883720930231</v>
      </c>
      <c r="V80" s="1489">
        <f t="shared" si="27"/>
        <v>0.60465116279069764</v>
      </c>
      <c r="W80" s="1489">
        <f t="shared" si="28"/>
        <v>6.9767441860465115E-2</v>
      </c>
      <c r="X80" s="1489">
        <f t="shared" si="29"/>
        <v>0.53488372093023251</v>
      </c>
    </row>
    <row r="81" spans="1:24">
      <c r="A81" s="149" t="s">
        <v>202</v>
      </c>
      <c r="B81" s="189" t="s">
        <v>301</v>
      </c>
      <c r="C81" s="150" t="s">
        <v>265</v>
      </c>
      <c r="D81" s="243">
        <v>13056</v>
      </c>
      <c r="E81" s="243">
        <v>9531</v>
      </c>
      <c r="F81" s="243">
        <f t="shared" si="20"/>
        <v>3525</v>
      </c>
      <c r="G81" s="243">
        <v>1057</v>
      </c>
      <c r="H81" s="243">
        <v>2468</v>
      </c>
      <c r="I81" s="243"/>
      <c r="J81" s="1487">
        <f t="shared" si="21"/>
        <v>0.73000919117647056</v>
      </c>
      <c r="K81" s="1487">
        <f t="shared" si="22"/>
        <v>0.26999080882352944</v>
      </c>
      <c r="L81" s="1487">
        <f t="shared" si="23"/>
        <v>8.0958946078431376E-2</v>
      </c>
      <c r="M81" s="1487">
        <f t="shared" si="24"/>
        <v>0.18903186274509803</v>
      </c>
      <c r="O81" s="1488">
        <v>2585</v>
      </c>
      <c r="P81" s="1488">
        <v>1970</v>
      </c>
      <c r="Q81" s="1488">
        <f t="shared" si="25"/>
        <v>615</v>
      </c>
      <c r="R81" s="1488">
        <v>156</v>
      </c>
      <c r="S81" s="1488">
        <v>459</v>
      </c>
      <c r="U81" s="1489">
        <f t="shared" si="26"/>
        <v>0.76208897485493232</v>
      </c>
      <c r="V81" s="1489">
        <f t="shared" si="27"/>
        <v>0.23791102514506771</v>
      </c>
      <c r="W81" s="1489">
        <f t="shared" si="28"/>
        <v>6.0348162475822052E-2</v>
      </c>
      <c r="X81" s="1489">
        <f t="shared" si="29"/>
        <v>0.17756286266924565</v>
      </c>
    </row>
    <row r="82" spans="1:24">
      <c r="A82" s="149" t="s">
        <v>204</v>
      </c>
      <c r="B82" s="189" t="s">
        <v>293</v>
      </c>
      <c r="C82" s="150" t="s">
        <v>265</v>
      </c>
      <c r="D82" s="243">
        <v>3068</v>
      </c>
      <c r="E82" s="243">
        <v>2147</v>
      </c>
      <c r="F82" s="243">
        <f t="shared" si="20"/>
        <v>921</v>
      </c>
      <c r="G82" s="243">
        <v>368</v>
      </c>
      <c r="H82" s="243">
        <v>553</v>
      </c>
      <c r="I82" s="243"/>
      <c r="J82" s="1487">
        <f t="shared" si="21"/>
        <v>0.69980443285528027</v>
      </c>
      <c r="K82" s="1487">
        <f t="shared" si="22"/>
        <v>0.30019556714471968</v>
      </c>
      <c r="L82" s="1487">
        <f t="shared" si="23"/>
        <v>0.11994784876140809</v>
      </c>
      <c r="M82" s="1487">
        <f t="shared" si="24"/>
        <v>0.18024771838331161</v>
      </c>
      <c r="O82" s="1488">
        <v>767</v>
      </c>
      <c r="P82" s="1488">
        <v>544</v>
      </c>
      <c r="Q82" s="1488">
        <f t="shared" si="25"/>
        <v>223</v>
      </c>
      <c r="R82" s="1488">
        <v>108</v>
      </c>
      <c r="S82" s="1488">
        <v>115</v>
      </c>
      <c r="U82" s="1489">
        <f t="shared" si="26"/>
        <v>0.70925684485006524</v>
      </c>
      <c r="V82" s="1489">
        <f t="shared" si="27"/>
        <v>0.29074315514993482</v>
      </c>
      <c r="W82" s="1489">
        <f t="shared" si="28"/>
        <v>0.1408083441981747</v>
      </c>
      <c r="X82" s="1489">
        <f t="shared" si="29"/>
        <v>0.14993481095176012</v>
      </c>
    </row>
    <row r="83" spans="1:24">
      <c r="A83" s="149" t="s">
        <v>206</v>
      </c>
      <c r="B83" s="189" t="s">
        <v>294</v>
      </c>
      <c r="C83" s="150" t="s">
        <v>267</v>
      </c>
      <c r="D83" s="243">
        <v>12053</v>
      </c>
      <c r="E83" s="243">
        <v>8594</v>
      </c>
      <c r="F83" s="243">
        <f t="shared" si="20"/>
        <v>3459</v>
      </c>
      <c r="G83" s="243">
        <v>968</v>
      </c>
      <c r="H83" s="243">
        <v>2491</v>
      </c>
      <c r="I83" s="243"/>
      <c r="J83" s="1487">
        <f t="shared" si="21"/>
        <v>0.71301750601509994</v>
      </c>
      <c r="K83" s="1487">
        <f t="shared" si="22"/>
        <v>0.2869824939849</v>
      </c>
      <c r="L83" s="1487">
        <f t="shared" si="23"/>
        <v>8.0311955529743628E-2</v>
      </c>
      <c r="M83" s="1487">
        <f t="shared" si="24"/>
        <v>0.2066705384551564</v>
      </c>
      <c r="O83" s="1488">
        <v>2614</v>
      </c>
      <c r="P83" s="1488">
        <v>1660</v>
      </c>
      <c r="Q83" s="1488">
        <f t="shared" si="25"/>
        <v>954</v>
      </c>
      <c r="R83" s="1488">
        <v>181</v>
      </c>
      <c r="S83" s="1488">
        <v>773</v>
      </c>
      <c r="U83" s="1489">
        <f t="shared" si="26"/>
        <v>0.63504208110175975</v>
      </c>
      <c r="V83" s="1489">
        <f t="shared" si="27"/>
        <v>0.36495791889824025</v>
      </c>
      <c r="W83" s="1489">
        <f t="shared" si="28"/>
        <v>6.9242540168324401E-2</v>
      </c>
      <c r="X83" s="1489">
        <f t="shared" si="29"/>
        <v>0.29571537872991582</v>
      </c>
    </row>
    <row r="84" spans="1:24">
      <c r="A84" s="149" t="s">
        <v>208</v>
      </c>
      <c r="B84" s="189" t="s">
        <v>209</v>
      </c>
      <c r="C84" s="150" t="s">
        <v>268</v>
      </c>
      <c r="D84" s="243">
        <v>2496</v>
      </c>
      <c r="E84" s="243">
        <v>1837</v>
      </c>
      <c r="F84" s="243">
        <f t="shared" si="20"/>
        <v>659</v>
      </c>
      <c r="G84" s="243">
        <v>211</v>
      </c>
      <c r="H84" s="243">
        <v>448</v>
      </c>
      <c r="I84" s="243"/>
      <c r="J84" s="1487">
        <f t="shared" si="21"/>
        <v>0.7359775641025641</v>
      </c>
      <c r="K84" s="1487">
        <f t="shared" si="22"/>
        <v>0.2640224358974359</v>
      </c>
      <c r="L84" s="1487">
        <f t="shared" si="23"/>
        <v>8.4535256410256415E-2</v>
      </c>
      <c r="M84" s="1487">
        <f t="shared" si="24"/>
        <v>0.17948717948717949</v>
      </c>
      <c r="O84" s="1488">
        <v>572</v>
      </c>
      <c r="P84" s="1488">
        <v>399</v>
      </c>
      <c r="Q84" s="1488">
        <f t="shared" si="25"/>
        <v>173</v>
      </c>
      <c r="R84" s="1488">
        <v>35</v>
      </c>
      <c r="S84" s="1488">
        <v>138</v>
      </c>
      <c r="U84" s="1489">
        <f t="shared" si="26"/>
        <v>0.69755244755244761</v>
      </c>
      <c r="V84" s="1489">
        <f t="shared" si="27"/>
        <v>0.30244755244755245</v>
      </c>
      <c r="W84" s="1489">
        <f t="shared" si="28"/>
        <v>6.1188811188811192E-2</v>
      </c>
      <c r="X84" s="1489">
        <f t="shared" si="29"/>
        <v>0.24125874125874125</v>
      </c>
    </row>
    <row r="85" spans="1:24">
      <c r="A85" s="149" t="s">
        <v>210</v>
      </c>
      <c r="B85" s="189" t="s">
        <v>211</v>
      </c>
      <c r="C85" s="150" t="s">
        <v>268</v>
      </c>
      <c r="D85" s="243">
        <v>2269</v>
      </c>
      <c r="E85" s="243">
        <v>1747</v>
      </c>
      <c r="F85" s="243">
        <f t="shared" si="20"/>
        <v>522</v>
      </c>
      <c r="G85" s="243">
        <v>129</v>
      </c>
      <c r="H85" s="243">
        <v>393</v>
      </c>
      <c r="I85" s="243"/>
      <c r="J85" s="1487">
        <f t="shared" si="21"/>
        <v>0.76994270603790216</v>
      </c>
      <c r="K85" s="1487">
        <f t="shared" si="22"/>
        <v>0.23005729396209784</v>
      </c>
      <c r="L85" s="1487">
        <f t="shared" si="23"/>
        <v>5.6853239312472457E-2</v>
      </c>
      <c r="M85" s="1487">
        <f t="shared" si="24"/>
        <v>0.17320405464962538</v>
      </c>
      <c r="O85" s="1488">
        <v>382</v>
      </c>
      <c r="P85" s="1488">
        <v>309</v>
      </c>
      <c r="Q85" s="1488">
        <f t="shared" si="25"/>
        <v>73</v>
      </c>
      <c r="R85" s="1488">
        <v>7</v>
      </c>
      <c r="S85" s="1488">
        <v>66</v>
      </c>
      <c r="U85" s="1489">
        <f t="shared" si="26"/>
        <v>0.80890052356020947</v>
      </c>
      <c r="V85" s="1489">
        <f t="shared" si="27"/>
        <v>0.19109947643979058</v>
      </c>
      <c r="W85" s="1489">
        <f t="shared" si="28"/>
        <v>1.832460732984293E-2</v>
      </c>
      <c r="X85" s="1489">
        <f t="shared" si="29"/>
        <v>0.17277486910994763</v>
      </c>
    </row>
    <row r="86" spans="1:24">
      <c r="A86" s="149" t="s">
        <v>212</v>
      </c>
      <c r="B86" s="189" t="s">
        <v>213</v>
      </c>
      <c r="C86" s="150" t="s">
        <v>267</v>
      </c>
      <c r="D86" s="243">
        <v>4679</v>
      </c>
      <c r="E86" s="243">
        <v>3154</v>
      </c>
      <c r="F86" s="243">
        <f t="shared" si="20"/>
        <v>1525</v>
      </c>
      <c r="G86" s="243">
        <v>502</v>
      </c>
      <c r="H86" s="243">
        <v>1023</v>
      </c>
      <c r="I86" s="243"/>
      <c r="J86" s="1487">
        <f t="shared" si="21"/>
        <v>0.67407565719170759</v>
      </c>
      <c r="K86" s="1487">
        <f t="shared" si="22"/>
        <v>0.32592434280829236</v>
      </c>
      <c r="L86" s="1487">
        <f t="shared" si="23"/>
        <v>0.10728788202607395</v>
      </c>
      <c r="M86" s="1487">
        <f t="shared" si="24"/>
        <v>0.21863646078221843</v>
      </c>
      <c r="O86" s="1488">
        <v>927</v>
      </c>
      <c r="P86" s="1488">
        <v>663</v>
      </c>
      <c r="Q86" s="1488">
        <f t="shared" si="25"/>
        <v>264</v>
      </c>
      <c r="R86" s="1488">
        <v>51</v>
      </c>
      <c r="S86" s="1488">
        <v>213</v>
      </c>
      <c r="U86" s="1489">
        <f t="shared" si="26"/>
        <v>0.71521035598705507</v>
      </c>
      <c r="V86" s="1489">
        <f t="shared" si="27"/>
        <v>0.28478964401294499</v>
      </c>
      <c r="W86" s="1489">
        <f t="shared" si="28"/>
        <v>5.5016181229773461E-2</v>
      </c>
      <c r="X86" s="1489">
        <f t="shared" si="29"/>
        <v>0.22977346278317151</v>
      </c>
    </row>
    <row r="87" spans="1:24">
      <c r="A87" s="149" t="s">
        <v>214</v>
      </c>
      <c r="B87" s="189" t="s">
        <v>215</v>
      </c>
      <c r="C87" s="150" t="s">
        <v>268</v>
      </c>
      <c r="D87" s="243">
        <v>2990</v>
      </c>
      <c r="E87" s="243">
        <v>1959</v>
      </c>
      <c r="F87" s="243">
        <f t="shared" si="20"/>
        <v>1031</v>
      </c>
      <c r="G87" s="243">
        <v>260</v>
      </c>
      <c r="H87" s="243">
        <v>771</v>
      </c>
      <c r="I87" s="243"/>
      <c r="J87" s="1487">
        <f t="shared" si="21"/>
        <v>0.65518394648829437</v>
      </c>
      <c r="K87" s="1487">
        <f t="shared" si="22"/>
        <v>0.34481605351170569</v>
      </c>
      <c r="L87" s="1487">
        <f t="shared" si="23"/>
        <v>8.6956521739130432E-2</v>
      </c>
      <c r="M87" s="1487">
        <f t="shared" si="24"/>
        <v>0.25785953177257526</v>
      </c>
      <c r="O87" s="1488">
        <v>766</v>
      </c>
      <c r="P87" s="1488">
        <v>510</v>
      </c>
      <c r="Q87" s="1488">
        <f t="shared" si="25"/>
        <v>256</v>
      </c>
      <c r="R87" s="1488">
        <v>47</v>
      </c>
      <c r="S87" s="1488">
        <v>209</v>
      </c>
      <c r="U87" s="1489">
        <f t="shared" si="26"/>
        <v>0.66579634464751958</v>
      </c>
      <c r="V87" s="1489">
        <f t="shared" si="27"/>
        <v>0.33420365535248042</v>
      </c>
      <c r="W87" s="1489">
        <f t="shared" si="28"/>
        <v>6.1357702349869453E-2</v>
      </c>
      <c r="X87" s="1489">
        <f t="shared" si="29"/>
        <v>0.27284595300261094</v>
      </c>
    </row>
    <row r="88" spans="1:24">
      <c r="A88" s="149" t="s">
        <v>216</v>
      </c>
      <c r="B88" s="189" t="s">
        <v>217</v>
      </c>
      <c r="C88" s="150" t="s">
        <v>264</v>
      </c>
      <c r="D88" s="243">
        <v>1820</v>
      </c>
      <c r="E88" s="243">
        <v>1140</v>
      </c>
      <c r="F88" s="243">
        <f t="shared" si="20"/>
        <v>680</v>
      </c>
      <c r="G88" s="243">
        <v>117</v>
      </c>
      <c r="H88" s="243">
        <v>563</v>
      </c>
      <c r="I88" s="243"/>
      <c r="J88" s="1487">
        <f t="shared" si="21"/>
        <v>0.62637362637362637</v>
      </c>
      <c r="K88" s="1487">
        <f t="shared" si="22"/>
        <v>0.37362637362637363</v>
      </c>
      <c r="L88" s="1487">
        <f t="shared" si="23"/>
        <v>6.4285714285714279E-2</v>
      </c>
      <c r="M88" s="1487">
        <f t="shared" si="24"/>
        <v>0.30934065934065935</v>
      </c>
      <c r="O88" s="1488">
        <v>309</v>
      </c>
      <c r="P88" s="1488">
        <v>167</v>
      </c>
      <c r="Q88" s="1488">
        <f t="shared" si="25"/>
        <v>142</v>
      </c>
      <c r="R88" s="1488">
        <v>7</v>
      </c>
      <c r="S88" s="1488">
        <v>135</v>
      </c>
      <c r="U88" s="1489">
        <f t="shared" si="26"/>
        <v>0.54045307443365698</v>
      </c>
      <c r="V88" s="1489">
        <f t="shared" si="27"/>
        <v>0.45954692556634302</v>
      </c>
      <c r="W88" s="1489">
        <f t="shared" si="28"/>
        <v>2.2653721682847898E-2</v>
      </c>
      <c r="X88" s="1489">
        <f t="shared" si="29"/>
        <v>0.43689320388349512</v>
      </c>
    </row>
    <row r="89" spans="1:24">
      <c r="A89" s="149" t="s">
        <v>218</v>
      </c>
      <c r="B89" s="189" t="s">
        <v>219</v>
      </c>
      <c r="C89" s="150" t="s">
        <v>267</v>
      </c>
      <c r="D89" s="243">
        <v>15877</v>
      </c>
      <c r="E89" s="243">
        <v>11571</v>
      </c>
      <c r="F89" s="243">
        <f t="shared" si="20"/>
        <v>4306</v>
      </c>
      <c r="G89" s="243">
        <v>1108</v>
      </c>
      <c r="H89" s="243">
        <v>3198</v>
      </c>
      <c r="I89" s="243"/>
      <c r="J89" s="1487">
        <f t="shared" si="21"/>
        <v>0.72879007369150339</v>
      </c>
      <c r="K89" s="1487">
        <f t="shared" si="22"/>
        <v>0.27120992630849655</v>
      </c>
      <c r="L89" s="1487">
        <f t="shared" si="23"/>
        <v>6.9786483592618256E-2</v>
      </c>
      <c r="M89" s="1487">
        <f t="shared" si="24"/>
        <v>0.20142344271587831</v>
      </c>
      <c r="O89" s="1488">
        <v>2795</v>
      </c>
      <c r="P89" s="1488">
        <v>1877</v>
      </c>
      <c r="Q89" s="1488">
        <f t="shared" si="25"/>
        <v>918</v>
      </c>
      <c r="R89" s="1488">
        <v>348</v>
      </c>
      <c r="S89" s="1488">
        <v>570</v>
      </c>
      <c r="U89" s="1489">
        <f t="shared" si="26"/>
        <v>0.67155635062611807</v>
      </c>
      <c r="V89" s="1489">
        <f t="shared" si="27"/>
        <v>0.32844364937388193</v>
      </c>
      <c r="W89" s="1489">
        <f t="shared" si="28"/>
        <v>0.12450805008944543</v>
      </c>
      <c r="X89" s="1489">
        <f t="shared" si="29"/>
        <v>0.2039355992844365</v>
      </c>
    </row>
    <row r="90" spans="1:24">
      <c r="A90" s="149" t="s">
        <v>220</v>
      </c>
      <c r="B90" s="189" t="s">
        <v>221</v>
      </c>
      <c r="C90" s="150" t="s">
        <v>267</v>
      </c>
      <c r="D90" s="243">
        <v>17353</v>
      </c>
      <c r="E90" s="243">
        <v>13617</v>
      </c>
      <c r="F90" s="243">
        <f t="shared" si="20"/>
        <v>3736</v>
      </c>
      <c r="G90" s="243">
        <v>983</v>
      </c>
      <c r="H90" s="243">
        <v>2753</v>
      </c>
      <c r="I90" s="243"/>
      <c r="J90" s="1487">
        <f t="shared" si="21"/>
        <v>0.78470581455656085</v>
      </c>
      <c r="K90" s="1487">
        <f t="shared" si="22"/>
        <v>0.21529418544343917</v>
      </c>
      <c r="L90" s="1487">
        <f t="shared" si="23"/>
        <v>5.6647265602489484E-2</v>
      </c>
      <c r="M90" s="1487">
        <f t="shared" si="24"/>
        <v>0.1586469198409497</v>
      </c>
      <c r="O90" s="1488">
        <v>3220</v>
      </c>
      <c r="P90" s="1488">
        <v>2500</v>
      </c>
      <c r="Q90" s="1488">
        <f t="shared" si="25"/>
        <v>720</v>
      </c>
      <c r="R90" s="1488">
        <v>282</v>
      </c>
      <c r="S90" s="1488">
        <v>438</v>
      </c>
      <c r="U90" s="1489">
        <f t="shared" si="26"/>
        <v>0.77639751552795033</v>
      </c>
      <c r="V90" s="1489">
        <f t="shared" si="27"/>
        <v>0.2236024844720497</v>
      </c>
      <c r="W90" s="1489">
        <f t="shared" si="28"/>
        <v>8.7577639751552791E-2</v>
      </c>
      <c r="X90" s="1489">
        <f t="shared" si="29"/>
        <v>0.13602484472049689</v>
      </c>
    </row>
    <row r="91" spans="1:24">
      <c r="A91" s="149" t="s">
        <v>224</v>
      </c>
      <c r="B91" s="189" t="s">
        <v>225</v>
      </c>
      <c r="C91" s="150" t="s">
        <v>264</v>
      </c>
      <c r="D91" s="243">
        <v>689</v>
      </c>
      <c r="E91" s="243">
        <v>415</v>
      </c>
      <c r="F91" s="243">
        <f t="shared" si="20"/>
        <v>274</v>
      </c>
      <c r="G91" s="243">
        <v>121</v>
      </c>
      <c r="H91" s="243">
        <v>153</v>
      </c>
      <c r="I91" s="243"/>
      <c r="J91" s="1487">
        <f t="shared" si="21"/>
        <v>0.60232220609579101</v>
      </c>
      <c r="K91" s="1487">
        <f t="shared" si="22"/>
        <v>0.39767779390420899</v>
      </c>
      <c r="L91" s="1487">
        <f t="shared" si="23"/>
        <v>0.17561683599419448</v>
      </c>
      <c r="M91" s="1487">
        <f t="shared" si="24"/>
        <v>0.22206095791001451</v>
      </c>
      <c r="O91" s="1488">
        <v>132</v>
      </c>
      <c r="P91" s="1488">
        <v>26</v>
      </c>
      <c r="Q91" s="1488">
        <f t="shared" si="25"/>
        <v>106</v>
      </c>
      <c r="R91" s="1488">
        <v>55</v>
      </c>
      <c r="S91" s="1488">
        <v>51</v>
      </c>
      <c r="U91" s="1489">
        <f t="shared" si="26"/>
        <v>0.19696969696969696</v>
      </c>
      <c r="V91" s="1489">
        <f t="shared" si="27"/>
        <v>0.80303030303030298</v>
      </c>
      <c r="W91" s="1489">
        <f t="shared" si="28"/>
        <v>0.41666666666666669</v>
      </c>
      <c r="X91" s="1489">
        <f t="shared" si="29"/>
        <v>0.38636363636363635</v>
      </c>
    </row>
    <row r="92" spans="1:24">
      <c r="A92" s="149" t="s">
        <v>226</v>
      </c>
      <c r="B92" s="189" t="s">
        <v>227</v>
      </c>
      <c r="C92" s="150" t="s">
        <v>264</v>
      </c>
      <c r="D92" s="243">
        <v>738</v>
      </c>
      <c r="E92" s="243">
        <v>389</v>
      </c>
      <c r="F92" s="243">
        <f t="shared" si="20"/>
        <v>349</v>
      </c>
      <c r="G92" s="243">
        <v>62</v>
      </c>
      <c r="H92" s="243">
        <v>287</v>
      </c>
      <c r="I92" s="243"/>
      <c r="J92" s="1487">
        <f t="shared" si="21"/>
        <v>0.52710027100271006</v>
      </c>
      <c r="K92" s="1487">
        <f t="shared" si="22"/>
        <v>0.47289972899728999</v>
      </c>
      <c r="L92" s="1487">
        <f t="shared" si="23"/>
        <v>8.4010840108401083E-2</v>
      </c>
      <c r="M92" s="1487">
        <f t="shared" si="24"/>
        <v>0.3888888888888889</v>
      </c>
      <c r="O92" s="1488">
        <v>152</v>
      </c>
      <c r="P92" s="1488">
        <v>82</v>
      </c>
      <c r="Q92" s="1488">
        <f t="shared" si="25"/>
        <v>70</v>
      </c>
      <c r="R92" s="1488">
        <v>34</v>
      </c>
      <c r="S92" s="1488">
        <v>36</v>
      </c>
      <c r="U92" s="1489">
        <f t="shared" si="26"/>
        <v>0.53947368421052633</v>
      </c>
      <c r="V92" s="1489">
        <f t="shared" si="27"/>
        <v>0.46052631578947367</v>
      </c>
      <c r="W92" s="1489">
        <f t="shared" si="28"/>
        <v>0.22368421052631579</v>
      </c>
      <c r="X92" s="1489">
        <f t="shared" si="29"/>
        <v>0.23684210526315788</v>
      </c>
    </row>
    <row r="93" spans="1:24">
      <c r="A93" s="149" t="s">
        <v>228</v>
      </c>
      <c r="B93" s="189" t="s">
        <v>229</v>
      </c>
      <c r="C93" s="150" t="s">
        <v>268</v>
      </c>
      <c r="D93" s="243">
        <v>4749</v>
      </c>
      <c r="E93" s="243">
        <v>3564</v>
      </c>
      <c r="F93" s="243">
        <f t="shared" si="20"/>
        <v>1185</v>
      </c>
      <c r="G93" s="243">
        <v>372</v>
      </c>
      <c r="H93" s="243">
        <v>813</v>
      </c>
      <c r="I93" s="243"/>
      <c r="J93" s="1487">
        <f t="shared" si="21"/>
        <v>0.75047378395451669</v>
      </c>
      <c r="K93" s="1487">
        <f t="shared" si="22"/>
        <v>0.24952621604548325</v>
      </c>
      <c r="L93" s="1487">
        <f t="shared" si="23"/>
        <v>7.8332280480101074E-2</v>
      </c>
      <c r="M93" s="1487">
        <f t="shared" si="24"/>
        <v>0.17119393556538218</v>
      </c>
      <c r="O93" s="1488">
        <v>959</v>
      </c>
      <c r="P93" s="1488">
        <v>706</v>
      </c>
      <c r="Q93" s="1488">
        <f t="shared" si="25"/>
        <v>253</v>
      </c>
      <c r="R93" s="1488">
        <v>101</v>
      </c>
      <c r="S93" s="1488">
        <v>152</v>
      </c>
      <c r="U93" s="1489">
        <f t="shared" si="26"/>
        <v>0.73618352450469238</v>
      </c>
      <c r="V93" s="1489">
        <f t="shared" si="27"/>
        <v>0.26381647549530762</v>
      </c>
      <c r="W93" s="1489">
        <f t="shared" si="28"/>
        <v>0.10531803962460896</v>
      </c>
      <c r="X93" s="1489">
        <f t="shared" si="29"/>
        <v>0.15849843587069865</v>
      </c>
    </row>
    <row r="94" spans="1:24">
      <c r="A94" s="149" t="s">
        <v>232</v>
      </c>
      <c r="B94" s="189" t="s">
        <v>233</v>
      </c>
      <c r="C94" s="150" t="s">
        <v>267</v>
      </c>
      <c r="D94" s="243">
        <v>4412</v>
      </c>
      <c r="E94" s="243">
        <v>3108</v>
      </c>
      <c r="F94" s="243">
        <f t="shared" si="20"/>
        <v>1304</v>
      </c>
      <c r="G94" s="243">
        <v>317</v>
      </c>
      <c r="H94" s="243">
        <v>987</v>
      </c>
      <c r="I94" s="243"/>
      <c r="J94" s="1487">
        <f t="shared" si="21"/>
        <v>0.70444242973708071</v>
      </c>
      <c r="K94" s="1487">
        <f t="shared" si="22"/>
        <v>0.29555757026291929</v>
      </c>
      <c r="L94" s="1487">
        <f t="shared" si="23"/>
        <v>7.1849501359927473E-2</v>
      </c>
      <c r="M94" s="1487">
        <f t="shared" si="24"/>
        <v>0.22370806890299183</v>
      </c>
      <c r="O94" s="1488">
        <v>935</v>
      </c>
      <c r="P94" s="1488">
        <v>675</v>
      </c>
      <c r="Q94" s="1488">
        <f t="shared" si="25"/>
        <v>260</v>
      </c>
      <c r="R94" s="1488">
        <v>95</v>
      </c>
      <c r="S94" s="1488">
        <v>165</v>
      </c>
      <c r="U94" s="1489">
        <f t="shared" si="26"/>
        <v>0.72192513368983957</v>
      </c>
      <c r="V94" s="1489">
        <f t="shared" si="27"/>
        <v>0.27807486631016043</v>
      </c>
      <c r="W94" s="1489">
        <f t="shared" si="28"/>
        <v>0.10160427807486631</v>
      </c>
      <c r="X94" s="1489">
        <f t="shared" si="29"/>
        <v>0.17647058823529413</v>
      </c>
    </row>
    <row r="95" spans="1:24">
      <c r="A95" s="149" t="s">
        <v>234</v>
      </c>
      <c r="B95" s="189" t="s">
        <v>235</v>
      </c>
      <c r="C95" s="150" t="s">
        <v>268</v>
      </c>
      <c r="D95" s="243">
        <v>5781</v>
      </c>
      <c r="E95" s="243">
        <v>4105</v>
      </c>
      <c r="F95" s="243">
        <f t="shared" si="20"/>
        <v>1676</v>
      </c>
      <c r="G95" s="243">
        <v>478</v>
      </c>
      <c r="H95" s="243">
        <v>1198</v>
      </c>
      <c r="I95" s="243"/>
      <c r="J95" s="1487">
        <f t="shared" si="21"/>
        <v>0.71008476042207236</v>
      </c>
      <c r="K95" s="1487">
        <f t="shared" si="22"/>
        <v>0.2899152395779277</v>
      </c>
      <c r="L95" s="1487">
        <f t="shared" si="23"/>
        <v>8.2684656633800382E-2</v>
      </c>
      <c r="M95" s="1487">
        <f t="shared" si="24"/>
        <v>0.2072305829441273</v>
      </c>
      <c r="O95" s="1488">
        <v>1198</v>
      </c>
      <c r="P95" s="1488">
        <v>922</v>
      </c>
      <c r="Q95" s="1488">
        <f t="shared" si="25"/>
        <v>276</v>
      </c>
      <c r="R95" s="1488">
        <v>112</v>
      </c>
      <c r="S95" s="1488">
        <v>164</v>
      </c>
      <c r="U95" s="1489">
        <f t="shared" si="26"/>
        <v>0.76961602671118534</v>
      </c>
      <c r="V95" s="1489">
        <f t="shared" si="27"/>
        <v>0.23038397328881469</v>
      </c>
      <c r="W95" s="1489">
        <f t="shared" si="28"/>
        <v>9.3489148580968282E-2</v>
      </c>
      <c r="X95" s="1489">
        <f t="shared" si="29"/>
        <v>0.13689482470784642</v>
      </c>
    </row>
    <row r="96" spans="1:24">
      <c r="A96" s="149" t="s">
        <v>236</v>
      </c>
      <c r="B96" s="189" t="s">
        <v>237</v>
      </c>
      <c r="C96" s="150" t="s">
        <v>266</v>
      </c>
      <c r="D96" s="243">
        <v>1170</v>
      </c>
      <c r="E96" s="243">
        <v>694</v>
      </c>
      <c r="F96" s="243">
        <f t="shared" si="20"/>
        <v>476</v>
      </c>
      <c r="G96" s="243">
        <v>209</v>
      </c>
      <c r="H96" s="243">
        <v>267</v>
      </c>
      <c r="I96" s="243"/>
      <c r="J96" s="1487">
        <f t="shared" si="21"/>
        <v>0.59316239316239316</v>
      </c>
      <c r="K96" s="1487">
        <f t="shared" si="22"/>
        <v>0.40683760683760684</v>
      </c>
      <c r="L96" s="1487">
        <f t="shared" si="23"/>
        <v>0.17863247863247864</v>
      </c>
      <c r="M96" s="1487">
        <f t="shared" si="24"/>
        <v>0.2282051282051282</v>
      </c>
      <c r="O96" s="1488">
        <v>347</v>
      </c>
      <c r="P96" s="1488">
        <v>180</v>
      </c>
      <c r="Q96" s="1488">
        <f t="shared" si="25"/>
        <v>167</v>
      </c>
      <c r="R96" s="1488">
        <v>96</v>
      </c>
      <c r="S96" s="1488">
        <v>71</v>
      </c>
      <c r="U96" s="1489">
        <f t="shared" si="26"/>
        <v>0.51873198847262247</v>
      </c>
      <c r="V96" s="1489">
        <f t="shared" si="27"/>
        <v>0.48126801152737753</v>
      </c>
      <c r="W96" s="1489">
        <f t="shared" si="28"/>
        <v>0.27665706051873201</v>
      </c>
      <c r="X96" s="1489">
        <f t="shared" si="29"/>
        <v>0.20461095100864554</v>
      </c>
    </row>
    <row r="97" spans="1:24">
      <c r="A97" s="149" t="s">
        <v>242</v>
      </c>
      <c r="B97" s="189" t="s">
        <v>243</v>
      </c>
      <c r="C97" s="150" t="s">
        <v>268</v>
      </c>
      <c r="D97" s="243">
        <v>3826</v>
      </c>
      <c r="E97" s="243">
        <v>2537</v>
      </c>
      <c r="F97" s="243">
        <f t="shared" si="20"/>
        <v>1289</v>
      </c>
      <c r="G97" s="243">
        <v>241</v>
      </c>
      <c r="H97" s="243">
        <v>1048</v>
      </c>
      <c r="I97" s="243"/>
      <c r="J97" s="1487">
        <f t="shared" si="21"/>
        <v>0.66309461578672246</v>
      </c>
      <c r="K97" s="1487">
        <f t="shared" si="22"/>
        <v>0.33690538421327759</v>
      </c>
      <c r="L97" s="1487">
        <f t="shared" si="23"/>
        <v>6.2990067956089912E-2</v>
      </c>
      <c r="M97" s="1487">
        <f t="shared" si="24"/>
        <v>0.27391531625718768</v>
      </c>
      <c r="O97" s="1488">
        <v>777</v>
      </c>
      <c r="P97" s="1488">
        <v>495</v>
      </c>
      <c r="Q97" s="1488">
        <f t="shared" si="25"/>
        <v>282</v>
      </c>
      <c r="R97" s="1488">
        <v>88</v>
      </c>
      <c r="S97" s="1488">
        <v>194</v>
      </c>
      <c r="U97" s="1489">
        <f t="shared" si="26"/>
        <v>0.63706563706563701</v>
      </c>
      <c r="V97" s="1489">
        <f t="shared" si="27"/>
        <v>0.36293436293436293</v>
      </c>
      <c r="W97" s="1489">
        <f t="shared" si="28"/>
        <v>0.11325611325611326</v>
      </c>
      <c r="X97" s="1489">
        <f t="shared" si="29"/>
        <v>0.24967824967824967</v>
      </c>
    </row>
    <row r="98" spans="1:24">
      <c r="A98" s="149" t="s">
        <v>244</v>
      </c>
      <c r="B98" s="189" t="s">
        <v>245</v>
      </c>
      <c r="C98" s="150" t="s">
        <v>268</v>
      </c>
      <c r="D98" s="243">
        <v>2789</v>
      </c>
      <c r="E98" s="243">
        <v>1840</v>
      </c>
      <c r="F98" s="243">
        <f t="shared" si="20"/>
        <v>949</v>
      </c>
      <c r="G98" s="243">
        <v>262</v>
      </c>
      <c r="H98" s="243">
        <v>687</v>
      </c>
      <c r="I98" s="243"/>
      <c r="J98" s="1487">
        <f t="shared" si="21"/>
        <v>0.65973467192542135</v>
      </c>
      <c r="K98" s="1487">
        <f t="shared" si="22"/>
        <v>0.34026532807457871</v>
      </c>
      <c r="L98" s="1487">
        <f t="shared" si="23"/>
        <v>9.394048045894586E-2</v>
      </c>
      <c r="M98" s="1487">
        <f t="shared" si="24"/>
        <v>0.24632484761563284</v>
      </c>
      <c r="O98" s="1488">
        <v>524</v>
      </c>
      <c r="P98" s="1488">
        <v>275</v>
      </c>
      <c r="Q98" s="1488">
        <f t="shared" si="25"/>
        <v>249</v>
      </c>
      <c r="R98" s="1488">
        <v>149</v>
      </c>
      <c r="S98" s="1488">
        <v>100</v>
      </c>
      <c r="U98" s="1489">
        <f t="shared" si="26"/>
        <v>0.52480916030534353</v>
      </c>
      <c r="V98" s="1489">
        <f t="shared" si="27"/>
        <v>0.47519083969465647</v>
      </c>
      <c r="W98" s="1489">
        <f t="shared" si="28"/>
        <v>0.28435114503816794</v>
      </c>
      <c r="X98" s="1489">
        <f t="shared" si="29"/>
        <v>0.19083969465648856</v>
      </c>
    </row>
    <row r="99" spans="1:24">
      <c r="A99" s="149" t="s">
        <v>246</v>
      </c>
      <c r="B99" s="189" t="s">
        <v>247</v>
      </c>
      <c r="C99" s="150" t="s">
        <v>264</v>
      </c>
      <c r="D99" s="243">
        <v>10347</v>
      </c>
      <c r="E99" s="243">
        <v>7954</v>
      </c>
      <c r="F99" s="243">
        <f t="shared" si="20"/>
        <v>2393</v>
      </c>
      <c r="G99" s="243">
        <v>420</v>
      </c>
      <c r="H99" s="243">
        <v>1973</v>
      </c>
      <c r="I99" s="243"/>
      <c r="J99" s="1487">
        <f t="shared" si="21"/>
        <v>0.76872523436744955</v>
      </c>
      <c r="K99" s="1487">
        <f t="shared" si="22"/>
        <v>0.23127476563255051</v>
      </c>
      <c r="L99" s="1487">
        <f t="shared" si="23"/>
        <v>4.0591475790084083E-2</v>
      </c>
      <c r="M99" s="1487">
        <f t="shared" si="24"/>
        <v>0.19068328984246641</v>
      </c>
      <c r="O99" s="1488">
        <v>1974</v>
      </c>
      <c r="P99" s="1488">
        <v>1496</v>
      </c>
      <c r="Q99" s="1488">
        <f t="shared" si="25"/>
        <v>478</v>
      </c>
      <c r="R99" s="1488">
        <v>87</v>
      </c>
      <c r="S99" s="1488">
        <v>391</v>
      </c>
      <c r="U99" s="1489">
        <f t="shared" si="26"/>
        <v>0.7578520770010132</v>
      </c>
      <c r="V99" s="1489">
        <f t="shared" si="27"/>
        <v>0.24214792299898683</v>
      </c>
      <c r="W99" s="1489">
        <f t="shared" si="28"/>
        <v>4.4072948328267476E-2</v>
      </c>
      <c r="X99" s="1489">
        <f t="shared" si="29"/>
        <v>0.19807497467071936</v>
      </c>
    </row>
    <row r="100" spans="1:24">
      <c r="A100" s="149" t="s">
        <v>14</v>
      </c>
      <c r="B100" s="189" t="s">
        <v>15</v>
      </c>
      <c r="C100" s="150" t="s">
        <v>267</v>
      </c>
      <c r="D100" s="243">
        <v>12818</v>
      </c>
      <c r="E100" s="243">
        <v>8964</v>
      </c>
      <c r="F100" s="243">
        <f t="shared" ref="F100:F124" si="30">G100+H100</f>
        <v>3854</v>
      </c>
      <c r="G100" s="243">
        <v>1038</v>
      </c>
      <c r="H100" s="243">
        <v>2816</v>
      </c>
      <c r="I100" s="243"/>
      <c r="J100" s="1487">
        <f t="shared" ref="J100:J124" si="31">E100/D100</f>
        <v>0.69932906849742549</v>
      </c>
      <c r="K100" s="1487">
        <f t="shared" ref="K100:K124" si="32">F100/D100</f>
        <v>0.30067093150257451</v>
      </c>
      <c r="L100" s="1487">
        <f t="shared" ref="L100:L124" si="33">G100/D100</f>
        <v>8.0979872054922769E-2</v>
      </c>
      <c r="M100" s="1487">
        <f t="shared" ref="M100:M124" si="34">H100/D100</f>
        <v>0.21969105944765174</v>
      </c>
      <c r="O100" s="1488">
        <v>5345</v>
      </c>
      <c r="P100" s="1488">
        <v>4048</v>
      </c>
      <c r="Q100" s="1488">
        <f t="shared" ref="Q100:Q124" si="35">R100+S100</f>
        <v>1297</v>
      </c>
      <c r="R100" s="1488">
        <v>535</v>
      </c>
      <c r="S100" s="1488">
        <v>762</v>
      </c>
      <c r="U100" s="1489">
        <f t="shared" ref="U100:U124" si="36">P100/O100</f>
        <v>0.75734331150608047</v>
      </c>
      <c r="V100" s="1489">
        <f t="shared" ref="V100:V124" si="37">Q100/O100</f>
        <v>0.24265668849391955</v>
      </c>
      <c r="W100" s="1489">
        <f t="shared" ref="W100:W124" si="38">R100/O100</f>
        <v>0.10009354536950421</v>
      </c>
      <c r="X100" s="1489">
        <f t="shared" ref="X100:X124" si="39">S100/O100</f>
        <v>0.14256314312441534</v>
      </c>
    </row>
    <row r="101" spans="1:24">
      <c r="A101" s="149" t="s">
        <v>34</v>
      </c>
      <c r="B101" s="189" t="s">
        <v>35</v>
      </c>
      <c r="C101" s="150" t="s">
        <v>268</v>
      </c>
      <c r="D101" s="243">
        <v>1967</v>
      </c>
      <c r="E101" s="243">
        <v>983</v>
      </c>
      <c r="F101" s="243">
        <f t="shared" si="30"/>
        <v>984</v>
      </c>
      <c r="G101" s="243">
        <v>312</v>
      </c>
      <c r="H101" s="243">
        <v>672</v>
      </c>
      <c r="I101" s="243"/>
      <c r="J101" s="1487">
        <f t="shared" si="31"/>
        <v>0.49974580579562788</v>
      </c>
      <c r="K101" s="1487">
        <f t="shared" si="32"/>
        <v>0.50025419420437212</v>
      </c>
      <c r="L101" s="1487">
        <f t="shared" si="33"/>
        <v>0.15861718352821555</v>
      </c>
      <c r="M101" s="1487">
        <f t="shared" si="34"/>
        <v>0.34163701067615659</v>
      </c>
      <c r="O101" s="1488">
        <v>404</v>
      </c>
      <c r="P101" s="1488">
        <v>201</v>
      </c>
      <c r="Q101" s="1488">
        <f t="shared" si="35"/>
        <v>203</v>
      </c>
      <c r="R101" s="1488">
        <v>39</v>
      </c>
      <c r="S101" s="1488">
        <v>164</v>
      </c>
      <c r="U101" s="1489">
        <f t="shared" si="36"/>
        <v>0.49752475247524752</v>
      </c>
      <c r="V101" s="1489">
        <f t="shared" si="37"/>
        <v>0.50247524752475248</v>
      </c>
      <c r="W101" s="1489">
        <f t="shared" si="38"/>
        <v>9.6534653465346537E-2</v>
      </c>
      <c r="X101" s="1489">
        <f t="shared" si="39"/>
        <v>0.40594059405940597</v>
      </c>
    </row>
    <row r="102" spans="1:24">
      <c r="A102" s="149" t="s">
        <v>52</v>
      </c>
      <c r="B102" s="189" t="s">
        <v>53</v>
      </c>
      <c r="C102" s="150" t="s">
        <v>265</v>
      </c>
      <c r="D102" s="243">
        <v>3285</v>
      </c>
      <c r="E102" s="243">
        <v>2123</v>
      </c>
      <c r="F102" s="243">
        <f t="shared" si="30"/>
        <v>1162</v>
      </c>
      <c r="G102" s="243">
        <v>208</v>
      </c>
      <c r="H102" s="243">
        <v>954</v>
      </c>
      <c r="I102" s="243"/>
      <c r="J102" s="1487">
        <f t="shared" si="31"/>
        <v>0.64627092846270928</v>
      </c>
      <c r="K102" s="1487">
        <f t="shared" si="32"/>
        <v>0.35372907153729072</v>
      </c>
      <c r="L102" s="1487">
        <f t="shared" si="33"/>
        <v>6.3318112633181128E-2</v>
      </c>
      <c r="M102" s="1487">
        <f t="shared" si="34"/>
        <v>0.29041095890410956</v>
      </c>
      <c r="O102" s="1488">
        <v>970</v>
      </c>
      <c r="P102" s="1488">
        <v>690</v>
      </c>
      <c r="Q102" s="1488">
        <f t="shared" si="35"/>
        <v>280</v>
      </c>
      <c r="R102" s="1488">
        <v>96</v>
      </c>
      <c r="S102" s="1488">
        <v>184</v>
      </c>
      <c r="U102" s="1489">
        <f t="shared" si="36"/>
        <v>0.71134020618556704</v>
      </c>
      <c r="V102" s="1489">
        <f t="shared" si="37"/>
        <v>0.28865979381443296</v>
      </c>
      <c r="W102" s="1489">
        <f t="shared" si="38"/>
        <v>9.8969072164948449E-2</v>
      </c>
      <c r="X102" s="1489">
        <f t="shared" si="39"/>
        <v>0.18969072164948453</v>
      </c>
    </row>
    <row r="103" spans="1:24">
      <c r="A103" s="149" t="s">
        <v>54</v>
      </c>
      <c r="B103" s="189" t="s">
        <v>55</v>
      </c>
      <c r="C103" s="150" t="s">
        <v>264</v>
      </c>
      <c r="D103" s="243">
        <v>27178</v>
      </c>
      <c r="E103" s="243">
        <v>19414</v>
      </c>
      <c r="F103" s="243">
        <f t="shared" si="30"/>
        <v>7764</v>
      </c>
      <c r="G103" s="243">
        <v>1494</v>
      </c>
      <c r="H103" s="243">
        <v>6270</v>
      </c>
      <c r="I103" s="243"/>
      <c r="J103" s="1487">
        <f t="shared" si="31"/>
        <v>0.71432776510412832</v>
      </c>
      <c r="K103" s="1487">
        <f t="shared" si="32"/>
        <v>0.28567223489587168</v>
      </c>
      <c r="L103" s="1487">
        <f t="shared" si="33"/>
        <v>5.4970932371771287E-2</v>
      </c>
      <c r="M103" s="1487">
        <f t="shared" si="34"/>
        <v>0.23070130252410037</v>
      </c>
      <c r="O103" s="1488">
        <v>5412</v>
      </c>
      <c r="P103" s="1488">
        <v>3636</v>
      </c>
      <c r="Q103" s="1488">
        <f t="shared" si="35"/>
        <v>1776</v>
      </c>
      <c r="R103" s="1488">
        <v>507</v>
      </c>
      <c r="S103" s="1488">
        <v>1269</v>
      </c>
      <c r="U103" s="1489">
        <f t="shared" si="36"/>
        <v>0.67184035476718407</v>
      </c>
      <c r="V103" s="1489">
        <f t="shared" si="37"/>
        <v>0.32815964523281599</v>
      </c>
      <c r="W103" s="1489">
        <f t="shared" si="38"/>
        <v>9.3680709534368065E-2</v>
      </c>
      <c r="X103" s="1489">
        <f t="shared" si="39"/>
        <v>0.23447893569844788</v>
      </c>
    </row>
    <row r="104" spans="1:24">
      <c r="A104" s="149" t="s">
        <v>66</v>
      </c>
      <c r="B104" s="189" t="s">
        <v>67</v>
      </c>
      <c r="C104" s="150" t="s">
        <v>265</v>
      </c>
      <c r="D104" s="243">
        <v>4055</v>
      </c>
      <c r="E104" s="243">
        <v>1788</v>
      </c>
      <c r="F104" s="243">
        <f t="shared" si="30"/>
        <v>2267</v>
      </c>
      <c r="G104" s="243">
        <v>318</v>
      </c>
      <c r="H104" s="243">
        <v>1949</v>
      </c>
      <c r="I104" s="243"/>
      <c r="J104" s="1487">
        <f t="shared" si="31"/>
        <v>0.44093711467324292</v>
      </c>
      <c r="K104" s="1487">
        <f t="shared" si="32"/>
        <v>0.55906288532675708</v>
      </c>
      <c r="L104" s="1487">
        <f t="shared" si="33"/>
        <v>7.8421701602959304E-2</v>
      </c>
      <c r="M104" s="1487">
        <f t="shared" si="34"/>
        <v>0.48064118372379777</v>
      </c>
      <c r="O104" s="1488">
        <v>908</v>
      </c>
      <c r="P104" s="1488">
        <v>411</v>
      </c>
      <c r="Q104" s="1488">
        <f t="shared" si="35"/>
        <v>497</v>
      </c>
      <c r="R104" s="1488">
        <v>134</v>
      </c>
      <c r="S104" s="1488">
        <v>363</v>
      </c>
      <c r="U104" s="1489">
        <f t="shared" si="36"/>
        <v>0.45264317180616742</v>
      </c>
      <c r="V104" s="1489">
        <f t="shared" si="37"/>
        <v>0.54735682819383258</v>
      </c>
      <c r="W104" s="1489">
        <f t="shared" si="38"/>
        <v>0.14757709251101322</v>
      </c>
      <c r="X104" s="1489">
        <f t="shared" si="39"/>
        <v>0.39977973568281938</v>
      </c>
    </row>
    <row r="105" spans="1:24">
      <c r="A105" s="149" t="s">
        <v>82</v>
      </c>
      <c r="B105" s="189" t="s">
        <v>83</v>
      </c>
      <c r="C105" s="150" t="s">
        <v>264</v>
      </c>
      <c r="D105" s="243">
        <v>923</v>
      </c>
      <c r="E105" s="243">
        <v>520</v>
      </c>
      <c r="F105" s="243">
        <f t="shared" si="30"/>
        <v>403</v>
      </c>
      <c r="G105" s="243">
        <v>0</v>
      </c>
      <c r="H105" s="243">
        <v>403</v>
      </c>
      <c r="I105" s="243"/>
      <c r="J105" s="1487">
        <f t="shared" si="31"/>
        <v>0.56338028169014087</v>
      </c>
      <c r="K105" s="1487">
        <f t="shared" si="32"/>
        <v>0.43661971830985913</v>
      </c>
      <c r="L105" s="1487">
        <f t="shared" si="33"/>
        <v>0</v>
      </c>
      <c r="M105" s="1487">
        <f t="shared" si="34"/>
        <v>0.43661971830985913</v>
      </c>
      <c r="O105" s="1488">
        <v>160</v>
      </c>
      <c r="P105" s="1488">
        <v>101</v>
      </c>
      <c r="Q105" s="1488">
        <f t="shared" si="35"/>
        <v>59</v>
      </c>
      <c r="R105" s="1488">
        <v>0</v>
      </c>
      <c r="S105" s="1488">
        <v>59</v>
      </c>
      <c r="U105" s="1489">
        <f t="shared" si="36"/>
        <v>0.63124999999999998</v>
      </c>
      <c r="V105" s="1489">
        <f t="shared" si="37"/>
        <v>0.36875000000000002</v>
      </c>
      <c r="W105" s="1489">
        <f t="shared" si="38"/>
        <v>0</v>
      </c>
      <c r="X105" s="1489">
        <f t="shared" si="39"/>
        <v>0.36875000000000002</v>
      </c>
    </row>
    <row r="106" spans="1:24">
      <c r="A106" s="149" t="s">
        <v>88</v>
      </c>
      <c r="B106" s="189" t="s">
        <v>89</v>
      </c>
      <c r="C106" s="150" t="s">
        <v>267</v>
      </c>
      <c r="D106" s="243">
        <v>2623</v>
      </c>
      <c r="E106" s="243">
        <v>1419</v>
      </c>
      <c r="F106" s="243">
        <f t="shared" si="30"/>
        <v>1204</v>
      </c>
      <c r="G106" s="243">
        <v>135</v>
      </c>
      <c r="H106" s="243">
        <v>1069</v>
      </c>
      <c r="I106" s="243"/>
      <c r="J106" s="1487">
        <f t="shared" si="31"/>
        <v>0.54098360655737709</v>
      </c>
      <c r="K106" s="1487">
        <f t="shared" si="32"/>
        <v>0.45901639344262296</v>
      </c>
      <c r="L106" s="1487">
        <f t="shared" si="33"/>
        <v>5.1467784979031643E-2</v>
      </c>
      <c r="M106" s="1487">
        <f t="shared" si="34"/>
        <v>0.40754860846359131</v>
      </c>
      <c r="O106" s="1488">
        <v>1006</v>
      </c>
      <c r="P106" s="1488">
        <v>515</v>
      </c>
      <c r="Q106" s="1488">
        <f t="shared" si="35"/>
        <v>491</v>
      </c>
      <c r="R106" s="1488">
        <v>96</v>
      </c>
      <c r="S106" s="1488">
        <v>395</v>
      </c>
      <c r="U106" s="1489">
        <f t="shared" si="36"/>
        <v>0.51192842942345929</v>
      </c>
      <c r="V106" s="1489">
        <f t="shared" si="37"/>
        <v>0.48807157057654077</v>
      </c>
      <c r="W106" s="1489">
        <f t="shared" si="38"/>
        <v>9.5427435387673953E-2</v>
      </c>
      <c r="X106" s="1489">
        <f t="shared" si="39"/>
        <v>0.39264413518886682</v>
      </c>
    </row>
    <row r="107" spans="1:24">
      <c r="A107" s="149" t="s">
        <v>90</v>
      </c>
      <c r="B107" s="189" t="s">
        <v>91</v>
      </c>
      <c r="C107" s="150" t="s">
        <v>268</v>
      </c>
      <c r="D107" s="243">
        <v>689</v>
      </c>
      <c r="E107" s="243">
        <v>349</v>
      </c>
      <c r="F107" s="243">
        <f t="shared" si="30"/>
        <v>340</v>
      </c>
      <c r="G107" s="243">
        <v>51</v>
      </c>
      <c r="H107" s="243">
        <v>289</v>
      </c>
      <c r="I107" s="243"/>
      <c r="J107" s="1487">
        <f t="shared" si="31"/>
        <v>0.50653120464441215</v>
      </c>
      <c r="K107" s="1487">
        <f t="shared" si="32"/>
        <v>0.4934687953555878</v>
      </c>
      <c r="L107" s="1487">
        <f t="shared" si="33"/>
        <v>7.4020319303338175E-2</v>
      </c>
      <c r="M107" s="1487">
        <f t="shared" si="34"/>
        <v>0.41944847605224966</v>
      </c>
      <c r="O107" s="1488">
        <v>129</v>
      </c>
      <c r="P107" s="1488">
        <v>95</v>
      </c>
      <c r="Q107" s="1488">
        <f t="shared" si="35"/>
        <v>34</v>
      </c>
      <c r="R107" s="1488">
        <v>10</v>
      </c>
      <c r="S107" s="1488">
        <v>24</v>
      </c>
      <c r="U107" s="1489">
        <f t="shared" si="36"/>
        <v>0.73643410852713176</v>
      </c>
      <c r="V107" s="1489">
        <f t="shared" si="37"/>
        <v>0.26356589147286824</v>
      </c>
      <c r="W107" s="1489">
        <f t="shared" si="38"/>
        <v>7.7519379844961239E-2</v>
      </c>
      <c r="X107" s="1489">
        <f t="shared" si="39"/>
        <v>0.18604651162790697</v>
      </c>
    </row>
    <row r="108" spans="1:24">
      <c r="A108" s="149" t="s">
        <v>106</v>
      </c>
      <c r="B108" s="189" t="s">
        <v>107</v>
      </c>
      <c r="C108" s="150" t="s">
        <v>264</v>
      </c>
      <c r="D108" s="243">
        <v>14028</v>
      </c>
      <c r="E108" s="243">
        <v>7723</v>
      </c>
      <c r="F108" s="243">
        <f t="shared" si="30"/>
        <v>6305</v>
      </c>
      <c r="G108" s="243">
        <v>852</v>
      </c>
      <c r="H108" s="243">
        <v>5453</v>
      </c>
      <c r="I108" s="243"/>
      <c r="J108" s="1487">
        <f t="shared" si="31"/>
        <v>0.55054177359566581</v>
      </c>
      <c r="K108" s="1487">
        <f t="shared" si="32"/>
        <v>0.44945822640433419</v>
      </c>
      <c r="L108" s="1487">
        <f t="shared" si="33"/>
        <v>6.0735671514114631E-2</v>
      </c>
      <c r="M108" s="1487">
        <f t="shared" si="34"/>
        <v>0.38872255489021956</v>
      </c>
      <c r="O108" s="1488">
        <v>3408</v>
      </c>
      <c r="P108" s="1488">
        <v>1989</v>
      </c>
      <c r="Q108" s="1488">
        <f t="shared" si="35"/>
        <v>1419</v>
      </c>
      <c r="R108" s="1488">
        <v>337</v>
      </c>
      <c r="S108" s="1488">
        <v>1082</v>
      </c>
      <c r="U108" s="1489">
        <f t="shared" si="36"/>
        <v>0.58362676056338025</v>
      </c>
      <c r="V108" s="1489">
        <f t="shared" si="37"/>
        <v>0.41637323943661969</v>
      </c>
      <c r="W108" s="1489">
        <f t="shared" si="38"/>
        <v>9.8884976525821594E-2</v>
      </c>
      <c r="X108" s="1489">
        <f t="shared" si="39"/>
        <v>0.31748826291079812</v>
      </c>
    </row>
    <row r="109" spans="1:24">
      <c r="A109" s="149" t="s">
        <v>116</v>
      </c>
      <c r="B109" s="189" t="s">
        <v>117</v>
      </c>
      <c r="C109" s="150" t="s">
        <v>266</v>
      </c>
      <c r="D109" s="243">
        <v>2192</v>
      </c>
      <c r="E109" s="243">
        <v>708</v>
      </c>
      <c r="F109" s="243">
        <f t="shared" si="30"/>
        <v>1484</v>
      </c>
      <c r="G109" s="243">
        <v>228</v>
      </c>
      <c r="H109" s="243">
        <v>1256</v>
      </c>
      <c r="I109" s="243"/>
      <c r="J109" s="1487">
        <f t="shared" si="31"/>
        <v>0.32299270072992703</v>
      </c>
      <c r="K109" s="1487">
        <f t="shared" si="32"/>
        <v>0.67700729927007297</v>
      </c>
      <c r="L109" s="1487">
        <f t="shared" si="33"/>
        <v>0.10401459854014598</v>
      </c>
      <c r="M109" s="1487">
        <f t="shared" si="34"/>
        <v>0.57299270072992703</v>
      </c>
      <c r="O109" s="1488">
        <v>663</v>
      </c>
      <c r="P109" s="1488">
        <v>162</v>
      </c>
      <c r="Q109" s="1488">
        <f t="shared" si="35"/>
        <v>501</v>
      </c>
      <c r="R109" s="1488">
        <v>216</v>
      </c>
      <c r="S109" s="1488">
        <v>285</v>
      </c>
      <c r="U109" s="1489">
        <f t="shared" si="36"/>
        <v>0.24434389140271492</v>
      </c>
      <c r="V109" s="1489">
        <f t="shared" si="37"/>
        <v>0.75565610859728505</v>
      </c>
      <c r="W109" s="1489">
        <f t="shared" si="38"/>
        <v>0.32579185520361992</v>
      </c>
      <c r="X109" s="1489">
        <f t="shared" si="39"/>
        <v>0.42986425339366519</v>
      </c>
    </row>
    <row r="110" spans="1:24">
      <c r="A110" s="149" t="s">
        <v>138</v>
      </c>
      <c r="B110" s="189" t="s">
        <v>139</v>
      </c>
      <c r="C110" s="150" t="s">
        <v>265</v>
      </c>
      <c r="D110" s="243">
        <v>7186</v>
      </c>
      <c r="E110" s="243">
        <v>4455</v>
      </c>
      <c r="F110" s="243">
        <f t="shared" si="30"/>
        <v>2731</v>
      </c>
      <c r="G110" s="243">
        <v>548</v>
      </c>
      <c r="H110" s="243">
        <v>2183</v>
      </c>
      <c r="I110" s="243"/>
      <c r="J110" s="1487">
        <f t="shared" si="31"/>
        <v>0.6199554689674367</v>
      </c>
      <c r="K110" s="1487">
        <f t="shared" si="32"/>
        <v>0.3800445310325633</v>
      </c>
      <c r="L110" s="1487">
        <f t="shared" si="33"/>
        <v>7.6259393264681327E-2</v>
      </c>
      <c r="M110" s="1487">
        <f t="shared" si="34"/>
        <v>0.30378513776788202</v>
      </c>
      <c r="O110" s="1488">
        <v>2283</v>
      </c>
      <c r="P110" s="1488">
        <v>1557</v>
      </c>
      <c r="Q110" s="1488">
        <f t="shared" si="35"/>
        <v>726</v>
      </c>
      <c r="R110" s="1488">
        <v>202</v>
      </c>
      <c r="S110" s="1488">
        <v>524</v>
      </c>
      <c r="U110" s="1489">
        <f t="shared" si="36"/>
        <v>0.68199737187910647</v>
      </c>
      <c r="V110" s="1489">
        <f t="shared" si="37"/>
        <v>0.31800262812089358</v>
      </c>
      <c r="W110" s="1489">
        <f t="shared" si="38"/>
        <v>8.8480070083223825E-2</v>
      </c>
      <c r="X110" s="1489">
        <f t="shared" si="39"/>
        <v>0.22952255803766974</v>
      </c>
    </row>
    <row r="111" spans="1:24">
      <c r="A111" s="149" t="s">
        <v>142</v>
      </c>
      <c r="B111" s="189" t="s">
        <v>273</v>
      </c>
      <c r="C111" s="150" t="s">
        <v>267</v>
      </c>
      <c r="D111" s="243">
        <v>4826</v>
      </c>
      <c r="E111" s="243">
        <v>3250</v>
      </c>
      <c r="F111" s="243">
        <f t="shared" si="30"/>
        <v>1576</v>
      </c>
      <c r="G111" s="243">
        <v>493</v>
      </c>
      <c r="H111" s="243">
        <v>1083</v>
      </c>
      <c r="I111" s="243"/>
      <c r="J111" s="1487">
        <f t="shared" si="31"/>
        <v>0.67343555739743055</v>
      </c>
      <c r="K111" s="1487">
        <f t="shared" si="32"/>
        <v>0.32656444260256939</v>
      </c>
      <c r="L111" s="1487">
        <f t="shared" si="33"/>
        <v>0.10215499378367178</v>
      </c>
      <c r="M111" s="1487">
        <f t="shared" si="34"/>
        <v>0.22440944881889763</v>
      </c>
      <c r="O111" s="1488">
        <v>1109</v>
      </c>
      <c r="P111" s="1488">
        <v>692</v>
      </c>
      <c r="Q111" s="1488">
        <f t="shared" si="35"/>
        <v>417</v>
      </c>
      <c r="R111" s="1488">
        <v>170</v>
      </c>
      <c r="S111" s="1488">
        <v>247</v>
      </c>
      <c r="U111" s="1489">
        <f t="shared" si="36"/>
        <v>0.62398557258791709</v>
      </c>
      <c r="V111" s="1489">
        <f t="shared" si="37"/>
        <v>0.37601442741208296</v>
      </c>
      <c r="W111" s="1489">
        <f t="shared" si="38"/>
        <v>0.15329125338142471</v>
      </c>
      <c r="X111" s="1489">
        <f t="shared" si="39"/>
        <v>0.22272317403065825</v>
      </c>
    </row>
    <row r="112" spans="1:24">
      <c r="A112" s="149" t="s">
        <v>144</v>
      </c>
      <c r="B112" s="189" t="s">
        <v>145</v>
      </c>
      <c r="C112" s="150" t="s">
        <v>267</v>
      </c>
      <c r="D112" s="243">
        <v>1724</v>
      </c>
      <c r="E112" s="243">
        <v>1275</v>
      </c>
      <c r="F112" s="243">
        <f t="shared" si="30"/>
        <v>449</v>
      </c>
      <c r="G112" s="243">
        <v>88</v>
      </c>
      <c r="H112" s="243">
        <v>361</v>
      </c>
      <c r="I112" s="243"/>
      <c r="J112" s="1487">
        <f t="shared" si="31"/>
        <v>0.73955916473317862</v>
      </c>
      <c r="K112" s="1487">
        <f t="shared" si="32"/>
        <v>0.26044083526682132</v>
      </c>
      <c r="L112" s="1487">
        <f t="shared" si="33"/>
        <v>5.1044083526682132E-2</v>
      </c>
      <c r="M112" s="1487">
        <f t="shared" si="34"/>
        <v>0.20939675174013922</v>
      </c>
      <c r="O112" s="1488">
        <v>407</v>
      </c>
      <c r="P112" s="1488">
        <v>254</v>
      </c>
      <c r="Q112" s="1488">
        <f t="shared" si="35"/>
        <v>153</v>
      </c>
      <c r="R112" s="1488">
        <v>42</v>
      </c>
      <c r="S112" s="1488">
        <v>111</v>
      </c>
      <c r="U112" s="1489">
        <f t="shared" si="36"/>
        <v>0.62407862407862413</v>
      </c>
      <c r="V112" s="1489">
        <f t="shared" si="37"/>
        <v>0.37592137592137592</v>
      </c>
      <c r="W112" s="1489">
        <f t="shared" si="38"/>
        <v>0.10319410319410319</v>
      </c>
      <c r="X112" s="1489">
        <f t="shared" si="39"/>
        <v>0.27272727272727271</v>
      </c>
    </row>
    <row r="113" spans="1:24">
      <c r="A113" s="149" t="s">
        <v>158</v>
      </c>
      <c r="B113" s="189" t="s">
        <v>159</v>
      </c>
      <c r="C113" s="150" t="s">
        <v>264</v>
      </c>
      <c r="D113" s="243">
        <v>20513</v>
      </c>
      <c r="E113" s="243">
        <v>11234</v>
      </c>
      <c r="F113" s="243">
        <f t="shared" si="30"/>
        <v>9279</v>
      </c>
      <c r="G113" s="243">
        <v>1809</v>
      </c>
      <c r="H113" s="243">
        <v>7470</v>
      </c>
      <c r="I113" s="243"/>
      <c r="J113" s="1487">
        <f t="shared" si="31"/>
        <v>0.54765270803880461</v>
      </c>
      <c r="K113" s="1487">
        <f t="shared" si="32"/>
        <v>0.45234729196119533</v>
      </c>
      <c r="L113" s="1487">
        <f t="shared" si="33"/>
        <v>8.8187978355189392E-2</v>
      </c>
      <c r="M113" s="1487">
        <f t="shared" si="34"/>
        <v>0.36415931360600595</v>
      </c>
      <c r="O113" s="1488">
        <v>5244</v>
      </c>
      <c r="P113" s="1488">
        <v>2751</v>
      </c>
      <c r="Q113" s="1488">
        <f t="shared" si="35"/>
        <v>2493</v>
      </c>
      <c r="R113" s="1488">
        <v>757</v>
      </c>
      <c r="S113" s="1488">
        <v>1736</v>
      </c>
      <c r="U113" s="1489">
        <f t="shared" si="36"/>
        <v>0.52459954233409611</v>
      </c>
      <c r="V113" s="1489">
        <f t="shared" si="37"/>
        <v>0.47540045766590389</v>
      </c>
      <c r="W113" s="1489">
        <f t="shared" si="38"/>
        <v>0.14435545385202136</v>
      </c>
      <c r="X113" s="1489">
        <f t="shared" si="39"/>
        <v>0.33104500381388252</v>
      </c>
    </row>
    <row r="114" spans="1:24">
      <c r="A114" s="149" t="s">
        <v>160</v>
      </c>
      <c r="B114" s="189" t="s">
        <v>161</v>
      </c>
      <c r="C114" s="150" t="s">
        <v>264</v>
      </c>
      <c r="D114" s="243">
        <v>23447</v>
      </c>
      <c r="E114" s="243">
        <v>11995</v>
      </c>
      <c r="F114" s="243">
        <f t="shared" si="30"/>
        <v>11452</v>
      </c>
      <c r="G114" s="243">
        <v>2438</v>
      </c>
      <c r="H114" s="243">
        <v>9014</v>
      </c>
      <c r="I114" s="243"/>
      <c r="J114" s="1487">
        <f t="shared" si="31"/>
        <v>0.51157930652109007</v>
      </c>
      <c r="K114" s="1487">
        <f t="shared" si="32"/>
        <v>0.48842069347890987</v>
      </c>
      <c r="L114" s="1487">
        <f t="shared" si="33"/>
        <v>0.10397918710282765</v>
      </c>
      <c r="M114" s="1487">
        <f t="shared" si="34"/>
        <v>0.38444150637608221</v>
      </c>
      <c r="O114" s="1488">
        <v>6736</v>
      </c>
      <c r="P114" s="1488">
        <v>3894</v>
      </c>
      <c r="Q114" s="1488">
        <f t="shared" si="35"/>
        <v>2842</v>
      </c>
      <c r="R114" s="1488">
        <v>843</v>
      </c>
      <c r="S114" s="1488">
        <v>1999</v>
      </c>
      <c r="U114" s="1489">
        <f t="shared" si="36"/>
        <v>0.57808788598574823</v>
      </c>
      <c r="V114" s="1489">
        <f t="shared" si="37"/>
        <v>0.42191211401425177</v>
      </c>
      <c r="W114" s="1489">
        <f t="shared" si="38"/>
        <v>0.12514845605700711</v>
      </c>
      <c r="X114" s="1489">
        <f t="shared" si="39"/>
        <v>0.29676365795724463</v>
      </c>
    </row>
    <row r="115" spans="1:24">
      <c r="A115" s="149" t="s">
        <v>166</v>
      </c>
      <c r="B115" s="189" t="s">
        <v>167</v>
      </c>
      <c r="C115" s="150" t="s">
        <v>268</v>
      </c>
      <c r="D115" s="243">
        <v>351</v>
      </c>
      <c r="E115" s="243">
        <v>223</v>
      </c>
      <c r="F115" s="243">
        <f t="shared" si="30"/>
        <v>128</v>
      </c>
      <c r="G115" s="243">
        <v>20</v>
      </c>
      <c r="H115" s="243">
        <v>108</v>
      </c>
      <c r="I115" s="243"/>
      <c r="J115" s="1487">
        <f t="shared" si="31"/>
        <v>0.63532763532763536</v>
      </c>
      <c r="K115" s="1487">
        <f t="shared" si="32"/>
        <v>0.36467236467236469</v>
      </c>
      <c r="L115" s="1487">
        <f t="shared" si="33"/>
        <v>5.6980056980056981E-2</v>
      </c>
      <c r="M115" s="1487">
        <f t="shared" si="34"/>
        <v>0.30769230769230771</v>
      </c>
      <c r="O115" s="1488">
        <v>21</v>
      </c>
      <c r="P115" s="1488">
        <v>0</v>
      </c>
      <c r="Q115" s="1488">
        <f t="shared" si="35"/>
        <v>21</v>
      </c>
      <c r="R115" s="1488">
        <v>0</v>
      </c>
      <c r="S115" s="1488">
        <v>21</v>
      </c>
      <c r="U115" s="1489">
        <f t="shared" si="36"/>
        <v>0</v>
      </c>
      <c r="V115" s="1489">
        <f t="shared" si="37"/>
        <v>1</v>
      </c>
      <c r="W115" s="1489">
        <f t="shared" si="38"/>
        <v>0</v>
      </c>
      <c r="X115" s="1489">
        <f t="shared" si="39"/>
        <v>1</v>
      </c>
    </row>
    <row r="116" spans="1:24">
      <c r="A116" s="149" t="s">
        <v>176</v>
      </c>
      <c r="B116" s="189" t="s">
        <v>177</v>
      </c>
      <c r="C116" s="150" t="s">
        <v>266</v>
      </c>
      <c r="D116" s="243">
        <v>2597</v>
      </c>
      <c r="E116" s="243">
        <v>740</v>
      </c>
      <c r="F116" s="243">
        <f t="shared" si="30"/>
        <v>1857</v>
      </c>
      <c r="G116" s="243">
        <v>165</v>
      </c>
      <c r="H116" s="243">
        <v>1692</v>
      </c>
      <c r="I116" s="243"/>
      <c r="J116" s="1487">
        <f t="shared" si="31"/>
        <v>0.28494416634578362</v>
      </c>
      <c r="K116" s="1487">
        <f t="shared" si="32"/>
        <v>0.71505583365421643</v>
      </c>
      <c r="L116" s="1487">
        <f t="shared" si="33"/>
        <v>6.3534847901424718E-2</v>
      </c>
      <c r="M116" s="1487">
        <f t="shared" si="34"/>
        <v>0.65152098575279171</v>
      </c>
      <c r="O116" s="1488">
        <v>695</v>
      </c>
      <c r="P116" s="1488">
        <v>267</v>
      </c>
      <c r="Q116" s="1488">
        <f t="shared" si="35"/>
        <v>428</v>
      </c>
      <c r="R116" s="1488">
        <v>73</v>
      </c>
      <c r="S116" s="1488">
        <v>355</v>
      </c>
      <c r="U116" s="1489">
        <f t="shared" si="36"/>
        <v>0.38417266187050358</v>
      </c>
      <c r="V116" s="1489">
        <f t="shared" si="37"/>
        <v>0.61582733812949642</v>
      </c>
      <c r="W116" s="1489">
        <f t="shared" si="38"/>
        <v>0.10503597122302158</v>
      </c>
      <c r="X116" s="1489">
        <f t="shared" si="39"/>
        <v>0.51079136690647486</v>
      </c>
    </row>
    <row r="117" spans="1:24">
      <c r="A117" s="149" t="s">
        <v>180</v>
      </c>
      <c r="B117" s="189" t="s">
        <v>181</v>
      </c>
      <c r="C117" s="150" t="s">
        <v>264</v>
      </c>
      <c r="D117" s="243">
        <v>9889</v>
      </c>
      <c r="E117" s="243">
        <v>4453</v>
      </c>
      <c r="F117" s="243">
        <f t="shared" si="30"/>
        <v>5436</v>
      </c>
      <c r="G117" s="243">
        <v>1045</v>
      </c>
      <c r="H117" s="243">
        <v>4391</v>
      </c>
      <c r="I117" s="243"/>
      <c r="J117" s="1487">
        <f t="shared" si="31"/>
        <v>0.4502983112549297</v>
      </c>
      <c r="K117" s="1487">
        <f t="shared" si="32"/>
        <v>0.5497016887450703</v>
      </c>
      <c r="L117" s="1487">
        <f t="shared" si="33"/>
        <v>0.10567296996662959</v>
      </c>
      <c r="M117" s="1487">
        <f t="shared" si="34"/>
        <v>0.44402871877844069</v>
      </c>
      <c r="O117" s="1488">
        <v>3005</v>
      </c>
      <c r="P117" s="1488">
        <v>1366</v>
      </c>
      <c r="Q117" s="1488">
        <f t="shared" si="35"/>
        <v>1639</v>
      </c>
      <c r="R117" s="1488">
        <v>294</v>
      </c>
      <c r="S117" s="1488">
        <v>1345</v>
      </c>
      <c r="U117" s="1489">
        <f t="shared" si="36"/>
        <v>0.4545757071547421</v>
      </c>
      <c r="V117" s="1489">
        <f t="shared" si="37"/>
        <v>0.54542429284525795</v>
      </c>
      <c r="W117" s="1489">
        <f t="shared" si="38"/>
        <v>9.7836938435940102E-2</v>
      </c>
      <c r="X117" s="1489">
        <f t="shared" si="39"/>
        <v>0.44758735440931779</v>
      </c>
    </row>
    <row r="118" spans="1:24">
      <c r="A118" s="149" t="s">
        <v>192</v>
      </c>
      <c r="B118" s="189" t="s">
        <v>193</v>
      </c>
      <c r="C118" s="150" t="s">
        <v>268</v>
      </c>
      <c r="D118" s="243">
        <v>1152</v>
      </c>
      <c r="E118" s="243">
        <v>681</v>
      </c>
      <c r="F118" s="243">
        <f t="shared" si="30"/>
        <v>471</v>
      </c>
      <c r="G118" s="243">
        <v>64</v>
      </c>
      <c r="H118" s="243">
        <v>407</v>
      </c>
      <c r="I118" s="243"/>
      <c r="J118" s="1487">
        <f t="shared" si="31"/>
        <v>0.59114583333333337</v>
      </c>
      <c r="K118" s="1487">
        <f t="shared" si="32"/>
        <v>0.40885416666666669</v>
      </c>
      <c r="L118" s="1487">
        <f t="shared" si="33"/>
        <v>5.5555555555555552E-2</v>
      </c>
      <c r="M118" s="1487">
        <f t="shared" si="34"/>
        <v>0.3532986111111111</v>
      </c>
      <c r="O118" s="1488">
        <v>273</v>
      </c>
      <c r="P118" s="1488">
        <v>119</v>
      </c>
      <c r="Q118" s="1488">
        <f t="shared" si="35"/>
        <v>154</v>
      </c>
      <c r="R118" s="1488">
        <v>18</v>
      </c>
      <c r="S118" s="1488">
        <v>136</v>
      </c>
      <c r="U118" s="1489">
        <f t="shared" si="36"/>
        <v>0.4358974358974359</v>
      </c>
      <c r="V118" s="1489">
        <f t="shared" si="37"/>
        <v>0.5641025641025641</v>
      </c>
      <c r="W118" s="1489">
        <f t="shared" si="38"/>
        <v>6.5934065934065936E-2</v>
      </c>
      <c r="X118" s="1489">
        <f t="shared" si="39"/>
        <v>0.49816849816849818</v>
      </c>
    </row>
    <row r="119" spans="1:24">
      <c r="A119" s="149" t="s">
        <v>196</v>
      </c>
      <c r="B119" s="189" t="s">
        <v>197</v>
      </c>
      <c r="C119" s="150" t="s">
        <v>266</v>
      </c>
      <c r="D119" s="243">
        <v>18044</v>
      </c>
      <c r="E119" s="243">
        <v>7497</v>
      </c>
      <c r="F119" s="243">
        <f t="shared" si="30"/>
        <v>10547</v>
      </c>
      <c r="G119" s="243">
        <v>1427</v>
      </c>
      <c r="H119" s="243">
        <v>9120</v>
      </c>
      <c r="I119" s="243"/>
      <c r="J119" s="1487">
        <f t="shared" si="31"/>
        <v>0.41548437153624473</v>
      </c>
      <c r="K119" s="1487">
        <f t="shared" si="32"/>
        <v>0.58451562846375527</v>
      </c>
      <c r="L119" s="1487">
        <f t="shared" si="33"/>
        <v>7.9084460208379517E-2</v>
      </c>
      <c r="M119" s="1487">
        <f t="shared" si="34"/>
        <v>0.50543116825537571</v>
      </c>
      <c r="O119" s="1488">
        <v>5993</v>
      </c>
      <c r="P119" s="1488">
        <v>2699</v>
      </c>
      <c r="Q119" s="1488">
        <f t="shared" si="35"/>
        <v>3294</v>
      </c>
      <c r="R119" s="1488">
        <v>677</v>
      </c>
      <c r="S119" s="1488">
        <v>2617</v>
      </c>
      <c r="U119" s="1489">
        <f t="shared" si="36"/>
        <v>0.45035875187719004</v>
      </c>
      <c r="V119" s="1489">
        <f t="shared" si="37"/>
        <v>0.5496412481228099</v>
      </c>
      <c r="W119" s="1489">
        <f t="shared" si="38"/>
        <v>0.11296512598031036</v>
      </c>
      <c r="X119" s="1489">
        <f t="shared" si="39"/>
        <v>0.43667612214249957</v>
      </c>
    </row>
    <row r="120" spans="1:24">
      <c r="A120" s="149" t="s">
        <v>200</v>
      </c>
      <c r="B120" s="189" t="s">
        <v>201</v>
      </c>
      <c r="C120" s="150" t="s">
        <v>265</v>
      </c>
      <c r="D120" s="243">
        <v>9373</v>
      </c>
      <c r="E120" s="243">
        <v>4568</v>
      </c>
      <c r="F120" s="243">
        <f t="shared" si="30"/>
        <v>4805</v>
      </c>
      <c r="G120" s="243">
        <v>711</v>
      </c>
      <c r="H120" s="243">
        <v>4094</v>
      </c>
      <c r="I120" s="243"/>
      <c r="J120" s="1487">
        <f t="shared" si="31"/>
        <v>0.48735730289128348</v>
      </c>
      <c r="K120" s="1487">
        <f t="shared" si="32"/>
        <v>0.51264269710871657</v>
      </c>
      <c r="L120" s="1487">
        <f t="shared" si="33"/>
        <v>7.5856182652299153E-2</v>
      </c>
      <c r="M120" s="1487">
        <f t="shared" si="34"/>
        <v>0.43678651445641736</v>
      </c>
      <c r="O120" s="1488">
        <v>2664</v>
      </c>
      <c r="P120" s="1488">
        <v>1657</v>
      </c>
      <c r="Q120" s="1488">
        <f t="shared" si="35"/>
        <v>1007</v>
      </c>
      <c r="R120" s="1488">
        <v>107</v>
      </c>
      <c r="S120" s="1488">
        <v>900</v>
      </c>
      <c r="U120" s="1489">
        <f t="shared" si="36"/>
        <v>0.62199699699699695</v>
      </c>
      <c r="V120" s="1489">
        <f t="shared" si="37"/>
        <v>0.37800300300300299</v>
      </c>
      <c r="W120" s="1489">
        <f t="shared" si="38"/>
        <v>4.0165165165165162E-2</v>
      </c>
      <c r="X120" s="1489">
        <f t="shared" si="39"/>
        <v>0.33783783783783783</v>
      </c>
    </row>
    <row r="121" spans="1:24">
      <c r="A121" s="149" t="s">
        <v>222</v>
      </c>
      <c r="B121" s="189" t="s">
        <v>223</v>
      </c>
      <c r="C121" s="150" t="s">
        <v>264</v>
      </c>
      <c r="D121" s="243">
        <v>10278</v>
      </c>
      <c r="E121" s="243">
        <v>6700</v>
      </c>
      <c r="F121" s="243">
        <f t="shared" si="30"/>
        <v>3578</v>
      </c>
      <c r="G121" s="243">
        <v>707</v>
      </c>
      <c r="H121" s="243">
        <v>2871</v>
      </c>
      <c r="I121" s="243"/>
      <c r="J121" s="1487">
        <f t="shared" si="31"/>
        <v>0.65187779723681649</v>
      </c>
      <c r="K121" s="1487">
        <f t="shared" si="32"/>
        <v>0.34812220276318351</v>
      </c>
      <c r="L121" s="1487">
        <f t="shared" si="33"/>
        <v>6.8787701887526753E-2</v>
      </c>
      <c r="M121" s="1487">
        <f t="shared" si="34"/>
        <v>0.27933450087565675</v>
      </c>
      <c r="O121" s="1488">
        <v>1976</v>
      </c>
      <c r="P121" s="1488">
        <v>1297</v>
      </c>
      <c r="Q121" s="1488">
        <f t="shared" si="35"/>
        <v>679</v>
      </c>
      <c r="R121" s="1488">
        <v>167</v>
      </c>
      <c r="S121" s="1488">
        <v>512</v>
      </c>
      <c r="U121" s="1489">
        <f t="shared" si="36"/>
        <v>0.65637651821862353</v>
      </c>
      <c r="V121" s="1489">
        <f t="shared" si="37"/>
        <v>0.34362348178137653</v>
      </c>
      <c r="W121" s="1489">
        <f t="shared" si="38"/>
        <v>8.4514170040485836E-2</v>
      </c>
      <c r="X121" s="1489">
        <f t="shared" si="39"/>
        <v>0.25910931174089069</v>
      </c>
    </row>
    <row r="122" spans="1:24">
      <c r="A122" s="149" t="s">
        <v>230</v>
      </c>
      <c r="B122" s="189" t="s">
        <v>231</v>
      </c>
      <c r="C122" s="150" t="s">
        <v>264</v>
      </c>
      <c r="D122" s="243">
        <v>52578</v>
      </c>
      <c r="E122" s="243">
        <v>35250</v>
      </c>
      <c r="F122" s="243">
        <f t="shared" si="30"/>
        <v>17328</v>
      </c>
      <c r="G122" s="243">
        <v>3118</v>
      </c>
      <c r="H122" s="243">
        <v>14210</v>
      </c>
      <c r="I122" s="243"/>
      <c r="J122" s="1487">
        <f t="shared" si="31"/>
        <v>0.67043250028529044</v>
      </c>
      <c r="K122" s="1487">
        <f t="shared" si="32"/>
        <v>0.32956749971470956</v>
      </c>
      <c r="L122" s="1487">
        <f t="shared" si="33"/>
        <v>5.9302369812469093E-2</v>
      </c>
      <c r="M122" s="1487">
        <f t="shared" si="34"/>
        <v>0.2702651299022405</v>
      </c>
      <c r="O122" s="1488">
        <v>11978</v>
      </c>
      <c r="P122" s="1488">
        <v>8487</v>
      </c>
      <c r="Q122" s="1488">
        <f t="shared" si="35"/>
        <v>3491</v>
      </c>
      <c r="R122" s="1488">
        <v>629</v>
      </c>
      <c r="S122" s="1488">
        <v>2862</v>
      </c>
      <c r="U122" s="1489">
        <f t="shared" si="36"/>
        <v>0.70854900651193853</v>
      </c>
      <c r="V122" s="1489">
        <f t="shared" si="37"/>
        <v>0.29145099348806147</v>
      </c>
      <c r="W122" s="1489">
        <f t="shared" si="38"/>
        <v>5.2512940390716314E-2</v>
      </c>
      <c r="X122" s="1489">
        <f t="shared" si="39"/>
        <v>0.23893805309734514</v>
      </c>
    </row>
    <row r="123" spans="1:24">
      <c r="A123" s="149" t="s">
        <v>238</v>
      </c>
      <c r="B123" s="189" t="s">
        <v>239</v>
      </c>
      <c r="C123" s="150" t="s">
        <v>264</v>
      </c>
      <c r="D123" s="243">
        <v>744</v>
      </c>
      <c r="E123" s="243">
        <v>436</v>
      </c>
      <c r="F123" s="243">
        <f t="shared" si="30"/>
        <v>308</v>
      </c>
      <c r="G123" s="243">
        <v>76</v>
      </c>
      <c r="H123" s="243">
        <v>232</v>
      </c>
      <c r="I123" s="243"/>
      <c r="J123" s="1487">
        <f t="shared" si="31"/>
        <v>0.58602150537634412</v>
      </c>
      <c r="K123" s="1487">
        <f t="shared" si="32"/>
        <v>0.41397849462365593</v>
      </c>
      <c r="L123" s="1487">
        <f t="shared" si="33"/>
        <v>0.10215053763440861</v>
      </c>
      <c r="M123" s="1487">
        <f t="shared" si="34"/>
        <v>0.31182795698924731</v>
      </c>
      <c r="O123" s="1488">
        <v>164</v>
      </c>
      <c r="P123" s="1488">
        <v>118</v>
      </c>
      <c r="Q123" s="1488">
        <f t="shared" si="35"/>
        <v>46</v>
      </c>
      <c r="R123" s="1488">
        <v>18</v>
      </c>
      <c r="S123" s="1488">
        <v>28</v>
      </c>
      <c r="U123" s="1489">
        <f t="shared" si="36"/>
        <v>0.71951219512195119</v>
      </c>
      <c r="V123" s="1489">
        <f t="shared" si="37"/>
        <v>0.28048780487804881</v>
      </c>
      <c r="W123" s="1489">
        <f t="shared" si="38"/>
        <v>0.10975609756097561</v>
      </c>
      <c r="X123" s="1489">
        <f t="shared" si="39"/>
        <v>0.17073170731707318</v>
      </c>
    </row>
    <row r="124" spans="1:24">
      <c r="A124" s="155" t="s">
        <v>240</v>
      </c>
      <c r="B124" s="191" t="s">
        <v>241</v>
      </c>
      <c r="C124" s="156" t="s">
        <v>267</v>
      </c>
      <c r="D124" s="243">
        <v>2509</v>
      </c>
      <c r="E124" s="243">
        <v>1414</v>
      </c>
      <c r="F124" s="243">
        <f t="shared" si="30"/>
        <v>1095</v>
      </c>
      <c r="G124" s="243">
        <v>338</v>
      </c>
      <c r="H124" s="243">
        <v>757</v>
      </c>
      <c r="I124" s="243"/>
      <c r="J124" s="1487">
        <f t="shared" si="31"/>
        <v>0.56357114388202467</v>
      </c>
      <c r="K124" s="1487">
        <f t="shared" si="32"/>
        <v>0.43642885611797527</v>
      </c>
      <c r="L124" s="1487">
        <f t="shared" si="33"/>
        <v>0.13471502590673576</v>
      </c>
      <c r="M124" s="1487">
        <f t="shared" si="34"/>
        <v>0.30171383021123954</v>
      </c>
      <c r="O124" s="1488">
        <v>442</v>
      </c>
      <c r="P124" s="1488">
        <v>274</v>
      </c>
      <c r="Q124" s="1488">
        <f t="shared" si="35"/>
        <v>168</v>
      </c>
      <c r="R124" s="1488">
        <v>82</v>
      </c>
      <c r="S124" s="1488">
        <v>86</v>
      </c>
      <c r="U124" s="1489">
        <f t="shared" si="36"/>
        <v>0.61990950226244346</v>
      </c>
      <c r="V124" s="1489">
        <f t="shared" si="37"/>
        <v>0.38009049773755654</v>
      </c>
      <c r="W124" s="1489">
        <f t="shared" si="38"/>
        <v>0.18552036199095023</v>
      </c>
      <c r="X124" s="1489">
        <f t="shared" si="39"/>
        <v>0.19457013574660634</v>
      </c>
    </row>
    <row r="125" spans="1:24">
      <c r="A125" s="284"/>
      <c r="B125" s="236"/>
      <c r="C125" s="285"/>
    </row>
    <row r="126" spans="1:24">
      <c r="A126" s="284" t="s">
        <v>266</v>
      </c>
      <c r="B126" s="236"/>
      <c r="C126" s="285"/>
      <c r="D126" s="1499">
        <v>144305</v>
      </c>
      <c r="E126" s="1500">
        <v>94128</v>
      </c>
      <c r="F126" s="1041">
        <v>50177</v>
      </c>
      <c r="G126" s="1500">
        <v>10050</v>
      </c>
      <c r="H126" s="1500">
        <v>40127</v>
      </c>
      <c r="J126" s="1487">
        <f t="shared" ref="J126:J130" si="40">E126/D126</f>
        <v>0.65228509060670103</v>
      </c>
      <c r="K126" s="1487">
        <f t="shared" ref="K126:K130" si="41">F126/D126</f>
        <v>0.34771490939329891</v>
      </c>
      <c r="L126" s="1487">
        <f t="shared" ref="L126:L130" si="42">G126/D126</f>
        <v>6.9644156474134647E-2</v>
      </c>
      <c r="M126" s="1487">
        <f t="shared" ref="M126:M130" si="43">H126/D126</f>
        <v>0.27807075291916428</v>
      </c>
      <c r="O126" s="1041">
        <v>34747</v>
      </c>
      <c r="P126" s="1041">
        <v>21750</v>
      </c>
      <c r="Q126" s="1041">
        <v>12997</v>
      </c>
      <c r="R126" s="1041">
        <v>3371</v>
      </c>
      <c r="S126" s="1041">
        <v>9626</v>
      </c>
      <c r="U126" s="1489">
        <f t="shared" ref="U126:U130" si="44">P126/O126</f>
        <v>0.62595331971105417</v>
      </c>
      <c r="V126" s="1489">
        <f t="shared" ref="V126:V130" si="45">Q126/O126</f>
        <v>0.37404668028894583</v>
      </c>
      <c r="W126" s="1489">
        <f t="shared" ref="W126:W130" si="46">R126/O126</f>
        <v>9.7015569689469588E-2</v>
      </c>
      <c r="X126" s="1489">
        <f t="shared" ref="X126:X130" si="47">S126/O126</f>
        <v>0.27703111059947622</v>
      </c>
    </row>
    <row r="127" spans="1:24">
      <c r="A127" s="284" t="s">
        <v>264</v>
      </c>
      <c r="B127" s="236"/>
      <c r="C127" s="285"/>
      <c r="D127" s="1041">
        <v>202388</v>
      </c>
      <c r="E127" s="1041">
        <v>127756</v>
      </c>
      <c r="F127" s="1041">
        <v>74632</v>
      </c>
      <c r="G127" s="1041">
        <v>14243</v>
      </c>
      <c r="H127" s="1041">
        <v>60389</v>
      </c>
      <c r="J127" s="1487">
        <f t="shared" si="40"/>
        <v>0.63124295906871952</v>
      </c>
      <c r="K127" s="1487">
        <f t="shared" si="41"/>
        <v>0.36875704093128053</v>
      </c>
      <c r="L127" s="1487">
        <f t="shared" si="42"/>
        <v>7.0374725774255395E-2</v>
      </c>
      <c r="M127" s="1487">
        <f t="shared" si="43"/>
        <v>0.29838231515702512</v>
      </c>
      <c r="O127" s="1041">
        <v>45698</v>
      </c>
      <c r="P127" s="1041">
        <v>28940</v>
      </c>
      <c r="Q127" s="1041">
        <v>16758</v>
      </c>
      <c r="R127" s="1041">
        <v>4017</v>
      </c>
      <c r="S127" s="1041">
        <v>12741</v>
      </c>
      <c r="U127" s="1489">
        <f t="shared" si="44"/>
        <v>0.63328810888879161</v>
      </c>
      <c r="V127" s="1489">
        <f t="shared" si="45"/>
        <v>0.36671189111120839</v>
      </c>
      <c r="W127" s="1489">
        <f t="shared" si="46"/>
        <v>8.7903190511619766E-2</v>
      </c>
      <c r="X127" s="1489">
        <f t="shared" si="47"/>
        <v>0.27880870059958862</v>
      </c>
    </row>
    <row r="128" spans="1:24">
      <c r="A128" s="284" t="s">
        <v>267</v>
      </c>
      <c r="B128" s="236"/>
      <c r="C128" s="285"/>
      <c r="D128" s="1041">
        <v>383438</v>
      </c>
      <c r="E128" s="1041">
        <v>300836</v>
      </c>
      <c r="F128" s="1041">
        <v>82602</v>
      </c>
      <c r="G128" s="1041">
        <v>22460</v>
      </c>
      <c r="H128" s="1041">
        <v>60142</v>
      </c>
      <c r="J128" s="1487">
        <f t="shared" si="40"/>
        <v>0.78457534203704382</v>
      </c>
      <c r="K128" s="1487">
        <f t="shared" si="41"/>
        <v>0.21542465796295621</v>
      </c>
      <c r="L128" s="1487">
        <f t="shared" si="42"/>
        <v>5.8575310741241088E-2</v>
      </c>
      <c r="M128" s="1487">
        <f t="shared" si="43"/>
        <v>0.15684934722171512</v>
      </c>
      <c r="O128" s="1041">
        <v>94747</v>
      </c>
      <c r="P128" s="1041">
        <v>76321</v>
      </c>
      <c r="Q128" s="1041">
        <v>18426</v>
      </c>
      <c r="R128" s="1041">
        <v>6151</v>
      </c>
      <c r="S128" s="1041">
        <v>12275</v>
      </c>
      <c r="U128" s="1489">
        <f t="shared" si="44"/>
        <v>0.80552418546233651</v>
      </c>
      <c r="V128" s="1489">
        <f t="shared" si="45"/>
        <v>0.19447581453766347</v>
      </c>
      <c r="W128" s="1489">
        <f t="shared" si="46"/>
        <v>6.4920261327535436E-2</v>
      </c>
      <c r="X128" s="1489">
        <f t="shared" si="47"/>
        <v>0.12955555321012802</v>
      </c>
    </row>
    <row r="129" spans="1:24">
      <c r="A129" s="284" t="s">
        <v>265</v>
      </c>
      <c r="B129" s="236"/>
      <c r="C129" s="285"/>
      <c r="D129" s="1041">
        <v>116333</v>
      </c>
      <c r="E129" s="1041">
        <v>76827</v>
      </c>
      <c r="F129" s="1041">
        <v>39506</v>
      </c>
      <c r="G129" s="1041">
        <v>8520</v>
      </c>
      <c r="H129" s="1041">
        <v>30986</v>
      </c>
      <c r="J129" s="1487">
        <f t="shared" si="40"/>
        <v>0.66040590374184449</v>
      </c>
      <c r="K129" s="1487">
        <f t="shared" si="41"/>
        <v>0.33959409625815545</v>
      </c>
      <c r="L129" s="1487">
        <f t="shared" si="42"/>
        <v>7.3238032200665326E-2</v>
      </c>
      <c r="M129" s="1487">
        <f t="shared" si="43"/>
        <v>0.26635606405749013</v>
      </c>
      <c r="O129" s="1041">
        <v>25703</v>
      </c>
      <c r="P129" s="1041">
        <v>17269</v>
      </c>
      <c r="Q129" s="1041">
        <v>8434</v>
      </c>
      <c r="R129" s="1041">
        <v>2126</v>
      </c>
      <c r="S129" s="1041">
        <v>6308</v>
      </c>
      <c r="U129" s="1489">
        <f t="shared" si="44"/>
        <v>0.67186709722600479</v>
      </c>
      <c r="V129" s="1489">
        <f t="shared" si="45"/>
        <v>0.32813290277399526</v>
      </c>
      <c r="W129" s="1489">
        <f t="shared" si="46"/>
        <v>8.2714080068474499E-2</v>
      </c>
      <c r="X129" s="1489">
        <f t="shared" si="47"/>
        <v>0.24541882270552076</v>
      </c>
    </row>
    <row r="130" spans="1:24">
      <c r="A130" s="284" t="s">
        <v>268</v>
      </c>
      <c r="B130" s="236"/>
      <c r="C130" s="285"/>
      <c r="D130" s="1041">
        <v>56617</v>
      </c>
      <c r="E130" s="1041">
        <v>39128</v>
      </c>
      <c r="F130" s="1041">
        <v>17489</v>
      </c>
      <c r="G130" s="1041">
        <v>4700</v>
      </c>
      <c r="H130" s="1041">
        <v>12789</v>
      </c>
      <c r="J130" s="1487">
        <f t="shared" si="40"/>
        <v>0.69109984633590615</v>
      </c>
      <c r="K130" s="1487">
        <f t="shared" si="41"/>
        <v>0.30890015366409385</v>
      </c>
      <c r="L130" s="1487">
        <f t="shared" si="42"/>
        <v>8.3013935743681225E-2</v>
      </c>
      <c r="M130" s="1487">
        <f t="shared" si="43"/>
        <v>0.22588621792041261</v>
      </c>
      <c r="O130" s="1041">
        <v>12152</v>
      </c>
      <c r="P130" s="1041">
        <v>8182</v>
      </c>
      <c r="Q130" s="1041">
        <v>3970</v>
      </c>
      <c r="R130" s="1041">
        <v>1192</v>
      </c>
      <c r="S130" s="1041">
        <v>2778</v>
      </c>
      <c r="U130" s="1489">
        <f t="shared" si="44"/>
        <v>0.67330480579328511</v>
      </c>
      <c r="V130" s="1489">
        <f t="shared" si="45"/>
        <v>0.32669519420671495</v>
      </c>
      <c r="W130" s="1489">
        <f t="shared" si="46"/>
        <v>9.8090849242922981E-2</v>
      </c>
      <c r="X130" s="1489">
        <f t="shared" si="47"/>
        <v>0.22860434496379198</v>
      </c>
    </row>
    <row r="131" spans="1:24">
      <c r="A131" s="284"/>
      <c r="B131" s="236"/>
      <c r="C131" s="285"/>
    </row>
    <row r="132" spans="1:24">
      <c r="A132" s="1498" t="s">
        <v>985</v>
      </c>
      <c r="B132"/>
      <c r="C132"/>
    </row>
    <row r="133" spans="1:24">
      <c r="A133" s="185" t="s">
        <v>248</v>
      </c>
      <c r="B133" s="185"/>
      <c r="C133" s="185"/>
    </row>
    <row r="134" spans="1:24">
      <c r="A134" s="192" t="s">
        <v>249</v>
      </c>
      <c r="B134" s="170" t="s">
        <v>250</v>
      </c>
      <c r="C134" s="185"/>
    </row>
  </sheetData>
  <autoFilter ref="A3:C124"/>
  <sortState ref="A5:X124">
    <sortCondition ref="A5:A124"/>
  </sortState>
  <hyperlinks>
    <hyperlink ref="B134" r:id="rId1"/>
  </hyperlinks>
  <pageMargins left="0.7" right="0.7" top="0.75" bottom="0.75" header="0.3" footer="0.3"/>
</worksheet>
</file>

<file path=xl/worksheets/sheet18.xml><?xml version="1.0" encoding="utf-8"?>
<worksheet xmlns="http://schemas.openxmlformats.org/spreadsheetml/2006/main" xmlns:r="http://schemas.openxmlformats.org/officeDocument/2006/relationships">
  <sheetPr>
    <tabColor rgb="FFFFFF00"/>
  </sheetPr>
  <dimension ref="A1:S129"/>
  <sheetViews>
    <sheetView topLeftCell="D1" workbookViewId="0">
      <pane ySplit="4" topLeftCell="A5" activePane="bottomLeft" state="frozen"/>
      <selection pane="bottomLeft" activeCell="A5" sqref="A5:XFD124"/>
    </sheetView>
  </sheetViews>
  <sheetFormatPr defaultRowHeight="12.75" customHeight="1"/>
  <cols>
    <col min="1" max="1" width="9" style="558"/>
    <col min="2" max="2" width="33.375" style="558" customWidth="1"/>
    <col min="3" max="3" width="16.75" style="558" customWidth="1"/>
    <col min="4" max="13" width="8.875" style="558" customWidth="1"/>
    <col min="14" max="14" width="4.625" style="558" customWidth="1"/>
    <col min="15" max="16384" width="9" style="558"/>
  </cols>
  <sheetData>
    <row r="1" spans="1:19" ht="12.75" customHeight="1">
      <c r="A1" s="258" t="s">
        <v>916</v>
      </c>
    </row>
    <row r="3" spans="1:19" ht="53.25" customHeight="1">
      <c r="A3" s="563" t="s">
        <v>4</v>
      </c>
      <c r="B3" s="564" t="s">
        <v>5</v>
      </c>
      <c r="C3" s="621" t="s">
        <v>251</v>
      </c>
      <c r="D3" s="584" t="s">
        <v>535</v>
      </c>
      <c r="E3" s="584" t="s">
        <v>536</v>
      </c>
      <c r="F3" s="584" t="s">
        <v>537</v>
      </c>
      <c r="G3" s="584" t="s">
        <v>538</v>
      </c>
      <c r="H3" s="584" t="s">
        <v>539</v>
      </c>
      <c r="I3" s="584" t="s">
        <v>540</v>
      </c>
      <c r="J3" s="584" t="s">
        <v>760</v>
      </c>
      <c r="K3" s="584" t="s">
        <v>752</v>
      </c>
      <c r="L3" s="673" t="s">
        <v>852</v>
      </c>
      <c r="M3" s="673" t="s">
        <v>909</v>
      </c>
      <c r="N3" s="560"/>
      <c r="O3" s="560" t="s">
        <v>1251</v>
      </c>
      <c r="P3" s="560" t="s">
        <v>1252</v>
      </c>
      <c r="Q3" s="560"/>
      <c r="R3" s="560"/>
      <c r="S3" s="560"/>
    </row>
    <row r="4" spans="1:19" ht="15.75">
      <c r="A4" s="659">
        <v>999</v>
      </c>
      <c r="B4" s="625" t="s">
        <v>9</v>
      </c>
      <c r="C4" s="660"/>
      <c r="D4" s="561">
        <f t="shared" ref="D4:L4" si="0">SUM(D5:D124)</f>
        <v>751272</v>
      </c>
      <c r="E4" s="561">
        <f t="shared" si="0"/>
        <v>788458</v>
      </c>
      <c r="F4" s="561">
        <f t="shared" si="0"/>
        <v>802040</v>
      </c>
      <c r="G4" s="561">
        <f t="shared" si="0"/>
        <v>843341</v>
      </c>
      <c r="H4" s="561">
        <f t="shared" si="0"/>
        <v>976493</v>
      </c>
      <c r="I4" s="561">
        <f t="shared" si="0"/>
        <v>1149555</v>
      </c>
      <c r="J4" s="562">
        <f t="shared" si="0"/>
        <v>1261099</v>
      </c>
      <c r="K4" s="562">
        <f t="shared" si="0"/>
        <v>1343272</v>
      </c>
      <c r="L4" s="1011">
        <f t="shared" si="0"/>
        <v>1402476</v>
      </c>
      <c r="M4" s="1011">
        <v>1359367</v>
      </c>
      <c r="N4" s="560"/>
      <c r="O4" s="560"/>
      <c r="P4" s="560"/>
      <c r="Q4" s="560"/>
      <c r="R4" s="560"/>
      <c r="S4" s="560"/>
    </row>
    <row r="5" spans="1:19" ht="15.75">
      <c r="A5" s="565" t="s">
        <v>10</v>
      </c>
      <c r="B5" s="568" t="s">
        <v>11</v>
      </c>
      <c r="C5" s="623" t="s">
        <v>264</v>
      </c>
      <c r="D5" s="571">
        <v>5982</v>
      </c>
      <c r="E5" s="571">
        <v>6196</v>
      </c>
      <c r="F5" s="571">
        <v>6487</v>
      </c>
      <c r="G5" s="571">
        <v>6764</v>
      </c>
      <c r="H5" s="571">
        <v>7393</v>
      </c>
      <c r="I5" s="571">
        <v>8490</v>
      </c>
      <c r="J5" s="571">
        <v>9362</v>
      </c>
      <c r="K5" s="572">
        <v>10046</v>
      </c>
      <c r="L5" s="1012">
        <v>10332</v>
      </c>
      <c r="M5" s="1012">
        <v>10088</v>
      </c>
      <c r="O5" s="273">
        <f t="shared" ref="O5:O36" si="1">(L5-M5)/L5</f>
        <v>2.3615950445218737E-2</v>
      </c>
      <c r="P5" s="273">
        <f t="shared" ref="P5:P36" si="2">(L5-K5)/K5</f>
        <v>2.8469042404937289E-2</v>
      </c>
    </row>
    <row r="6" spans="1:19" ht="15.75">
      <c r="A6" s="566" t="s">
        <v>12</v>
      </c>
      <c r="B6" s="569" t="s">
        <v>13</v>
      </c>
      <c r="C6" s="624" t="s">
        <v>265</v>
      </c>
      <c r="D6" s="573">
        <v>4580</v>
      </c>
      <c r="E6" s="573">
        <v>5076</v>
      </c>
      <c r="F6" s="573">
        <v>5231</v>
      </c>
      <c r="G6" s="573">
        <v>5708</v>
      </c>
      <c r="H6" s="573">
        <v>7052</v>
      </c>
      <c r="I6" s="573">
        <v>8838</v>
      </c>
      <c r="J6" s="573">
        <v>9931</v>
      </c>
      <c r="K6" s="574">
        <v>10527</v>
      </c>
      <c r="L6" s="1012">
        <v>10776</v>
      </c>
      <c r="M6" s="1012">
        <v>10403</v>
      </c>
      <c r="O6" s="273">
        <f t="shared" si="1"/>
        <v>3.4613956941351151E-2</v>
      </c>
      <c r="P6" s="273">
        <f t="shared" si="2"/>
        <v>2.365346252493588E-2</v>
      </c>
    </row>
    <row r="7" spans="1:19" ht="15.75">
      <c r="A7" s="566" t="s">
        <v>16</v>
      </c>
      <c r="B7" s="569" t="s">
        <v>297</v>
      </c>
      <c r="C7" s="624" t="s">
        <v>265</v>
      </c>
      <c r="D7" s="573">
        <v>3621</v>
      </c>
      <c r="E7" s="573">
        <v>3696</v>
      </c>
      <c r="F7" s="573">
        <v>3868</v>
      </c>
      <c r="G7" s="573">
        <v>4048</v>
      </c>
      <c r="H7" s="573">
        <v>4527</v>
      </c>
      <c r="I7" s="573">
        <v>4745</v>
      </c>
      <c r="J7" s="573">
        <v>4987</v>
      </c>
      <c r="K7" s="574">
        <v>5413</v>
      </c>
      <c r="L7" s="1012">
        <v>5618</v>
      </c>
      <c r="M7" s="1012">
        <v>5278</v>
      </c>
      <c r="O7" s="1682">
        <f t="shared" si="1"/>
        <v>6.0519757920968316E-2</v>
      </c>
      <c r="P7" s="1682">
        <f t="shared" si="2"/>
        <v>3.7871790134860521E-2</v>
      </c>
    </row>
    <row r="8" spans="1:19" ht="15.75">
      <c r="A8" s="566" t="s">
        <v>18</v>
      </c>
      <c r="B8" s="569" t="s">
        <v>19</v>
      </c>
      <c r="C8" s="624" t="s">
        <v>266</v>
      </c>
      <c r="D8" s="573">
        <v>1509</v>
      </c>
      <c r="E8" s="573">
        <v>1696</v>
      </c>
      <c r="F8" s="573">
        <v>1683</v>
      </c>
      <c r="G8" s="573">
        <v>1729</v>
      </c>
      <c r="H8" s="573">
        <v>2278</v>
      </c>
      <c r="I8" s="573">
        <v>2779</v>
      </c>
      <c r="J8" s="573">
        <v>2928</v>
      </c>
      <c r="K8" s="574">
        <v>3096</v>
      </c>
      <c r="L8" s="1012">
        <v>3000</v>
      </c>
      <c r="M8" s="1012">
        <v>2803</v>
      </c>
      <c r="O8" s="273">
        <f t="shared" si="1"/>
        <v>6.5666666666666665E-2</v>
      </c>
      <c r="P8" s="273">
        <f t="shared" si="2"/>
        <v>-3.1007751937984496E-2</v>
      </c>
    </row>
    <row r="9" spans="1:19" ht="15.75">
      <c r="A9" s="566" t="s">
        <v>20</v>
      </c>
      <c r="B9" s="569" t="s">
        <v>21</v>
      </c>
      <c r="C9" s="624" t="s">
        <v>265</v>
      </c>
      <c r="D9" s="573">
        <v>4148</v>
      </c>
      <c r="E9" s="573">
        <v>4347</v>
      </c>
      <c r="F9" s="573">
        <v>4122</v>
      </c>
      <c r="G9" s="573">
        <v>4158</v>
      </c>
      <c r="H9" s="573">
        <v>4754</v>
      </c>
      <c r="I9" s="573">
        <v>5718</v>
      </c>
      <c r="J9" s="573">
        <v>5979</v>
      </c>
      <c r="K9" s="574">
        <v>6082</v>
      </c>
      <c r="L9" s="1012">
        <v>6250</v>
      </c>
      <c r="M9" s="1012">
        <v>5848</v>
      </c>
      <c r="O9" s="273">
        <f t="shared" si="1"/>
        <v>6.4320000000000002E-2</v>
      </c>
      <c r="P9" s="273">
        <f t="shared" si="2"/>
        <v>2.7622492601118053E-2</v>
      </c>
    </row>
    <row r="10" spans="1:19" ht="15.75">
      <c r="A10" s="566" t="s">
        <v>22</v>
      </c>
      <c r="B10" s="569" t="s">
        <v>23</v>
      </c>
      <c r="C10" s="624" t="s">
        <v>265</v>
      </c>
      <c r="D10" s="573">
        <v>2212</v>
      </c>
      <c r="E10" s="573">
        <v>2324</v>
      </c>
      <c r="F10" s="573">
        <v>2356</v>
      </c>
      <c r="G10" s="573">
        <v>2555</v>
      </c>
      <c r="H10" s="573">
        <v>2809</v>
      </c>
      <c r="I10" s="573">
        <v>3211</v>
      </c>
      <c r="J10" s="573">
        <v>3456</v>
      </c>
      <c r="K10" s="574">
        <v>3681</v>
      </c>
      <c r="L10" s="1012">
        <v>3788</v>
      </c>
      <c r="M10" s="1012">
        <v>3667</v>
      </c>
      <c r="O10" s="273">
        <f t="shared" si="1"/>
        <v>3.1942977824709611E-2</v>
      </c>
      <c r="P10" s="273">
        <f t="shared" si="2"/>
        <v>2.9068187992393371E-2</v>
      </c>
    </row>
    <row r="11" spans="1:19" ht="15.75">
      <c r="A11" s="566" t="s">
        <v>24</v>
      </c>
      <c r="B11" s="569" t="s">
        <v>25</v>
      </c>
      <c r="C11" s="624" t="s">
        <v>267</v>
      </c>
      <c r="D11" s="573">
        <v>7066</v>
      </c>
      <c r="E11" s="573">
        <v>6991</v>
      </c>
      <c r="F11" s="573">
        <v>6532</v>
      </c>
      <c r="G11" s="573">
        <v>6865</v>
      </c>
      <c r="H11" s="573">
        <v>8392</v>
      </c>
      <c r="I11" s="573">
        <v>10038</v>
      </c>
      <c r="J11" s="573">
        <v>11526</v>
      </c>
      <c r="K11" s="574">
        <v>12781</v>
      </c>
      <c r="L11" s="1012">
        <v>13822</v>
      </c>
      <c r="M11" s="1012">
        <v>13840</v>
      </c>
      <c r="O11" s="273">
        <f t="shared" si="1"/>
        <v>-1.3022717407032266E-3</v>
      </c>
      <c r="P11" s="273">
        <f t="shared" si="2"/>
        <v>8.1449025897817079E-2</v>
      </c>
    </row>
    <row r="12" spans="1:19" ht="15.75">
      <c r="A12" s="566" t="s">
        <v>26</v>
      </c>
      <c r="B12" s="569" t="s">
        <v>706</v>
      </c>
      <c r="C12" s="624" t="s">
        <v>265</v>
      </c>
      <c r="D12" s="573">
        <v>11894</v>
      </c>
      <c r="E12" s="573">
        <v>12791</v>
      </c>
      <c r="F12" s="573">
        <v>13054</v>
      </c>
      <c r="G12" s="573">
        <v>14389</v>
      </c>
      <c r="H12" s="573">
        <v>17153</v>
      </c>
      <c r="I12" s="573">
        <v>20080</v>
      </c>
      <c r="J12" s="573">
        <v>22221</v>
      </c>
      <c r="K12" s="574">
        <v>23384</v>
      </c>
      <c r="L12" s="1012">
        <v>25492</v>
      </c>
      <c r="M12" s="1012">
        <v>22640</v>
      </c>
      <c r="O12" s="1682">
        <f t="shared" si="1"/>
        <v>0.1118782363094304</v>
      </c>
      <c r="P12" s="1682">
        <f t="shared" si="2"/>
        <v>9.0147109134450912E-2</v>
      </c>
    </row>
    <row r="13" spans="1:19" ht="15.75">
      <c r="A13" s="566" t="s">
        <v>27</v>
      </c>
      <c r="B13" s="569" t="s">
        <v>28</v>
      </c>
      <c r="C13" s="624" t="s">
        <v>265</v>
      </c>
      <c r="D13" s="573">
        <v>285</v>
      </c>
      <c r="E13" s="573">
        <v>275</v>
      </c>
      <c r="F13" s="573">
        <v>306</v>
      </c>
      <c r="G13" s="573">
        <v>400</v>
      </c>
      <c r="H13" s="573">
        <v>470</v>
      </c>
      <c r="I13" s="573">
        <v>573</v>
      </c>
      <c r="J13" s="573">
        <v>579</v>
      </c>
      <c r="K13" s="574">
        <v>693</v>
      </c>
      <c r="L13" s="1012">
        <v>750</v>
      </c>
      <c r="M13" s="1012">
        <v>665</v>
      </c>
      <c r="O13" s="273">
        <f t="shared" si="1"/>
        <v>0.11333333333333333</v>
      </c>
      <c r="P13" s="273">
        <f t="shared" si="2"/>
        <v>8.2251082251082255E-2</v>
      </c>
    </row>
    <row r="14" spans="1:19" ht="15.75">
      <c r="A14" s="566" t="s">
        <v>29</v>
      </c>
      <c r="B14" s="569" t="s">
        <v>1012</v>
      </c>
      <c r="C14" s="624" t="s">
        <v>265</v>
      </c>
      <c r="D14" s="573">
        <v>6198</v>
      </c>
      <c r="E14" s="573">
        <v>6521</v>
      </c>
      <c r="F14" s="573">
        <v>6761</v>
      </c>
      <c r="G14" s="573">
        <v>6795</v>
      </c>
      <c r="H14" s="573">
        <v>8037</v>
      </c>
      <c r="I14" s="573">
        <v>9464</v>
      </c>
      <c r="J14" s="573">
        <v>10370</v>
      </c>
      <c r="K14" s="574">
        <v>10717</v>
      </c>
      <c r="L14" s="1012">
        <v>11077</v>
      </c>
      <c r="M14" s="1012">
        <v>11387</v>
      </c>
      <c r="O14" s="273">
        <f t="shared" si="1"/>
        <v>-2.7985916764466913E-2</v>
      </c>
      <c r="P14" s="273">
        <f t="shared" si="2"/>
        <v>3.3591490155827193E-2</v>
      </c>
    </row>
    <row r="15" spans="1:19" ht="15.75">
      <c r="A15" s="566" t="s">
        <v>30</v>
      </c>
      <c r="B15" s="663" t="s">
        <v>31</v>
      </c>
      <c r="C15" s="624" t="s">
        <v>268</v>
      </c>
      <c r="D15" s="573">
        <v>720</v>
      </c>
      <c r="E15" s="573">
        <v>758</v>
      </c>
      <c r="F15" s="573">
        <v>760</v>
      </c>
      <c r="G15" s="573">
        <v>762</v>
      </c>
      <c r="H15" s="573">
        <v>807</v>
      </c>
      <c r="I15" s="573">
        <v>875</v>
      </c>
      <c r="J15" s="573">
        <v>970</v>
      </c>
      <c r="K15" s="574">
        <v>953</v>
      </c>
      <c r="L15" s="1012">
        <v>993</v>
      </c>
      <c r="M15" s="1012">
        <v>923</v>
      </c>
      <c r="O15" s="273">
        <f t="shared" si="1"/>
        <v>7.0493454179254789E-2</v>
      </c>
      <c r="P15" s="273">
        <f t="shared" si="2"/>
        <v>4.197271773347324E-2</v>
      </c>
    </row>
    <row r="16" spans="1:19" ht="15.75">
      <c r="A16" s="566" t="s">
        <v>32</v>
      </c>
      <c r="B16" s="569" t="s">
        <v>33</v>
      </c>
      <c r="C16" s="624" t="s">
        <v>265</v>
      </c>
      <c r="D16" s="573">
        <v>1372</v>
      </c>
      <c r="E16" s="573">
        <v>1459</v>
      </c>
      <c r="F16" s="573">
        <v>1481</v>
      </c>
      <c r="G16" s="573">
        <v>1634</v>
      </c>
      <c r="H16" s="573">
        <v>1929</v>
      </c>
      <c r="I16" s="573">
        <v>2461</v>
      </c>
      <c r="J16" s="573">
        <v>2522</v>
      </c>
      <c r="K16" s="574">
        <v>2764</v>
      </c>
      <c r="L16" s="1012">
        <v>2819</v>
      </c>
      <c r="M16" s="1012">
        <v>2794</v>
      </c>
      <c r="O16" s="273">
        <f t="shared" si="1"/>
        <v>8.8683930471798508E-3</v>
      </c>
      <c r="P16" s="273">
        <f t="shared" si="2"/>
        <v>1.9898697539797394E-2</v>
      </c>
    </row>
    <row r="17" spans="1:16" ht="15.75">
      <c r="A17" s="566" t="s">
        <v>36</v>
      </c>
      <c r="B17" s="569" t="s">
        <v>37</v>
      </c>
      <c r="C17" s="624" t="s">
        <v>264</v>
      </c>
      <c r="D17" s="573">
        <v>3608</v>
      </c>
      <c r="E17" s="573">
        <v>3766</v>
      </c>
      <c r="F17" s="573">
        <v>3888</v>
      </c>
      <c r="G17" s="573">
        <v>3948</v>
      </c>
      <c r="H17" s="573">
        <v>4353</v>
      </c>
      <c r="I17" s="573">
        <v>4710</v>
      </c>
      <c r="J17" s="573">
        <v>5056</v>
      </c>
      <c r="K17" s="574">
        <v>5222</v>
      </c>
      <c r="L17" s="1012">
        <v>5261</v>
      </c>
      <c r="M17" s="1012">
        <v>5136</v>
      </c>
      <c r="O17" s="273">
        <f t="shared" si="1"/>
        <v>2.3759741494012544E-2</v>
      </c>
      <c r="P17" s="273">
        <f t="shared" si="2"/>
        <v>7.46840291076216E-3</v>
      </c>
    </row>
    <row r="18" spans="1:16" ht="15.75">
      <c r="A18" s="566" t="s">
        <v>38</v>
      </c>
      <c r="B18" s="569" t="s">
        <v>39</v>
      </c>
      <c r="C18" s="624" t="s">
        <v>268</v>
      </c>
      <c r="D18" s="573">
        <v>5892</v>
      </c>
      <c r="E18" s="573">
        <v>5754</v>
      </c>
      <c r="F18" s="573">
        <v>5594</v>
      </c>
      <c r="G18" s="573">
        <v>5580</v>
      </c>
      <c r="H18" s="573">
        <v>5768</v>
      </c>
      <c r="I18" s="573">
        <v>6066</v>
      </c>
      <c r="J18" s="573">
        <v>6035</v>
      </c>
      <c r="K18" s="574">
        <v>6166</v>
      </c>
      <c r="L18" s="1012">
        <v>6567</v>
      </c>
      <c r="M18" s="1012">
        <v>6367</v>
      </c>
      <c r="O18" s="273">
        <f t="shared" si="1"/>
        <v>3.0455306837216384E-2</v>
      </c>
      <c r="P18" s="273">
        <f t="shared" si="2"/>
        <v>6.5034057735971457E-2</v>
      </c>
    </row>
    <row r="19" spans="1:16" ht="15.75">
      <c r="A19" s="566" t="s">
        <v>40</v>
      </c>
      <c r="B19" s="569" t="s">
        <v>41</v>
      </c>
      <c r="C19" s="624" t="s">
        <v>266</v>
      </c>
      <c r="D19" s="573">
        <v>2763</v>
      </c>
      <c r="E19" s="573">
        <v>2828</v>
      </c>
      <c r="F19" s="573">
        <v>2954</v>
      </c>
      <c r="G19" s="573">
        <v>3089</v>
      </c>
      <c r="H19" s="573">
        <v>3524</v>
      </c>
      <c r="I19" s="573">
        <v>4135</v>
      </c>
      <c r="J19" s="573">
        <v>4476</v>
      </c>
      <c r="K19" s="574">
        <v>4756</v>
      </c>
      <c r="L19" s="1012">
        <v>4849</v>
      </c>
      <c r="M19" s="1012">
        <v>4470</v>
      </c>
      <c r="O19" s="273">
        <f t="shared" si="1"/>
        <v>7.816044545267066E-2</v>
      </c>
      <c r="P19" s="273">
        <f t="shared" si="2"/>
        <v>1.9554247266610598E-2</v>
      </c>
    </row>
    <row r="20" spans="1:16" ht="15.75">
      <c r="A20" s="566" t="s">
        <v>42</v>
      </c>
      <c r="B20" s="569" t="s">
        <v>43</v>
      </c>
      <c r="C20" s="624" t="s">
        <v>265</v>
      </c>
      <c r="D20" s="573">
        <v>6928</v>
      </c>
      <c r="E20" s="573">
        <v>7181</v>
      </c>
      <c r="F20" s="573">
        <v>7315</v>
      </c>
      <c r="G20" s="573">
        <v>7596</v>
      </c>
      <c r="H20" s="573">
        <v>8550</v>
      </c>
      <c r="I20" s="573">
        <v>10067</v>
      </c>
      <c r="J20" s="573">
        <v>10878</v>
      </c>
      <c r="K20" s="574">
        <v>11338</v>
      </c>
      <c r="L20" s="1012">
        <v>11586</v>
      </c>
      <c r="M20" s="1012">
        <v>11206</v>
      </c>
      <c r="O20" s="273">
        <f t="shared" si="1"/>
        <v>3.2798204729846368E-2</v>
      </c>
      <c r="P20" s="273">
        <f t="shared" si="2"/>
        <v>2.1873346269183278E-2</v>
      </c>
    </row>
    <row r="21" spans="1:16" ht="15.75">
      <c r="A21" s="566" t="s">
        <v>44</v>
      </c>
      <c r="B21" s="569" t="s">
        <v>45</v>
      </c>
      <c r="C21" s="624" t="s">
        <v>266</v>
      </c>
      <c r="D21" s="573">
        <v>3702</v>
      </c>
      <c r="E21" s="573">
        <v>3805</v>
      </c>
      <c r="F21" s="573">
        <v>4025</v>
      </c>
      <c r="G21" s="573">
        <v>4534</v>
      </c>
      <c r="H21" s="573">
        <v>5612</v>
      </c>
      <c r="I21" s="573">
        <v>6487</v>
      </c>
      <c r="J21" s="573">
        <v>6917</v>
      </c>
      <c r="K21" s="574">
        <v>7318</v>
      </c>
      <c r="L21" s="1012">
        <v>7516</v>
      </c>
      <c r="M21" s="1012">
        <v>7062</v>
      </c>
      <c r="O21" s="273">
        <f t="shared" si="1"/>
        <v>6.0404470463012241E-2</v>
      </c>
      <c r="P21" s="273">
        <f t="shared" si="2"/>
        <v>2.705657283410768E-2</v>
      </c>
    </row>
    <row r="22" spans="1:16" ht="15.75">
      <c r="A22" s="566" t="s">
        <v>46</v>
      </c>
      <c r="B22" s="569" t="s">
        <v>47</v>
      </c>
      <c r="C22" s="624" t="s">
        <v>268</v>
      </c>
      <c r="D22" s="573">
        <v>4883</v>
      </c>
      <c r="E22" s="573">
        <v>5103</v>
      </c>
      <c r="F22" s="573">
        <v>5345</v>
      </c>
      <c r="G22" s="573">
        <v>5657</v>
      </c>
      <c r="H22" s="573">
        <v>6429</v>
      </c>
      <c r="I22" s="573">
        <v>7118</v>
      </c>
      <c r="J22" s="573">
        <v>7552</v>
      </c>
      <c r="K22" s="574">
        <v>7844</v>
      </c>
      <c r="L22" s="1012">
        <v>8008</v>
      </c>
      <c r="M22" s="1012">
        <v>7687</v>
      </c>
      <c r="O22" s="273">
        <f t="shared" si="1"/>
        <v>4.0084915084915088E-2</v>
      </c>
      <c r="P22" s="273">
        <f t="shared" si="2"/>
        <v>2.0907700152983173E-2</v>
      </c>
    </row>
    <row r="23" spans="1:16" ht="15.75">
      <c r="A23" s="566" t="s">
        <v>48</v>
      </c>
      <c r="B23" s="569" t="s">
        <v>269</v>
      </c>
      <c r="C23" s="624" t="s">
        <v>266</v>
      </c>
      <c r="D23" s="573">
        <v>765</v>
      </c>
      <c r="E23" s="573">
        <v>824</v>
      </c>
      <c r="F23" s="573">
        <v>890</v>
      </c>
      <c r="G23" s="573">
        <v>970</v>
      </c>
      <c r="H23" s="573">
        <v>1174</v>
      </c>
      <c r="I23" s="573">
        <v>1318</v>
      </c>
      <c r="J23" s="573">
        <v>1361</v>
      </c>
      <c r="K23" s="574">
        <v>1455</v>
      </c>
      <c r="L23" s="1012">
        <v>1544</v>
      </c>
      <c r="M23" s="1012">
        <v>1458</v>
      </c>
      <c r="O23" s="273">
        <f t="shared" si="1"/>
        <v>5.5699481865284971E-2</v>
      </c>
      <c r="P23" s="273">
        <f t="shared" si="2"/>
        <v>6.1168384879725084E-2</v>
      </c>
    </row>
    <row r="24" spans="1:16" ht="15.75">
      <c r="A24" s="566" t="s">
        <v>50</v>
      </c>
      <c r="B24" s="569" t="s">
        <v>51</v>
      </c>
      <c r="C24" s="624" t="s">
        <v>265</v>
      </c>
      <c r="D24" s="573">
        <v>2244</v>
      </c>
      <c r="E24" s="573">
        <v>2370</v>
      </c>
      <c r="F24" s="573">
        <v>2538</v>
      </c>
      <c r="G24" s="573">
        <v>2585</v>
      </c>
      <c r="H24" s="573">
        <v>2950</v>
      </c>
      <c r="I24" s="573">
        <v>3231</v>
      </c>
      <c r="J24" s="573">
        <v>3392</v>
      </c>
      <c r="K24" s="574">
        <v>3552</v>
      </c>
      <c r="L24" s="1012">
        <v>3509</v>
      </c>
      <c r="M24" s="1012">
        <v>3211</v>
      </c>
      <c r="O24" s="273">
        <f t="shared" si="1"/>
        <v>8.492447990880593E-2</v>
      </c>
      <c r="P24" s="273">
        <f t="shared" si="2"/>
        <v>-1.2105855855855855E-2</v>
      </c>
    </row>
    <row r="25" spans="1:16" ht="15.75">
      <c r="A25" s="566" t="s">
        <v>56</v>
      </c>
      <c r="B25" s="569" t="s">
        <v>295</v>
      </c>
      <c r="C25" s="624" t="s">
        <v>266</v>
      </c>
      <c r="D25" s="573">
        <v>21320</v>
      </c>
      <c r="E25" s="573">
        <v>22790</v>
      </c>
      <c r="F25" s="573">
        <v>23749</v>
      </c>
      <c r="G25" s="573">
        <v>26017</v>
      </c>
      <c r="H25" s="573">
        <v>32304</v>
      </c>
      <c r="I25" s="573">
        <v>40766</v>
      </c>
      <c r="J25" s="573">
        <v>45795</v>
      </c>
      <c r="K25" s="574">
        <v>49220</v>
      </c>
      <c r="L25" s="1012">
        <v>51844</v>
      </c>
      <c r="M25" s="1012">
        <v>50895</v>
      </c>
      <c r="O25" s="273">
        <f t="shared" si="1"/>
        <v>1.8304914744232698E-2</v>
      </c>
      <c r="P25" s="273">
        <f t="shared" si="2"/>
        <v>5.3311661926046319E-2</v>
      </c>
    </row>
    <row r="26" spans="1:16" ht="15.75">
      <c r="A26" s="566" t="s">
        <v>58</v>
      </c>
      <c r="B26" s="569" t="s">
        <v>59</v>
      </c>
      <c r="C26" s="624" t="s">
        <v>267</v>
      </c>
      <c r="D26" s="573">
        <v>550</v>
      </c>
      <c r="E26" s="573">
        <v>553</v>
      </c>
      <c r="F26" s="573">
        <v>690</v>
      </c>
      <c r="G26" s="573">
        <v>760</v>
      </c>
      <c r="H26" s="573">
        <v>1050</v>
      </c>
      <c r="I26" s="573">
        <v>1190</v>
      </c>
      <c r="J26" s="573">
        <v>1289</v>
      </c>
      <c r="K26" s="574">
        <v>1315</v>
      </c>
      <c r="L26" s="1012">
        <v>1310</v>
      </c>
      <c r="M26" s="1012">
        <v>1219</v>
      </c>
      <c r="O26" s="273">
        <f t="shared" si="1"/>
        <v>6.9465648854961828E-2</v>
      </c>
      <c r="P26" s="273">
        <f t="shared" si="2"/>
        <v>-3.8022813688212928E-3</v>
      </c>
    </row>
    <row r="27" spans="1:16" ht="15.75">
      <c r="A27" s="566" t="s">
        <v>60</v>
      </c>
      <c r="B27" s="569" t="s">
        <v>61</v>
      </c>
      <c r="C27" s="624" t="s">
        <v>265</v>
      </c>
      <c r="D27" s="573">
        <v>517</v>
      </c>
      <c r="E27" s="573">
        <v>542</v>
      </c>
      <c r="F27" s="573">
        <v>533</v>
      </c>
      <c r="G27" s="573">
        <v>578</v>
      </c>
      <c r="H27" s="573">
        <v>662</v>
      </c>
      <c r="I27" s="573">
        <v>800</v>
      </c>
      <c r="J27" s="573">
        <v>829</v>
      </c>
      <c r="K27" s="574">
        <v>911</v>
      </c>
      <c r="L27" s="1012">
        <v>927</v>
      </c>
      <c r="M27" s="1012">
        <v>851</v>
      </c>
      <c r="O27" s="273">
        <f t="shared" si="1"/>
        <v>8.1984897518878108E-2</v>
      </c>
      <c r="P27" s="273">
        <f t="shared" si="2"/>
        <v>1.756311745334797E-2</v>
      </c>
    </row>
    <row r="28" spans="1:16" ht="15.75">
      <c r="A28" s="566" t="s">
        <v>62</v>
      </c>
      <c r="B28" s="569" t="s">
        <v>63</v>
      </c>
      <c r="C28" s="624" t="s">
        <v>267</v>
      </c>
      <c r="D28" s="573">
        <v>3359</v>
      </c>
      <c r="E28" s="573">
        <v>3705</v>
      </c>
      <c r="F28" s="573">
        <v>3982</v>
      </c>
      <c r="G28" s="573">
        <v>4656</v>
      </c>
      <c r="H28" s="573">
        <v>6257</v>
      </c>
      <c r="I28" s="573">
        <v>7702</v>
      </c>
      <c r="J28" s="573">
        <v>8297</v>
      </c>
      <c r="K28" s="574">
        <v>8619</v>
      </c>
      <c r="L28" s="1012">
        <v>9095</v>
      </c>
      <c r="M28" s="1012">
        <v>8623</v>
      </c>
      <c r="O28" s="273">
        <f t="shared" si="1"/>
        <v>5.1896646509070915E-2</v>
      </c>
      <c r="P28" s="273">
        <f t="shared" si="2"/>
        <v>5.5226824457593686E-2</v>
      </c>
    </row>
    <row r="29" spans="1:16" ht="15.75">
      <c r="A29" s="566" t="s">
        <v>64</v>
      </c>
      <c r="B29" s="569" t="s">
        <v>65</v>
      </c>
      <c r="C29" s="624" t="s">
        <v>266</v>
      </c>
      <c r="D29" s="573">
        <v>1905</v>
      </c>
      <c r="E29" s="573">
        <v>1918</v>
      </c>
      <c r="F29" s="573">
        <v>2027</v>
      </c>
      <c r="G29" s="573">
        <v>2146</v>
      </c>
      <c r="H29" s="573">
        <v>2481</v>
      </c>
      <c r="I29" s="573">
        <v>2793</v>
      </c>
      <c r="J29" s="573">
        <v>2986</v>
      </c>
      <c r="K29" s="574">
        <v>3186</v>
      </c>
      <c r="L29" s="1012">
        <v>3218</v>
      </c>
      <c r="M29" s="1012">
        <v>3142</v>
      </c>
      <c r="O29" s="273">
        <f t="shared" si="1"/>
        <v>2.3617153511497825E-2</v>
      </c>
      <c r="P29" s="273">
        <f t="shared" si="2"/>
        <v>1.0043942247332079E-2</v>
      </c>
    </row>
    <row r="30" spans="1:16" ht="15.75">
      <c r="A30" s="566" t="s">
        <v>68</v>
      </c>
      <c r="B30" s="569" t="s">
        <v>69</v>
      </c>
      <c r="C30" s="624" t="s">
        <v>268</v>
      </c>
      <c r="D30" s="573">
        <v>3875</v>
      </c>
      <c r="E30" s="573">
        <v>3908</v>
      </c>
      <c r="F30" s="573">
        <v>3822</v>
      </c>
      <c r="G30" s="573">
        <v>3878</v>
      </c>
      <c r="H30" s="573">
        <v>4017</v>
      </c>
      <c r="I30" s="573">
        <v>4315</v>
      </c>
      <c r="J30" s="573">
        <v>4437</v>
      </c>
      <c r="K30" s="574">
        <v>4585</v>
      </c>
      <c r="L30" s="1012">
        <v>4838</v>
      </c>
      <c r="M30" s="1012">
        <v>4598</v>
      </c>
      <c r="O30" s="273">
        <f t="shared" si="1"/>
        <v>4.9607275733774284E-2</v>
      </c>
      <c r="P30" s="273">
        <f t="shared" si="2"/>
        <v>5.5179934569247545E-2</v>
      </c>
    </row>
    <row r="31" spans="1:16" ht="15.75">
      <c r="A31" s="566" t="s">
        <v>70</v>
      </c>
      <c r="B31" s="569" t="s">
        <v>71</v>
      </c>
      <c r="C31" s="624" t="s">
        <v>264</v>
      </c>
      <c r="D31" s="573">
        <v>3893</v>
      </c>
      <c r="E31" s="573">
        <v>4152</v>
      </c>
      <c r="F31" s="573">
        <v>4203</v>
      </c>
      <c r="G31" s="573">
        <v>4383</v>
      </c>
      <c r="H31" s="573">
        <v>5090</v>
      </c>
      <c r="I31" s="573">
        <v>6023</v>
      </c>
      <c r="J31" s="573">
        <v>6350</v>
      </c>
      <c r="K31" s="574">
        <v>6753</v>
      </c>
      <c r="L31" s="1012">
        <v>6809</v>
      </c>
      <c r="M31" s="1012">
        <v>6500</v>
      </c>
      <c r="O31" s="273">
        <f t="shared" si="1"/>
        <v>4.5381113232486413E-2</v>
      </c>
      <c r="P31" s="273">
        <f t="shared" si="2"/>
        <v>8.2926106915444994E-3</v>
      </c>
    </row>
    <row r="32" spans="1:16" ht="15.75">
      <c r="A32" s="566" t="s">
        <v>72</v>
      </c>
      <c r="B32" s="569" t="s">
        <v>73</v>
      </c>
      <c r="C32" s="624" t="s">
        <v>266</v>
      </c>
      <c r="D32" s="573">
        <v>1985</v>
      </c>
      <c r="E32" s="573">
        <v>2061</v>
      </c>
      <c r="F32" s="573">
        <v>2062</v>
      </c>
      <c r="G32" s="573">
        <v>2206</v>
      </c>
      <c r="H32" s="573">
        <v>2628</v>
      </c>
      <c r="I32" s="573">
        <v>2960</v>
      </c>
      <c r="J32" s="573">
        <v>3207</v>
      </c>
      <c r="K32" s="574">
        <v>3507</v>
      </c>
      <c r="L32" s="1012">
        <v>3536</v>
      </c>
      <c r="M32" s="1012">
        <v>3358</v>
      </c>
      <c r="O32" s="273">
        <f t="shared" si="1"/>
        <v>5.0339366515837106E-2</v>
      </c>
      <c r="P32" s="273">
        <f t="shared" si="2"/>
        <v>8.2691759338465922E-3</v>
      </c>
    </row>
    <row r="33" spans="1:16" ht="15.75">
      <c r="A33" s="566" t="s">
        <v>74</v>
      </c>
      <c r="B33" s="569" t="s">
        <v>296</v>
      </c>
      <c r="C33" s="624" t="s">
        <v>267</v>
      </c>
      <c r="D33" s="573">
        <v>30107</v>
      </c>
      <c r="E33" s="573">
        <v>32481</v>
      </c>
      <c r="F33" s="573">
        <v>33617</v>
      </c>
      <c r="G33" s="573">
        <v>36644</v>
      </c>
      <c r="H33" s="573">
        <v>46502</v>
      </c>
      <c r="I33" s="573">
        <v>59952</v>
      </c>
      <c r="J33" s="573">
        <v>70182</v>
      </c>
      <c r="K33" s="574">
        <v>78782</v>
      </c>
      <c r="L33" s="1012">
        <v>85543</v>
      </c>
      <c r="M33" s="1012">
        <v>85323</v>
      </c>
      <c r="O33" s="273">
        <f t="shared" si="1"/>
        <v>2.5718059923079623E-3</v>
      </c>
      <c r="P33" s="273">
        <f t="shared" si="2"/>
        <v>8.5819095732527731E-2</v>
      </c>
    </row>
    <row r="34" spans="1:16" ht="15.75">
      <c r="A34" s="566" t="s">
        <v>76</v>
      </c>
      <c r="B34" s="569" t="s">
        <v>77</v>
      </c>
      <c r="C34" s="624" t="s">
        <v>267</v>
      </c>
      <c r="D34" s="573">
        <v>2873</v>
      </c>
      <c r="E34" s="573">
        <v>3091</v>
      </c>
      <c r="F34" s="573">
        <v>3341</v>
      </c>
      <c r="G34" s="573">
        <v>4012</v>
      </c>
      <c r="H34" s="573">
        <v>5197</v>
      </c>
      <c r="I34" s="573">
        <v>6214</v>
      </c>
      <c r="J34" s="573">
        <v>6501</v>
      </c>
      <c r="K34" s="574">
        <v>6922</v>
      </c>
      <c r="L34" s="1012">
        <v>7049</v>
      </c>
      <c r="M34" s="1012">
        <v>6553</v>
      </c>
      <c r="O34" s="273">
        <f t="shared" si="1"/>
        <v>7.0364590722088241E-2</v>
      </c>
      <c r="P34" s="273">
        <f t="shared" si="2"/>
        <v>1.8347298468650679E-2</v>
      </c>
    </row>
    <row r="35" spans="1:16" ht="15.75">
      <c r="A35" s="566" t="s">
        <v>78</v>
      </c>
      <c r="B35" s="569" t="s">
        <v>79</v>
      </c>
      <c r="C35" s="624" t="s">
        <v>268</v>
      </c>
      <c r="D35" s="573">
        <v>1729</v>
      </c>
      <c r="E35" s="573">
        <v>1857</v>
      </c>
      <c r="F35" s="573">
        <v>1883</v>
      </c>
      <c r="G35" s="573">
        <v>1981</v>
      </c>
      <c r="H35" s="573">
        <v>2249</v>
      </c>
      <c r="I35" s="573">
        <v>2672</v>
      </c>
      <c r="J35" s="573">
        <v>2937</v>
      </c>
      <c r="K35" s="574">
        <v>3093</v>
      </c>
      <c r="L35" s="1012">
        <v>3085</v>
      </c>
      <c r="M35" s="1012">
        <v>2879</v>
      </c>
      <c r="O35" s="273">
        <f t="shared" si="1"/>
        <v>6.6774716369529988E-2</v>
      </c>
      <c r="P35" s="273">
        <f t="shared" si="2"/>
        <v>-2.5864856126737797E-3</v>
      </c>
    </row>
    <row r="36" spans="1:16" ht="15.75">
      <c r="A36" s="566" t="s">
        <v>80</v>
      </c>
      <c r="B36" s="569" t="s">
        <v>81</v>
      </c>
      <c r="C36" s="624" t="s">
        <v>266</v>
      </c>
      <c r="D36" s="573">
        <v>1197</v>
      </c>
      <c r="E36" s="573">
        <v>1281</v>
      </c>
      <c r="F36" s="573">
        <v>1385</v>
      </c>
      <c r="G36" s="573">
        <v>1374</v>
      </c>
      <c r="H36" s="573">
        <v>1805</v>
      </c>
      <c r="I36" s="573">
        <v>2186</v>
      </c>
      <c r="J36" s="573">
        <v>2547</v>
      </c>
      <c r="K36" s="574">
        <v>2908</v>
      </c>
      <c r="L36" s="1012">
        <v>2886</v>
      </c>
      <c r="M36" s="1012">
        <v>2767</v>
      </c>
      <c r="O36" s="273">
        <f t="shared" si="1"/>
        <v>4.1233541233541234E-2</v>
      </c>
      <c r="P36" s="273">
        <f t="shared" si="2"/>
        <v>-7.5653370013755161E-3</v>
      </c>
    </row>
    <row r="37" spans="1:16" ht="15.75">
      <c r="A37" s="566" t="s">
        <v>84</v>
      </c>
      <c r="B37" s="569" t="s">
        <v>85</v>
      </c>
      <c r="C37" s="624" t="s">
        <v>265</v>
      </c>
      <c r="D37" s="573">
        <v>6550</v>
      </c>
      <c r="E37" s="573">
        <v>6928</v>
      </c>
      <c r="F37" s="573">
        <v>7163</v>
      </c>
      <c r="G37" s="573">
        <v>8091</v>
      </c>
      <c r="H37" s="573">
        <v>9582</v>
      </c>
      <c r="I37" s="573">
        <v>10818</v>
      </c>
      <c r="J37" s="573">
        <v>11442</v>
      </c>
      <c r="K37" s="574">
        <v>11872</v>
      </c>
      <c r="L37" s="1012">
        <v>11963</v>
      </c>
      <c r="M37" s="1012">
        <v>11430</v>
      </c>
      <c r="O37" s="273">
        <f t="shared" ref="O37:O68" si="3">(L37-M37)/L37</f>
        <v>4.4554041628354094E-2</v>
      </c>
      <c r="P37" s="273">
        <f t="shared" ref="P37:P68" si="4">(L37-K37)/K37</f>
        <v>7.6650943396226415E-3</v>
      </c>
    </row>
    <row r="38" spans="1:16" ht="15.75">
      <c r="A38" s="566" t="s">
        <v>86</v>
      </c>
      <c r="B38" s="569" t="s">
        <v>87</v>
      </c>
      <c r="C38" s="624" t="s">
        <v>267</v>
      </c>
      <c r="D38" s="573">
        <v>3824</v>
      </c>
      <c r="E38" s="573">
        <v>4185</v>
      </c>
      <c r="F38" s="573">
        <v>4735</v>
      </c>
      <c r="G38" s="573">
        <v>5839</v>
      </c>
      <c r="H38" s="573">
        <v>7765</v>
      </c>
      <c r="I38" s="573">
        <v>9789</v>
      </c>
      <c r="J38" s="573">
        <v>11003</v>
      </c>
      <c r="K38" s="574">
        <v>11618</v>
      </c>
      <c r="L38" s="1012">
        <v>11979</v>
      </c>
      <c r="M38" s="1012">
        <v>10590</v>
      </c>
      <c r="O38" s="273">
        <f t="shared" si="3"/>
        <v>0.11595291760581017</v>
      </c>
      <c r="P38" s="273">
        <f t="shared" si="4"/>
        <v>3.1072473747632983E-2</v>
      </c>
    </row>
    <row r="39" spans="1:16" ht="15.75">
      <c r="A39" s="566" t="s">
        <v>92</v>
      </c>
      <c r="B39" s="569" t="s">
        <v>93</v>
      </c>
      <c r="C39" s="624" t="s">
        <v>268</v>
      </c>
      <c r="D39" s="573">
        <v>2334</v>
      </c>
      <c r="E39" s="573">
        <v>2397</v>
      </c>
      <c r="F39" s="573">
        <v>2460</v>
      </c>
      <c r="G39" s="573">
        <v>2619</v>
      </c>
      <c r="H39" s="573">
        <v>2961</v>
      </c>
      <c r="I39" s="573">
        <v>3399</v>
      </c>
      <c r="J39" s="573">
        <v>3645</v>
      </c>
      <c r="K39" s="574">
        <v>3547</v>
      </c>
      <c r="L39" s="1012">
        <v>3510</v>
      </c>
      <c r="M39" s="1012">
        <v>3507</v>
      </c>
      <c r="O39" s="273">
        <f t="shared" si="3"/>
        <v>8.547008547008547E-4</v>
      </c>
      <c r="P39" s="273">
        <f t="shared" si="4"/>
        <v>-1.0431350436989005E-2</v>
      </c>
    </row>
    <row r="40" spans="1:16" ht="15.75">
      <c r="A40" s="566" t="s">
        <v>94</v>
      </c>
      <c r="B40" s="569" t="s">
        <v>95</v>
      </c>
      <c r="C40" s="624" t="s">
        <v>264</v>
      </c>
      <c r="D40" s="573">
        <v>3167</v>
      </c>
      <c r="E40" s="573">
        <v>3308</v>
      </c>
      <c r="F40" s="573">
        <v>3482</v>
      </c>
      <c r="G40" s="573">
        <v>3519</v>
      </c>
      <c r="H40" s="573">
        <v>4442</v>
      </c>
      <c r="I40" s="573">
        <v>5594</v>
      </c>
      <c r="J40" s="573">
        <v>6079</v>
      </c>
      <c r="K40" s="574">
        <v>6513</v>
      </c>
      <c r="L40" s="1012">
        <v>6498</v>
      </c>
      <c r="M40" s="1012">
        <v>6251</v>
      </c>
      <c r="O40" s="273">
        <f t="shared" si="3"/>
        <v>3.8011695906432746E-2</v>
      </c>
      <c r="P40" s="273">
        <f t="shared" si="4"/>
        <v>-2.3030861354214646E-3</v>
      </c>
    </row>
    <row r="41" spans="1:16" ht="15.75">
      <c r="A41" s="566" t="s">
        <v>96</v>
      </c>
      <c r="B41" s="569" t="s">
        <v>97</v>
      </c>
      <c r="C41" s="624" t="s">
        <v>266</v>
      </c>
      <c r="D41" s="573">
        <v>951</v>
      </c>
      <c r="E41" s="573">
        <v>946</v>
      </c>
      <c r="F41" s="573">
        <v>882</v>
      </c>
      <c r="G41" s="573">
        <v>1069</v>
      </c>
      <c r="H41" s="573">
        <v>1359</v>
      </c>
      <c r="I41" s="573">
        <v>1734</v>
      </c>
      <c r="J41" s="573">
        <v>1946</v>
      </c>
      <c r="K41" s="574">
        <v>1931</v>
      </c>
      <c r="L41" s="1012">
        <v>1969</v>
      </c>
      <c r="M41" s="1012">
        <v>1959</v>
      </c>
      <c r="O41" s="273">
        <f t="shared" si="3"/>
        <v>5.0787201625190452E-3</v>
      </c>
      <c r="P41" s="273">
        <f t="shared" si="4"/>
        <v>1.9678922837907821E-2</v>
      </c>
    </row>
    <row r="42" spans="1:16" ht="15.75">
      <c r="A42" s="566" t="s">
        <v>98</v>
      </c>
      <c r="B42" s="569" t="s">
        <v>99</v>
      </c>
      <c r="C42" s="624" t="s">
        <v>268</v>
      </c>
      <c r="D42" s="573">
        <v>2860</v>
      </c>
      <c r="E42" s="573">
        <v>3054</v>
      </c>
      <c r="F42" s="573">
        <v>3118</v>
      </c>
      <c r="G42" s="573">
        <v>3173</v>
      </c>
      <c r="H42" s="573">
        <v>3473</v>
      </c>
      <c r="I42" s="573">
        <v>3767</v>
      </c>
      <c r="J42" s="573">
        <v>3953</v>
      </c>
      <c r="K42" s="574">
        <v>4075</v>
      </c>
      <c r="L42" s="1012">
        <v>4222</v>
      </c>
      <c r="M42" s="1012">
        <v>4027</v>
      </c>
      <c r="O42" s="273">
        <f t="shared" si="3"/>
        <v>4.6186641402179061E-2</v>
      </c>
      <c r="P42" s="273">
        <f t="shared" si="4"/>
        <v>3.6073619631901838E-2</v>
      </c>
    </row>
    <row r="43" spans="1:16" ht="15.75">
      <c r="A43" s="566" t="s">
        <v>100</v>
      </c>
      <c r="B43" s="569" t="s">
        <v>101</v>
      </c>
      <c r="C43" s="624" t="s">
        <v>267</v>
      </c>
      <c r="D43" s="573">
        <v>1644</v>
      </c>
      <c r="E43" s="573">
        <v>1718</v>
      </c>
      <c r="F43" s="573">
        <v>1673</v>
      </c>
      <c r="G43" s="573">
        <v>1748</v>
      </c>
      <c r="H43" s="573">
        <v>2141</v>
      </c>
      <c r="I43" s="573">
        <v>2648</v>
      </c>
      <c r="J43" s="573">
        <v>2924</v>
      </c>
      <c r="K43" s="574">
        <v>3162</v>
      </c>
      <c r="L43" s="1012">
        <v>3242</v>
      </c>
      <c r="M43" s="1012">
        <v>3160</v>
      </c>
      <c r="O43" s="273">
        <f t="shared" si="3"/>
        <v>2.5293028994447873E-2</v>
      </c>
      <c r="P43" s="273">
        <f t="shared" si="4"/>
        <v>2.5300442757748259E-2</v>
      </c>
    </row>
    <row r="44" spans="1:16" ht="15.75">
      <c r="A44" s="566" t="s">
        <v>102</v>
      </c>
      <c r="B44" s="569" t="s">
        <v>282</v>
      </c>
      <c r="C44" s="624" t="s">
        <v>264</v>
      </c>
      <c r="D44" s="573">
        <v>3212</v>
      </c>
      <c r="E44" s="573">
        <v>3626</v>
      </c>
      <c r="F44" s="573">
        <v>3815</v>
      </c>
      <c r="G44" s="573">
        <v>4082</v>
      </c>
      <c r="H44" s="573">
        <v>4638</v>
      </c>
      <c r="I44" s="573">
        <v>5139</v>
      </c>
      <c r="J44" s="573">
        <v>5557</v>
      </c>
      <c r="K44" s="574">
        <v>5787</v>
      </c>
      <c r="L44" s="1012">
        <v>6359</v>
      </c>
      <c r="M44" s="1012">
        <v>5833</v>
      </c>
      <c r="O44" s="1682">
        <f t="shared" si="3"/>
        <v>8.2717408397546779E-2</v>
      </c>
      <c r="P44" s="1682">
        <f t="shared" si="4"/>
        <v>9.8842232590288584E-2</v>
      </c>
    </row>
    <row r="45" spans="1:16" ht="15.75">
      <c r="A45" s="566" t="s">
        <v>104</v>
      </c>
      <c r="B45" s="569" t="s">
        <v>105</v>
      </c>
      <c r="C45" s="624" t="s">
        <v>265</v>
      </c>
      <c r="D45" s="573">
        <v>6445</v>
      </c>
      <c r="E45" s="573">
        <v>6867</v>
      </c>
      <c r="F45" s="573">
        <v>7252</v>
      </c>
      <c r="G45" s="573">
        <v>7474</v>
      </c>
      <c r="H45" s="573">
        <v>8078</v>
      </c>
      <c r="I45" s="573">
        <v>8899</v>
      </c>
      <c r="J45" s="573">
        <v>9324</v>
      </c>
      <c r="K45" s="574">
        <v>9589</v>
      </c>
      <c r="L45" s="1012">
        <v>9559</v>
      </c>
      <c r="M45" s="1012">
        <v>9288</v>
      </c>
      <c r="O45" s="273">
        <f t="shared" si="3"/>
        <v>2.8350245841615232E-2</v>
      </c>
      <c r="P45" s="273">
        <f t="shared" si="4"/>
        <v>-3.1285848367921575E-3</v>
      </c>
    </row>
    <row r="46" spans="1:16" ht="15.75">
      <c r="A46" s="566" t="s">
        <v>108</v>
      </c>
      <c r="B46" s="569" t="s">
        <v>109</v>
      </c>
      <c r="C46" s="624" t="s">
        <v>266</v>
      </c>
      <c r="D46" s="573">
        <v>4065</v>
      </c>
      <c r="E46" s="573">
        <v>4363</v>
      </c>
      <c r="F46" s="573">
        <v>4369</v>
      </c>
      <c r="G46" s="573">
        <v>4871</v>
      </c>
      <c r="H46" s="573">
        <v>5988</v>
      </c>
      <c r="I46" s="573">
        <v>7440</v>
      </c>
      <c r="J46" s="573">
        <v>8354</v>
      </c>
      <c r="K46" s="574">
        <v>8944</v>
      </c>
      <c r="L46" s="1012">
        <v>9119</v>
      </c>
      <c r="M46" s="1012">
        <v>8763</v>
      </c>
      <c r="O46" s="273">
        <f t="shared" si="3"/>
        <v>3.9039368351792961E-2</v>
      </c>
      <c r="P46" s="273">
        <f t="shared" si="4"/>
        <v>1.9566189624329159E-2</v>
      </c>
    </row>
    <row r="47" spans="1:16" ht="15.75">
      <c r="A47" s="566" t="s">
        <v>110</v>
      </c>
      <c r="B47" s="569" t="s">
        <v>111</v>
      </c>
      <c r="C47" s="624" t="s">
        <v>266</v>
      </c>
      <c r="D47" s="573">
        <v>21918</v>
      </c>
      <c r="E47" s="573">
        <v>24148</v>
      </c>
      <c r="F47" s="573">
        <v>25085</v>
      </c>
      <c r="G47" s="573">
        <v>25969</v>
      </c>
      <c r="H47" s="573">
        <v>32264</v>
      </c>
      <c r="I47" s="573">
        <v>41200</v>
      </c>
      <c r="J47" s="573">
        <v>46417</v>
      </c>
      <c r="K47" s="574">
        <v>50139</v>
      </c>
      <c r="L47" s="1012">
        <v>52765</v>
      </c>
      <c r="M47" s="1012">
        <v>50799</v>
      </c>
      <c r="O47" s="273">
        <f t="shared" si="3"/>
        <v>3.7259547048232727E-2</v>
      </c>
      <c r="P47" s="273">
        <f t="shared" si="4"/>
        <v>5.2374399170306549E-2</v>
      </c>
    </row>
    <row r="48" spans="1:16" ht="15.75">
      <c r="A48" s="566" t="s">
        <v>112</v>
      </c>
      <c r="B48" s="569" t="s">
        <v>300</v>
      </c>
      <c r="C48" s="624" t="s">
        <v>265</v>
      </c>
      <c r="D48" s="573">
        <v>14177</v>
      </c>
      <c r="E48" s="573">
        <v>14929</v>
      </c>
      <c r="F48" s="573">
        <v>15461</v>
      </c>
      <c r="G48" s="573">
        <v>16717</v>
      </c>
      <c r="H48" s="573">
        <v>19301</v>
      </c>
      <c r="I48" s="573">
        <v>21250</v>
      </c>
      <c r="J48" s="573">
        <v>22307</v>
      </c>
      <c r="K48" s="574">
        <v>23602</v>
      </c>
      <c r="L48" s="1012">
        <v>24417</v>
      </c>
      <c r="M48" s="1012">
        <v>22661</v>
      </c>
      <c r="O48" s="1682">
        <f t="shared" si="3"/>
        <v>7.1917106933693742E-2</v>
      </c>
      <c r="P48" s="1682">
        <f t="shared" si="4"/>
        <v>3.4530971951529529E-2</v>
      </c>
    </row>
    <row r="49" spans="1:16" ht="15.75">
      <c r="A49" s="566" t="s">
        <v>114</v>
      </c>
      <c r="B49" s="569" t="s">
        <v>115</v>
      </c>
      <c r="C49" s="624" t="s">
        <v>265</v>
      </c>
      <c r="D49" s="573">
        <v>205</v>
      </c>
      <c r="E49" s="573">
        <v>214</v>
      </c>
      <c r="F49" s="573">
        <v>195</v>
      </c>
      <c r="G49" s="573">
        <v>206</v>
      </c>
      <c r="H49" s="573">
        <v>239</v>
      </c>
      <c r="I49" s="573">
        <v>226</v>
      </c>
      <c r="J49" s="573">
        <v>248</v>
      </c>
      <c r="K49" s="574">
        <v>261</v>
      </c>
      <c r="L49" s="1012">
        <v>246</v>
      </c>
      <c r="M49" s="1012">
        <v>244</v>
      </c>
      <c r="O49" s="273">
        <f t="shared" si="3"/>
        <v>8.130081300813009E-3</v>
      </c>
      <c r="P49" s="273">
        <f t="shared" si="4"/>
        <v>-5.7471264367816091E-2</v>
      </c>
    </row>
    <row r="50" spans="1:16" ht="15.75">
      <c r="A50" s="566" t="s">
        <v>118</v>
      </c>
      <c r="B50" s="569" t="s">
        <v>270</v>
      </c>
      <c r="C50" s="624" t="s">
        <v>264</v>
      </c>
      <c r="D50" s="573">
        <v>3593</v>
      </c>
      <c r="E50" s="573">
        <v>3643</v>
      </c>
      <c r="F50" s="573">
        <v>3663</v>
      </c>
      <c r="G50" s="573">
        <v>3884</v>
      </c>
      <c r="H50" s="573">
        <v>4484</v>
      </c>
      <c r="I50" s="573">
        <v>5248</v>
      </c>
      <c r="J50" s="573">
        <v>5686</v>
      </c>
      <c r="K50" s="574">
        <v>5940</v>
      </c>
      <c r="L50" s="1012">
        <v>6119</v>
      </c>
      <c r="M50" s="1012">
        <v>5727</v>
      </c>
      <c r="O50" s="273">
        <f t="shared" si="3"/>
        <v>6.4062755352181727E-2</v>
      </c>
      <c r="P50" s="273">
        <f t="shared" si="4"/>
        <v>3.0134680134680136E-2</v>
      </c>
    </row>
    <row r="51" spans="1:16" ht="15.75">
      <c r="A51" s="566" t="s">
        <v>120</v>
      </c>
      <c r="B51" s="569" t="s">
        <v>121</v>
      </c>
      <c r="C51" s="624" t="s">
        <v>264</v>
      </c>
      <c r="D51" s="573">
        <v>3331</v>
      </c>
      <c r="E51" s="573">
        <v>3645</v>
      </c>
      <c r="F51" s="573">
        <v>3614</v>
      </c>
      <c r="G51" s="573">
        <v>3762</v>
      </c>
      <c r="H51" s="573">
        <v>4927</v>
      </c>
      <c r="I51" s="573">
        <v>5918</v>
      </c>
      <c r="J51" s="573">
        <v>6615</v>
      </c>
      <c r="K51" s="574">
        <v>7233</v>
      </c>
      <c r="L51" s="1012">
        <v>7634</v>
      </c>
      <c r="M51" s="1012">
        <v>7368</v>
      </c>
      <c r="O51" s="273">
        <f t="shared" si="3"/>
        <v>3.4844118417605451E-2</v>
      </c>
      <c r="P51" s="273">
        <f t="shared" si="4"/>
        <v>5.544034287294345E-2</v>
      </c>
    </row>
    <row r="52" spans="1:16" ht="15.75">
      <c r="A52" s="566" t="s">
        <v>122</v>
      </c>
      <c r="B52" s="569" t="s">
        <v>287</v>
      </c>
      <c r="C52" s="624" t="s">
        <v>266</v>
      </c>
      <c r="D52" s="573">
        <v>1078</v>
      </c>
      <c r="E52" s="573">
        <v>1110</v>
      </c>
      <c r="F52" s="573">
        <v>1125</v>
      </c>
      <c r="G52" s="573">
        <v>1121</v>
      </c>
      <c r="H52" s="573">
        <v>1267</v>
      </c>
      <c r="I52" s="573">
        <v>1484</v>
      </c>
      <c r="J52" s="573">
        <v>1617</v>
      </c>
      <c r="K52" s="574">
        <v>1696</v>
      </c>
      <c r="L52" s="1012">
        <v>1853</v>
      </c>
      <c r="M52" s="1012">
        <v>1790</v>
      </c>
      <c r="O52" s="273">
        <f t="shared" si="3"/>
        <v>3.3998920669185105E-2</v>
      </c>
      <c r="P52" s="273">
        <f t="shared" si="4"/>
        <v>9.2570754716981132E-2</v>
      </c>
    </row>
    <row r="53" spans="1:16" ht="15.75">
      <c r="A53" s="566" t="s">
        <v>124</v>
      </c>
      <c r="B53" s="569" t="s">
        <v>125</v>
      </c>
      <c r="C53" s="624" t="s">
        <v>267</v>
      </c>
      <c r="D53" s="573">
        <v>1828</v>
      </c>
      <c r="E53" s="573">
        <v>1830</v>
      </c>
      <c r="F53" s="573">
        <v>1926</v>
      </c>
      <c r="G53" s="573">
        <v>2242</v>
      </c>
      <c r="H53" s="573">
        <v>2832</v>
      </c>
      <c r="I53" s="573">
        <v>3315</v>
      </c>
      <c r="J53" s="573">
        <v>3822</v>
      </c>
      <c r="K53" s="574">
        <v>4260</v>
      </c>
      <c r="L53" s="1012">
        <v>4467</v>
      </c>
      <c r="M53" s="1012">
        <v>4417</v>
      </c>
      <c r="O53" s="273">
        <f t="shared" si="3"/>
        <v>1.1193194537721066E-2</v>
      </c>
      <c r="P53" s="273">
        <f t="shared" si="4"/>
        <v>4.8591549295774646E-2</v>
      </c>
    </row>
    <row r="54" spans="1:16" ht="15.75">
      <c r="A54" s="566" t="s">
        <v>126</v>
      </c>
      <c r="B54" s="569" t="s">
        <v>127</v>
      </c>
      <c r="C54" s="624" t="s">
        <v>266</v>
      </c>
      <c r="D54" s="573">
        <v>1259</v>
      </c>
      <c r="E54" s="573">
        <v>1362</v>
      </c>
      <c r="F54" s="573">
        <v>1392</v>
      </c>
      <c r="G54" s="573">
        <v>1457</v>
      </c>
      <c r="H54" s="573">
        <v>1795</v>
      </c>
      <c r="I54" s="573">
        <v>2337</v>
      </c>
      <c r="J54" s="573">
        <v>2603</v>
      </c>
      <c r="K54" s="574">
        <v>2831</v>
      </c>
      <c r="L54" s="1012">
        <v>2847</v>
      </c>
      <c r="M54" s="1012">
        <v>2672</v>
      </c>
      <c r="O54" s="273">
        <f t="shared" si="3"/>
        <v>6.1468212153143659E-2</v>
      </c>
      <c r="P54" s="273">
        <f t="shared" si="4"/>
        <v>5.6517131755563403E-3</v>
      </c>
    </row>
    <row r="55" spans="1:16" ht="15.75">
      <c r="A55" s="566" t="s">
        <v>128</v>
      </c>
      <c r="B55" s="569" t="s">
        <v>129</v>
      </c>
      <c r="C55" s="624" t="s">
        <v>266</v>
      </c>
      <c r="D55" s="573">
        <v>1757</v>
      </c>
      <c r="E55" s="573">
        <v>1835</v>
      </c>
      <c r="F55" s="573">
        <v>1717</v>
      </c>
      <c r="G55" s="573">
        <v>1682</v>
      </c>
      <c r="H55" s="573">
        <v>1887</v>
      </c>
      <c r="I55" s="573">
        <v>2164</v>
      </c>
      <c r="J55" s="573">
        <v>2306</v>
      </c>
      <c r="K55" s="574">
        <v>2430</v>
      </c>
      <c r="L55" s="1012">
        <v>2500</v>
      </c>
      <c r="M55" s="1012">
        <v>2362</v>
      </c>
      <c r="O55" s="273">
        <f t="shared" si="3"/>
        <v>5.5199999999999999E-2</v>
      </c>
      <c r="P55" s="273">
        <f t="shared" si="4"/>
        <v>2.8806584362139918E-2</v>
      </c>
    </row>
    <row r="56" spans="1:16" ht="15.75">
      <c r="A56" s="566" t="s">
        <v>130</v>
      </c>
      <c r="B56" s="569" t="s">
        <v>131</v>
      </c>
      <c r="C56" s="624" t="s">
        <v>268</v>
      </c>
      <c r="D56" s="573">
        <v>6577</v>
      </c>
      <c r="E56" s="573">
        <v>6638</v>
      </c>
      <c r="F56" s="573">
        <v>6627</v>
      </c>
      <c r="G56" s="573">
        <v>6715</v>
      </c>
      <c r="H56" s="573">
        <v>7032</v>
      </c>
      <c r="I56" s="573">
        <v>7489</v>
      </c>
      <c r="J56" s="573">
        <v>7843</v>
      </c>
      <c r="K56" s="574">
        <v>8103</v>
      </c>
      <c r="L56" s="1012">
        <v>8338</v>
      </c>
      <c r="M56" s="1012">
        <v>8222</v>
      </c>
      <c r="O56" s="273">
        <f t="shared" si="3"/>
        <v>1.3912209162868793E-2</v>
      </c>
      <c r="P56" s="273">
        <f t="shared" si="4"/>
        <v>2.9001604344070099E-2</v>
      </c>
    </row>
    <row r="57" spans="1:16" ht="15.75">
      <c r="A57" s="566" t="s">
        <v>132</v>
      </c>
      <c r="B57" s="569" t="s">
        <v>133</v>
      </c>
      <c r="C57" s="624" t="s">
        <v>267</v>
      </c>
      <c r="D57" s="573">
        <v>5415</v>
      </c>
      <c r="E57" s="573">
        <v>5994</v>
      </c>
      <c r="F57" s="573">
        <v>6245</v>
      </c>
      <c r="G57" s="573">
        <v>6936</v>
      </c>
      <c r="H57" s="573">
        <v>9274</v>
      </c>
      <c r="I57" s="573">
        <v>12054</v>
      </c>
      <c r="J57" s="573">
        <v>14047</v>
      </c>
      <c r="K57" s="574">
        <v>15346</v>
      </c>
      <c r="L57" s="1012">
        <v>16591</v>
      </c>
      <c r="M57" s="1012">
        <v>16628</v>
      </c>
      <c r="O57" s="273">
        <f t="shared" si="3"/>
        <v>-2.2301247664396361E-3</v>
      </c>
      <c r="P57" s="273">
        <f t="shared" si="4"/>
        <v>8.1128632868499931E-2</v>
      </c>
    </row>
    <row r="58" spans="1:16" ht="15.75">
      <c r="A58" s="566" t="s">
        <v>134</v>
      </c>
      <c r="B58" s="569" t="s">
        <v>135</v>
      </c>
      <c r="C58" s="624" t="s">
        <v>267</v>
      </c>
      <c r="D58" s="573">
        <v>3067</v>
      </c>
      <c r="E58" s="573">
        <v>3288</v>
      </c>
      <c r="F58" s="573">
        <v>3284</v>
      </c>
      <c r="G58" s="573">
        <v>3448</v>
      </c>
      <c r="H58" s="573">
        <v>4394</v>
      </c>
      <c r="I58" s="573">
        <v>5443</v>
      </c>
      <c r="J58" s="573">
        <v>6131</v>
      </c>
      <c r="K58" s="574">
        <v>6446</v>
      </c>
      <c r="L58" s="1012">
        <v>6825</v>
      </c>
      <c r="M58" s="1012">
        <v>6696</v>
      </c>
      <c r="O58" s="273">
        <f t="shared" si="3"/>
        <v>1.8901098901098902E-2</v>
      </c>
      <c r="P58" s="273">
        <f t="shared" si="4"/>
        <v>5.8796152652807944E-2</v>
      </c>
    </row>
    <row r="59" spans="1:16" ht="15.75">
      <c r="A59" s="566" t="s">
        <v>136</v>
      </c>
      <c r="B59" s="569" t="s">
        <v>137</v>
      </c>
      <c r="C59" s="624" t="s">
        <v>266</v>
      </c>
      <c r="D59" s="573">
        <v>2340</v>
      </c>
      <c r="E59" s="573">
        <v>2500</v>
      </c>
      <c r="F59" s="573">
        <v>2477</v>
      </c>
      <c r="G59" s="573">
        <v>2636</v>
      </c>
      <c r="H59" s="573">
        <v>2906</v>
      </c>
      <c r="I59" s="573">
        <v>3282</v>
      </c>
      <c r="J59" s="573">
        <v>3460</v>
      </c>
      <c r="K59" s="574">
        <v>3575</v>
      </c>
      <c r="L59" s="1012">
        <v>3562</v>
      </c>
      <c r="M59" s="1012">
        <v>3523</v>
      </c>
      <c r="O59" s="273">
        <f t="shared" si="3"/>
        <v>1.0948905109489052E-2</v>
      </c>
      <c r="P59" s="273">
        <f t="shared" si="4"/>
        <v>-3.6363636363636364E-3</v>
      </c>
    </row>
    <row r="60" spans="1:16" ht="15.75">
      <c r="A60" s="566" t="s">
        <v>140</v>
      </c>
      <c r="B60" s="569" t="s">
        <v>141</v>
      </c>
      <c r="C60" s="624" t="s">
        <v>267</v>
      </c>
      <c r="D60" s="573">
        <v>1043</v>
      </c>
      <c r="E60" s="573">
        <v>1023</v>
      </c>
      <c r="F60" s="573">
        <v>1067</v>
      </c>
      <c r="G60" s="573">
        <v>1191</v>
      </c>
      <c r="H60" s="573">
        <v>1572</v>
      </c>
      <c r="I60" s="573">
        <v>1991</v>
      </c>
      <c r="J60" s="573">
        <v>2203</v>
      </c>
      <c r="K60" s="574">
        <v>2360</v>
      </c>
      <c r="L60" s="1012">
        <v>2566</v>
      </c>
      <c r="M60" s="1012">
        <v>2452</v>
      </c>
      <c r="O60" s="273">
        <f t="shared" si="3"/>
        <v>4.4427123928293066E-2</v>
      </c>
      <c r="P60" s="273">
        <f t="shared" si="4"/>
        <v>8.7288135593220337E-2</v>
      </c>
    </row>
    <row r="61" spans="1:16" ht="15.75">
      <c r="A61" s="566" t="s">
        <v>146</v>
      </c>
      <c r="B61" s="569" t="s">
        <v>147</v>
      </c>
      <c r="C61" s="624" t="s">
        <v>264</v>
      </c>
      <c r="D61" s="573">
        <v>839</v>
      </c>
      <c r="E61" s="573">
        <v>889</v>
      </c>
      <c r="F61" s="573">
        <v>881</v>
      </c>
      <c r="G61" s="573">
        <v>918</v>
      </c>
      <c r="H61" s="573">
        <v>1057</v>
      </c>
      <c r="I61" s="573">
        <v>1286</v>
      </c>
      <c r="J61" s="573">
        <v>1413</v>
      </c>
      <c r="K61" s="574">
        <v>1458</v>
      </c>
      <c r="L61" s="1012">
        <v>1524</v>
      </c>
      <c r="M61" s="1012">
        <v>1435</v>
      </c>
      <c r="O61" s="273">
        <f t="shared" si="3"/>
        <v>5.8398950131233598E-2</v>
      </c>
      <c r="P61" s="273">
        <f t="shared" si="4"/>
        <v>4.5267489711934158E-2</v>
      </c>
    </row>
    <row r="62" spans="1:16" ht="15.75">
      <c r="A62" s="566" t="s">
        <v>148</v>
      </c>
      <c r="B62" s="569" t="s">
        <v>149</v>
      </c>
      <c r="C62" s="624" t="s">
        <v>265</v>
      </c>
      <c r="D62" s="573">
        <v>4961</v>
      </c>
      <c r="E62" s="573">
        <v>5123</v>
      </c>
      <c r="F62" s="573">
        <v>5061</v>
      </c>
      <c r="G62" s="573">
        <v>5189</v>
      </c>
      <c r="H62" s="573">
        <v>5792</v>
      </c>
      <c r="I62" s="573">
        <v>6849</v>
      </c>
      <c r="J62" s="573">
        <v>7227</v>
      </c>
      <c r="K62" s="574">
        <v>7611</v>
      </c>
      <c r="L62" s="1012">
        <v>7939</v>
      </c>
      <c r="M62" s="1012">
        <v>7635</v>
      </c>
      <c r="O62" s="273">
        <f t="shared" si="3"/>
        <v>3.8291976319435699E-2</v>
      </c>
      <c r="P62" s="273">
        <f t="shared" si="4"/>
        <v>4.3095519642622523E-2</v>
      </c>
    </row>
    <row r="63" spans="1:16" ht="15.75">
      <c r="A63" s="566" t="s">
        <v>150</v>
      </c>
      <c r="B63" s="569" t="s">
        <v>151</v>
      </c>
      <c r="C63" s="624" t="s">
        <v>266</v>
      </c>
      <c r="D63" s="573">
        <v>1263</v>
      </c>
      <c r="E63" s="573">
        <v>1345</v>
      </c>
      <c r="F63" s="573">
        <v>1301</v>
      </c>
      <c r="G63" s="573">
        <v>1324</v>
      </c>
      <c r="H63" s="573">
        <v>1549</v>
      </c>
      <c r="I63" s="573">
        <v>1867</v>
      </c>
      <c r="J63" s="573">
        <v>2041</v>
      </c>
      <c r="K63" s="574">
        <v>2294</v>
      </c>
      <c r="L63" s="1012">
        <v>2363</v>
      </c>
      <c r="M63" s="1012">
        <v>2299</v>
      </c>
      <c r="O63" s="273">
        <f t="shared" si="3"/>
        <v>2.7084214980956412E-2</v>
      </c>
      <c r="P63" s="273">
        <f t="shared" si="4"/>
        <v>3.007846556233653E-2</v>
      </c>
    </row>
    <row r="64" spans="1:16" ht="15.75">
      <c r="A64" s="566" t="s">
        <v>152</v>
      </c>
      <c r="B64" s="569" t="s">
        <v>153</v>
      </c>
      <c r="C64" s="624" t="s">
        <v>268</v>
      </c>
      <c r="D64" s="573">
        <v>7069</v>
      </c>
      <c r="E64" s="573">
        <v>7516</v>
      </c>
      <c r="F64" s="573">
        <v>7813</v>
      </c>
      <c r="G64" s="573">
        <v>8317</v>
      </c>
      <c r="H64" s="573">
        <v>9107</v>
      </c>
      <c r="I64" s="573">
        <v>10238</v>
      </c>
      <c r="J64" s="573">
        <v>10993</v>
      </c>
      <c r="K64" s="574">
        <v>11445</v>
      </c>
      <c r="L64" s="1012">
        <v>11861</v>
      </c>
      <c r="M64" s="1012">
        <v>11199</v>
      </c>
      <c r="O64" s="273">
        <f t="shared" si="3"/>
        <v>5.5813169210016021E-2</v>
      </c>
      <c r="P64" s="273">
        <f t="shared" si="4"/>
        <v>3.6347750109218001E-2</v>
      </c>
    </row>
    <row r="65" spans="1:16" ht="15.75">
      <c r="A65" s="566" t="s">
        <v>154</v>
      </c>
      <c r="B65" s="569" t="s">
        <v>155</v>
      </c>
      <c r="C65" s="624" t="s">
        <v>265</v>
      </c>
      <c r="D65" s="573">
        <v>1493</v>
      </c>
      <c r="E65" s="573">
        <v>1609</v>
      </c>
      <c r="F65" s="573">
        <v>1895</v>
      </c>
      <c r="G65" s="573">
        <v>2047</v>
      </c>
      <c r="H65" s="573">
        <v>2516</v>
      </c>
      <c r="I65" s="573">
        <v>2912</v>
      </c>
      <c r="J65" s="573">
        <v>3081</v>
      </c>
      <c r="K65" s="574">
        <v>3318</v>
      </c>
      <c r="L65" s="1012">
        <v>3409</v>
      </c>
      <c r="M65" s="1012">
        <v>3290</v>
      </c>
      <c r="O65" s="273">
        <f t="shared" si="3"/>
        <v>3.4907597535934289E-2</v>
      </c>
      <c r="P65" s="273">
        <f t="shared" si="4"/>
        <v>2.7426160337552744E-2</v>
      </c>
    </row>
    <row r="66" spans="1:16" ht="15.75">
      <c r="A66" s="566" t="s">
        <v>156</v>
      </c>
      <c r="B66" s="569" t="s">
        <v>157</v>
      </c>
      <c r="C66" s="624" t="s">
        <v>266</v>
      </c>
      <c r="D66" s="573">
        <v>791</v>
      </c>
      <c r="E66" s="573">
        <v>819</v>
      </c>
      <c r="F66" s="573">
        <v>772</v>
      </c>
      <c r="G66" s="573">
        <v>898</v>
      </c>
      <c r="H66" s="573">
        <v>1097</v>
      </c>
      <c r="I66" s="573">
        <v>1427</v>
      </c>
      <c r="J66" s="573">
        <v>1722</v>
      </c>
      <c r="K66" s="574">
        <v>1932</v>
      </c>
      <c r="L66" s="1012">
        <v>1969</v>
      </c>
      <c r="M66" s="1012">
        <v>1872</v>
      </c>
      <c r="O66" s="273">
        <f t="shared" si="3"/>
        <v>4.9263585576434739E-2</v>
      </c>
      <c r="P66" s="273">
        <f t="shared" si="4"/>
        <v>1.9151138716356108E-2</v>
      </c>
    </row>
    <row r="67" spans="1:16" ht="15.75">
      <c r="A67" s="566" t="s">
        <v>162</v>
      </c>
      <c r="B67" s="569" t="s">
        <v>163</v>
      </c>
      <c r="C67" s="624" t="s">
        <v>264</v>
      </c>
      <c r="D67" s="573">
        <v>2991</v>
      </c>
      <c r="E67" s="573">
        <v>3211</v>
      </c>
      <c r="F67" s="573">
        <v>3193</v>
      </c>
      <c r="G67" s="573">
        <v>3131</v>
      </c>
      <c r="H67" s="573">
        <v>3392</v>
      </c>
      <c r="I67" s="573">
        <v>3682</v>
      </c>
      <c r="J67" s="573">
        <v>4028</v>
      </c>
      <c r="K67" s="574">
        <v>4062</v>
      </c>
      <c r="L67" s="1012">
        <v>4139</v>
      </c>
      <c r="M67" s="1012">
        <v>3992</v>
      </c>
      <c r="O67" s="273">
        <f t="shared" si="3"/>
        <v>3.5515825078521385E-2</v>
      </c>
      <c r="P67" s="273">
        <f t="shared" si="4"/>
        <v>1.8956179222058101E-2</v>
      </c>
    </row>
    <row r="68" spans="1:16" ht="15.75">
      <c r="A68" s="566" t="s">
        <v>164</v>
      </c>
      <c r="B68" s="569" t="s">
        <v>165</v>
      </c>
      <c r="C68" s="624" t="s">
        <v>266</v>
      </c>
      <c r="D68" s="573">
        <v>1609</v>
      </c>
      <c r="E68" s="573">
        <v>1582</v>
      </c>
      <c r="F68" s="573">
        <v>1580</v>
      </c>
      <c r="G68" s="573">
        <v>1609</v>
      </c>
      <c r="H68" s="573">
        <v>1759</v>
      </c>
      <c r="I68" s="573">
        <v>2043</v>
      </c>
      <c r="J68" s="573">
        <v>2243</v>
      </c>
      <c r="K68" s="574">
        <v>2371</v>
      </c>
      <c r="L68" s="1012">
        <v>2611</v>
      </c>
      <c r="M68" s="1012">
        <v>2574</v>
      </c>
      <c r="O68" s="273">
        <f t="shared" si="3"/>
        <v>1.4170815779394868E-2</v>
      </c>
      <c r="P68" s="273">
        <f t="shared" si="4"/>
        <v>0.10122311261071278</v>
      </c>
    </row>
    <row r="69" spans="1:16" ht="15.75">
      <c r="A69" s="566" t="s">
        <v>168</v>
      </c>
      <c r="B69" s="569" t="s">
        <v>169</v>
      </c>
      <c r="C69" s="624" t="s">
        <v>266</v>
      </c>
      <c r="D69" s="573">
        <v>2913</v>
      </c>
      <c r="E69" s="573">
        <v>3042</v>
      </c>
      <c r="F69" s="573">
        <v>3026</v>
      </c>
      <c r="G69" s="573">
        <v>3238</v>
      </c>
      <c r="H69" s="573">
        <v>3771</v>
      </c>
      <c r="I69" s="573">
        <v>4257</v>
      </c>
      <c r="J69" s="573">
        <v>4696</v>
      </c>
      <c r="K69" s="574">
        <v>5003</v>
      </c>
      <c r="L69" s="1012">
        <v>5060</v>
      </c>
      <c r="M69" s="1012">
        <v>4992</v>
      </c>
      <c r="O69" s="273">
        <f t="shared" ref="O69:O100" si="5">(L69-M69)/L69</f>
        <v>1.3438735177865613E-2</v>
      </c>
      <c r="P69" s="273">
        <f t="shared" ref="P69:P100" si="6">(L69-K69)/K69</f>
        <v>1.1393164101539077E-2</v>
      </c>
    </row>
    <row r="70" spans="1:16" ht="15.75">
      <c r="A70" s="566" t="s">
        <v>170</v>
      </c>
      <c r="B70" s="569" t="s">
        <v>171</v>
      </c>
      <c r="C70" s="624" t="s">
        <v>267</v>
      </c>
      <c r="D70" s="573">
        <v>2459</v>
      </c>
      <c r="E70" s="573">
        <v>2480</v>
      </c>
      <c r="F70" s="573">
        <v>2549</v>
      </c>
      <c r="G70" s="573">
        <v>2966</v>
      </c>
      <c r="H70" s="573">
        <v>3782</v>
      </c>
      <c r="I70" s="573">
        <v>4511</v>
      </c>
      <c r="J70" s="573">
        <v>4983</v>
      </c>
      <c r="K70" s="574">
        <v>5279</v>
      </c>
      <c r="L70" s="1012">
        <v>5384</v>
      </c>
      <c r="M70" s="1012">
        <v>5248</v>
      </c>
      <c r="O70" s="273">
        <f t="shared" si="5"/>
        <v>2.5260029717682021E-2</v>
      </c>
      <c r="P70" s="273">
        <f t="shared" si="6"/>
        <v>1.9890130706573216E-2</v>
      </c>
    </row>
    <row r="71" spans="1:16" ht="15.75">
      <c r="A71" s="566" t="s">
        <v>172</v>
      </c>
      <c r="B71" s="569" t="s">
        <v>173</v>
      </c>
      <c r="C71" s="624" t="s">
        <v>267</v>
      </c>
      <c r="D71" s="573">
        <v>2891</v>
      </c>
      <c r="E71" s="573">
        <v>3166</v>
      </c>
      <c r="F71" s="573">
        <v>3418</v>
      </c>
      <c r="G71" s="573">
        <v>3698</v>
      </c>
      <c r="H71" s="573">
        <v>4426</v>
      </c>
      <c r="I71" s="573">
        <v>5111</v>
      </c>
      <c r="J71" s="573">
        <v>5336</v>
      </c>
      <c r="K71" s="574">
        <v>5652</v>
      </c>
      <c r="L71" s="1012">
        <v>5766</v>
      </c>
      <c r="M71" s="1012">
        <v>5558</v>
      </c>
      <c r="O71" s="273">
        <f t="shared" si="5"/>
        <v>3.6073534512660425E-2</v>
      </c>
      <c r="P71" s="273">
        <f t="shared" si="6"/>
        <v>2.0169851380042462E-2</v>
      </c>
    </row>
    <row r="72" spans="1:16" ht="15.75">
      <c r="A72" s="566" t="s">
        <v>174</v>
      </c>
      <c r="B72" s="569" t="s">
        <v>175</v>
      </c>
      <c r="C72" s="624" t="s">
        <v>268</v>
      </c>
      <c r="D72" s="573">
        <v>3537</v>
      </c>
      <c r="E72" s="573">
        <v>3620</v>
      </c>
      <c r="F72" s="573">
        <v>3705</v>
      </c>
      <c r="G72" s="573">
        <v>3966</v>
      </c>
      <c r="H72" s="573">
        <v>4407</v>
      </c>
      <c r="I72" s="573">
        <v>4742</v>
      </c>
      <c r="J72" s="573">
        <v>4999</v>
      </c>
      <c r="K72" s="574">
        <v>5094</v>
      </c>
      <c r="L72" s="1012">
        <v>4929</v>
      </c>
      <c r="M72" s="1012">
        <v>4566</v>
      </c>
      <c r="O72" s="273">
        <f t="shared" si="5"/>
        <v>7.3645769933049304E-2</v>
      </c>
      <c r="P72" s="273">
        <f t="shared" si="6"/>
        <v>-3.2391048292108364E-2</v>
      </c>
    </row>
    <row r="73" spans="1:16" ht="15.75">
      <c r="A73" s="566" t="s">
        <v>178</v>
      </c>
      <c r="B73" s="569" t="s">
        <v>179</v>
      </c>
      <c r="C73" s="624" t="s">
        <v>265</v>
      </c>
      <c r="D73" s="573">
        <v>8896</v>
      </c>
      <c r="E73" s="573">
        <v>9645</v>
      </c>
      <c r="F73" s="573">
        <v>10085</v>
      </c>
      <c r="G73" s="573">
        <v>10607</v>
      </c>
      <c r="H73" s="573">
        <v>11901</v>
      </c>
      <c r="I73" s="573">
        <v>13191</v>
      </c>
      <c r="J73" s="573">
        <v>13999</v>
      </c>
      <c r="K73" s="574">
        <v>14314</v>
      </c>
      <c r="L73" s="1012">
        <v>14682</v>
      </c>
      <c r="M73" s="1012">
        <v>14498</v>
      </c>
      <c r="O73" s="273">
        <f t="shared" si="5"/>
        <v>1.2532352540525813E-2</v>
      </c>
      <c r="P73" s="273">
        <f t="shared" si="6"/>
        <v>2.5709095989939919E-2</v>
      </c>
    </row>
    <row r="74" spans="1:16" ht="15.75">
      <c r="A74" s="566" t="s">
        <v>182</v>
      </c>
      <c r="B74" s="569" t="s">
        <v>183</v>
      </c>
      <c r="C74" s="624" t="s">
        <v>266</v>
      </c>
      <c r="D74" s="573">
        <v>903</v>
      </c>
      <c r="E74" s="573">
        <v>932</v>
      </c>
      <c r="F74" s="573">
        <v>1049</v>
      </c>
      <c r="G74" s="573">
        <v>1120</v>
      </c>
      <c r="H74" s="573">
        <v>1409</v>
      </c>
      <c r="I74" s="573">
        <v>1829</v>
      </c>
      <c r="J74" s="573">
        <v>2061</v>
      </c>
      <c r="K74" s="574">
        <v>2295</v>
      </c>
      <c r="L74" s="1012">
        <v>2354</v>
      </c>
      <c r="M74" s="1012">
        <v>2244</v>
      </c>
      <c r="O74" s="273">
        <f t="shared" si="5"/>
        <v>4.6728971962616821E-2</v>
      </c>
      <c r="P74" s="273">
        <f t="shared" si="6"/>
        <v>2.570806100217865E-2</v>
      </c>
    </row>
    <row r="75" spans="1:16" ht="15.75">
      <c r="A75" s="566" t="s">
        <v>184</v>
      </c>
      <c r="B75" s="569" t="s">
        <v>185</v>
      </c>
      <c r="C75" s="624" t="s">
        <v>266</v>
      </c>
      <c r="D75" s="573">
        <v>3363</v>
      </c>
      <c r="E75" s="573">
        <v>3633</v>
      </c>
      <c r="F75" s="573">
        <v>3631</v>
      </c>
      <c r="G75" s="573">
        <v>3814</v>
      </c>
      <c r="H75" s="573">
        <v>4162</v>
      </c>
      <c r="I75" s="573">
        <v>4684</v>
      </c>
      <c r="J75" s="573">
        <v>5034</v>
      </c>
      <c r="K75" s="574">
        <v>5286</v>
      </c>
      <c r="L75" s="1012">
        <v>5421</v>
      </c>
      <c r="M75" s="1012">
        <v>5208</v>
      </c>
      <c r="O75" s="273">
        <f t="shared" si="5"/>
        <v>3.9291643608190374E-2</v>
      </c>
      <c r="P75" s="273">
        <f t="shared" si="6"/>
        <v>2.553916004540295E-2</v>
      </c>
    </row>
    <row r="76" spans="1:16" ht="15.75">
      <c r="A76" s="566" t="s">
        <v>186</v>
      </c>
      <c r="B76" s="569" t="s">
        <v>187</v>
      </c>
      <c r="C76" s="624" t="s">
        <v>264</v>
      </c>
      <c r="D76" s="573">
        <v>2279</v>
      </c>
      <c r="E76" s="573">
        <v>2452</v>
      </c>
      <c r="F76" s="573">
        <v>2648</v>
      </c>
      <c r="G76" s="573">
        <v>2805</v>
      </c>
      <c r="H76" s="573">
        <v>3044</v>
      </c>
      <c r="I76" s="573">
        <v>3637</v>
      </c>
      <c r="J76" s="573">
        <v>4023</v>
      </c>
      <c r="K76" s="574">
        <v>4340</v>
      </c>
      <c r="L76" s="1012">
        <v>4688</v>
      </c>
      <c r="M76" s="1012">
        <v>4725</v>
      </c>
      <c r="O76" s="273">
        <f t="shared" si="5"/>
        <v>-7.8924914675767913E-3</v>
      </c>
      <c r="P76" s="273">
        <f t="shared" si="6"/>
        <v>8.0184331797235026E-2</v>
      </c>
    </row>
    <row r="77" spans="1:16" ht="15.75">
      <c r="A77" s="566" t="s">
        <v>188</v>
      </c>
      <c r="B77" s="569" t="s">
        <v>189</v>
      </c>
      <c r="C77" s="624" t="s">
        <v>267</v>
      </c>
      <c r="D77" s="573">
        <v>18234</v>
      </c>
      <c r="E77" s="573">
        <v>20079</v>
      </c>
      <c r="F77" s="573">
        <v>21242</v>
      </c>
      <c r="G77" s="573">
        <v>23240</v>
      </c>
      <c r="H77" s="573">
        <v>29717</v>
      </c>
      <c r="I77" s="573">
        <v>37357</v>
      </c>
      <c r="J77" s="573">
        <v>42476</v>
      </c>
      <c r="K77" s="574">
        <v>46591</v>
      </c>
      <c r="L77" s="1012">
        <v>49867</v>
      </c>
      <c r="M77" s="1012">
        <v>48721</v>
      </c>
      <c r="O77" s="273">
        <f t="shared" si="5"/>
        <v>2.2981129805282049E-2</v>
      </c>
      <c r="P77" s="273">
        <f t="shared" si="6"/>
        <v>7.0314009143396791E-2</v>
      </c>
    </row>
    <row r="78" spans="1:16" ht="15.75">
      <c r="A78" s="566" t="s">
        <v>190</v>
      </c>
      <c r="B78" s="569" t="s">
        <v>191</v>
      </c>
      <c r="C78" s="624" t="s">
        <v>268</v>
      </c>
      <c r="D78" s="573">
        <v>5607</v>
      </c>
      <c r="E78" s="573">
        <v>5931</v>
      </c>
      <c r="F78" s="573">
        <v>6074</v>
      </c>
      <c r="G78" s="573">
        <v>6296</v>
      </c>
      <c r="H78" s="573">
        <v>7096</v>
      </c>
      <c r="I78" s="573">
        <v>8075</v>
      </c>
      <c r="J78" s="573">
        <v>8499</v>
      </c>
      <c r="K78" s="574">
        <v>8385</v>
      </c>
      <c r="L78" s="1012">
        <v>8521</v>
      </c>
      <c r="M78" s="1012">
        <v>8309</v>
      </c>
      <c r="O78" s="273">
        <f t="shared" si="5"/>
        <v>2.487970895434808E-2</v>
      </c>
      <c r="P78" s="273">
        <f t="shared" si="6"/>
        <v>1.6219439475253429E-2</v>
      </c>
    </row>
    <row r="79" spans="1:16" ht="15.75">
      <c r="A79" s="566" t="s">
        <v>194</v>
      </c>
      <c r="B79" s="569" t="s">
        <v>195</v>
      </c>
      <c r="C79" s="624" t="s">
        <v>267</v>
      </c>
      <c r="D79" s="573">
        <v>288</v>
      </c>
      <c r="E79" s="573">
        <v>339</v>
      </c>
      <c r="F79" s="573">
        <v>355</v>
      </c>
      <c r="G79" s="573">
        <v>407</v>
      </c>
      <c r="H79" s="573">
        <v>583</v>
      </c>
      <c r="I79" s="573">
        <v>706</v>
      </c>
      <c r="J79" s="573">
        <v>793</v>
      </c>
      <c r="K79" s="574">
        <v>894</v>
      </c>
      <c r="L79" s="1012">
        <v>797</v>
      </c>
      <c r="M79" s="1012">
        <v>750</v>
      </c>
      <c r="O79" s="273">
        <f t="shared" si="5"/>
        <v>5.8971141781681308E-2</v>
      </c>
      <c r="P79" s="273">
        <f t="shared" si="6"/>
        <v>-0.10850111856823266</v>
      </c>
    </row>
    <row r="80" spans="1:16" ht="15.75">
      <c r="A80" s="566" t="s">
        <v>198</v>
      </c>
      <c r="B80" s="569" t="s">
        <v>272</v>
      </c>
      <c r="C80" s="624" t="s">
        <v>266</v>
      </c>
      <c r="D80" s="573">
        <v>1300</v>
      </c>
      <c r="E80" s="573">
        <v>1399</v>
      </c>
      <c r="F80" s="573">
        <v>1351</v>
      </c>
      <c r="G80" s="573">
        <v>1395</v>
      </c>
      <c r="H80" s="573">
        <v>1642</v>
      </c>
      <c r="I80" s="573">
        <v>1911</v>
      </c>
      <c r="J80" s="573">
        <v>2044</v>
      </c>
      <c r="K80" s="574">
        <v>2144</v>
      </c>
      <c r="L80" s="1012">
        <v>2218</v>
      </c>
      <c r="M80" s="1012">
        <v>2195</v>
      </c>
      <c r="O80" s="273">
        <f t="shared" si="5"/>
        <v>1.0369702434625788E-2</v>
      </c>
      <c r="P80" s="273">
        <f t="shared" si="6"/>
        <v>3.4514925373134331E-2</v>
      </c>
    </row>
    <row r="81" spans="1:16" ht="15.75">
      <c r="A81" s="566" t="s">
        <v>202</v>
      </c>
      <c r="B81" s="569" t="s">
        <v>301</v>
      </c>
      <c r="C81" s="624" t="s">
        <v>265</v>
      </c>
      <c r="D81" s="573">
        <v>6822</v>
      </c>
      <c r="E81" s="573">
        <v>7586</v>
      </c>
      <c r="F81" s="573">
        <v>7840</v>
      </c>
      <c r="G81" s="573">
        <v>7974</v>
      </c>
      <c r="H81" s="573">
        <v>9054</v>
      </c>
      <c r="I81" s="573">
        <v>11142</v>
      </c>
      <c r="J81" s="573">
        <v>12248</v>
      </c>
      <c r="K81" s="574">
        <v>12726</v>
      </c>
      <c r="L81" s="1012">
        <v>13189</v>
      </c>
      <c r="M81" s="1012">
        <v>12926</v>
      </c>
      <c r="O81" s="273">
        <f t="shared" si="5"/>
        <v>1.9940859807415272E-2</v>
      </c>
      <c r="P81" s="273">
        <f t="shared" si="6"/>
        <v>3.6382209649536382E-2</v>
      </c>
    </row>
    <row r="82" spans="1:16" ht="15.75">
      <c r="A82" s="566" t="s">
        <v>204</v>
      </c>
      <c r="B82" s="569" t="s">
        <v>293</v>
      </c>
      <c r="C82" s="624" t="s">
        <v>265</v>
      </c>
      <c r="D82" s="573">
        <v>3053</v>
      </c>
      <c r="E82" s="573">
        <v>3199</v>
      </c>
      <c r="F82" s="573">
        <v>3305</v>
      </c>
      <c r="G82" s="573">
        <v>3568</v>
      </c>
      <c r="H82" s="573">
        <v>4480</v>
      </c>
      <c r="I82" s="573">
        <v>5243</v>
      </c>
      <c r="J82" s="573">
        <v>5700</v>
      </c>
      <c r="K82" s="574">
        <v>5967</v>
      </c>
      <c r="L82" s="1012">
        <v>6522</v>
      </c>
      <c r="M82" s="1012">
        <v>6176</v>
      </c>
      <c r="O82" s="1682">
        <f t="shared" si="5"/>
        <v>5.3051211284881938E-2</v>
      </c>
      <c r="P82" s="1682">
        <f t="shared" si="6"/>
        <v>9.3011563599798897E-2</v>
      </c>
    </row>
    <row r="83" spans="1:16" ht="15.75">
      <c r="A83" s="566" t="s">
        <v>206</v>
      </c>
      <c r="B83" s="569" t="s">
        <v>294</v>
      </c>
      <c r="C83" s="624" t="s">
        <v>267</v>
      </c>
      <c r="D83" s="573">
        <v>10200</v>
      </c>
      <c r="E83" s="573">
        <v>10962</v>
      </c>
      <c r="F83" s="573">
        <v>11116</v>
      </c>
      <c r="G83" s="573">
        <v>11547</v>
      </c>
      <c r="H83" s="573">
        <v>13415</v>
      </c>
      <c r="I83" s="573">
        <v>16262</v>
      </c>
      <c r="J83" s="573">
        <v>18232</v>
      </c>
      <c r="K83" s="574">
        <v>19010</v>
      </c>
      <c r="L83" s="1012">
        <v>20329</v>
      </c>
      <c r="M83" s="1012">
        <v>18812</v>
      </c>
      <c r="O83" s="1682">
        <f t="shared" si="5"/>
        <v>7.4622460524374046E-2</v>
      </c>
      <c r="P83" s="1682">
        <f t="shared" si="6"/>
        <v>6.9384534455549707E-2</v>
      </c>
    </row>
    <row r="84" spans="1:16" ht="15.75">
      <c r="A84" s="566" t="s">
        <v>208</v>
      </c>
      <c r="B84" s="569" t="s">
        <v>209</v>
      </c>
      <c r="C84" s="624" t="s">
        <v>268</v>
      </c>
      <c r="D84" s="573">
        <v>6442</v>
      </c>
      <c r="E84" s="573">
        <v>6448</v>
      </c>
      <c r="F84" s="573">
        <v>6597</v>
      </c>
      <c r="G84" s="573">
        <v>6759</v>
      </c>
      <c r="H84" s="573">
        <v>7059</v>
      </c>
      <c r="I84" s="573">
        <v>7694</v>
      </c>
      <c r="J84" s="573">
        <v>7896</v>
      </c>
      <c r="K84" s="574">
        <v>7958</v>
      </c>
      <c r="L84" s="1012">
        <v>8237</v>
      </c>
      <c r="M84" s="1012">
        <v>8253</v>
      </c>
      <c r="O84" s="273">
        <f t="shared" si="5"/>
        <v>-1.9424547772247177E-3</v>
      </c>
      <c r="P84" s="273">
        <f t="shared" si="6"/>
        <v>3.5059060065343053E-2</v>
      </c>
    </row>
    <row r="85" spans="1:16" ht="15.75">
      <c r="A85" s="566" t="s">
        <v>210</v>
      </c>
      <c r="B85" s="569" t="s">
        <v>211</v>
      </c>
      <c r="C85" s="624" t="s">
        <v>268</v>
      </c>
      <c r="D85" s="573">
        <v>3591</v>
      </c>
      <c r="E85" s="573">
        <v>3779</v>
      </c>
      <c r="F85" s="573">
        <v>3886</v>
      </c>
      <c r="G85" s="573">
        <v>3856</v>
      </c>
      <c r="H85" s="573">
        <v>4327</v>
      </c>
      <c r="I85" s="573">
        <v>4929</v>
      </c>
      <c r="J85" s="573">
        <v>5312</v>
      </c>
      <c r="K85" s="574">
        <v>5580</v>
      </c>
      <c r="L85" s="1012">
        <v>5790</v>
      </c>
      <c r="M85" s="1012">
        <v>5664</v>
      </c>
      <c r="O85" s="273">
        <f t="shared" si="5"/>
        <v>2.1761658031088083E-2</v>
      </c>
      <c r="P85" s="273">
        <f t="shared" si="6"/>
        <v>3.7634408602150539E-2</v>
      </c>
    </row>
    <row r="86" spans="1:16" ht="15.75">
      <c r="A86" s="566" t="s">
        <v>212</v>
      </c>
      <c r="B86" s="569" t="s">
        <v>213</v>
      </c>
      <c r="C86" s="624" t="s">
        <v>267</v>
      </c>
      <c r="D86" s="573">
        <v>3450</v>
      </c>
      <c r="E86" s="573">
        <v>3711</v>
      </c>
      <c r="F86" s="573">
        <v>3919</v>
      </c>
      <c r="G86" s="573">
        <v>4544</v>
      </c>
      <c r="H86" s="573">
        <v>5893</v>
      </c>
      <c r="I86" s="573">
        <v>7133</v>
      </c>
      <c r="J86" s="573">
        <v>7536</v>
      </c>
      <c r="K86" s="574">
        <v>8245</v>
      </c>
      <c r="L86" s="1012">
        <v>8511</v>
      </c>
      <c r="M86" s="1012">
        <v>8165</v>
      </c>
      <c r="O86" s="273">
        <f t="shared" si="5"/>
        <v>4.0653272235929974E-2</v>
      </c>
      <c r="P86" s="273">
        <f t="shared" si="6"/>
        <v>3.2261976955730749E-2</v>
      </c>
    </row>
    <row r="87" spans="1:16" ht="15.75">
      <c r="A87" s="566" t="s">
        <v>214</v>
      </c>
      <c r="B87" s="569" t="s">
        <v>215</v>
      </c>
      <c r="C87" s="624" t="s">
        <v>268</v>
      </c>
      <c r="D87" s="573">
        <v>5860</v>
      </c>
      <c r="E87" s="573">
        <v>6278</v>
      </c>
      <c r="F87" s="573">
        <v>6640</v>
      </c>
      <c r="G87" s="573">
        <v>7005</v>
      </c>
      <c r="H87" s="573">
        <v>7745</v>
      </c>
      <c r="I87" s="573">
        <v>8433</v>
      </c>
      <c r="J87" s="573">
        <v>8932</v>
      </c>
      <c r="K87" s="574">
        <v>9201</v>
      </c>
      <c r="L87" s="1012">
        <v>9350</v>
      </c>
      <c r="M87" s="1012">
        <v>8924</v>
      </c>
      <c r="O87" s="273">
        <f t="shared" si="5"/>
        <v>4.556149732620321E-2</v>
      </c>
      <c r="P87" s="273">
        <f t="shared" si="6"/>
        <v>1.6193891968264318E-2</v>
      </c>
    </row>
    <row r="88" spans="1:16" ht="15.75">
      <c r="A88" s="566" t="s">
        <v>216</v>
      </c>
      <c r="B88" s="569" t="s">
        <v>217</v>
      </c>
      <c r="C88" s="624" t="s">
        <v>264</v>
      </c>
      <c r="D88" s="573">
        <v>2811</v>
      </c>
      <c r="E88" s="573">
        <v>3041</v>
      </c>
      <c r="F88" s="573">
        <v>3172</v>
      </c>
      <c r="G88" s="573">
        <v>3318</v>
      </c>
      <c r="H88" s="573">
        <v>3549</v>
      </c>
      <c r="I88" s="573">
        <v>3784</v>
      </c>
      <c r="J88" s="573">
        <v>3972</v>
      </c>
      <c r="K88" s="574">
        <v>4294</v>
      </c>
      <c r="L88" s="1012">
        <v>4406</v>
      </c>
      <c r="M88" s="1012">
        <v>4273</v>
      </c>
      <c r="O88" s="273">
        <f t="shared" si="5"/>
        <v>3.0186109850204267E-2</v>
      </c>
      <c r="P88" s="273">
        <f t="shared" si="6"/>
        <v>2.6082906380996741E-2</v>
      </c>
    </row>
    <row r="89" spans="1:16" ht="15.75">
      <c r="A89" s="566" t="s">
        <v>218</v>
      </c>
      <c r="B89" s="569" t="s">
        <v>219</v>
      </c>
      <c r="C89" s="624" t="s">
        <v>267</v>
      </c>
      <c r="D89" s="573">
        <v>6868</v>
      </c>
      <c r="E89" s="573">
        <v>7494</v>
      </c>
      <c r="F89" s="573">
        <v>8348</v>
      </c>
      <c r="G89" s="573">
        <v>9931</v>
      </c>
      <c r="H89" s="573">
        <v>12903</v>
      </c>
      <c r="I89" s="573">
        <v>15463</v>
      </c>
      <c r="J89" s="573">
        <v>17402</v>
      </c>
      <c r="K89" s="574">
        <v>18439</v>
      </c>
      <c r="L89" s="1012">
        <v>19075</v>
      </c>
      <c r="M89" s="1012">
        <v>18892</v>
      </c>
      <c r="O89" s="273">
        <f t="shared" si="5"/>
        <v>9.5937090432503275E-3</v>
      </c>
      <c r="P89" s="273">
        <f t="shared" si="6"/>
        <v>3.4492109116546453E-2</v>
      </c>
    </row>
    <row r="90" spans="1:16" ht="15.75">
      <c r="A90" s="566" t="s">
        <v>220</v>
      </c>
      <c r="B90" s="569" t="s">
        <v>221</v>
      </c>
      <c r="C90" s="624" t="s">
        <v>267</v>
      </c>
      <c r="D90" s="573">
        <v>6097</v>
      </c>
      <c r="E90" s="573">
        <v>6771</v>
      </c>
      <c r="F90" s="573">
        <v>7609</v>
      </c>
      <c r="G90" s="573">
        <v>8638</v>
      </c>
      <c r="H90" s="573">
        <v>10384</v>
      </c>
      <c r="I90" s="573">
        <v>12571</v>
      </c>
      <c r="J90" s="573">
        <v>13924</v>
      </c>
      <c r="K90" s="574">
        <v>14744</v>
      </c>
      <c r="L90" s="1012">
        <v>15696</v>
      </c>
      <c r="M90" s="1012">
        <v>15456</v>
      </c>
      <c r="O90" s="273">
        <f t="shared" si="5"/>
        <v>1.5290519877675841E-2</v>
      </c>
      <c r="P90" s="273">
        <f t="shared" si="6"/>
        <v>6.4568638090070532E-2</v>
      </c>
    </row>
    <row r="91" spans="1:16" ht="15.75">
      <c r="A91" s="566" t="s">
        <v>224</v>
      </c>
      <c r="B91" s="569" t="s">
        <v>225</v>
      </c>
      <c r="C91" s="624" t="s">
        <v>264</v>
      </c>
      <c r="D91" s="573">
        <v>957</v>
      </c>
      <c r="E91" s="573">
        <v>1028</v>
      </c>
      <c r="F91" s="573">
        <v>1009</v>
      </c>
      <c r="G91" s="573">
        <v>952</v>
      </c>
      <c r="H91" s="573">
        <v>1083</v>
      </c>
      <c r="I91" s="573">
        <v>1345</v>
      </c>
      <c r="J91" s="573">
        <v>1412</v>
      </c>
      <c r="K91" s="574">
        <v>1421</v>
      </c>
      <c r="L91" s="1012">
        <v>1594</v>
      </c>
      <c r="M91" s="1012">
        <v>1518</v>
      </c>
      <c r="O91" s="273">
        <f t="shared" si="5"/>
        <v>4.7678795483061483E-2</v>
      </c>
      <c r="P91" s="273">
        <f t="shared" si="6"/>
        <v>0.12174524982406756</v>
      </c>
    </row>
    <row r="92" spans="1:16" ht="15.75">
      <c r="A92" s="566" t="s">
        <v>226</v>
      </c>
      <c r="B92" s="569" t="s">
        <v>227</v>
      </c>
      <c r="C92" s="624" t="s">
        <v>264</v>
      </c>
      <c r="D92" s="573">
        <v>1873</v>
      </c>
      <c r="E92" s="573">
        <v>2072</v>
      </c>
      <c r="F92" s="573">
        <v>2049</v>
      </c>
      <c r="G92" s="573">
        <v>2029</v>
      </c>
      <c r="H92" s="573">
        <v>2222</v>
      </c>
      <c r="I92" s="573">
        <v>2521</v>
      </c>
      <c r="J92" s="573">
        <v>2666</v>
      </c>
      <c r="K92" s="574">
        <v>2746</v>
      </c>
      <c r="L92" s="1012">
        <v>2854</v>
      </c>
      <c r="M92" s="1012">
        <v>2851</v>
      </c>
      <c r="O92" s="273">
        <f t="shared" si="5"/>
        <v>1.0511562718990891E-3</v>
      </c>
      <c r="P92" s="273">
        <f t="shared" si="6"/>
        <v>3.9329934450109252E-2</v>
      </c>
    </row>
    <row r="93" spans="1:16" ht="15.75">
      <c r="A93" s="566" t="s">
        <v>228</v>
      </c>
      <c r="B93" s="569" t="s">
        <v>229</v>
      </c>
      <c r="C93" s="624" t="s">
        <v>268</v>
      </c>
      <c r="D93" s="573">
        <v>8509</v>
      </c>
      <c r="E93" s="573">
        <v>8628</v>
      </c>
      <c r="F93" s="573">
        <v>8828</v>
      </c>
      <c r="G93" s="573">
        <v>8512</v>
      </c>
      <c r="H93" s="573">
        <v>8652</v>
      </c>
      <c r="I93" s="573">
        <v>9800</v>
      </c>
      <c r="J93" s="573">
        <v>10221</v>
      </c>
      <c r="K93" s="574">
        <v>10664</v>
      </c>
      <c r="L93" s="1012">
        <v>11590</v>
      </c>
      <c r="M93" s="1012">
        <v>11636</v>
      </c>
      <c r="O93" s="273">
        <f t="shared" si="5"/>
        <v>-3.9689387402933561E-3</v>
      </c>
      <c r="P93" s="273">
        <f t="shared" si="6"/>
        <v>8.683420855213804E-2</v>
      </c>
    </row>
    <row r="94" spans="1:16" ht="15.75">
      <c r="A94" s="566" t="s">
        <v>232</v>
      </c>
      <c r="B94" s="569" t="s">
        <v>233</v>
      </c>
      <c r="C94" s="624" t="s">
        <v>267</v>
      </c>
      <c r="D94" s="573">
        <v>3306</v>
      </c>
      <c r="E94" s="573">
        <v>3409</v>
      </c>
      <c r="F94" s="573">
        <v>3630</v>
      </c>
      <c r="G94" s="573">
        <v>4186</v>
      </c>
      <c r="H94" s="573">
        <v>5407</v>
      </c>
      <c r="I94" s="573">
        <v>6542</v>
      </c>
      <c r="J94" s="573">
        <v>7176</v>
      </c>
      <c r="K94" s="574">
        <v>7403</v>
      </c>
      <c r="L94" s="1012">
        <v>7736</v>
      </c>
      <c r="M94" s="1012">
        <v>7323</v>
      </c>
      <c r="O94" s="273">
        <f t="shared" si="5"/>
        <v>5.3386763185108585E-2</v>
      </c>
      <c r="P94" s="273">
        <f t="shared" si="6"/>
        <v>4.4981764149669055E-2</v>
      </c>
    </row>
    <row r="95" spans="1:16" ht="15.75">
      <c r="A95" s="566" t="s">
        <v>234</v>
      </c>
      <c r="B95" s="569" t="s">
        <v>235</v>
      </c>
      <c r="C95" s="624" t="s">
        <v>268</v>
      </c>
      <c r="D95" s="573">
        <v>6606</v>
      </c>
      <c r="E95" s="573">
        <v>7053</v>
      </c>
      <c r="F95" s="573">
        <v>7290</v>
      </c>
      <c r="G95" s="573">
        <v>7722</v>
      </c>
      <c r="H95" s="573">
        <v>8728</v>
      </c>
      <c r="I95" s="573">
        <v>9895</v>
      </c>
      <c r="J95" s="573">
        <v>10532</v>
      </c>
      <c r="K95" s="574">
        <v>10928</v>
      </c>
      <c r="L95" s="1012">
        <v>11262</v>
      </c>
      <c r="M95" s="1012">
        <v>11084</v>
      </c>
      <c r="O95" s="273">
        <f t="shared" si="5"/>
        <v>1.5805363168176167E-2</v>
      </c>
      <c r="P95" s="273">
        <f t="shared" si="6"/>
        <v>3.0563689604685213E-2</v>
      </c>
    </row>
    <row r="96" spans="1:16" ht="15.75">
      <c r="A96" s="566" t="s">
        <v>236</v>
      </c>
      <c r="B96" s="569" t="s">
        <v>237</v>
      </c>
      <c r="C96" s="624" t="s">
        <v>266</v>
      </c>
      <c r="D96" s="573">
        <v>2827</v>
      </c>
      <c r="E96" s="573">
        <v>2759</v>
      </c>
      <c r="F96" s="573">
        <v>2667</v>
      </c>
      <c r="G96" s="573">
        <v>2810</v>
      </c>
      <c r="H96" s="573">
        <v>3374</v>
      </c>
      <c r="I96" s="573">
        <v>3969</v>
      </c>
      <c r="J96" s="573">
        <v>4431</v>
      </c>
      <c r="K96" s="574">
        <v>4655</v>
      </c>
      <c r="L96" s="1012">
        <v>4874</v>
      </c>
      <c r="M96" s="1012">
        <v>4677</v>
      </c>
      <c r="O96" s="273">
        <f t="shared" si="5"/>
        <v>4.0418547394337298E-2</v>
      </c>
      <c r="P96" s="273">
        <f t="shared" si="6"/>
        <v>4.7046186895810957E-2</v>
      </c>
    </row>
    <row r="97" spans="1:16" ht="15.75">
      <c r="A97" s="566" t="s">
        <v>242</v>
      </c>
      <c r="B97" s="569" t="s">
        <v>243</v>
      </c>
      <c r="C97" s="624" t="s">
        <v>268</v>
      </c>
      <c r="D97" s="573">
        <v>10226</v>
      </c>
      <c r="E97" s="573">
        <v>10129</v>
      </c>
      <c r="F97" s="573">
        <v>10211</v>
      </c>
      <c r="G97" s="573">
        <v>10166</v>
      </c>
      <c r="H97" s="573">
        <v>10486</v>
      </c>
      <c r="I97" s="573">
        <v>11048</v>
      </c>
      <c r="J97" s="573">
        <v>11480</v>
      </c>
      <c r="K97" s="574">
        <v>12027</v>
      </c>
      <c r="L97" s="1012">
        <v>12550</v>
      </c>
      <c r="M97" s="1012">
        <v>12467</v>
      </c>
      <c r="O97" s="273">
        <f t="shared" si="5"/>
        <v>6.6135458167330676E-3</v>
      </c>
      <c r="P97" s="273">
        <f t="shared" si="6"/>
        <v>4.3485490978631414E-2</v>
      </c>
    </row>
    <row r="98" spans="1:16" ht="15.75">
      <c r="A98" s="566" t="s">
        <v>244</v>
      </c>
      <c r="B98" s="569" t="s">
        <v>245</v>
      </c>
      <c r="C98" s="624" t="s">
        <v>268</v>
      </c>
      <c r="D98" s="573">
        <v>4160</v>
      </c>
      <c r="E98" s="573">
        <v>4403</v>
      </c>
      <c r="F98" s="573">
        <v>4582</v>
      </c>
      <c r="G98" s="573">
        <v>4900</v>
      </c>
      <c r="H98" s="573">
        <v>5560</v>
      </c>
      <c r="I98" s="573">
        <v>6315</v>
      </c>
      <c r="J98" s="573">
        <v>6660</v>
      </c>
      <c r="K98" s="574">
        <v>6687</v>
      </c>
      <c r="L98" s="1012">
        <v>6643</v>
      </c>
      <c r="M98" s="1012">
        <v>6373</v>
      </c>
      <c r="O98" s="273">
        <f t="shared" si="5"/>
        <v>4.0644287219629684E-2</v>
      </c>
      <c r="P98" s="273">
        <f t="shared" si="6"/>
        <v>-6.5799312098100788E-3</v>
      </c>
    </row>
    <row r="99" spans="1:16" ht="15.75">
      <c r="A99" s="566" t="s">
        <v>246</v>
      </c>
      <c r="B99" s="663" t="s">
        <v>247</v>
      </c>
      <c r="C99" s="663" t="s">
        <v>264</v>
      </c>
      <c r="D99" s="664">
        <v>2531</v>
      </c>
      <c r="E99" s="664">
        <v>2706</v>
      </c>
      <c r="F99" s="664">
        <v>2733</v>
      </c>
      <c r="G99" s="664">
        <v>2796</v>
      </c>
      <c r="H99" s="664">
        <v>3473</v>
      </c>
      <c r="I99" s="664">
        <v>4195</v>
      </c>
      <c r="J99" s="664">
        <v>4936</v>
      </c>
      <c r="K99" s="574">
        <v>5297</v>
      </c>
      <c r="L99" s="1012">
        <v>5494</v>
      </c>
      <c r="M99" s="1012">
        <v>5501</v>
      </c>
      <c r="O99" s="273">
        <f t="shared" si="5"/>
        <v>-1.2741172187841281E-3</v>
      </c>
      <c r="P99" s="273">
        <f t="shared" si="6"/>
        <v>3.7190862752501413E-2</v>
      </c>
    </row>
    <row r="100" spans="1:16" ht="15.75">
      <c r="A100" s="566" t="s">
        <v>14</v>
      </c>
      <c r="B100" s="569" t="s">
        <v>15</v>
      </c>
      <c r="C100" s="624" t="s">
        <v>267</v>
      </c>
      <c r="D100" s="573">
        <v>8617</v>
      </c>
      <c r="E100" s="573">
        <v>8531</v>
      </c>
      <c r="F100" s="573">
        <v>8415</v>
      </c>
      <c r="G100" s="573">
        <v>8784</v>
      </c>
      <c r="H100" s="573">
        <v>10382</v>
      </c>
      <c r="I100" s="573">
        <v>12462</v>
      </c>
      <c r="J100" s="573">
        <v>13844</v>
      </c>
      <c r="K100" s="574">
        <v>14794</v>
      </c>
      <c r="L100" s="1012">
        <v>15448</v>
      </c>
      <c r="M100" s="1012">
        <v>14854</v>
      </c>
      <c r="O100" s="273">
        <f t="shared" si="5"/>
        <v>3.8451579492490937E-2</v>
      </c>
      <c r="P100" s="273">
        <f t="shared" si="6"/>
        <v>4.4207110990942274E-2</v>
      </c>
    </row>
    <row r="101" spans="1:16" ht="15.75">
      <c r="A101" s="566" t="s">
        <v>34</v>
      </c>
      <c r="B101" s="569" t="s">
        <v>35</v>
      </c>
      <c r="C101" s="624" t="s">
        <v>268</v>
      </c>
      <c r="D101" s="573">
        <v>4478</v>
      </c>
      <c r="E101" s="573">
        <v>4811</v>
      </c>
      <c r="F101" s="573">
        <v>4980</v>
      </c>
      <c r="G101" s="573">
        <v>5320</v>
      </c>
      <c r="H101" s="573">
        <v>6079</v>
      </c>
      <c r="I101" s="573">
        <v>6477</v>
      </c>
      <c r="J101" s="573">
        <v>6655</v>
      </c>
      <c r="K101" s="574">
        <v>6821</v>
      </c>
      <c r="L101" s="1012">
        <v>7127</v>
      </c>
      <c r="M101" s="1012">
        <v>6775</v>
      </c>
      <c r="O101" s="273">
        <f t="shared" ref="O101:O124" si="7">(L101-M101)/L101</f>
        <v>4.9389645011926477E-2</v>
      </c>
      <c r="P101" s="273">
        <f t="shared" ref="P101:P124" si="8">(L101-K101)/K101</f>
        <v>4.4861457264330745E-2</v>
      </c>
    </row>
    <row r="102" spans="1:16" ht="15.75">
      <c r="A102" s="566" t="s">
        <v>52</v>
      </c>
      <c r="B102" s="569" t="s">
        <v>53</v>
      </c>
      <c r="C102" s="624" t="s">
        <v>265</v>
      </c>
      <c r="D102" s="573">
        <v>6119</v>
      </c>
      <c r="E102" s="573">
        <v>6225</v>
      </c>
      <c r="F102" s="573">
        <v>6016</v>
      </c>
      <c r="G102" s="573">
        <v>6105</v>
      </c>
      <c r="H102" s="573">
        <v>6948</v>
      </c>
      <c r="I102" s="573">
        <v>7945</v>
      </c>
      <c r="J102" s="573">
        <v>8336</v>
      </c>
      <c r="K102" s="574">
        <v>8600</v>
      </c>
      <c r="L102" s="1012">
        <v>8645</v>
      </c>
      <c r="M102" s="1012">
        <v>7934</v>
      </c>
      <c r="O102" s="273">
        <f t="shared" si="7"/>
        <v>8.2244071717755926E-2</v>
      </c>
      <c r="P102" s="273">
        <f t="shared" si="8"/>
        <v>5.2325581395348836E-3</v>
      </c>
    </row>
    <row r="103" spans="1:16" ht="15.75">
      <c r="A103" s="566" t="s">
        <v>54</v>
      </c>
      <c r="B103" s="569" t="s">
        <v>55</v>
      </c>
      <c r="C103" s="624" t="s">
        <v>264</v>
      </c>
      <c r="D103" s="573">
        <v>18719</v>
      </c>
      <c r="E103" s="573">
        <v>19669</v>
      </c>
      <c r="F103" s="573">
        <v>19177</v>
      </c>
      <c r="G103" s="573">
        <v>20156</v>
      </c>
      <c r="H103" s="573">
        <v>23810</v>
      </c>
      <c r="I103" s="573">
        <v>28721</v>
      </c>
      <c r="J103" s="573">
        <v>31946</v>
      </c>
      <c r="K103" s="574">
        <v>34474</v>
      </c>
      <c r="L103" s="1012">
        <v>36392</v>
      </c>
      <c r="M103" s="1012">
        <v>35735</v>
      </c>
      <c r="O103" s="273">
        <f t="shared" si="7"/>
        <v>1.8053418333699715E-2</v>
      </c>
      <c r="P103" s="273">
        <f t="shared" si="8"/>
        <v>5.5636131577420665E-2</v>
      </c>
    </row>
    <row r="104" spans="1:16" ht="15.75">
      <c r="A104" s="566" t="s">
        <v>66</v>
      </c>
      <c r="B104" s="569" t="s">
        <v>67</v>
      </c>
      <c r="C104" s="624" t="s">
        <v>265</v>
      </c>
      <c r="D104" s="573">
        <v>12334</v>
      </c>
      <c r="E104" s="573">
        <v>13141</v>
      </c>
      <c r="F104" s="573">
        <v>13765</v>
      </c>
      <c r="G104" s="573">
        <v>14215</v>
      </c>
      <c r="H104" s="573">
        <v>15223</v>
      </c>
      <c r="I104" s="573">
        <v>16775</v>
      </c>
      <c r="J104" s="573">
        <v>17556</v>
      </c>
      <c r="K104" s="574">
        <v>18260</v>
      </c>
      <c r="L104" s="1012">
        <v>18517</v>
      </c>
      <c r="M104" s="1012">
        <v>18039</v>
      </c>
      <c r="O104" s="273">
        <f t="shared" si="7"/>
        <v>2.581411675757412E-2</v>
      </c>
      <c r="P104" s="273">
        <f t="shared" si="8"/>
        <v>1.407447973713034E-2</v>
      </c>
    </row>
    <row r="105" spans="1:16" ht="15.75">
      <c r="A105" s="566" t="s">
        <v>82</v>
      </c>
      <c r="B105" s="569" t="s">
        <v>83</v>
      </c>
      <c r="C105" s="624" t="s">
        <v>264</v>
      </c>
      <c r="D105" s="573">
        <v>2389</v>
      </c>
      <c r="E105" s="573">
        <v>2571</v>
      </c>
      <c r="F105" s="573">
        <v>2429</v>
      </c>
      <c r="G105" s="573">
        <v>2414</v>
      </c>
      <c r="H105" s="573">
        <v>2663</v>
      </c>
      <c r="I105" s="573">
        <v>3097</v>
      </c>
      <c r="J105" s="573">
        <v>3422</v>
      </c>
      <c r="K105" s="574">
        <v>3686</v>
      </c>
      <c r="L105" s="1012">
        <v>3792</v>
      </c>
      <c r="M105" s="1012">
        <v>3557</v>
      </c>
      <c r="O105" s="273">
        <f t="shared" si="7"/>
        <v>6.1972573839662447E-2</v>
      </c>
      <c r="P105" s="273">
        <f t="shared" si="8"/>
        <v>2.875746066196419E-2</v>
      </c>
    </row>
    <row r="106" spans="1:16" ht="15.75">
      <c r="A106" s="566" t="s">
        <v>88</v>
      </c>
      <c r="B106" s="569" t="s">
        <v>89</v>
      </c>
      <c r="C106" s="624" t="s">
        <v>267</v>
      </c>
      <c r="D106" s="573">
        <v>3824</v>
      </c>
      <c r="E106" s="573">
        <v>4088</v>
      </c>
      <c r="F106" s="573">
        <v>4156</v>
      </c>
      <c r="G106" s="573">
        <v>4570</v>
      </c>
      <c r="H106" s="573">
        <v>5232</v>
      </c>
      <c r="I106" s="573">
        <v>6129</v>
      </c>
      <c r="J106" s="573">
        <v>6956</v>
      </c>
      <c r="K106" s="574">
        <v>7545</v>
      </c>
      <c r="L106" s="1012">
        <v>7664</v>
      </c>
      <c r="M106" s="1012">
        <v>7338</v>
      </c>
      <c r="O106" s="273">
        <f t="shared" si="7"/>
        <v>4.2536534446764092E-2</v>
      </c>
      <c r="P106" s="273">
        <f t="shared" si="8"/>
        <v>1.5772034459907224E-2</v>
      </c>
    </row>
    <row r="107" spans="1:16" ht="15.75">
      <c r="A107" s="566" t="s">
        <v>90</v>
      </c>
      <c r="B107" s="569" t="s">
        <v>91</v>
      </c>
      <c r="C107" s="624" t="s">
        <v>268</v>
      </c>
      <c r="D107" s="573">
        <v>1984</v>
      </c>
      <c r="E107" s="573">
        <v>2105</v>
      </c>
      <c r="F107" s="573">
        <v>2157</v>
      </c>
      <c r="G107" s="573">
        <v>2353</v>
      </c>
      <c r="H107" s="573">
        <v>2567</v>
      </c>
      <c r="I107" s="573">
        <v>2723</v>
      </c>
      <c r="J107" s="573">
        <v>2793</v>
      </c>
      <c r="K107" s="574">
        <v>2935</v>
      </c>
      <c r="L107" s="1012">
        <v>2975</v>
      </c>
      <c r="M107" s="1012">
        <v>2964</v>
      </c>
      <c r="O107" s="273">
        <f t="shared" si="7"/>
        <v>3.6974789915966387E-3</v>
      </c>
      <c r="P107" s="273">
        <f t="shared" si="8"/>
        <v>1.3628620102214651E-2</v>
      </c>
    </row>
    <row r="108" spans="1:16" ht="15.75">
      <c r="A108" s="566" t="s">
        <v>106</v>
      </c>
      <c r="B108" s="569" t="s">
        <v>107</v>
      </c>
      <c r="C108" s="624" t="s">
        <v>264</v>
      </c>
      <c r="D108" s="573">
        <v>20801</v>
      </c>
      <c r="E108" s="573">
        <v>21510</v>
      </c>
      <c r="F108" s="573">
        <v>20751</v>
      </c>
      <c r="G108" s="573">
        <v>20617</v>
      </c>
      <c r="H108" s="573">
        <v>22561</v>
      </c>
      <c r="I108" s="573">
        <v>25894</v>
      </c>
      <c r="J108" s="573">
        <v>29642</v>
      </c>
      <c r="K108" s="574">
        <v>32577</v>
      </c>
      <c r="L108" s="1012">
        <v>34257</v>
      </c>
      <c r="M108" s="1012">
        <v>33529</v>
      </c>
      <c r="O108" s="273">
        <f t="shared" si="7"/>
        <v>2.1251131155676211E-2</v>
      </c>
      <c r="P108" s="273">
        <f t="shared" si="8"/>
        <v>5.1570126162630077E-2</v>
      </c>
    </row>
    <row r="109" spans="1:16" ht="15.75">
      <c r="A109" s="566" t="s">
        <v>116</v>
      </c>
      <c r="B109" s="569" t="s">
        <v>117</v>
      </c>
      <c r="C109" s="624" t="s">
        <v>266</v>
      </c>
      <c r="D109" s="573">
        <v>6080</v>
      </c>
      <c r="E109" s="573">
        <v>6473</v>
      </c>
      <c r="F109" s="573">
        <v>6519</v>
      </c>
      <c r="G109" s="573">
        <v>6980</v>
      </c>
      <c r="H109" s="573">
        <v>7634</v>
      </c>
      <c r="I109" s="573">
        <v>8487</v>
      </c>
      <c r="J109" s="573">
        <v>9238</v>
      </c>
      <c r="K109" s="574">
        <v>9773</v>
      </c>
      <c r="L109" s="1012">
        <v>10047</v>
      </c>
      <c r="M109" s="1012">
        <v>9954</v>
      </c>
      <c r="O109" s="273">
        <f t="shared" si="7"/>
        <v>9.2564944759629744E-3</v>
      </c>
      <c r="P109" s="273">
        <f t="shared" si="8"/>
        <v>2.8036426890412362E-2</v>
      </c>
    </row>
    <row r="110" spans="1:16" ht="15.75">
      <c r="A110" s="566" t="s">
        <v>138</v>
      </c>
      <c r="B110" s="569" t="s">
        <v>139</v>
      </c>
      <c r="C110" s="624" t="s">
        <v>265</v>
      </c>
      <c r="D110" s="573">
        <v>11871</v>
      </c>
      <c r="E110" s="573">
        <v>12443</v>
      </c>
      <c r="F110" s="573">
        <v>12733</v>
      </c>
      <c r="G110" s="573">
        <v>12854</v>
      </c>
      <c r="H110" s="573">
        <v>14308</v>
      </c>
      <c r="I110" s="573">
        <v>16187</v>
      </c>
      <c r="J110" s="573">
        <v>17521</v>
      </c>
      <c r="K110" s="574">
        <v>18989</v>
      </c>
      <c r="L110" s="1012">
        <v>19833</v>
      </c>
      <c r="M110" s="1012">
        <v>19438</v>
      </c>
      <c r="O110" s="273">
        <f t="shared" si="7"/>
        <v>1.9916301114304442E-2</v>
      </c>
      <c r="P110" s="273">
        <f t="shared" si="8"/>
        <v>4.4446784980778344E-2</v>
      </c>
    </row>
    <row r="111" spans="1:16" ht="15.75">
      <c r="A111" s="566" t="s">
        <v>142</v>
      </c>
      <c r="B111" s="569" t="s">
        <v>143</v>
      </c>
      <c r="C111" s="624" t="s">
        <v>267</v>
      </c>
      <c r="D111" s="573">
        <v>2747</v>
      </c>
      <c r="E111" s="573">
        <v>2921</v>
      </c>
      <c r="F111" s="573">
        <v>3291</v>
      </c>
      <c r="G111" s="573">
        <v>3873</v>
      </c>
      <c r="H111" s="573">
        <v>5113</v>
      </c>
      <c r="I111" s="573">
        <v>6487</v>
      </c>
      <c r="J111" s="573">
        <v>7188</v>
      </c>
      <c r="K111" s="574">
        <v>7479</v>
      </c>
      <c r="L111" s="1012">
        <v>7916</v>
      </c>
      <c r="M111" s="1012">
        <v>7794</v>
      </c>
      <c r="O111" s="273">
        <f t="shared" si="7"/>
        <v>1.5411824153612936E-2</v>
      </c>
      <c r="P111" s="273">
        <f t="shared" si="8"/>
        <v>5.8430271426661316E-2</v>
      </c>
    </row>
    <row r="112" spans="1:16" ht="15.75">
      <c r="A112" s="566" t="s">
        <v>144</v>
      </c>
      <c r="B112" s="569" t="s">
        <v>145</v>
      </c>
      <c r="C112" s="624" t="s">
        <v>267</v>
      </c>
      <c r="D112" s="573">
        <v>764</v>
      </c>
      <c r="E112" s="573">
        <v>1055</v>
      </c>
      <c r="F112" s="573">
        <v>1218</v>
      </c>
      <c r="G112" s="573">
        <v>1456</v>
      </c>
      <c r="H112" s="573">
        <v>1865</v>
      </c>
      <c r="I112" s="573">
        <v>2197</v>
      </c>
      <c r="J112" s="573">
        <v>2241</v>
      </c>
      <c r="K112" s="574">
        <v>2221</v>
      </c>
      <c r="L112" s="1012">
        <v>2342</v>
      </c>
      <c r="M112" s="1012">
        <v>2223</v>
      </c>
      <c r="O112" s="273">
        <f t="shared" si="7"/>
        <v>5.0811272416737829E-2</v>
      </c>
      <c r="P112" s="273">
        <f t="shared" si="8"/>
        <v>5.4479963980189103E-2</v>
      </c>
    </row>
    <row r="113" spans="1:16" ht="15.75">
      <c r="A113" s="566" t="s">
        <v>158</v>
      </c>
      <c r="B113" s="569" t="s">
        <v>159</v>
      </c>
      <c r="C113" s="624" t="s">
        <v>264</v>
      </c>
      <c r="D113" s="573">
        <v>31185</v>
      </c>
      <c r="E113" s="573">
        <v>32205</v>
      </c>
      <c r="F113" s="573">
        <v>31668</v>
      </c>
      <c r="G113" s="573">
        <v>32874</v>
      </c>
      <c r="H113" s="573">
        <v>37456</v>
      </c>
      <c r="I113" s="573">
        <v>43763</v>
      </c>
      <c r="J113" s="573">
        <v>48328</v>
      </c>
      <c r="K113" s="574">
        <v>50910</v>
      </c>
      <c r="L113" s="1012">
        <v>53108</v>
      </c>
      <c r="M113" s="1012">
        <v>51766</v>
      </c>
      <c r="O113" s="273">
        <f t="shared" si="7"/>
        <v>2.5269262634631317E-2</v>
      </c>
      <c r="P113" s="273">
        <f t="shared" si="8"/>
        <v>4.3174229031624434E-2</v>
      </c>
    </row>
    <row r="114" spans="1:16" ht="15.75">
      <c r="A114" s="566" t="s">
        <v>160</v>
      </c>
      <c r="B114" s="569" t="s">
        <v>161</v>
      </c>
      <c r="C114" s="624" t="s">
        <v>264</v>
      </c>
      <c r="D114" s="573">
        <v>46884</v>
      </c>
      <c r="E114" s="573">
        <v>47455</v>
      </c>
      <c r="F114" s="573">
        <v>46778</v>
      </c>
      <c r="G114" s="573">
        <v>47861</v>
      </c>
      <c r="H114" s="573">
        <v>52022</v>
      </c>
      <c r="I114" s="573">
        <v>59459</v>
      </c>
      <c r="J114" s="573">
        <v>64233</v>
      </c>
      <c r="K114" s="574">
        <v>68281</v>
      </c>
      <c r="L114" s="1012">
        <v>70790</v>
      </c>
      <c r="M114" s="1012">
        <v>68640</v>
      </c>
      <c r="O114" s="273">
        <f t="shared" si="7"/>
        <v>3.0371521401327872E-2</v>
      </c>
      <c r="P114" s="273">
        <f t="shared" si="8"/>
        <v>3.6745214627788111E-2</v>
      </c>
    </row>
    <row r="115" spans="1:16" ht="15.75">
      <c r="A115" s="566" t="s">
        <v>166</v>
      </c>
      <c r="B115" s="569" t="s">
        <v>167</v>
      </c>
      <c r="C115" s="624" t="s">
        <v>268</v>
      </c>
      <c r="D115" s="573">
        <v>1214</v>
      </c>
      <c r="E115" s="573">
        <v>1273</v>
      </c>
      <c r="F115" s="573">
        <v>1341</v>
      </c>
      <c r="G115" s="573">
        <v>1371</v>
      </c>
      <c r="H115" s="573">
        <v>1414</v>
      </c>
      <c r="I115" s="573">
        <v>1412</v>
      </c>
      <c r="J115" s="573">
        <v>1477</v>
      </c>
      <c r="K115" s="574">
        <v>1593</v>
      </c>
      <c r="L115" s="1012">
        <v>1594</v>
      </c>
      <c r="M115" s="1012">
        <v>1533</v>
      </c>
      <c r="O115" s="273">
        <f t="shared" si="7"/>
        <v>3.8268506900878296E-2</v>
      </c>
      <c r="P115" s="273">
        <f t="shared" si="8"/>
        <v>6.2774639045825491E-4</v>
      </c>
    </row>
    <row r="116" spans="1:16" ht="15.75">
      <c r="A116" s="566" t="s">
        <v>176</v>
      </c>
      <c r="B116" s="569" t="s">
        <v>177</v>
      </c>
      <c r="C116" s="624" t="s">
        <v>266</v>
      </c>
      <c r="D116" s="573">
        <v>9981</v>
      </c>
      <c r="E116" s="573">
        <v>10336</v>
      </c>
      <c r="F116" s="573">
        <v>10560</v>
      </c>
      <c r="G116" s="573">
        <v>10768</v>
      </c>
      <c r="H116" s="573">
        <v>11898</v>
      </c>
      <c r="I116" s="573">
        <v>13458</v>
      </c>
      <c r="J116" s="573">
        <v>14705</v>
      </c>
      <c r="K116" s="574">
        <v>15321</v>
      </c>
      <c r="L116" s="1012">
        <v>15672</v>
      </c>
      <c r="M116" s="1012">
        <v>15347</v>
      </c>
      <c r="O116" s="273">
        <f t="shared" si="7"/>
        <v>2.0737621235324143E-2</v>
      </c>
      <c r="P116" s="273">
        <f t="shared" si="8"/>
        <v>2.2909731740747993E-2</v>
      </c>
    </row>
    <row r="117" spans="1:16" ht="15.75">
      <c r="A117" s="566" t="s">
        <v>180</v>
      </c>
      <c r="B117" s="569" t="s">
        <v>181</v>
      </c>
      <c r="C117" s="624" t="s">
        <v>264</v>
      </c>
      <c r="D117" s="573">
        <v>20721</v>
      </c>
      <c r="E117" s="573">
        <v>21598</v>
      </c>
      <c r="F117" s="573">
        <v>21494</v>
      </c>
      <c r="G117" s="573">
        <v>21648</v>
      </c>
      <c r="H117" s="573">
        <v>23784</v>
      </c>
      <c r="I117" s="573">
        <v>27393</v>
      </c>
      <c r="J117" s="573">
        <v>29895</v>
      </c>
      <c r="K117" s="574">
        <v>32370</v>
      </c>
      <c r="L117" s="1012">
        <v>33997</v>
      </c>
      <c r="M117" s="1012">
        <v>32765</v>
      </c>
      <c r="O117" s="273">
        <f t="shared" si="7"/>
        <v>3.6238491631614557E-2</v>
      </c>
      <c r="P117" s="273">
        <f t="shared" si="8"/>
        <v>5.0262588816805683E-2</v>
      </c>
    </row>
    <row r="118" spans="1:16" ht="15.75">
      <c r="A118" s="566" t="s">
        <v>192</v>
      </c>
      <c r="B118" s="569" t="s">
        <v>193</v>
      </c>
      <c r="C118" s="624" t="s">
        <v>268</v>
      </c>
      <c r="D118" s="573">
        <v>1823</v>
      </c>
      <c r="E118" s="573">
        <v>1952</v>
      </c>
      <c r="F118" s="573">
        <v>1993</v>
      </c>
      <c r="G118" s="573">
        <v>2066</v>
      </c>
      <c r="H118" s="573">
        <v>2353</v>
      </c>
      <c r="I118" s="573">
        <v>2553</v>
      </c>
      <c r="J118" s="573">
        <v>2647</v>
      </c>
      <c r="K118" s="574">
        <v>2701</v>
      </c>
      <c r="L118" s="1012">
        <v>2788</v>
      </c>
      <c r="M118" s="1012">
        <v>2756</v>
      </c>
      <c r="O118" s="273">
        <f t="shared" si="7"/>
        <v>1.1477761836441894E-2</v>
      </c>
      <c r="P118" s="273">
        <f t="shared" si="8"/>
        <v>3.2210292484265088E-2</v>
      </c>
    </row>
    <row r="119" spans="1:16" ht="15.75">
      <c r="A119" s="566" t="s">
        <v>196</v>
      </c>
      <c r="B119" s="569" t="s">
        <v>197</v>
      </c>
      <c r="C119" s="624" t="s">
        <v>266</v>
      </c>
      <c r="D119" s="573">
        <v>49423</v>
      </c>
      <c r="E119" s="573">
        <v>50881</v>
      </c>
      <c r="F119" s="573">
        <v>51055</v>
      </c>
      <c r="G119" s="573">
        <v>51410</v>
      </c>
      <c r="H119" s="573">
        <v>54502</v>
      </c>
      <c r="I119" s="573">
        <v>62670</v>
      </c>
      <c r="J119" s="573">
        <v>67983</v>
      </c>
      <c r="K119" s="574">
        <v>72851</v>
      </c>
      <c r="L119" s="1012">
        <v>75700</v>
      </c>
      <c r="M119" s="1012">
        <v>72640</v>
      </c>
      <c r="O119" s="273">
        <f t="shared" si="7"/>
        <v>4.0422721268163805E-2</v>
      </c>
      <c r="P119" s="273">
        <f t="shared" si="8"/>
        <v>3.9107218843941742E-2</v>
      </c>
    </row>
    <row r="120" spans="1:16" ht="15.75">
      <c r="A120" s="566" t="s">
        <v>200</v>
      </c>
      <c r="B120" s="569" t="s">
        <v>201</v>
      </c>
      <c r="C120" s="624" t="s">
        <v>265</v>
      </c>
      <c r="D120" s="573">
        <v>19436</v>
      </c>
      <c r="E120" s="573">
        <v>20626</v>
      </c>
      <c r="F120" s="573">
        <v>21476</v>
      </c>
      <c r="G120" s="573">
        <v>22766</v>
      </c>
      <c r="H120" s="573">
        <v>25844</v>
      </c>
      <c r="I120" s="573">
        <v>29554</v>
      </c>
      <c r="J120" s="573">
        <v>31980</v>
      </c>
      <c r="K120" s="574">
        <v>34163</v>
      </c>
      <c r="L120" s="1012">
        <v>36216</v>
      </c>
      <c r="M120" s="1012">
        <v>35249</v>
      </c>
      <c r="O120" s="273">
        <f t="shared" si="7"/>
        <v>2.6700905677048817E-2</v>
      </c>
      <c r="P120" s="273">
        <f t="shared" si="8"/>
        <v>6.0094254017504317E-2</v>
      </c>
    </row>
    <row r="121" spans="1:16" ht="15.75">
      <c r="A121" s="566" t="s">
        <v>222</v>
      </c>
      <c r="B121" s="663" t="s">
        <v>223</v>
      </c>
      <c r="C121" s="663" t="s">
        <v>264</v>
      </c>
      <c r="D121" s="664">
        <v>11261</v>
      </c>
      <c r="E121" s="664">
        <v>11423</v>
      </c>
      <c r="F121" s="664">
        <v>11272</v>
      </c>
      <c r="G121" s="664">
        <v>11546</v>
      </c>
      <c r="H121" s="664">
        <v>12901</v>
      </c>
      <c r="I121" s="664">
        <v>14825</v>
      </c>
      <c r="J121" s="664">
        <v>16549</v>
      </c>
      <c r="K121" s="1012">
        <v>17699</v>
      </c>
      <c r="L121" s="1012">
        <v>18547</v>
      </c>
      <c r="M121" s="1012">
        <v>18249</v>
      </c>
      <c r="O121" s="273">
        <f t="shared" si="7"/>
        <v>1.6067288510271203E-2</v>
      </c>
      <c r="P121" s="273">
        <f t="shared" si="8"/>
        <v>4.7912311430024293E-2</v>
      </c>
    </row>
    <row r="122" spans="1:16" ht="15.75">
      <c r="A122" s="566" t="s">
        <v>230</v>
      </c>
      <c r="B122" s="569" t="s">
        <v>231</v>
      </c>
      <c r="C122" s="624" t="s">
        <v>264</v>
      </c>
      <c r="D122" s="573">
        <v>28215</v>
      </c>
      <c r="E122" s="573">
        <v>28835</v>
      </c>
      <c r="F122" s="573">
        <v>27798</v>
      </c>
      <c r="G122" s="573">
        <v>29065</v>
      </c>
      <c r="H122" s="573">
        <v>34362</v>
      </c>
      <c r="I122" s="573">
        <v>43390</v>
      </c>
      <c r="J122" s="573">
        <v>48823</v>
      </c>
      <c r="K122" s="574">
        <v>53010</v>
      </c>
      <c r="L122" s="1012">
        <v>54998</v>
      </c>
      <c r="M122" s="1012">
        <v>54484</v>
      </c>
      <c r="O122" s="273">
        <f t="shared" si="7"/>
        <v>9.3457943925233638E-3</v>
      </c>
      <c r="P122" s="273">
        <f t="shared" si="8"/>
        <v>3.7502358045651767E-2</v>
      </c>
    </row>
    <row r="123" spans="1:16" ht="15.75">
      <c r="A123" s="566" t="s">
        <v>238</v>
      </c>
      <c r="B123" s="569" t="s">
        <v>239</v>
      </c>
      <c r="C123" s="624" t="s">
        <v>264</v>
      </c>
      <c r="D123" s="573">
        <v>857</v>
      </c>
      <c r="E123" s="573">
        <v>991</v>
      </c>
      <c r="F123" s="573">
        <v>953</v>
      </c>
      <c r="G123" s="573">
        <v>1015</v>
      </c>
      <c r="H123" s="573">
        <v>1223</v>
      </c>
      <c r="I123" s="573">
        <v>1515</v>
      </c>
      <c r="J123" s="573">
        <v>1885</v>
      </c>
      <c r="K123" s="574">
        <v>1929</v>
      </c>
      <c r="L123" s="1012">
        <v>2096</v>
      </c>
      <c r="M123" s="1012">
        <v>2072</v>
      </c>
      <c r="O123" s="273">
        <f t="shared" si="7"/>
        <v>1.1450381679389313E-2</v>
      </c>
      <c r="P123" s="273">
        <f t="shared" si="8"/>
        <v>8.6573354069466049E-2</v>
      </c>
    </row>
    <row r="124" spans="1:16" ht="15.75">
      <c r="A124" s="567" t="s">
        <v>240</v>
      </c>
      <c r="B124" s="570" t="s">
        <v>241</v>
      </c>
      <c r="C124" s="570" t="s">
        <v>267</v>
      </c>
      <c r="D124" s="575">
        <v>3348</v>
      </c>
      <c r="E124" s="575">
        <v>3421</v>
      </c>
      <c r="F124" s="575">
        <v>3674</v>
      </c>
      <c r="G124" s="575">
        <v>4204</v>
      </c>
      <c r="H124" s="575">
        <v>5542</v>
      </c>
      <c r="I124" s="575">
        <v>6778</v>
      </c>
      <c r="J124" s="575">
        <v>7510</v>
      </c>
      <c r="K124" s="1013">
        <v>7681</v>
      </c>
      <c r="L124" s="1013">
        <v>7964</v>
      </c>
      <c r="M124" s="1013">
        <v>7441</v>
      </c>
      <c r="O124" s="273">
        <f t="shared" si="7"/>
        <v>6.5670517327975894E-2</v>
      </c>
      <c r="P124" s="273">
        <f t="shared" si="8"/>
        <v>3.6844160916547325E-2</v>
      </c>
    </row>
    <row r="126" spans="1:16" ht="34.5" customHeight="1">
      <c r="A126" s="1916" t="s">
        <v>932</v>
      </c>
      <c r="B126" s="1916"/>
      <c r="C126" s="1916"/>
      <c r="D126" s="1916"/>
      <c r="E126" s="1916"/>
      <c r="F126" s="1916"/>
      <c r="G126" s="1916"/>
      <c r="H126" s="1916"/>
      <c r="I126" s="1916"/>
      <c r="J126" s="1916"/>
      <c r="K126" s="1916"/>
      <c r="L126" s="1916"/>
      <c r="M126" s="1277"/>
    </row>
    <row r="128" spans="1:16" s="428" customFormat="1" ht="15.75">
      <c r="A128" s="428" t="s">
        <v>248</v>
      </c>
    </row>
    <row r="129" spans="1:3" s="428" customFormat="1" ht="15.75">
      <c r="A129" s="429" t="s">
        <v>249</v>
      </c>
      <c r="B129" s="430" t="s">
        <v>250</v>
      </c>
      <c r="C129" s="430"/>
    </row>
  </sheetData>
  <autoFilter ref="A3:C3"/>
  <sortState ref="A5:S124">
    <sortCondition ref="A5:A124"/>
  </sortState>
  <mergeCells count="1">
    <mergeCell ref="A126:L126"/>
  </mergeCells>
  <hyperlinks>
    <hyperlink ref="B129" r:id="rId1"/>
  </hyperlinks>
  <pageMargins left="0.7" right="0.7" top="0.75" bottom="0.75" header="0.3" footer="0.3"/>
  <pageSetup orientation="portrait" r:id="rId2"/>
</worksheet>
</file>

<file path=xl/worksheets/sheet19.xml><?xml version="1.0" encoding="utf-8"?>
<worksheet xmlns="http://schemas.openxmlformats.org/spreadsheetml/2006/main" xmlns:r="http://schemas.openxmlformats.org/officeDocument/2006/relationships">
  <sheetPr>
    <tabColor rgb="FFFFFF00"/>
  </sheetPr>
  <dimension ref="A1:M129"/>
  <sheetViews>
    <sheetView workbookViewId="0">
      <pane ySplit="4" topLeftCell="A5" activePane="bottomLeft" state="frozen"/>
      <selection pane="bottomLeft" activeCell="A5" sqref="A5:XFD124"/>
    </sheetView>
  </sheetViews>
  <sheetFormatPr defaultRowHeight="15.75"/>
  <cols>
    <col min="1" max="1" width="5.875" style="558" customWidth="1"/>
    <col min="2" max="2" width="30.25" style="558" customWidth="1"/>
    <col min="3" max="3" width="12.375" style="558" customWidth="1"/>
    <col min="4" max="13" width="10.875" style="558" customWidth="1"/>
    <col min="14" max="14" width="2.5" style="558" customWidth="1"/>
    <col min="15" max="16384" width="9" style="558"/>
  </cols>
  <sheetData>
    <row r="1" spans="1:13">
      <c r="A1" s="258" t="s">
        <v>915</v>
      </c>
    </row>
    <row r="3" spans="1:13" ht="31.5">
      <c r="A3" s="583" t="s">
        <v>4</v>
      </c>
      <c r="B3" s="564" t="s">
        <v>5</v>
      </c>
      <c r="C3" s="621" t="s">
        <v>251</v>
      </c>
      <c r="D3" s="584" t="s">
        <v>541</v>
      </c>
      <c r="E3" s="584" t="s">
        <v>542</v>
      </c>
      <c r="F3" s="584" t="s">
        <v>543</v>
      </c>
      <c r="G3" s="584" t="s">
        <v>544</v>
      </c>
      <c r="H3" s="584" t="s">
        <v>545</v>
      </c>
      <c r="I3" s="584" t="s">
        <v>546</v>
      </c>
      <c r="J3" s="584" t="s">
        <v>593</v>
      </c>
      <c r="K3" s="559" t="s">
        <v>761</v>
      </c>
      <c r="L3" s="559" t="s">
        <v>853</v>
      </c>
      <c r="M3" s="559" t="s">
        <v>910</v>
      </c>
    </row>
    <row r="4" spans="1:13">
      <c r="A4" s="626">
        <v>999</v>
      </c>
      <c r="B4" s="625" t="s">
        <v>9</v>
      </c>
      <c r="C4" s="622"/>
      <c r="D4" s="585">
        <f t="shared" ref="D4:L4" si="0">SUM(D5:D124)</f>
        <v>180378</v>
      </c>
      <c r="E4" s="585">
        <f t="shared" si="0"/>
        <v>179388</v>
      </c>
      <c r="F4" s="585">
        <f t="shared" si="0"/>
        <v>168934</v>
      </c>
      <c r="G4" s="585">
        <f t="shared" si="0"/>
        <v>161280</v>
      </c>
      <c r="H4" s="585">
        <f t="shared" si="0"/>
        <v>177017</v>
      </c>
      <c r="I4" s="585">
        <f t="shared" si="0"/>
        <v>194549</v>
      </c>
      <c r="J4" s="585">
        <f t="shared" si="0"/>
        <v>195553</v>
      </c>
      <c r="K4" s="586">
        <f t="shared" si="0"/>
        <v>185234</v>
      </c>
      <c r="L4" s="586">
        <f t="shared" si="0"/>
        <v>172295</v>
      </c>
      <c r="M4" s="1306">
        <v>154991</v>
      </c>
    </row>
    <row r="5" spans="1:13">
      <c r="A5" s="577" t="s">
        <v>10</v>
      </c>
      <c r="B5" s="568" t="s">
        <v>11</v>
      </c>
      <c r="C5" s="623" t="s">
        <v>264</v>
      </c>
      <c r="D5" s="571">
        <v>1056</v>
      </c>
      <c r="E5" s="571">
        <v>1003</v>
      </c>
      <c r="F5" s="571">
        <v>878</v>
      </c>
      <c r="G5" s="571">
        <v>898</v>
      </c>
      <c r="H5" s="571">
        <v>946</v>
      </c>
      <c r="I5" s="571">
        <v>1098</v>
      </c>
      <c r="J5" s="571">
        <v>1096</v>
      </c>
      <c r="K5" s="578">
        <v>1127</v>
      </c>
      <c r="L5" s="580">
        <v>1131</v>
      </c>
      <c r="M5" s="580">
        <v>974</v>
      </c>
    </row>
    <row r="6" spans="1:13">
      <c r="A6" s="579" t="s">
        <v>12</v>
      </c>
      <c r="B6" s="569" t="s">
        <v>13</v>
      </c>
      <c r="C6" s="624" t="s">
        <v>265</v>
      </c>
      <c r="D6" s="573">
        <v>703</v>
      </c>
      <c r="E6" s="573">
        <v>797</v>
      </c>
      <c r="F6" s="573">
        <v>664</v>
      </c>
      <c r="G6" s="573">
        <v>611</v>
      </c>
      <c r="H6" s="573">
        <v>809</v>
      </c>
      <c r="I6" s="573">
        <v>921</v>
      </c>
      <c r="J6" s="573">
        <v>855</v>
      </c>
      <c r="K6" s="580">
        <v>746</v>
      </c>
      <c r="L6" s="580">
        <v>837</v>
      </c>
      <c r="M6" s="580">
        <v>807</v>
      </c>
    </row>
    <row r="7" spans="1:13">
      <c r="A7" s="579" t="s">
        <v>16</v>
      </c>
      <c r="B7" s="569" t="s">
        <v>297</v>
      </c>
      <c r="C7" s="624" t="s">
        <v>265</v>
      </c>
      <c r="D7" s="573">
        <v>741</v>
      </c>
      <c r="E7" s="573">
        <v>693</v>
      </c>
      <c r="F7" s="573">
        <v>706</v>
      </c>
      <c r="G7" s="573">
        <v>664</v>
      </c>
      <c r="H7" s="573">
        <v>704</v>
      </c>
      <c r="I7" s="573">
        <v>677</v>
      </c>
      <c r="J7" s="573">
        <v>644</v>
      </c>
      <c r="K7" s="580">
        <v>528</v>
      </c>
      <c r="L7" s="580">
        <v>512</v>
      </c>
      <c r="M7" s="580">
        <v>476</v>
      </c>
    </row>
    <row r="8" spans="1:13">
      <c r="A8" s="579" t="s">
        <v>18</v>
      </c>
      <c r="B8" s="569" t="s">
        <v>19</v>
      </c>
      <c r="C8" s="624" t="s">
        <v>266</v>
      </c>
      <c r="D8" s="573">
        <v>324</v>
      </c>
      <c r="E8" s="573">
        <v>364</v>
      </c>
      <c r="F8" s="573">
        <v>319</v>
      </c>
      <c r="G8" s="573">
        <v>321</v>
      </c>
      <c r="H8" s="573">
        <v>373</v>
      </c>
      <c r="I8" s="573">
        <v>430</v>
      </c>
      <c r="J8" s="573">
        <v>434</v>
      </c>
      <c r="K8" s="580">
        <v>408</v>
      </c>
      <c r="L8" s="580">
        <v>378</v>
      </c>
      <c r="M8" s="580">
        <v>275</v>
      </c>
    </row>
    <row r="9" spans="1:13">
      <c r="A9" s="579" t="s">
        <v>20</v>
      </c>
      <c r="B9" s="569" t="s">
        <v>21</v>
      </c>
      <c r="C9" s="624" t="s">
        <v>265</v>
      </c>
      <c r="D9" s="573">
        <v>608</v>
      </c>
      <c r="E9" s="573">
        <v>613</v>
      </c>
      <c r="F9" s="573">
        <v>443</v>
      </c>
      <c r="G9" s="573">
        <v>449</v>
      </c>
      <c r="H9" s="573">
        <v>533</v>
      </c>
      <c r="I9" s="573">
        <v>645</v>
      </c>
      <c r="J9" s="573">
        <v>573</v>
      </c>
      <c r="K9" s="580">
        <v>538</v>
      </c>
      <c r="L9" s="580">
        <v>538</v>
      </c>
      <c r="M9" s="580">
        <v>456</v>
      </c>
    </row>
    <row r="10" spans="1:13">
      <c r="A10" s="579" t="s">
        <v>22</v>
      </c>
      <c r="B10" s="569" t="s">
        <v>23</v>
      </c>
      <c r="C10" s="624" t="s">
        <v>265</v>
      </c>
      <c r="D10" s="573">
        <v>436</v>
      </c>
      <c r="E10" s="573">
        <v>404</v>
      </c>
      <c r="F10" s="573">
        <v>394</v>
      </c>
      <c r="G10" s="573">
        <v>417</v>
      </c>
      <c r="H10" s="573">
        <v>419</v>
      </c>
      <c r="I10" s="573">
        <v>507</v>
      </c>
      <c r="J10" s="573">
        <v>456</v>
      </c>
      <c r="K10" s="580">
        <v>477</v>
      </c>
      <c r="L10" s="580">
        <v>522</v>
      </c>
      <c r="M10" s="580">
        <v>492</v>
      </c>
    </row>
    <row r="11" spans="1:13">
      <c r="A11" s="579" t="s">
        <v>24</v>
      </c>
      <c r="B11" s="569" t="s">
        <v>25</v>
      </c>
      <c r="C11" s="624" t="s">
        <v>267</v>
      </c>
      <c r="D11" s="573">
        <v>1469</v>
      </c>
      <c r="E11" s="573">
        <v>1479</v>
      </c>
      <c r="F11" s="573">
        <v>1312</v>
      </c>
      <c r="G11" s="573">
        <v>1233</v>
      </c>
      <c r="H11" s="573">
        <v>1547</v>
      </c>
      <c r="I11" s="573">
        <v>1702</v>
      </c>
      <c r="J11" s="573">
        <v>1633</v>
      </c>
      <c r="K11" s="580">
        <v>1512</v>
      </c>
      <c r="L11" s="580">
        <v>1315</v>
      </c>
      <c r="M11" s="580">
        <v>1107</v>
      </c>
    </row>
    <row r="12" spans="1:13">
      <c r="A12" s="579" t="s">
        <v>26</v>
      </c>
      <c r="B12" s="569" t="s">
        <v>706</v>
      </c>
      <c r="C12" s="624" t="s">
        <v>265</v>
      </c>
      <c r="D12" s="573">
        <v>3004</v>
      </c>
      <c r="E12" s="573">
        <v>3221</v>
      </c>
      <c r="F12" s="573">
        <v>3029</v>
      </c>
      <c r="G12" s="573">
        <v>2946</v>
      </c>
      <c r="H12" s="573">
        <v>3320</v>
      </c>
      <c r="I12" s="573">
        <v>3468</v>
      </c>
      <c r="J12" s="573">
        <v>3345</v>
      </c>
      <c r="K12" s="580">
        <v>3125</v>
      </c>
      <c r="L12" s="580">
        <v>2949</v>
      </c>
      <c r="M12" s="580">
        <v>2534</v>
      </c>
    </row>
    <row r="13" spans="1:13">
      <c r="A13" s="579" t="s">
        <v>27</v>
      </c>
      <c r="B13" s="569" t="s">
        <v>28</v>
      </c>
      <c r="C13" s="624" t="s">
        <v>265</v>
      </c>
      <c r="D13" s="573">
        <v>31</v>
      </c>
      <c r="E13" s="573">
        <v>33</v>
      </c>
      <c r="F13" s="573">
        <v>24</v>
      </c>
      <c r="G13" s="573">
        <v>41</v>
      </c>
      <c r="H13" s="573">
        <v>28</v>
      </c>
      <c r="I13" s="573">
        <v>47</v>
      </c>
      <c r="J13" s="573">
        <v>40</v>
      </c>
      <c r="K13" s="580">
        <v>42</v>
      </c>
      <c r="L13" s="580">
        <v>24</v>
      </c>
      <c r="M13" s="580">
        <v>24</v>
      </c>
    </row>
    <row r="14" spans="1:13">
      <c r="A14" s="579" t="s">
        <v>29</v>
      </c>
      <c r="B14" s="569" t="s">
        <v>1012</v>
      </c>
      <c r="C14" s="624" t="s">
        <v>265</v>
      </c>
      <c r="D14" s="573">
        <v>1178</v>
      </c>
      <c r="E14" s="573">
        <v>1115</v>
      </c>
      <c r="F14" s="573">
        <v>1092</v>
      </c>
      <c r="G14" s="573">
        <v>953</v>
      </c>
      <c r="H14" s="573">
        <v>1096</v>
      </c>
      <c r="I14" s="573">
        <v>1235</v>
      </c>
      <c r="J14" s="573">
        <v>1269</v>
      </c>
      <c r="K14" s="580">
        <v>1163</v>
      </c>
      <c r="L14" s="580">
        <v>1046</v>
      </c>
      <c r="M14" s="580">
        <v>1080</v>
      </c>
    </row>
    <row r="15" spans="1:13">
      <c r="A15" s="579" t="s">
        <v>30</v>
      </c>
      <c r="B15" s="663" t="s">
        <v>31</v>
      </c>
      <c r="C15" s="624" t="s">
        <v>268</v>
      </c>
      <c r="D15" s="573">
        <v>131</v>
      </c>
      <c r="E15" s="573">
        <v>147</v>
      </c>
      <c r="F15" s="573">
        <v>127</v>
      </c>
      <c r="G15" s="573">
        <v>110</v>
      </c>
      <c r="H15" s="573">
        <v>115</v>
      </c>
      <c r="I15" s="573">
        <v>86</v>
      </c>
      <c r="J15" s="573">
        <v>120</v>
      </c>
      <c r="K15" s="580">
        <v>103</v>
      </c>
      <c r="L15" s="580">
        <v>85</v>
      </c>
      <c r="M15" s="580">
        <v>78</v>
      </c>
    </row>
    <row r="16" spans="1:13">
      <c r="A16" s="579" t="s">
        <v>32</v>
      </c>
      <c r="B16" s="569" t="s">
        <v>33</v>
      </c>
      <c r="C16" s="624" t="s">
        <v>265</v>
      </c>
      <c r="D16" s="573">
        <v>198</v>
      </c>
      <c r="E16" s="573">
        <v>200</v>
      </c>
      <c r="F16" s="573">
        <v>155</v>
      </c>
      <c r="G16" s="573">
        <v>158</v>
      </c>
      <c r="H16" s="573">
        <v>175</v>
      </c>
      <c r="I16" s="573">
        <v>219</v>
      </c>
      <c r="J16" s="573">
        <v>223</v>
      </c>
      <c r="K16" s="580">
        <v>238</v>
      </c>
      <c r="L16" s="580">
        <v>212</v>
      </c>
      <c r="M16" s="580">
        <v>175</v>
      </c>
    </row>
    <row r="17" spans="1:13">
      <c r="A17" s="579" t="s">
        <v>36</v>
      </c>
      <c r="B17" s="569" t="s">
        <v>37</v>
      </c>
      <c r="C17" s="624" t="s">
        <v>264</v>
      </c>
      <c r="D17" s="573">
        <v>680</v>
      </c>
      <c r="E17" s="573">
        <v>752</v>
      </c>
      <c r="F17" s="573">
        <v>712</v>
      </c>
      <c r="G17" s="573">
        <v>598</v>
      </c>
      <c r="H17" s="573">
        <v>597</v>
      </c>
      <c r="I17" s="573">
        <v>646</v>
      </c>
      <c r="J17" s="573">
        <v>609</v>
      </c>
      <c r="K17" s="580">
        <v>595</v>
      </c>
      <c r="L17" s="580">
        <v>545</v>
      </c>
      <c r="M17" s="580">
        <v>501</v>
      </c>
    </row>
    <row r="18" spans="1:13">
      <c r="A18" s="579" t="s">
        <v>38</v>
      </c>
      <c r="B18" s="569" t="s">
        <v>39</v>
      </c>
      <c r="C18" s="624" t="s">
        <v>268</v>
      </c>
      <c r="D18" s="573">
        <v>1375</v>
      </c>
      <c r="E18" s="573">
        <v>1260</v>
      </c>
      <c r="F18" s="573">
        <v>1119</v>
      </c>
      <c r="G18" s="573">
        <v>1027</v>
      </c>
      <c r="H18" s="573">
        <v>971</v>
      </c>
      <c r="I18" s="573">
        <v>906</v>
      </c>
      <c r="J18" s="573">
        <v>743</v>
      </c>
      <c r="K18" s="580">
        <v>611</v>
      </c>
      <c r="L18" s="580">
        <v>724</v>
      </c>
      <c r="M18" s="580">
        <v>693</v>
      </c>
    </row>
    <row r="19" spans="1:13">
      <c r="A19" s="579" t="s">
        <v>40</v>
      </c>
      <c r="B19" s="569" t="s">
        <v>41</v>
      </c>
      <c r="C19" s="624" t="s">
        <v>266</v>
      </c>
      <c r="D19" s="573">
        <v>590</v>
      </c>
      <c r="E19" s="573">
        <v>451</v>
      </c>
      <c r="F19" s="573">
        <v>480</v>
      </c>
      <c r="G19" s="573">
        <v>432</v>
      </c>
      <c r="H19" s="573">
        <v>500</v>
      </c>
      <c r="I19" s="573">
        <v>532</v>
      </c>
      <c r="J19" s="573">
        <v>432</v>
      </c>
      <c r="K19" s="580">
        <v>430</v>
      </c>
      <c r="L19" s="580">
        <v>416</v>
      </c>
      <c r="M19" s="580">
        <v>335</v>
      </c>
    </row>
    <row r="20" spans="1:13">
      <c r="A20" s="579" t="s">
        <v>42</v>
      </c>
      <c r="B20" s="569" t="s">
        <v>43</v>
      </c>
      <c r="C20" s="624" t="s">
        <v>265</v>
      </c>
      <c r="D20" s="573">
        <v>1481</v>
      </c>
      <c r="E20" s="573">
        <v>1340</v>
      </c>
      <c r="F20" s="573">
        <v>1344</v>
      </c>
      <c r="G20" s="573">
        <v>1258</v>
      </c>
      <c r="H20" s="573">
        <v>1366</v>
      </c>
      <c r="I20" s="573">
        <v>1511</v>
      </c>
      <c r="J20" s="573">
        <v>1498</v>
      </c>
      <c r="K20" s="580">
        <v>1562</v>
      </c>
      <c r="L20" s="580">
        <v>1382</v>
      </c>
      <c r="M20" s="580">
        <v>1204</v>
      </c>
    </row>
    <row r="21" spans="1:13">
      <c r="A21" s="579" t="s">
        <v>44</v>
      </c>
      <c r="B21" s="569" t="s">
        <v>45</v>
      </c>
      <c r="C21" s="624" t="s">
        <v>266</v>
      </c>
      <c r="D21" s="573">
        <v>686</v>
      </c>
      <c r="E21" s="573">
        <v>640</v>
      </c>
      <c r="F21" s="573">
        <v>613</v>
      </c>
      <c r="G21" s="573">
        <v>634</v>
      </c>
      <c r="H21" s="573">
        <v>915</v>
      </c>
      <c r="I21" s="573">
        <v>1096</v>
      </c>
      <c r="J21" s="573">
        <v>1148</v>
      </c>
      <c r="K21" s="580">
        <v>1048</v>
      </c>
      <c r="L21" s="580">
        <v>959</v>
      </c>
      <c r="M21" s="580">
        <v>850</v>
      </c>
    </row>
    <row r="22" spans="1:13">
      <c r="A22" s="579" t="s">
        <v>46</v>
      </c>
      <c r="B22" s="569" t="s">
        <v>47</v>
      </c>
      <c r="C22" s="624" t="s">
        <v>268</v>
      </c>
      <c r="D22" s="573">
        <v>802</v>
      </c>
      <c r="E22" s="573">
        <v>707</v>
      </c>
      <c r="F22" s="573">
        <v>662</v>
      </c>
      <c r="G22" s="573">
        <v>617</v>
      </c>
      <c r="H22" s="573">
        <v>702</v>
      </c>
      <c r="I22" s="573">
        <v>746</v>
      </c>
      <c r="J22" s="573">
        <v>675</v>
      </c>
      <c r="K22" s="580">
        <v>704</v>
      </c>
      <c r="L22" s="580">
        <v>585</v>
      </c>
      <c r="M22" s="580">
        <v>502</v>
      </c>
    </row>
    <row r="23" spans="1:13">
      <c r="A23" s="579" t="s">
        <v>48</v>
      </c>
      <c r="B23" s="569" t="s">
        <v>269</v>
      </c>
      <c r="C23" s="624" t="s">
        <v>266</v>
      </c>
      <c r="D23" s="573">
        <v>118</v>
      </c>
      <c r="E23" s="573">
        <v>108</v>
      </c>
      <c r="F23" s="573">
        <v>113</v>
      </c>
      <c r="G23" s="573">
        <v>135</v>
      </c>
      <c r="H23" s="573">
        <v>118</v>
      </c>
      <c r="I23" s="573">
        <v>99</v>
      </c>
      <c r="J23" s="573">
        <v>145</v>
      </c>
      <c r="K23" s="580">
        <v>125</v>
      </c>
      <c r="L23" s="580">
        <v>96</v>
      </c>
      <c r="M23" s="580">
        <v>69</v>
      </c>
    </row>
    <row r="24" spans="1:13">
      <c r="A24" s="579" t="s">
        <v>50</v>
      </c>
      <c r="B24" s="569" t="s">
        <v>51</v>
      </c>
      <c r="C24" s="624" t="s">
        <v>265</v>
      </c>
      <c r="D24" s="573">
        <v>452</v>
      </c>
      <c r="E24" s="573">
        <v>491</v>
      </c>
      <c r="F24" s="573">
        <v>405</v>
      </c>
      <c r="G24" s="573">
        <v>310</v>
      </c>
      <c r="H24" s="573">
        <v>422</v>
      </c>
      <c r="I24" s="573">
        <v>472</v>
      </c>
      <c r="J24" s="573">
        <v>452</v>
      </c>
      <c r="K24" s="580">
        <v>508</v>
      </c>
      <c r="L24" s="580">
        <v>504</v>
      </c>
      <c r="M24" s="580">
        <v>424</v>
      </c>
    </row>
    <row r="25" spans="1:13">
      <c r="A25" s="579" t="s">
        <v>56</v>
      </c>
      <c r="B25" s="569" t="s">
        <v>295</v>
      </c>
      <c r="C25" s="624" t="s">
        <v>266</v>
      </c>
      <c r="D25" s="573">
        <v>4958</v>
      </c>
      <c r="E25" s="573">
        <v>4835</v>
      </c>
      <c r="F25" s="573">
        <v>4528</v>
      </c>
      <c r="G25" s="573">
        <v>4450</v>
      </c>
      <c r="H25" s="573">
        <v>5198</v>
      </c>
      <c r="I25" s="573">
        <v>5833</v>
      </c>
      <c r="J25" s="573">
        <v>6002</v>
      </c>
      <c r="K25" s="580">
        <v>5765</v>
      </c>
      <c r="L25" s="580">
        <v>5269</v>
      </c>
      <c r="M25" s="580">
        <v>4523</v>
      </c>
    </row>
    <row r="26" spans="1:13">
      <c r="A26" s="579" t="s">
        <v>58</v>
      </c>
      <c r="B26" s="569" t="s">
        <v>59</v>
      </c>
      <c r="C26" s="624" t="s">
        <v>267</v>
      </c>
      <c r="D26" s="573">
        <v>70</v>
      </c>
      <c r="E26" s="573">
        <v>72</v>
      </c>
      <c r="F26" s="573">
        <v>67</v>
      </c>
      <c r="G26" s="573">
        <v>63</v>
      </c>
      <c r="H26" s="573">
        <v>101</v>
      </c>
      <c r="I26" s="573">
        <v>110</v>
      </c>
      <c r="J26" s="573">
        <v>121</v>
      </c>
      <c r="K26" s="580">
        <v>117</v>
      </c>
      <c r="L26" s="580">
        <v>114</v>
      </c>
      <c r="M26" s="580">
        <v>80</v>
      </c>
    </row>
    <row r="27" spans="1:13">
      <c r="A27" s="579" t="s">
        <v>60</v>
      </c>
      <c r="B27" s="569" t="s">
        <v>61</v>
      </c>
      <c r="C27" s="624" t="s">
        <v>265</v>
      </c>
      <c r="D27" s="573">
        <v>57</v>
      </c>
      <c r="E27" s="573">
        <v>55</v>
      </c>
      <c r="F27" s="573">
        <v>46</v>
      </c>
      <c r="G27" s="573">
        <v>45</v>
      </c>
      <c r="H27" s="573">
        <v>55</v>
      </c>
      <c r="I27" s="573">
        <v>59</v>
      </c>
      <c r="J27" s="573">
        <v>67</v>
      </c>
      <c r="K27" s="580">
        <v>78</v>
      </c>
      <c r="L27" s="580">
        <v>59</v>
      </c>
      <c r="M27" s="580">
        <v>59</v>
      </c>
    </row>
    <row r="28" spans="1:13">
      <c r="A28" s="579" t="s">
        <v>62</v>
      </c>
      <c r="B28" s="569" t="s">
        <v>63</v>
      </c>
      <c r="C28" s="624" t="s">
        <v>267</v>
      </c>
      <c r="D28" s="573">
        <v>836</v>
      </c>
      <c r="E28" s="573">
        <v>801</v>
      </c>
      <c r="F28" s="573">
        <v>818</v>
      </c>
      <c r="G28" s="573">
        <v>841</v>
      </c>
      <c r="H28" s="573">
        <v>995</v>
      </c>
      <c r="I28" s="573">
        <v>1105</v>
      </c>
      <c r="J28" s="573">
        <v>1059</v>
      </c>
      <c r="K28" s="580">
        <v>932</v>
      </c>
      <c r="L28" s="580">
        <v>900</v>
      </c>
      <c r="M28" s="580">
        <v>792</v>
      </c>
    </row>
    <row r="29" spans="1:13">
      <c r="A29" s="579" t="s">
        <v>64</v>
      </c>
      <c r="B29" s="569" t="s">
        <v>65</v>
      </c>
      <c r="C29" s="624" t="s">
        <v>266</v>
      </c>
      <c r="D29" s="573">
        <v>378</v>
      </c>
      <c r="E29" s="573">
        <v>307</v>
      </c>
      <c r="F29" s="573">
        <v>309</v>
      </c>
      <c r="G29" s="573">
        <v>313</v>
      </c>
      <c r="H29" s="573">
        <v>361</v>
      </c>
      <c r="I29" s="573">
        <v>354</v>
      </c>
      <c r="J29" s="573">
        <v>346</v>
      </c>
      <c r="K29" s="580">
        <v>336</v>
      </c>
      <c r="L29" s="580">
        <v>399</v>
      </c>
      <c r="M29" s="580">
        <v>328</v>
      </c>
    </row>
    <row r="30" spans="1:13">
      <c r="A30" s="579" t="s">
        <v>68</v>
      </c>
      <c r="B30" s="569" t="s">
        <v>69</v>
      </c>
      <c r="C30" s="624" t="s">
        <v>268</v>
      </c>
      <c r="D30" s="573">
        <v>722</v>
      </c>
      <c r="E30" s="573">
        <v>666</v>
      </c>
      <c r="F30" s="573">
        <v>604</v>
      </c>
      <c r="G30" s="573">
        <v>595</v>
      </c>
      <c r="H30" s="573">
        <v>524</v>
      </c>
      <c r="I30" s="573">
        <v>547</v>
      </c>
      <c r="J30" s="573">
        <v>480</v>
      </c>
      <c r="K30" s="580">
        <v>440</v>
      </c>
      <c r="L30" s="580">
        <v>343</v>
      </c>
      <c r="M30" s="580">
        <v>364</v>
      </c>
    </row>
    <row r="31" spans="1:13">
      <c r="A31" s="579" t="s">
        <v>70</v>
      </c>
      <c r="B31" s="569" t="s">
        <v>71</v>
      </c>
      <c r="C31" s="624" t="s">
        <v>264</v>
      </c>
      <c r="D31" s="573">
        <v>714</v>
      </c>
      <c r="E31" s="573">
        <v>761</v>
      </c>
      <c r="F31" s="573">
        <v>644</v>
      </c>
      <c r="G31" s="573">
        <v>581</v>
      </c>
      <c r="H31" s="573">
        <v>662</v>
      </c>
      <c r="I31" s="573">
        <v>772</v>
      </c>
      <c r="J31" s="573">
        <v>773</v>
      </c>
      <c r="K31" s="580">
        <v>726</v>
      </c>
      <c r="L31" s="580">
        <v>700</v>
      </c>
      <c r="M31" s="580">
        <v>693</v>
      </c>
    </row>
    <row r="32" spans="1:13">
      <c r="A32" s="579" t="s">
        <v>72</v>
      </c>
      <c r="B32" s="569" t="s">
        <v>73</v>
      </c>
      <c r="C32" s="624" t="s">
        <v>266</v>
      </c>
      <c r="D32" s="573">
        <v>341</v>
      </c>
      <c r="E32" s="573">
        <v>355</v>
      </c>
      <c r="F32" s="573">
        <v>325</v>
      </c>
      <c r="G32" s="573">
        <v>415</v>
      </c>
      <c r="H32" s="573">
        <v>462</v>
      </c>
      <c r="I32" s="573">
        <v>529</v>
      </c>
      <c r="J32" s="573">
        <v>466</v>
      </c>
      <c r="K32" s="580">
        <v>480</v>
      </c>
      <c r="L32" s="580">
        <v>386</v>
      </c>
      <c r="M32" s="580">
        <v>389</v>
      </c>
    </row>
    <row r="33" spans="1:13">
      <c r="A33" s="579" t="s">
        <v>74</v>
      </c>
      <c r="B33" s="569" t="s">
        <v>296</v>
      </c>
      <c r="C33" s="624" t="s">
        <v>267</v>
      </c>
      <c r="D33" s="573">
        <v>6971</v>
      </c>
      <c r="E33" s="573">
        <v>7215</v>
      </c>
      <c r="F33" s="573">
        <v>7034</v>
      </c>
      <c r="G33" s="573">
        <v>6735</v>
      </c>
      <c r="H33" s="573">
        <v>7821</v>
      </c>
      <c r="I33" s="573">
        <v>8890</v>
      </c>
      <c r="J33" s="573">
        <v>9227</v>
      </c>
      <c r="K33" s="580">
        <v>8653</v>
      </c>
      <c r="L33" s="580">
        <v>8530</v>
      </c>
      <c r="M33" s="580">
        <v>7508</v>
      </c>
    </row>
    <row r="34" spans="1:13">
      <c r="A34" s="579" t="s">
        <v>76</v>
      </c>
      <c r="B34" s="569" t="s">
        <v>77</v>
      </c>
      <c r="C34" s="624" t="s">
        <v>267</v>
      </c>
      <c r="D34" s="573">
        <v>567</v>
      </c>
      <c r="E34" s="573">
        <v>550</v>
      </c>
      <c r="F34" s="573">
        <v>560</v>
      </c>
      <c r="G34" s="573">
        <v>577</v>
      </c>
      <c r="H34" s="573">
        <v>681</v>
      </c>
      <c r="I34" s="573">
        <v>684</v>
      </c>
      <c r="J34" s="573">
        <v>646</v>
      </c>
      <c r="K34" s="580">
        <v>631</v>
      </c>
      <c r="L34" s="580">
        <v>517</v>
      </c>
      <c r="M34" s="580">
        <v>449</v>
      </c>
    </row>
    <row r="35" spans="1:13">
      <c r="A35" s="579" t="s">
        <v>78</v>
      </c>
      <c r="B35" s="569" t="s">
        <v>79</v>
      </c>
      <c r="C35" s="624" t="s">
        <v>268</v>
      </c>
      <c r="D35" s="573">
        <v>227</v>
      </c>
      <c r="E35" s="573">
        <v>286</v>
      </c>
      <c r="F35" s="573">
        <v>230</v>
      </c>
      <c r="G35" s="573">
        <v>212</v>
      </c>
      <c r="H35" s="573">
        <v>247</v>
      </c>
      <c r="I35" s="573">
        <v>280</v>
      </c>
      <c r="J35" s="573">
        <v>317</v>
      </c>
      <c r="K35" s="580">
        <v>336</v>
      </c>
      <c r="L35" s="580">
        <v>329</v>
      </c>
      <c r="M35" s="580">
        <v>254</v>
      </c>
    </row>
    <row r="36" spans="1:13">
      <c r="A36" s="579" t="s">
        <v>80</v>
      </c>
      <c r="B36" s="569" t="s">
        <v>81</v>
      </c>
      <c r="C36" s="624" t="s">
        <v>266</v>
      </c>
      <c r="D36" s="573">
        <v>154</v>
      </c>
      <c r="E36" s="573">
        <v>142</v>
      </c>
      <c r="F36" s="573">
        <v>122</v>
      </c>
      <c r="G36" s="573">
        <v>131</v>
      </c>
      <c r="H36" s="573">
        <v>146</v>
      </c>
      <c r="I36" s="573">
        <v>168</v>
      </c>
      <c r="J36" s="573">
        <v>239</v>
      </c>
      <c r="K36" s="580">
        <v>286</v>
      </c>
      <c r="L36" s="580">
        <v>261</v>
      </c>
      <c r="M36" s="580">
        <v>204</v>
      </c>
    </row>
    <row r="37" spans="1:13">
      <c r="A37" s="579" t="s">
        <v>84</v>
      </c>
      <c r="B37" s="569" t="s">
        <v>85</v>
      </c>
      <c r="C37" s="624" t="s">
        <v>265</v>
      </c>
      <c r="D37" s="573">
        <v>1106</v>
      </c>
      <c r="E37" s="573">
        <v>1147</v>
      </c>
      <c r="F37" s="573">
        <v>1015</v>
      </c>
      <c r="G37" s="573">
        <v>1048</v>
      </c>
      <c r="H37" s="573">
        <v>1291</v>
      </c>
      <c r="I37" s="573">
        <v>1302</v>
      </c>
      <c r="J37" s="573">
        <v>1398</v>
      </c>
      <c r="K37" s="580">
        <v>1319</v>
      </c>
      <c r="L37" s="580">
        <v>1158</v>
      </c>
      <c r="M37" s="580">
        <v>1018</v>
      </c>
    </row>
    <row r="38" spans="1:13">
      <c r="A38" s="579" t="s">
        <v>86</v>
      </c>
      <c r="B38" s="569" t="s">
        <v>87</v>
      </c>
      <c r="C38" s="624" t="s">
        <v>267</v>
      </c>
      <c r="D38" s="573">
        <v>444</v>
      </c>
      <c r="E38" s="573">
        <v>505</v>
      </c>
      <c r="F38" s="573">
        <v>543</v>
      </c>
      <c r="G38" s="573">
        <v>603</v>
      </c>
      <c r="H38" s="573">
        <v>843</v>
      </c>
      <c r="I38" s="573">
        <v>1006</v>
      </c>
      <c r="J38" s="573">
        <v>1133</v>
      </c>
      <c r="K38" s="580">
        <v>1048</v>
      </c>
      <c r="L38" s="580">
        <v>932</v>
      </c>
      <c r="M38" s="580">
        <v>648</v>
      </c>
    </row>
    <row r="39" spans="1:13">
      <c r="A39" s="579" t="s">
        <v>92</v>
      </c>
      <c r="B39" s="569" t="s">
        <v>93</v>
      </c>
      <c r="C39" s="624" t="s">
        <v>268</v>
      </c>
      <c r="D39" s="573">
        <v>293</v>
      </c>
      <c r="E39" s="573">
        <v>237</v>
      </c>
      <c r="F39" s="573">
        <v>241</v>
      </c>
      <c r="G39" s="573">
        <v>214</v>
      </c>
      <c r="H39" s="573">
        <v>272</v>
      </c>
      <c r="I39" s="573">
        <v>282</v>
      </c>
      <c r="J39" s="573">
        <v>325</v>
      </c>
      <c r="K39" s="580">
        <v>284</v>
      </c>
      <c r="L39" s="580">
        <v>331</v>
      </c>
      <c r="M39" s="580">
        <v>223</v>
      </c>
    </row>
    <row r="40" spans="1:13">
      <c r="A40" s="579" t="s">
        <v>94</v>
      </c>
      <c r="B40" s="569" t="s">
        <v>95</v>
      </c>
      <c r="C40" s="624" t="s">
        <v>264</v>
      </c>
      <c r="D40" s="573">
        <v>530</v>
      </c>
      <c r="E40" s="573">
        <v>530</v>
      </c>
      <c r="F40" s="573">
        <v>518</v>
      </c>
      <c r="G40" s="573">
        <v>543</v>
      </c>
      <c r="H40" s="573">
        <v>567</v>
      </c>
      <c r="I40" s="573">
        <v>668</v>
      </c>
      <c r="J40" s="573">
        <v>593</v>
      </c>
      <c r="K40" s="580">
        <v>543</v>
      </c>
      <c r="L40" s="580">
        <v>486</v>
      </c>
      <c r="M40" s="580">
        <v>528</v>
      </c>
    </row>
    <row r="41" spans="1:13">
      <c r="A41" s="579" t="s">
        <v>96</v>
      </c>
      <c r="B41" s="569" t="s">
        <v>97</v>
      </c>
      <c r="C41" s="624" t="s">
        <v>266</v>
      </c>
      <c r="D41" s="573">
        <v>117</v>
      </c>
      <c r="E41" s="573">
        <v>166</v>
      </c>
      <c r="F41" s="573">
        <v>158</v>
      </c>
      <c r="G41" s="573">
        <v>178</v>
      </c>
      <c r="H41" s="573">
        <v>162</v>
      </c>
      <c r="I41" s="573">
        <v>222</v>
      </c>
      <c r="J41" s="573">
        <v>265</v>
      </c>
      <c r="K41" s="580">
        <v>230</v>
      </c>
      <c r="L41" s="580">
        <v>178</v>
      </c>
      <c r="M41" s="580">
        <v>121</v>
      </c>
    </row>
    <row r="42" spans="1:13">
      <c r="A42" s="579" t="s">
        <v>98</v>
      </c>
      <c r="B42" s="569" t="s">
        <v>99</v>
      </c>
      <c r="C42" s="624" t="s">
        <v>268</v>
      </c>
      <c r="D42" s="573">
        <v>465</v>
      </c>
      <c r="E42" s="573">
        <v>481</v>
      </c>
      <c r="F42" s="573">
        <v>377</v>
      </c>
      <c r="G42" s="573">
        <v>253</v>
      </c>
      <c r="H42" s="573">
        <v>294</v>
      </c>
      <c r="I42" s="573">
        <v>312</v>
      </c>
      <c r="J42" s="573">
        <v>274</v>
      </c>
      <c r="K42" s="580">
        <v>263</v>
      </c>
      <c r="L42" s="580">
        <v>251</v>
      </c>
      <c r="M42" s="580">
        <v>251</v>
      </c>
    </row>
    <row r="43" spans="1:13">
      <c r="A43" s="579" t="s">
        <v>100</v>
      </c>
      <c r="B43" s="569" t="s">
        <v>101</v>
      </c>
      <c r="C43" s="624" t="s">
        <v>267</v>
      </c>
      <c r="D43" s="573">
        <v>269</v>
      </c>
      <c r="E43" s="573">
        <v>305</v>
      </c>
      <c r="F43" s="573">
        <v>308</v>
      </c>
      <c r="G43" s="573">
        <v>248</v>
      </c>
      <c r="H43" s="573">
        <v>313</v>
      </c>
      <c r="I43" s="573">
        <v>328</v>
      </c>
      <c r="J43" s="573">
        <v>303</v>
      </c>
      <c r="K43" s="580">
        <v>286</v>
      </c>
      <c r="L43" s="580">
        <v>220</v>
      </c>
      <c r="M43" s="580">
        <v>202</v>
      </c>
    </row>
    <row r="44" spans="1:13">
      <c r="A44" s="579" t="s">
        <v>102</v>
      </c>
      <c r="B44" s="569" t="s">
        <v>282</v>
      </c>
      <c r="C44" s="624" t="s">
        <v>264</v>
      </c>
      <c r="D44" s="573">
        <v>674</v>
      </c>
      <c r="E44" s="573">
        <v>824</v>
      </c>
      <c r="F44" s="573">
        <v>792</v>
      </c>
      <c r="G44" s="573">
        <v>851</v>
      </c>
      <c r="H44" s="573">
        <v>801</v>
      </c>
      <c r="I44" s="573">
        <v>824</v>
      </c>
      <c r="J44" s="573">
        <v>893</v>
      </c>
      <c r="K44" s="580">
        <v>803</v>
      </c>
      <c r="L44" s="580">
        <v>824</v>
      </c>
      <c r="M44" s="580">
        <v>834</v>
      </c>
    </row>
    <row r="45" spans="1:13">
      <c r="A45" s="579" t="s">
        <v>104</v>
      </c>
      <c r="B45" s="569" t="s">
        <v>105</v>
      </c>
      <c r="C45" s="624" t="s">
        <v>265</v>
      </c>
      <c r="D45" s="573">
        <v>1533</v>
      </c>
      <c r="E45" s="573">
        <v>1532</v>
      </c>
      <c r="F45" s="573">
        <v>1472</v>
      </c>
      <c r="G45" s="573">
        <v>1418</v>
      </c>
      <c r="H45" s="573">
        <v>1374</v>
      </c>
      <c r="I45" s="573">
        <v>1362</v>
      </c>
      <c r="J45" s="573">
        <v>1324</v>
      </c>
      <c r="K45" s="580">
        <v>1150</v>
      </c>
      <c r="L45" s="580">
        <v>1053</v>
      </c>
      <c r="M45" s="580">
        <v>945</v>
      </c>
    </row>
    <row r="46" spans="1:13">
      <c r="A46" s="579" t="s">
        <v>108</v>
      </c>
      <c r="B46" s="569" t="s">
        <v>109</v>
      </c>
      <c r="C46" s="624" t="s">
        <v>266</v>
      </c>
      <c r="D46" s="573">
        <v>794</v>
      </c>
      <c r="E46" s="573">
        <v>737</v>
      </c>
      <c r="F46" s="573">
        <v>708</v>
      </c>
      <c r="G46" s="573">
        <v>723</v>
      </c>
      <c r="H46" s="573">
        <v>820</v>
      </c>
      <c r="I46" s="573">
        <v>965</v>
      </c>
      <c r="J46" s="573">
        <v>988</v>
      </c>
      <c r="K46" s="580">
        <v>834</v>
      </c>
      <c r="L46" s="580">
        <v>731</v>
      </c>
      <c r="M46" s="580">
        <v>718</v>
      </c>
    </row>
    <row r="47" spans="1:13">
      <c r="A47" s="579" t="s">
        <v>110</v>
      </c>
      <c r="B47" s="569" t="s">
        <v>111</v>
      </c>
      <c r="C47" s="624" t="s">
        <v>266</v>
      </c>
      <c r="D47" s="573">
        <v>6186</v>
      </c>
      <c r="E47" s="573">
        <v>6388</v>
      </c>
      <c r="F47" s="573">
        <v>6032</v>
      </c>
      <c r="G47" s="573">
        <v>5646</v>
      </c>
      <c r="H47" s="573">
        <v>6393</v>
      </c>
      <c r="I47" s="573">
        <v>7706</v>
      </c>
      <c r="J47" s="573">
        <v>7953</v>
      </c>
      <c r="K47" s="580">
        <v>7735</v>
      </c>
      <c r="L47" s="580">
        <v>6921</v>
      </c>
      <c r="M47" s="580">
        <v>6101</v>
      </c>
    </row>
    <row r="48" spans="1:13">
      <c r="A48" s="579" t="s">
        <v>112</v>
      </c>
      <c r="B48" s="569" t="s">
        <v>300</v>
      </c>
      <c r="C48" s="624" t="s">
        <v>265</v>
      </c>
      <c r="D48" s="573">
        <v>2840</v>
      </c>
      <c r="E48" s="573">
        <v>2769</v>
      </c>
      <c r="F48" s="573">
        <v>2605</v>
      </c>
      <c r="G48" s="573">
        <v>2515</v>
      </c>
      <c r="H48" s="573">
        <v>2783</v>
      </c>
      <c r="I48" s="573">
        <v>2992</v>
      </c>
      <c r="J48" s="573">
        <v>2932</v>
      </c>
      <c r="K48" s="580">
        <v>2620</v>
      </c>
      <c r="L48" s="580">
        <v>2347</v>
      </c>
      <c r="M48" s="580">
        <v>2085</v>
      </c>
    </row>
    <row r="49" spans="1:13">
      <c r="A49" s="579" t="s">
        <v>114</v>
      </c>
      <c r="B49" s="569" t="s">
        <v>115</v>
      </c>
      <c r="C49" s="624" t="s">
        <v>265</v>
      </c>
      <c r="D49" s="573">
        <v>21</v>
      </c>
      <c r="E49" s="573">
        <v>19</v>
      </c>
      <c r="F49" s="573">
        <v>11</v>
      </c>
      <c r="G49" s="573">
        <v>4</v>
      </c>
      <c r="H49" s="573">
        <v>4</v>
      </c>
      <c r="I49" s="573">
        <v>1</v>
      </c>
      <c r="J49" s="573">
        <v>6</v>
      </c>
      <c r="K49" s="580">
        <v>8</v>
      </c>
      <c r="L49" s="580">
        <v>12</v>
      </c>
      <c r="M49" s="580">
        <v>9</v>
      </c>
    </row>
    <row r="50" spans="1:13">
      <c r="A50" s="579" t="s">
        <v>118</v>
      </c>
      <c r="B50" s="569" t="s">
        <v>270</v>
      </c>
      <c r="C50" s="624" t="s">
        <v>264</v>
      </c>
      <c r="D50" s="573">
        <v>655</v>
      </c>
      <c r="E50" s="573">
        <v>681</v>
      </c>
      <c r="F50" s="573">
        <v>635</v>
      </c>
      <c r="G50" s="573">
        <v>615</v>
      </c>
      <c r="H50" s="573">
        <v>711</v>
      </c>
      <c r="I50" s="573">
        <v>812</v>
      </c>
      <c r="J50" s="573">
        <v>832</v>
      </c>
      <c r="K50" s="580">
        <v>709</v>
      </c>
      <c r="L50" s="580">
        <v>632</v>
      </c>
      <c r="M50" s="580">
        <v>555</v>
      </c>
    </row>
    <row r="51" spans="1:13">
      <c r="A51" s="579" t="s">
        <v>120</v>
      </c>
      <c r="B51" s="569" t="s">
        <v>121</v>
      </c>
      <c r="C51" s="624" t="s">
        <v>264</v>
      </c>
      <c r="D51" s="573">
        <v>624</v>
      </c>
      <c r="E51" s="573">
        <v>606</v>
      </c>
      <c r="F51" s="573">
        <v>522</v>
      </c>
      <c r="G51" s="573">
        <v>522</v>
      </c>
      <c r="H51" s="573">
        <v>624</v>
      </c>
      <c r="I51" s="573">
        <v>791</v>
      </c>
      <c r="J51" s="573">
        <v>820</v>
      </c>
      <c r="K51" s="580">
        <v>836</v>
      </c>
      <c r="L51" s="580">
        <v>881</v>
      </c>
      <c r="M51" s="580">
        <v>763</v>
      </c>
    </row>
    <row r="52" spans="1:13">
      <c r="A52" s="579" t="s">
        <v>122</v>
      </c>
      <c r="B52" s="569" t="s">
        <v>287</v>
      </c>
      <c r="C52" s="624" t="s">
        <v>266</v>
      </c>
      <c r="D52" s="573">
        <v>163</v>
      </c>
      <c r="E52" s="573">
        <v>153</v>
      </c>
      <c r="F52" s="573">
        <v>130</v>
      </c>
      <c r="G52" s="573">
        <v>128</v>
      </c>
      <c r="H52" s="573">
        <v>147</v>
      </c>
      <c r="I52" s="573">
        <v>178</v>
      </c>
      <c r="J52" s="573">
        <v>162</v>
      </c>
      <c r="K52" s="580">
        <v>145</v>
      </c>
      <c r="L52" s="580">
        <v>133</v>
      </c>
      <c r="M52" s="580">
        <v>134</v>
      </c>
    </row>
    <row r="53" spans="1:13">
      <c r="A53" s="579" t="s">
        <v>124</v>
      </c>
      <c r="B53" s="569" t="s">
        <v>125</v>
      </c>
      <c r="C53" s="624" t="s">
        <v>267</v>
      </c>
      <c r="D53" s="573">
        <v>176</v>
      </c>
      <c r="E53" s="573">
        <v>183</v>
      </c>
      <c r="F53" s="573">
        <v>209</v>
      </c>
      <c r="G53" s="573">
        <v>249</v>
      </c>
      <c r="H53" s="573">
        <v>234</v>
      </c>
      <c r="I53" s="573">
        <v>292</v>
      </c>
      <c r="J53" s="573">
        <v>330</v>
      </c>
      <c r="K53" s="580">
        <v>338</v>
      </c>
      <c r="L53" s="580">
        <v>367</v>
      </c>
      <c r="M53" s="580">
        <v>361</v>
      </c>
    </row>
    <row r="54" spans="1:13">
      <c r="A54" s="579" t="s">
        <v>126</v>
      </c>
      <c r="B54" s="569" t="s">
        <v>127</v>
      </c>
      <c r="C54" s="624" t="s">
        <v>266</v>
      </c>
      <c r="D54" s="573">
        <v>241</v>
      </c>
      <c r="E54" s="573">
        <v>189</v>
      </c>
      <c r="F54" s="573">
        <v>193</v>
      </c>
      <c r="G54" s="573">
        <v>164</v>
      </c>
      <c r="H54" s="573">
        <v>215</v>
      </c>
      <c r="I54" s="573">
        <v>296</v>
      </c>
      <c r="J54" s="573">
        <v>295</v>
      </c>
      <c r="K54" s="580">
        <v>246</v>
      </c>
      <c r="L54" s="580">
        <v>231</v>
      </c>
      <c r="M54" s="580">
        <v>217</v>
      </c>
    </row>
    <row r="55" spans="1:13">
      <c r="A55" s="579" t="s">
        <v>128</v>
      </c>
      <c r="B55" s="569" t="s">
        <v>129</v>
      </c>
      <c r="C55" s="624" t="s">
        <v>266</v>
      </c>
      <c r="D55" s="573">
        <v>286</v>
      </c>
      <c r="E55" s="573">
        <v>268</v>
      </c>
      <c r="F55" s="573">
        <v>216</v>
      </c>
      <c r="G55" s="573">
        <v>195</v>
      </c>
      <c r="H55" s="573">
        <v>250</v>
      </c>
      <c r="I55" s="573">
        <v>236</v>
      </c>
      <c r="J55" s="573">
        <v>250</v>
      </c>
      <c r="K55" s="580">
        <v>295</v>
      </c>
      <c r="L55" s="580">
        <v>216</v>
      </c>
      <c r="M55" s="580">
        <v>196</v>
      </c>
    </row>
    <row r="56" spans="1:13">
      <c r="A56" s="579" t="s">
        <v>130</v>
      </c>
      <c r="B56" s="569" t="s">
        <v>131</v>
      </c>
      <c r="C56" s="624" t="s">
        <v>268</v>
      </c>
      <c r="D56" s="573">
        <v>1634</v>
      </c>
      <c r="E56" s="573">
        <v>1562</v>
      </c>
      <c r="F56" s="573">
        <v>1426</v>
      </c>
      <c r="G56" s="573">
        <v>1267</v>
      </c>
      <c r="H56" s="573">
        <v>1288</v>
      </c>
      <c r="I56" s="573">
        <v>1422</v>
      </c>
      <c r="J56" s="573">
        <v>1426</v>
      </c>
      <c r="K56" s="580">
        <v>1403</v>
      </c>
      <c r="L56" s="580">
        <v>1402</v>
      </c>
      <c r="M56" s="580">
        <v>1262</v>
      </c>
    </row>
    <row r="57" spans="1:13">
      <c r="A57" s="579" t="s">
        <v>132</v>
      </c>
      <c r="B57" s="569" t="s">
        <v>133</v>
      </c>
      <c r="C57" s="624" t="s">
        <v>267</v>
      </c>
      <c r="D57" s="573">
        <v>1331</v>
      </c>
      <c r="E57" s="573">
        <v>1415</v>
      </c>
      <c r="F57" s="573">
        <v>1409</v>
      </c>
      <c r="G57" s="573">
        <v>1550</v>
      </c>
      <c r="H57" s="573">
        <v>1690</v>
      </c>
      <c r="I57" s="573">
        <v>1838</v>
      </c>
      <c r="J57" s="573">
        <v>1554</v>
      </c>
      <c r="K57" s="580">
        <v>1523</v>
      </c>
      <c r="L57" s="580">
        <v>1438</v>
      </c>
      <c r="M57" s="580">
        <v>1298</v>
      </c>
    </row>
    <row r="58" spans="1:13">
      <c r="A58" s="579" t="s">
        <v>134</v>
      </c>
      <c r="B58" s="569" t="s">
        <v>135</v>
      </c>
      <c r="C58" s="624" t="s">
        <v>267</v>
      </c>
      <c r="D58" s="573">
        <v>558</v>
      </c>
      <c r="E58" s="573">
        <v>568</v>
      </c>
      <c r="F58" s="573">
        <v>558</v>
      </c>
      <c r="G58" s="573">
        <v>503</v>
      </c>
      <c r="H58" s="573">
        <v>578</v>
      </c>
      <c r="I58" s="573">
        <v>621</v>
      </c>
      <c r="J58" s="573">
        <v>651</v>
      </c>
      <c r="K58" s="580">
        <v>567</v>
      </c>
      <c r="L58" s="580">
        <v>603</v>
      </c>
      <c r="M58" s="580">
        <v>539</v>
      </c>
    </row>
    <row r="59" spans="1:13">
      <c r="A59" s="579" t="s">
        <v>136</v>
      </c>
      <c r="B59" s="569" t="s">
        <v>137</v>
      </c>
      <c r="C59" s="624" t="s">
        <v>266</v>
      </c>
      <c r="D59" s="573">
        <v>225</v>
      </c>
      <c r="E59" s="573">
        <v>210</v>
      </c>
      <c r="F59" s="573">
        <v>187</v>
      </c>
      <c r="G59" s="573">
        <v>216</v>
      </c>
      <c r="H59" s="573">
        <v>229</v>
      </c>
      <c r="I59" s="573">
        <v>285</v>
      </c>
      <c r="J59" s="573">
        <v>349</v>
      </c>
      <c r="K59" s="580">
        <v>412</v>
      </c>
      <c r="L59" s="580">
        <v>336</v>
      </c>
      <c r="M59" s="580">
        <v>326</v>
      </c>
    </row>
    <row r="60" spans="1:13">
      <c r="A60" s="579" t="s">
        <v>140</v>
      </c>
      <c r="B60" s="569" t="s">
        <v>141</v>
      </c>
      <c r="C60" s="624" t="s">
        <v>267</v>
      </c>
      <c r="D60" s="573">
        <v>182</v>
      </c>
      <c r="E60" s="573">
        <v>154</v>
      </c>
      <c r="F60" s="573">
        <v>187</v>
      </c>
      <c r="G60" s="573">
        <v>161</v>
      </c>
      <c r="H60" s="573">
        <v>197</v>
      </c>
      <c r="I60" s="573">
        <v>199</v>
      </c>
      <c r="J60" s="573">
        <v>173</v>
      </c>
      <c r="K60" s="580">
        <v>152</v>
      </c>
      <c r="L60" s="580">
        <v>143</v>
      </c>
      <c r="M60" s="580">
        <v>135</v>
      </c>
    </row>
    <row r="61" spans="1:13">
      <c r="A61" s="579" t="s">
        <v>146</v>
      </c>
      <c r="B61" s="569" t="s">
        <v>147</v>
      </c>
      <c r="C61" s="624" t="s">
        <v>264</v>
      </c>
      <c r="D61" s="573">
        <v>118</v>
      </c>
      <c r="E61" s="573">
        <v>108</v>
      </c>
      <c r="F61" s="573">
        <v>110</v>
      </c>
      <c r="G61" s="573">
        <v>83</v>
      </c>
      <c r="H61" s="573">
        <v>107</v>
      </c>
      <c r="I61" s="573">
        <v>115</v>
      </c>
      <c r="J61" s="573">
        <v>121</v>
      </c>
      <c r="K61" s="580">
        <v>113</v>
      </c>
      <c r="L61" s="580">
        <v>123</v>
      </c>
      <c r="M61" s="580">
        <v>92</v>
      </c>
    </row>
    <row r="62" spans="1:13">
      <c r="A62" s="579" t="s">
        <v>148</v>
      </c>
      <c r="B62" s="569" t="s">
        <v>149</v>
      </c>
      <c r="C62" s="624" t="s">
        <v>265</v>
      </c>
      <c r="D62" s="573">
        <v>932</v>
      </c>
      <c r="E62" s="573">
        <v>969</v>
      </c>
      <c r="F62" s="573">
        <v>862</v>
      </c>
      <c r="G62" s="573">
        <v>862</v>
      </c>
      <c r="H62" s="573">
        <v>930</v>
      </c>
      <c r="I62" s="573">
        <v>1009</v>
      </c>
      <c r="J62" s="573">
        <v>920</v>
      </c>
      <c r="K62" s="580">
        <v>814</v>
      </c>
      <c r="L62" s="580">
        <v>814</v>
      </c>
      <c r="M62" s="580">
        <v>813</v>
      </c>
    </row>
    <row r="63" spans="1:13">
      <c r="A63" s="579" t="s">
        <v>150</v>
      </c>
      <c r="B63" s="569" t="s">
        <v>151</v>
      </c>
      <c r="C63" s="624" t="s">
        <v>266</v>
      </c>
      <c r="D63" s="573">
        <v>178</v>
      </c>
      <c r="E63" s="573">
        <v>215</v>
      </c>
      <c r="F63" s="573">
        <v>195</v>
      </c>
      <c r="G63" s="573">
        <v>146</v>
      </c>
      <c r="H63" s="573">
        <v>221</v>
      </c>
      <c r="I63" s="573">
        <v>258</v>
      </c>
      <c r="J63" s="573">
        <v>222</v>
      </c>
      <c r="K63" s="580">
        <v>253</v>
      </c>
      <c r="L63" s="580">
        <v>282</v>
      </c>
      <c r="M63" s="580">
        <v>331</v>
      </c>
    </row>
    <row r="64" spans="1:13">
      <c r="A64" s="579" t="s">
        <v>152</v>
      </c>
      <c r="B64" s="569" t="s">
        <v>153</v>
      </c>
      <c r="C64" s="624" t="s">
        <v>268</v>
      </c>
      <c r="D64" s="573">
        <v>1868</v>
      </c>
      <c r="E64" s="573">
        <v>1987</v>
      </c>
      <c r="F64" s="573">
        <v>1890</v>
      </c>
      <c r="G64" s="573">
        <v>1717</v>
      </c>
      <c r="H64" s="573">
        <v>1897</v>
      </c>
      <c r="I64" s="573">
        <v>2045</v>
      </c>
      <c r="J64" s="573">
        <v>2069</v>
      </c>
      <c r="K64" s="580">
        <v>1851</v>
      </c>
      <c r="L64" s="580">
        <v>1570</v>
      </c>
      <c r="M64" s="580">
        <v>1421</v>
      </c>
    </row>
    <row r="65" spans="1:13">
      <c r="A65" s="579" t="s">
        <v>154</v>
      </c>
      <c r="B65" s="569" t="s">
        <v>155</v>
      </c>
      <c r="C65" s="624" t="s">
        <v>265</v>
      </c>
      <c r="D65" s="573">
        <v>173</v>
      </c>
      <c r="E65" s="573">
        <v>182</v>
      </c>
      <c r="F65" s="573">
        <v>225</v>
      </c>
      <c r="G65" s="573">
        <v>172</v>
      </c>
      <c r="H65" s="573">
        <v>214</v>
      </c>
      <c r="I65" s="573">
        <v>229</v>
      </c>
      <c r="J65" s="573">
        <v>212</v>
      </c>
      <c r="K65" s="580">
        <v>241</v>
      </c>
      <c r="L65" s="580">
        <v>217</v>
      </c>
      <c r="M65" s="580">
        <v>189</v>
      </c>
    </row>
    <row r="66" spans="1:13">
      <c r="A66" s="579" t="s">
        <v>156</v>
      </c>
      <c r="B66" s="569" t="s">
        <v>157</v>
      </c>
      <c r="C66" s="624" t="s">
        <v>266</v>
      </c>
      <c r="D66" s="573">
        <v>219</v>
      </c>
      <c r="E66" s="573">
        <v>197</v>
      </c>
      <c r="F66" s="573">
        <v>159</v>
      </c>
      <c r="G66" s="573">
        <v>166</v>
      </c>
      <c r="H66" s="573">
        <v>197</v>
      </c>
      <c r="I66" s="573">
        <v>198</v>
      </c>
      <c r="J66" s="573">
        <v>238</v>
      </c>
      <c r="K66" s="580">
        <v>266</v>
      </c>
      <c r="L66" s="580">
        <v>219</v>
      </c>
      <c r="M66" s="580">
        <v>196</v>
      </c>
    </row>
    <row r="67" spans="1:13">
      <c r="A67" s="579" t="s">
        <v>162</v>
      </c>
      <c r="B67" s="569" t="s">
        <v>163</v>
      </c>
      <c r="C67" s="624" t="s">
        <v>264</v>
      </c>
      <c r="D67" s="573">
        <v>587</v>
      </c>
      <c r="E67" s="573">
        <v>621</v>
      </c>
      <c r="F67" s="573">
        <v>596</v>
      </c>
      <c r="G67" s="573">
        <v>557</v>
      </c>
      <c r="H67" s="573">
        <v>560</v>
      </c>
      <c r="I67" s="573">
        <v>561</v>
      </c>
      <c r="J67" s="573">
        <v>615</v>
      </c>
      <c r="K67" s="580">
        <v>552</v>
      </c>
      <c r="L67" s="580">
        <v>491</v>
      </c>
      <c r="M67" s="580">
        <v>428</v>
      </c>
    </row>
    <row r="68" spans="1:13">
      <c r="A68" s="579" t="s">
        <v>164</v>
      </c>
      <c r="B68" s="569" t="s">
        <v>165</v>
      </c>
      <c r="C68" s="624" t="s">
        <v>266</v>
      </c>
      <c r="D68" s="573">
        <v>199</v>
      </c>
      <c r="E68" s="573">
        <v>187</v>
      </c>
      <c r="F68" s="573">
        <v>186</v>
      </c>
      <c r="G68" s="573">
        <v>174</v>
      </c>
      <c r="H68" s="573">
        <v>147</v>
      </c>
      <c r="I68" s="573">
        <v>144</v>
      </c>
      <c r="J68" s="573">
        <v>168</v>
      </c>
      <c r="K68" s="580">
        <v>168</v>
      </c>
      <c r="L68" s="580">
        <v>194</v>
      </c>
      <c r="M68" s="580">
        <v>182</v>
      </c>
    </row>
    <row r="69" spans="1:13">
      <c r="A69" s="579" t="s">
        <v>168</v>
      </c>
      <c r="B69" s="569" t="s">
        <v>169</v>
      </c>
      <c r="C69" s="624" t="s">
        <v>266</v>
      </c>
      <c r="D69" s="573">
        <v>572</v>
      </c>
      <c r="E69" s="573">
        <v>683</v>
      </c>
      <c r="F69" s="573">
        <v>754</v>
      </c>
      <c r="G69" s="573">
        <v>692</v>
      </c>
      <c r="H69" s="573">
        <v>686</v>
      </c>
      <c r="I69" s="573">
        <v>652</v>
      </c>
      <c r="J69" s="573">
        <v>719</v>
      </c>
      <c r="K69" s="580">
        <v>730</v>
      </c>
      <c r="L69" s="580">
        <v>737</v>
      </c>
      <c r="M69" s="580">
        <v>653</v>
      </c>
    </row>
    <row r="70" spans="1:13">
      <c r="A70" s="579" t="s">
        <v>170</v>
      </c>
      <c r="B70" s="569" t="s">
        <v>171</v>
      </c>
      <c r="C70" s="624" t="s">
        <v>267</v>
      </c>
      <c r="D70" s="573">
        <v>475</v>
      </c>
      <c r="E70" s="573">
        <v>447</v>
      </c>
      <c r="F70" s="573">
        <v>404</v>
      </c>
      <c r="G70" s="573">
        <v>421</v>
      </c>
      <c r="H70" s="573">
        <v>434</v>
      </c>
      <c r="I70" s="573">
        <v>463</v>
      </c>
      <c r="J70" s="573">
        <v>466</v>
      </c>
      <c r="K70" s="580">
        <v>433</v>
      </c>
      <c r="L70" s="580">
        <v>393</v>
      </c>
      <c r="M70" s="580">
        <v>408</v>
      </c>
    </row>
    <row r="71" spans="1:13">
      <c r="A71" s="579" t="s">
        <v>172</v>
      </c>
      <c r="B71" s="569" t="s">
        <v>173</v>
      </c>
      <c r="C71" s="624" t="s">
        <v>267</v>
      </c>
      <c r="D71" s="573">
        <v>384</v>
      </c>
      <c r="E71" s="573">
        <v>396</v>
      </c>
      <c r="F71" s="573">
        <v>326</v>
      </c>
      <c r="G71" s="573">
        <v>289</v>
      </c>
      <c r="H71" s="573">
        <v>428</v>
      </c>
      <c r="I71" s="573">
        <v>555</v>
      </c>
      <c r="J71" s="573">
        <v>522</v>
      </c>
      <c r="K71" s="580">
        <v>443</v>
      </c>
      <c r="L71" s="580">
        <v>385</v>
      </c>
      <c r="M71" s="580">
        <v>323</v>
      </c>
    </row>
    <row r="72" spans="1:13">
      <c r="A72" s="579" t="s">
        <v>174</v>
      </c>
      <c r="B72" s="569" t="s">
        <v>175</v>
      </c>
      <c r="C72" s="624" t="s">
        <v>268</v>
      </c>
      <c r="D72" s="573">
        <v>749</v>
      </c>
      <c r="E72" s="573">
        <v>780</v>
      </c>
      <c r="F72" s="573">
        <v>731</v>
      </c>
      <c r="G72" s="573">
        <v>664</v>
      </c>
      <c r="H72" s="573">
        <v>653</v>
      </c>
      <c r="I72" s="573">
        <v>614</v>
      </c>
      <c r="J72" s="573">
        <v>623</v>
      </c>
      <c r="K72" s="580">
        <v>664</v>
      </c>
      <c r="L72" s="580">
        <v>539</v>
      </c>
      <c r="M72" s="580">
        <v>508</v>
      </c>
    </row>
    <row r="73" spans="1:13">
      <c r="A73" s="579" t="s">
        <v>178</v>
      </c>
      <c r="B73" s="569" t="s">
        <v>179</v>
      </c>
      <c r="C73" s="624" t="s">
        <v>265</v>
      </c>
      <c r="D73" s="573">
        <v>1510</v>
      </c>
      <c r="E73" s="573">
        <v>1453</v>
      </c>
      <c r="F73" s="573">
        <v>1360</v>
      </c>
      <c r="G73" s="573">
        <v>1292</v>
      </c>
      <c r="H73" s="573">
        <v>1380</v>
      </c>
      <c r="I73" s="573">
        <v>1418</v>
      </c>
      <c r="J73" s="573">
        <v>1355</v>
      </c>
      <c r="K73" s="580">
        <v>1273</v>
      </c>
      <c r="L73" s="580">
        <v>1191</v>
      </c>
      <c r="M73" s="580">
        <v>1137</v>
      </c>
    </row>
    <row r="74" spans="1:13">
      <c r="A74" s="579" t="s">
        <v>182</v>
      </c>
      <c r="B74" s="569" t="s">
        <v>183</v>
      </c>
      <c r="C74" s="624" t="s">
        <v>266</v>
      </c>
      <c r="D74" s="573">
        <v>186</v>
      </c>
      <c r="E74" s="573">
        <v>217</v>
      </c>
      <c r="F74" s="573">
        <v>169</v>
      </c>
      <c r="G74" s="573">
        <v>183</v>
      </c>
      <c r="H74" s="573">
        <v>192</v>
      </c>
      <c r="I74" s="573">
        <v>188</v>
      </c>
      <c r="J74" s="573">
        <v>268</v>
      </c>
      <c r="K74" s="580">
        <v>244</v>
      </c>
      <c r="L74" s="580">
        <v>246</v>
      </c>
      <c r="M74" s="580">
        <v>194</v>
      </c>
    </row>
    <row r="75" spans="1:13">
      <c r="A75" s="579" t="s">
        <v>184</v>
      </c>
      <c r="B75" s="569" t="s">
        <v>185</v>
      </c>
      <c r="C75" s="624" t="s">
        <v>266</v>
      </c>
      <c r="D75" s="573">
        <v>687</v>
      </c>
      <c r="E75" s="573">
        <v>799</v>
      </c>
      <c r="F75" s="573">
        <v>779</v>
      </c>
      <c r="G75" s="573">
        <v>726</v>
      </c>
      <c r="H75" s="573">
        <v>729</v>
      </c>
      <c r="I75" s="573">
        <v>822</v>
      </c>
      <c r="J75" s="573">
        <v>795</v>
      </c>
      <c r="K75" s="580">
        <v>700</v>
      </c>
      <c r="L75" s="580">
        <v>766</v>
      </c>
      <c r="M75" s="580">
        <v>680</v>
      </c>
    </row>
    <row r="76" spans="1:13">
      <c r="A76" s="579" t="s">
        <v>186</v>
      </c>
      <c r="B76" s="569" t="s">
        <v>187</v>
      </c>
      <c r="C76" s="624" t="s">
        <v>264</v>
      </c>
      <c r="D76" s="573">
        <v>472</v>
      </c>
      <c r="E76" s="573">
        <v>535</v>
      </c>
      <c r="F76" s="573">
        <v>522</v>
      </c>
      <c r="G76" s="573">
        <v>508</v>
      </c>
      <c r="H76" s="573">
        <v>558</v>
      </c>
      <c r="I76" s="573">
        <v>546</v>
      </c>
      <c r="J76" s="573">
        <v>502</v>
      </c>
      <c r="K76" s="580">
        <v>465</v>
      </c>
      <c r="L76" s="580">
        <v>471</v>
      </c>
      <c r="M76" s="580">
        <v>466</v>
      </c>
    </row>
    <row r="77" spans="1:13">
      <c r="A77" s="579" t="s">
        <v>188</v>
      </c>
      <c r="B77" s="569" t="s">
        <v>189</v>
      </c>
      <c r="C77" s="624" t="s">
        <v>267</v>
      </c>
      <c r="D77" s="573">
        <v>6216</v>
      </c>
      <c r="E77" s="573">
        <v>6226</v>
      </c>
      <c r="F77" s="573">
        <v>5952</v>
      </c>
      <c r="G77" s="573">
        <v>5958</v>
      </c>
      <c r="H77" s="573">
        <v>6900</v>
      </c>
      <c r="I77" s="573">
        <v>7959</v>
      </c>
      <c r="J77" s="573">
        <v>7877</v>
      </c>
      <c r="K77" s="580">
        <v>7093</v>
      </c>
      <c r="L77" s="580">
        <v>6379</v>
      </c>
      <c r="M77" s="580">
        <v>5702</v>
      </c>
    </row>
    <row r="78" spans="1:13">
      <c r="A78" s="579" t="s">
        <v>190</v>
      </c>
      <c r="B78" s="569" t="s">
        <v>191</v>
      </c>
      <c r="C78" s="624" t="s">
        <v>268</v>
      </c>
      <c r="D78" s="573">
        <v>1078</v>
      </c>
      <c r="E78" s="573">
        <v>988</v>
      </c>
      <c r="F78" s="573">
        <v>1030</v>
      </c>
      <c r="G78" s="573">
        <v>954</v>
      </c>
      <c r="H78" s="573">
        <v>992</v>
      </c>
      <c r="I78" s="573">
        <v>1043</v>
      </c>
      <c r="J78" s="573">
        <v>1048</v>
      </c>
      <c r="K78" s="580">
        <v>992</v>
      </c>
      <c r="L78" s="580">
        <v>866</v>
      </c>
      <c r="M78" s="580">
        <v>814</v>
      </c>
    </row>
    <row r="79" spans="1:13">
      <c r="A79" s="579" t="s">
        <v>194</v>
      </c>
      <c r="B79" s="569" t="s">
        <v>195</v>
      </c>
      <c r="C79" s="624" t="s">
        <v>267</v>
      </c>
      <c r="D79" s="573">
        <v>41</v>
      </c>
      <c r="E79" s="573">
        <v>26</v>
      </c>
      <c r="F79" s="573">
        <v>26</v>
      </c>
      <c r="G79" s="573">
        <v>51</v>
      </c>
      <c r="H79" s="573">
        <v>54</v>
      </c>
      <c r="I79" s="573">
        <v>29</v>
      </c>
      <c r="J79" s="573">
        <v>38</v>
      </c>
      <c r="K79" s="580">
        <v>47</v>
      </c>
      <c r="L79" s="580">
        <v>66</v>
      </c>
      <c r="M79" s="580">
        <v>54</v>
      </c>
    </row>
    <row r="80" spans="1:13">
      <c r="A80" s="579" t="s">
        <v>198</v>
      </c>
      <c r="B80" s="569" t="s">
        <v>272</v>
      </c>
      <c r="C80" s="624" t="s">
        <v>266</v>
      </c>
      <c r="D80" s="573">
        <v>255</v>
      </c>
      <c r="E80" s="573">
        <v>236</v>
      </c>
      <c r="F80" s="573">
        <v>218</v>
      </c>
      <c r="G80" s="573">
        <v>190</v>
      </c>
      <c r="H80" s="573">
        <v>213</v>
      </c>
      <c r="I80" s="573">
        <v>212</v>
      </c>
      <c r="J80" s="573">
        <v>198</v>
      </c>
      <c r="K80" s="580">
        <v>208</v>
      </c>
      <c r="L80" s="580">
        <v>227</v>
      </c>
      <c r="M80" s="580">
        <v>216</v>
      </c>
    </row>
    <row r="81" spans="1:13">
      <c r="A81" s="579" t="s">
        <v>202</v>
      </c>
      <c r="B81" s="569" t="s">
        <v>301</v>
      </c>
      <c r="C81" s="624" t="s">
        <v>265</v>
      </c>
      <c r="D81" s="573">
        <v>1383</v>
      </c>
      <c r="E81" s="573">
        <v>1386</v>
      </c>
      <c r="F81" s="573">
        <v>1438</v>
      </c>
      <c r="G81" s="573">
        <v>1467</v>
      </c>
      <c r="H81" s="573">
        <v>1623</v>
      </c>
      <c r="I81" s="573">
        <v>1762</v>
      </c>
      <c r="J81" s="573">
        <v>1720</v>
      </c>
      <c r="K81" s="580">
        <v>1527</v>
      </c>
      <c r="L81" s="580">
        <v>1394</v>
      </c>
      <c r="M81" s="580">
        <v>1281</v>
      </c>
    </row>
    <row r="82" spans="1:13">
      <c r="A82" s="579" t="s">
        <v>204</v>
      </c>
      <c r="B82" s="569" t="s">
        <v>293</v>
      </c>
      <c r="C82" s="624" t="s">
        <v>265</v>
      </c>
      <c r="D82" s="573">
        <v>470</v>
      </c>
      <c r="E82" s="573">
        <v>430</v>
      </c>
      <c r="F82" s="573">
        <v>383</v>
      </c>
      <c r="G82" s="573">
        <v>330</v>
      </c>
      <c r="H82" s="573">
        <v>434</v>
      </c>
      <c r="I82" s="573">
        <v>443</v>
      </c>
      <c r="J82" s="573">
        <v>529</v>
      </c>
      <c r="K82" s="580">
        <v>420</v>
      </c>
      <c r="L82" s="580">
        <v>381</v>
      </c>
      <c r="M82" s="580">
        <v>396</v>
      </c>
    </row>
    <row r="83" spans="1:13">
      <c r="A83" s="579" t="s">
        <v>206</v>
      </c>
      <c r="B83" s="569" t="s">
        <v>294</v>
      </c>
      <c r="C83" s="624" t="s">
        <v>267</v>
      </c>
      <c r="D83" s="573">
        <v>1680</v>
      </c>
      <c r="E83" s="573">
        <v>1967</v>
      </c>
      <c r="F83" s="573">
        <v>1842</v>
      </c>
      <c r="G83" s="573">
        <v>1676</v>
      </c>
      <c r="H83" s="573">
        <v>1758</v>
      </c>
      <c r="I83" s="573">
        <v>2208</v>
      </c>
      <c r="J83" s="573">
        <v>2243</v>
      </c>
      <c r="K83" s="580">
        <v>2001</v>
      </c>
      <c r="L83" s="580">
        <v>1886</v>
      </c>
      <c r="M83" s="580">
        <v>1636</v>
      </c>
    </row>
    <row r="84" spans="1:13">
      <c r="A84" s="579" t="s">
        <v>208</v>
      </c>
      <c r="B84" s="569" t="s">
        <v>209</v>
      </c>
      <c r="C84" s="624" t="s">
        <v>268</v>
      </c>
      <c r="D84" s="573">
        <v>1511</v>
      </c>
      <c r="E84" s="573">
        <v>1462</v>
      </c>
      <c r="F84" s="573">
        <v>1360</v>
      </c>
      <c r="G84" s="573">
        <v>1245</v>
      </c>
      <c r="H84" s="573">
        <v>1306</v>
      </c>
      <c r="I84" s="573">
        <v>1411</v>
      </c>
      <c r="J84" s="573">
        <v>1293</v>
      </c>
      <c r="K84" s="580">
        <v>1113</v>
      </c>
      <c r="L84" s="580">
        <v>1094</v>
      </c>
      <c r="M84" s="580">
        <v>1050</v>
      </c>
    </row>
    <row r="85" spans="1:13">
      <c r="A85" s="579" t="s">
        <v>210</v>
      </c>
      <c r="B85" s="569" t="s">
        <v>211</v>
      </c>
      <c r="C85" s="624" t="s">
        <v>268</v>
      </c>
      <c r="D85" s="573">
        <v>1054</v>
      </c>
      <c r="E85" s="573">
        <v>983</v>
      </c>
      <c r="F85" s="573">
        <v>991</v>
      </c>
      <c r="G85" s="573">
        <v>916</v>
      </c>
      <c r="H85" s="573">
        <v>1020</v>
      </c>
      <c r="I85" s="573">
        <v>1100</v>
      </c>
      <c r="J85" s="573">
        <v>1051</v>
      </c>
      <c r="K85" s="580">
        <v>963</v>
      </c>
      <c r="L85" s="580">
        <v>829</v>
      </c>
      <c r="M85" s="580">
        <v>768</v>
      </c>
    </row>
    <row r="86" spans="1:13">
      <c r="A86" s="579" t="s">
        <v>212</v>
      </c>
      <c r="B86" s="569" t="s">
        <v>213</v>
      </c>
      <c r="C86" s="624" t="s">
        <v>267</v>
      </c>
      <c r="D86" s="573">
        <v>244</v>
      </c>
      <c r="E86" s="573">
        <v>287</v>
      </c>
      <c r="F86" s="573">
        <v>227</v>
      </c>
      <c r="G86" s="573">
        <v>244</v>
      </c>
      <c r="H86" s="573">
        <v>358</v>
      </c>
      <c r="I86" s="573">
        <v>320</v>
      </c>
      <c r="J86" s="573">
        <v>386</v>
      </c>
      <c r="K86" s="580">
        <v>397</v>
      </c>
      <c r="L86" s="580">
        <v>329</v>
      </c>
      <c r="M86" s="580">
        <v>297</v>
      </c>
    </row>
    <row r="87" spans="1:13">
      <c r="A87" s="579" t="s">
        <v>214</v>
      </c>
      <c r="B87" s="569" t="s">
        <v>215</v>
      </c>
      <c r="C87" s="624" t="s">
        <v>268</v>
      </c>
      <c r="D87" s="573">
        <v>925</v>
      </c>
      <c r="E87" s="573">
        <v>967</v>
      </c>
      <c r="F87" s="573">
        <v>907</v>
      </c>
      <c r="G87" s="573">
        <v>867</v>
      </c>
      <c r="H87" s="573">
        <v>1069</v>
      </c>
      <c r="I87" s="573">
        <v>1173</v>
      </c>
      <c r="J87" s="573">
        <v>1214</v>
      </c>
      <c r="K87" s="580">
        <v>1138</v>
      </c>
      <c r="L87" s="580">
        <v>1054</v>
      </c>
      <c r="M87" s="580">
        <v>976</v>
      </c>
    </row>
    <row r="88" spans="1:13">
      <c r="A88" s="579" t="s">
        <v>216</v>
      </c>
      <c r="B88" s="569" t="s">
        <v>217</v>
      </c>
      <c r="C88" s="624" t="s">
        <v>264</v>
      </c>
      <c r="D88" s="573">
        <v>598</v>
      </c>
      <c r="E88" s="573">
        <v>637</v>
      </c>
      <c r="F88" s="573">
        <v>632</v>
      </c>
      <c r="G88" s="573">
        <v>654</v>
      </c>
      <c r="H88" s="573">
        <v>663</v>
      </c>
      <c r="I88" s="573">
        <v>663</v>
      </c>
      <c r="J88" s="573">
        <v>699</v>
      </c>
      <c r="K88" s="580">
        <v>676</v>
      </c>
      <c r="L88" s="580">
        <v>565</v>
      </c>
      <c r="M88" s="580">
        <v>463</v>
      </c>
    </row>
    <row r="89" spans="1:13">
      <c r="A89" s="579" t="s">
        <v>218</v>
      </c>
      <c r="B89" s="569" t="s">
        <v>219</v>
      </c>
      <c r="C89" s="624" t="s">
        <v>267</v>
      </c>
      <c r="D89" s="573">
        <v>1133</v>
      </c>
      <c r="E89" s="573">
        <v>1185</v>
      </c>
      <c r="F89" s="573">
        <v>1321</v>
      </c>
      <c r="G89" s="573">
        <v>1442</v>
      </c>
      <c r="H89" s="573">
        <v>1898</v>
      </c>
      <c r="I89" s="573">
        <v>2280</v>
      </c>
      <c r="J89" s="573">
        <v>2468</v>
      </c>
      <c r="K89" s="580">
        <v>2343</v>
      </c>
      <c r="L89" s="580">
        <v>2149</v>
      </c>
      <c r="M89" s="580">
        <v>2019</v>
      </c>
    </row>
    <row r="90" spans="1:13">
      <c r="A90" s="579" t="s">
        <v>220</v>
      </c>
      <c r="B90" s="569" t="s">
        <v>221</v>
      </c>
      <c r="C90" s="624" t="s">
        <v>267</v>
      </c>
      <c r="D90" s="573">
        <v>1124</v>
      </c>
      <c r="E90" s="573">
        <v>1355</v>
      </c>
      <c r="F90" s="573">
        <v>1465</v>
      </c>
      <c r="G90" s="573">
        <v>1623</v>
      </c>
      <c r="H90" s="573">
        <v>1806</v>
      </c>
      <c r="I90" s="573">
        <v>1842</v>
      </c>
      <c r="J90" s="573">
        <v>1799</v>
      </c>
      <c r="K90" s="580">
        <v>1866</v>
      </c>
      <c r="L90" s="580">
        <v>1840</v>
      </c>
      <c r="M90" s="580">
        <v>1580</v>
      </c>
    </row>
    <row r="91" spans="1:13">
      <c r="A91" s="579" t="s">
        <v>224</v>
      </c>
      <c r="B91" s="569" t="s">
        <v>225</v>
      </c>
      <c r="C91" s="624" t="s">
        <v>264</v>
      </c>
      <c r="D91" s="573">
        <v>179</v>
      </c>
      <c r="E91" s="573">
        <v>218</v>
      </c>
      <c r="F91" s="573">
        <v>181</v>
      </c>
      <c r="G91" s="573">
        <v>145</v>
      </c>
      <c r="H91" s="573">
        <v>221</v>
      </c>
      <c r="I91" s="573">
        <v>290</v>
      </c>
      <c r="J91" s="573">
        <v>261</v>
      </c>
      <c r="K91" s="580">
        <v>237</v>
      </c>
      <c r="L91" s="580">
        <v>229</v>
      </c>
      <c r="M91" s="580">
        <v>195</v>
      </c>
    </row>
    <row r="92" spans="1:13">
      <c r="A92" s="579" t="s">
        <v>226</v>
      </c>
      <c r="B92" s="569" t="s">
        <v>227</v>
      </c>
      <c r="C92" s="624" t="s">
        <v>264</v>
      </c>
      <c r="D92" s="573">
        <v>410</v>
      </c>
      <c r="E92" s="573">
        <v>443</v>
      </c>
      <c r="F92" s="573">
        <v>451</v>
      </c>
      <c r="G92" s="573">
        <v>443</v>
      </c>
      <c r="H92" s="573">
        <v>414</v>
      </c>
      <c r="I92" s="573">
        <v>434</v>
      </c>
      <c r="J92" s="573">
        <v>433</v>
      </c>
      <c r="K92" s="580">
        <v>406</v>
      </c>
      <c r="L92" s="580">
        <v>354</v>
      </c>
      <c r="M92" s="580">
        <v>404</v>
      </c>
    </row>
    <row r="93" spans="1:13">
      <c r="A93" s="579" t="s">
        <v>228</v>
      </c>
      <c r="B93" s="569" t="s">
        <v>229</v>
      </c>
      <c r="C93" s="624" t="s">
        <v>268</v>
      </c>
      <c r="D93" s="573">
        <v>2148</v>
      </c>
      <c r="E93" s="573">
        <v>1963</v>
      </c>
      <c r="F93" s="573">
        <v>1851</v>
      </c>
      <c r="G93" s="573">
        <v>1615</v>
      </c>
      <c r="H93" s="573">
        <v>1584</v>
      </c>
      <c r="I93" s="573">
        <v>1696</v>
      </c>
      <c r="J93" s="573">
        <v>1454</v>
      </c>
      <c r="K93" s="580">
        <v>1398</v>
      </c>
      <c r="L93" s="580">
        <v>1290</v>
      </c>
      <c r="M93" s="580">
        <v>1183</v>
      </c>
    </row>
    <row r="94" spans="1:13">
      <c r="A94" s="579" t="s">
        <v>232</v>
      </c>
      <c r="B94" s="569" t="s">
        <v>233</v>
      </c>
      <c r="C94" s="624" t="s">
        <v>267</v>
      </c>
      <c r="D94" s="573">
        <v>540</v>
      </c>
      <c r="E94" s="573">
        <v>535</v>
      </c>
      <c r="F94" s="573">
        <v>495</v>
      </c>
      <c r="G94" s="573">
        <v>512</v>
      </c>
      <c r="H94" s="573">
        <v>731</v>
      </c>
      <c r="I94" s="573">
        <v>773</v>
      </c>
      <c r="J94" s="573">
        <v>767</v>
      </c>
      <c r="K94" s="580">
        <v>718</v>
      </c>
      <c r="L94" s="580">
        <v>687</v>
      </c>
      <c r="M94" s="580">
        <v>632</v>
      </c>
    </row>
    <row r="95" spans="1:13">
      <c r="A95" s="579" t="s">
        <v>234</v>
      </c>
      <c r="B95" s="569" t="s">
        <v>235</v>
      </c>
      <c r="C95" s="624" t="s">
        <v>268</v>
      </c>
      <c r="D95" s="573">
        <v>990</v>
      </c>
      <c r="E95" s="573">
        <v>990</v>
      </c>
      <c r="F95" s="573">
        <v>1042</v>
      </c>
      <c r="G95" s="573">
        <v>945</v>
      </c>
      <c r="H95" s="573">
        <v>1125</v>
      </c>
      <c r="I95" s="573">
        <v>1282</v>
      </c>
      <c r="J95" s="573">
        <v>1188</v>
      </c>
      <c r="K95" s="580">
        <v>1045</v>
      </c>
      <c r="L95" s="580">
        <v>1016</v>
      </c>
      <c r="M95" s="580">
        <v>980</v>
      </c>
    </row>
    <row r="96" spans="1:13">
      <c r="A96" s="579" t="s">
        <v>236</v>
      </c>
      <c r="B96" s="569" t="s">
        <v>237</v>
      </c>
      <c r="C96" s="624" t="s">
        <v>266</v>
      </c>
      <c r="D96" s="573">
        <v>513</v>
      </c>
      <c r="E96" s="573">
        <v>452</v>
      </c>
      <c r="F96" s="573">
        <v>425</v>
      </c>
      <c r="G96" s="573">
        <v>416</v>
      </c>
      <c r="H96" s="573">
        <v>472</v>
      </c>
      <c r="I96" s="573">
        <v>443</v>
      </c>
      <c r="J96" s="573">
        <v>556</v>
      </c>
      <c r="K96" s="580">
        <v>461</v>
      </c>
      <c r="L96" s="580">
        <v>417</v>
      </c>
      <c r="M96" s="580">
        <v>345</v>
      </c>
    </row>
    <row r="97" spans="1:13">
      <c r="A97" s="579" t="s">
        <v>242</v>
      </c>
      <c r="B97" s="569" t="s">
        <v>243</v>
      </c>
      <c r="C97" s="624" t="s">
        <v>268</v>
      </c>
      <c r="D97" s="573">
        <v>2566</v>
      </c>
      <c r="E97" s="573">
        <v>2449</v>
      </c>
      <c r="F97" s="573">
        <v>2297</v>
      </c>
      <c r="G97" s="573">
        <v>2245</v>
      </c>
      <c r="H97" s="573">
        <v>2288</v>
      </c>
      <c r="I97" s="573">
        <v>2402</v>
      </c>
      <c r="J97" s="573">
        <v>2138</v>
      </c>
      <c r="K97" s="580">
        <v>2100</v>
      </c>
      <c r="L97" s="580">
        <v>2030</v>
      </c>
      <c r="M97" s="580">
        <v>1815</v>
      </c>
    </row>
    <row r="98" spans="1:13">
      <c r="A98" s="579" t="s">
        <v>244</v>
      </c>
      <c r="B98" s="569" t="s">
        <v>245</v>
      </c>
      <c r="C98" s="624" t="s">
        <v>268</v>
      </c>
      <c r="D98" s="573">
        <v>785</v>
      </c>
      <c r="E98" s="573">
        <v>845</v>
      </c>
      <c r="F98" s="573">
        <v>772</v>
      </c>
      <c r="G98" s="573">
        <v>724</v>
      </c>
      <c r="H98" s="573">
        <v>744</v>
      </c>
      <c r="I98" s="573">
        <v>812</v>
      </c>
      <c r="J98" s="573">
        <v>812</v>
      </c>
      <c r="K98" s="580">
        <v>706</v>
      </c>
      <c r="L98" s="580">
        <v>540</v>
      </c>
      <c r="M98" s="580">
        <v>525</v>
      </c>
    </row>
    <row r="99" spans="1:13">
      <c r="A99" s="662" t="s">
        <v>246</v>
      </c>
      <c r="B99" s="663" t="s">
        <v>247</v>
      </c>
      <c r="C99" s="663" t="s">
        <v>264</v>
      </c>
      <c r="D99" s="664">
        <v>450</v>
      </c>
      <c r="E99" s="664">
        <v>514</v>
      </c>
      <c r="F99" s="664">
        <v>478</v>
      </c>
      <c r="G99" s="664">
        <v>442</v>
      </c>
      <c r="H99" s="664">
        <v>523</v>
      </c>
      <c r="I99" s="664">
        <v>628</v>
      </c>
      <c r="J99" s="664">
        <v>752</v>
      </c>
      <c r="K99" s="580">
        <v>712</v>
      </c>
      <c r="L99" s="580">
        <v>685</v>
      </c>
      <c r="M99" s="580">
        <v>639</v>
      </c>
    </row>
    <row r="100" spans="1:13">
      <c r="A100" s="579" t="s">
        <v>14</v>
      </c>
      <c r="B100" s="569" t="s">
        <v>15</v>
      </c>
      <c r="C100" s="624" t="s">
        <v>267</v>
      </c>
      <c r="D100" s="573">
        <v>2564</v>
      </c>
      <c r="E100" s="573">
        <v>2274</v>
      </c>
      <c r="F100" s="573">
        <v>2167</v>
      </c>
      <c r="G100" s="573">
        <v>2154</v>
      </c>
      <c r="H100" s="573">
        <v>2332</v>
      </c>
      <c r="I100" s="573">
        <v>2520</v>
      </c>
      <c r="J100" s="573">
        <v>2596</v>
      </c>
      <c r="K100" s="580">
        <v>2346</v>
      </c>
      <c r="L100" s="580">
        <v>2184</v>
      </c>
      <c r="M100" s="580">
        <v>2121</v>
      </c>
    </row>
    <row r="101" spans="1:13">
      <c r="A101" s="579" t="s">
        <v>34</v>
      </c>
      <c r="B101" s="569" t="s">
        <v>35</v>
      </c>
      <c r="C101" s="624" t="s">
        <v>268</v>
      </c>
      <c r="D101" s="573">
        <v>1224</v>
      </c>
      <c r="E101" s="573">
        <v>1318</v>
      </c>
      <c r="F101" s="573">
        <v>1301</v>
      </c>
      <c r="G101" s="573">
        <v>1284</v>
      </c>
      <c r="H101" s="573">
        <v>1355</v>
      </c>
      <c r="I101" s="573">
        <v>1401</v>
      </c>
      <c r="J101" s="573">
        <v>1518</v>
      </c>
      <c r="K101" s="580">
        <v>1559</v>
      </c>
      <c r="L101" s="580">
        <v>1475</v>
      </c>
      <c r="M101" s="580">
        <v>1225</v>
      </c>
    </row>
    <row r="102" spans="1:13">
      <c r="A102" s="579" t="s">
        <v>52</v>
      </c>
      <c r="B102" s="569" t="s">
        <v>53</v>
      </c>
      <c r="C102" s="624" t="s">
        <v>265</v>
      </c>
      <c r="D102" s="573">
        <v>1699</v>
      </c>
      <c r="E102" s="573">
        <v>1614</v>
      </c>
      <c r="F102" s="573">
        <v>1469</v>
      </c>
      <c r="G102" s="573">
        <v>1451</v>
      </c>
      <c r="H102" s="573">
        <v>1614</v>
      </c>
      <c r="I102" s="573">
        <v>1699</v>
      </c>
      <c r="J102" s="573">
        <v>1691</v>
      </c>
      <c r="K102" s="580">
        <v>1604</v>
      </c>
      <c r="L102" s="580">
        <v>1499</v>
      </c>
      <c r="M102" s="580">
        <v>1329</v>
      </c>
    </row>
    <row r="103" spans="1:13">
      <c r="A103" s="579" t="s">
        <v>54</v>
      </c>
      <c r="B103" s="569" t="s">
        <v>55</v>
      </c>
      <c r="C103" s="624" t="s">
        <v>264</v>
      </c>
      <c r="D103" s="573">
        <v>5474</v>
      </c>
      <c r="E103" s="573">
        <v>5520</v>
      </c>
      <c r="F103" s="573">
        <v>4950</v>
      </c>
      <c r="G103" s="573">
        <v>5052</v>
      </c>
      <c r="H103" s="573">
        <v>5636</v>
      </c>
      <c r="I103" s="573">
        <v>6110</v>
      </c>
      <c r="J103" s="573">
        <v>6029</v>
      </c>
      <c r="K103" s="580">
        <v>5484</v>
      </c>
      <c r="L103" s="580">
        <v>5058</v>
      </c>
      <c r="M103" s="580">
        <v>4574</v>
      </c>
    </row>
    <row r="104" spans="1:13">
      <c r="A104" s="579" t="s">
        <v>66</v>
      </c>
      <c r="B104" s="569" t="s">
        <v>67</v>
      </c>
      <c r="C104" s="624" t="s">
        <v>265</v>
      </c>
      <c r="D104" s="573">
        <v>3276</v>
      </c>
      <c r="E104" s="573">
        <v>3249</v>
      </c>
      <c r="F104" s="573">
        <v>3126</v>
      </c>
      <c r="G104" s="573">
        <v>2779</v>
      </c>
      <c r="H104" s="573">
        <v>2892</v>
      </c>
      <c r="I104" s="573">
        <v>2912</v>
      </c>
      <c r="J104" s="573">
        <v>2697</v>
      </c>
      <c r="K104" s="580">
        <v>2571</v>
      </c>
      <c r="L104" s="580">
        <v>2499</v>
      </c>
      <c r="M104" s="580">
        <v>2272</v>
      </c>
    </row>
    <row r="105" spans="1:13">
      <c r="A105" s="579" t="s">
        <v>82</v>
      </c>
      <c r="B105" s="569" t="s">
        <v>83</v>
      </c>
      <c r="C105" s="624" t="s">
        <v>264</v>
      </c>
      <c r="D105" s="573">
        <v>600</v>
      </c>
      <c r="E105" s="573">
        <v>626</v>
      </c>
      <c r="F105" s="573">
        <v>493</v>
      </c>
      <c r="G105" s="573">
        <v>483</v>
      </c>
      <c r="H105" s="573">
        <v>487</v>
      </c>
      <c r="I105" s="573">
        <v>575</v>
      </c>
      <c r="J105" s="573">
        <v>644</v>
      </c>
      <c r="K105" s="580">
        <v>748</v>
      </c>
      <c r="L105" s="580">
        <v>667</v>
      </c>
      <c r="M105" s="580">
        <v>493</v>
      </c>
    </row>
    <row r="106" spans="1:13">
      <c r="A106" s="579" t="s">
        <v>88</v>
      </c>
      <c r="B106" s="569" t="s">
        <v>89</v>
      </c>
      <c r="C106" s="624" t="s">
        <v>267</v>
      </c>
      <c r="D106" s="573">
        <v>827</v>
      </c>
      <c r="E106" s="573">
        <v>874</v>
      </c>
      <c r="F106" s="573">
        <v>851</v>
      </c>
      <c r="G106" s="573">
        <v>904</v>
      </c>
      <c r="H106" s="573">
        <v>1105</v>
      </c>
      <c r="I106" s="573">
        <v>1208</v>
      </c>
      <c r="J106" s="573">
        <v>1219</v>
      </c>
      <c r="K106" s="580">
        <v>1162</v>
      </c>
      <c r="L106" s="580">
        <v>1055</v>
      </c>
      <c r="M106" s="580">
        <v>980</v>
      </c>
    </row>
    <row r="107" spans="1:13">
      <c r="A107" s="579" t="s">
        <v>90</v>
      </c>
      <c r="B107" s="569" t="s">
        <v>91</v>
      </c>
      <c r="C107" s="624" t="s">
        <v>268</v>
      </c>
      <c r="D107" s="573">
        <v>398</v>
      </c>
      <c r="E107" s="573">
        <v>370</v>
      </c>
      <c r="F107" s="573">
        <v>366</v>
      </c>
      <c r="G107" s="573">
        <v>365</v>
      </c>
      <c r="H107" s="573">
        <v>481</v>
      </c>
      <c r="I107" s="573">
        <v>559</v>
      </c>
      <c r="J107" s="573">
        <v>480</v>
      </c>
      <c r="K107" s="580">
        <v>426</v>
      </c>
      <c r="L107" s="580">
        <v>368</v>
      </c>
      <c r="M107" s="580">
        <v>280</v>
      </c>
    </row>
    <row r="108" spans="1:13">
      <c r="A108" s="579" t="s">
        <v>106</v>
      </c>
      <c r="B108" s="569" t="s">
        <v>107</v>
      </c>
      <c r="C108" s="624" t="s">
        <v>264</v>
      </c>
      <c r="D108" s="573">
        <v>6707</v>
      </c>
      <c r="E108" s="573">
        <v>6416</v>
      </c>
      <c r="F108" s="573">
        <v>5896</v>
      </c>
      <c r="G108" s="573">
        <v>5425</v>
      </c>
      <c r="H108" s="573">
        <v>5890</v>
      </c>
      <c r="I108" s="573">
        <v>6335</v>
      </c>
      <c r="J108" s="573">
        <v>6670</v>
      </c>
      <c r="K108" s="580">
        <v>6619</v>
      </c>
      <c r="L108" s="580">
        <v>6201</v>
      </c>
      <c r="M108" s="580">
        <v>5656</v>
      </c>
    </row>
    <row r="109" spans="1:13">
      <c r="A109" s="579" t="s">
        <v>116</v>
      </c>
      <c r="B109" s="569" t="s">
        <v>117</v>
      </c>
      <c r="C109" s="624" t="s">
        <v>266</v>
      </c>
      <c r="D109" s="573">
        <v>1613</v>
      </c>
      <c r="E109" s="573">
        <v>1650</v>
      </c>
      <c r="F109" s="573">
        <v>1472</v>
      </c>
      <c r="G109" s="573">
        <v>1513</v>
      </c>
      <c r="H109" s="573">
        <v>1642</v>
      </c>
      <c r="I109" s="573">
        <v>1726</v>
      </c>
      <c r="J109" s="573">
        <v>1732</v>
      </c>
      <c r="K109" s="580">
        <v>1610</v>
      </c>
      <c r="L109" s="580">
        <v>1604</v>
      </c>
      <c r="M109" s="580">
        <v>1554</v>
      </c>
    </row>
    <row r="110" spans="1:13">
      <c r="A110" s="579" t="s">
        <v>138</v>
      </c>
      <c r="B110" s="569" t="s">
        <v>139</v>
      </c>
      <c r="C110" s="624" t="s">
        <v>265</v>
      </c>
      <c r="D110" s="573">
        <v>3009</v>
      </c>
      <c r="E110" s="573">
        <v>2946</v>
      </c>
      <c r="F110" s="573">
        <v>2805</v>
      </c>
      <c r="G110" s="573">
        <v>2632</v>
      </c>
      <c r="H110" s="573">
        <v>2821</v>
      </c>
      <c r="I110" s="573">
        <v>3316</v>
      </c>
      <c r="J110" s="573">
        <v>3361</v>
      </c>
      <c r="K110" s="580">
        <v>3308</v>
      </c>
      <c r="L110" s="580">
        <v>2938</v>
      </c>
      <c r="M110" s="580">
        <v>2628</v>
      </c>
    </row>
    <row r="111" spans="1:13">
      <c r="A111" s="579" t="s">
        <v>142</v>
      </c>
      <c r="B111" s="569" t="s">
        <v>143</v>
      </c>
      <c r="C111" s="624" t="s">
        <v>267</v>
      </c>
      <c r="D111" s="573">
        <v>912</v>
      </c>
      <c r="E111" s="573">
        <v>882</v>
      </c>
      <c r="F111" s="573">
        <v>876</v>
      </c>
      <c r="G111" s="573">
        <v>1015</v>
      </c>
      <c r="H111" s="573">
        <v>1120</v>
      </c>
      <c r="I111" s="573">
        <v>1298</v>
      </c>
      <c r="J111" s="573">
        <v>1317</v>
      </c>
      <c r="K111" s="580">
        <v>1176</v>
      </c>
      <c r="L111" s="580">
        <v>921</v>
      </c>
      <c r="M111" s="580">
        <v>911</v>
      </c>
    </row>
    <row r="112" spans="1:13">
      <c r="A112" s="579" t="s">
        <v>144</v>
      </c>
      <c r="B112" s="569" t="s">
        <v>145</v>
      </c>
      <c r="C112" s="624" t="s">
        <v>267</v>
      </c>
      <c r="D112" s="573">
        <v>270</v>
      </c>
      <c r="E112" s="573">
        <v>337</v>
      </c>
      <c r="F112" s="573">
        <v>312</v>
      </c>
      <c r="G112" s="573">
        <v>334</v>
      </c>
      <c r="H112" s="573">
        <v>336</v>
      </c>
      <c r="I112" s="573">
        <v>337</v>
      </c>
      <c r="J112" s="573">
        <v>250</v>
      </c>
      <c r="K112" s="580">
        <v>274</v>
      </c>
      <c r="L112" s="580">
        <v>250</v>
      </c>
      <c r="M112" s="580">
        <v>238</v>
      </c>
    </row>
    <row r="113" spans="1:13">
      <c r="A113" s="579" t="s">
        <v>158</v>
      </c>
      <c r="B113" s="569" t="s">
        <v>159</v>
      </c>
      <c r="C113" s="624" t="s">
        <v>264</v>
      </c>
      <c r="D113" s="573">
        <v>8771</v>
      </c>
      <c r="E113" s="573">
        <v>8922</v>
      </c>
      <c r="F113" s="573">
        <v>8257</v>
      </c>
      <c r="G113" s="573">
        <v>7622</v>
      </c>
      <c r="H113" s="573">
        <v>8469</v>
      </c>
      <c r="I113" s="573">
        <v>9376</v>
      </c>
      <c r="J113" s="573">
        <v>9737</v>
      </c>
      <c r="K113" s="580">
        <v>9540</v>
      </c>
      <c r="L113" s="580">
        <v>9135</v>
      </c>
      <c r="M113" s="580">
        <v>8051</v>
      </c>
    </row>
    <row r="114" spans="1:13">
      <c r="A114" s="579" t="s">
        <v>160</v>
      </c>
      <c r="B114" s="569" t="s">
        <v>161</v>
      </c>
      <c r="C114" s="624" t="s">
        <v>264</v>
      </c>
      <c r="D114" s="573">
        <v>11826</v>
      </c>
      <c r="E114" s="573">
        <v>11398</v>
      </c>
      <c r="F114" s="573">
        <v>10790</v>
      </c>
      <c r="G114" s="573">
        <v>10129</v>
      </c>
      <c r="H114" s="573">
        <v>10847</v>
      </c>
      <c r="I114" s="573">
        <v>11828</v>
      </c>
      <c r="J114" s="573">
        <v>11996</v>
      </c>
      <c r="K114" s="580">
        <v>11553</v>
      </c>
      <c r="L114" s="580">
        <v>10730</v>
      </c>
      <c r="M114" s="580">
        <v>9675</v>
      </c>
    </row>
    <row r="115" spans="1:13">
      <c r="A115" s="579" t="s">
        <v>166</v>
      </c>
      <c r="B115" s="569" t="s">
        <v>167</v>
      </c>
      <c r="C115" s="624" t="s">
        <v>268</v>
      </c>
      <c r="D115" s="573">
        <v>273</v>
      </c>
      <c r="E115" s="573">
        <v>319</v>
      </c>
      <c r="F115" s="573">
        <v>291</v>
      </c>
      <c r="G115" s="573">
        <v>280</v>
      </c>
      <c r="H115" s="573">
        <v>297</v>
      </c>
      <c r="I115" s="573">
        <v>329</v>
      </c>
      <c r="J115" s="573">
        <v>280</v>
      </c>
      <c r="K115" s="580">
        <v>255</v>
      </c>
      <c r="L115" s="580">
        <v>244</v>
      </c>
      <c r="M115" s="580">
        <v>259</v>
      </c>
    </row>
    <row r="116" spans="1:13">
      <c r="A116" s="579" t="s">
        <v>176</v>
      </c>
      <c r="B116" s="569" t="s">
        <v>177</v>
      </c>
      <c r="C116" s="624" t="s">
        <v>266</v>
      </c>
      <c r="D116" s="573">
        <v>2982</v>
      </c>
      <c r="E116" s="573">
        <v>2896</v>
      </c>
      <c r="F116" s="573">
        <v>2620</v>
      </c>
      <c r="G116" s="573">
        <v>2508</v>
      </c>
      <c r="H116" s="573">
        <v>2744</v>
      </c>
      <c r="I116" s="573">
        <v>3147</v>
      </c>
      <c r="J116" s="573">
        <v>3158</v>
      </c>
      <c r="K116" s="580">
        <v>2741</v>
      </c>
      <c r="L116" s="580">
        <v>2556</v>
      </c>
      <c r="M116" s="580">
        <v>2417</v>
      </c>
    </row>
    <row r="117" spans="1:13">
      <c r="A117" s="579" t="s">
        <v>180</v>
      </c>
      <c r="B117" s="569" t="s">
        <v>181</v>
      </c>
      <c r="C117" s="624" t="s">
        <v>264</v>
      </c>
      <c r="D117" s="573">
        <v>6846</v>
      </c>
      <c r="E117" s="573">
        <v>6807</v>
      </c>
      <c r="F117" s="573">
        <v>6503</v>
      </c>
      <c r="G117" s="573">
        <v>5774</v>
      </c>
      <c r="H117" s="573">
        <v>5917</v>
      </c>
      <c r="I117" s="573">
        <v>6307</v>
      </c>
      <c r="J117" s="573">
        <v>6223</v>
      </c>
      <c r="K117" s="580">
        <v>5988</v>
      </c>
      <c r="L117" s="580">
        <v>5595</v>
      </c>
      <c r="M117" s="580">
        <v>5041</v>
      </c>
    </row>
    <row r="118" spans="1:13">
      <c r="A118" s="579" t="s">
        <v>192</v>
      </c>
      <c r="B118" s="569" t="s">
        <v>193</v>
      </c>
      <c r="C118" s="624" t="s">
        <v>268</v>
      </c>
      <c r="D118" s="573">
        <v>449</v>
      </c>
      <c r="E118" s="573">
        <v>469</v>
      </c>
      <c r="F118" s="573">
        <v>480</v>
      </c>
      <c r="G118" s="573">
        <v>435</v>
      </c>
      <c r="H118" s="573">
        <v>418</v>
      </c>
      <c r="I118" s="573">
        <v>454</v>
      </c>
      <c r="J118" s="573">
        <v>447</v>
      </c>
      <c r="K118" s="580">
        <v>434</v>
      </c>
      <c r="L118" s="580">
        <v>402</v>
      </c>
      <c r="M118" s="580">
        <v>427</v>
      </c>
    </row>
    <row r="119" spans="1:13">
      <c r="A119" s="579" t="s">
        <v>196</v>
      </c>
      <c r="B119" s="569" t="s">
        <v>197</v>
      </c>
      <c r="C119" s="624" t="s">
        <v>266</v>
      </c>
      <c r="D119" s="573">
        <v>15835</v>
      </c>
      <c r="E119" s="573">
        <v>15094</v>
      </c>
      <c r="F119" s="573">
        <v>13822</v>
      </c>
      <c r="G119" s="573">
        <v>12850</v>
      </c>
      <c r="H119" s="573">
        <v>12937</v>
      </c>
      <c r="I119" s="573">
        <v>14143</v>
      </c>
      <c r="J119" s="573">
        <v>14534</v>
      </c>
      <c r="K119" s="580">
        <v>13800</v>
      </c>
      <c r="L119" s="580">
        <v>12727</v>
      </c>
      <c r="M119" s="580">
        <v>11361</v>
      </c>
    </row>
    <row r="120" spans="1:13">
      <c r="A120" s="579" t="s">
        <v>200</v>
      </c>
      <c r="B120" s="569" t="s">
        <v>201</v>
      </c>
      <c r="C120" s="624" t="s">
        <v>265</v>
      </c>
      <c r="D120" s="573">
        <v>6087</v>
      </c>
      <c r="E120" s="573">
        <v>5921</v>
      </c>
      <c r="F120" s="573">
        <v>5611</v>
      </c>
      <c r="G120" s="573">
        <v>5580</v>
      </c>
      <c r="H120" s="573">
        <v>6098</v>
      </c>
      <c r="I120" s="573">
        <v>6773</v>
      </c>
      <c r="J120" s="573">
        <v>6918</v>
      </c>
      <c r="K120" s="580">
        <v>6804</v>
      </c>
      <c r="L120" s="580">
        <v>6265</v>
      </c>
      <c r="M120" s="580">
        <v>5658</v>
      </c>
    </row>
    <row r="121" spans="1:13">
      <c r="A121" s="662" t="s">
        <v>222</v>
      </c>
      <c r="B121" s="663" t="s">
        <v>223</v>
      </c>
      <c r="C121" s="663" t="s">
        <v>264</v>
      </c>
      <c r="D121" s="664">
        <v>2668</v>
      </c>
      <c r="E121" s="664">
        <v>2793</v>
      </c>
      <c r="F121" s="664">
        <v>2567</v>
      </c>
      <c r="G121" s="664">
        <v>2142</v>
      </c>
      <c r="H121" s="664">
        <v>2227</v>
      </c>
      <c r="I121" s="664">
        <v>2401</v>
      </c>
      <c r="J121" s="664">
        <v>2323</v>
      </c>
      <c r="K121" s="580">
        <v>2095</v>
      </c>
      <c r="L121" s="580">
        <v>2090</v>
      </c>
      <c r="M121" s="580">
        <v>2019</v>
      </c>
    </row>
    <row r="122" spans="1:13">
      <c r="A122" s="579" t="s">
        <v>230</v>
      </c>
      <c r="B122" s="569" t="s">
        <v>231</v>
      </c>
      <c r="C122" s="624" t="s">
        <v>264</v>
      </c>
      <c r="D122" s="573">
        <v>6267</v>
      </c>
      <c r="E122" s="573">
        <v>6022</v>
      </c>
      <c r="F122" s="573">
        <v>5708</v>
      </c>
      <c r="G122" s="573">
        <v>5498</v>
      </c>
      <c r="H122" s="573">
        <v>5784</v>
      </c>
      <c r="I122" s="573">
        <v>6268</v>
      </c>
      <c r="J122" s="573">
        <v>6378</v>
      </c>
      <c r="K122" s="580">
        <v>6070</v>
      </c>
      <c r="L122" s="580">
        <v>5464</v>
      </c>
      <c r="M122" s="580">
        <v>4838</v>
      </c>
    </row>
    <row r="123" spans="1:13">
      <c r="A123" s="579" t="s">
        <v>238</v>
      </c>
      <c r="B123" s="569" t="s">
        <v>239</v>
      </c>
      <c r="C123" s="624" t="s">
        <v>264</v>
      </c>
      <c r="D123" s="573">
        <v>166</v>
      </c>
      <c r="E123" s="573">
        <v>229</v>
      </c>
      <c r="F123" s="573">
        <v>184</v>
      </c>
      <c r="G123" s="573">
        <v>156</v>
      </c>
      <c r="H123" s="573">
        <v>217</v>
      </c>
      <c r="I123" s="573">
        <v>258</v>
      </c>
      <c r="J123" s="573">
        <v>277</v>
      </c>
      <c r="K123" s="580">
        <v>283</v>
      </c>
      <c r="L123" s="580">
        <v>248</v>
      </c>
      <c r="M123" s="580">
        <v>220</v>
      </c>
    </row>
    <row r="124" spans="1:13">
      <c r="A124" s="581" t="s">
        <v>240</v>
      </c>
      <c r="B124" s="570" t="s">
        <v>241</v>
      </c>
      <c r="C124" s="570" t="s">
        <v>267</v>
      </c>
      <c r="D124" s="575">
        <v>628</v>
      </c>
      <c r="E124" s="575">
        <v>630</v>
      </c>
      <c r="F124" s="575">
        <v>635</v>
      </c>
      <c r="G124" s="575">
        <v>575</v>
      </c>
      <c r="H124" s="575">
        <v>833</v>
      </c>
      <c r="I124" s="575">
        <v>933</v>
      </c>
      <c r="J124" s="575">
        <v>977</v>
      </c>
      <c r="K124" s="582">
        <v>888</v>
      </c>
      <c r="L124" s="582">
        <v>782</v>
      </c>
      <c r="M124" s="582">
        <v>605</v>
      </c>
    </row>
    <row r="126" spans="1:13" ht="33.75" customHeight="1">
      <c r="A126" s="1916" t="s">
        <v>932</v>
      </c>
      <c r="B126" s="1916"/>
      <c r="C126" s="1916"/>
      <c r="D126" s="1916"/>
      <c r="E126" s="1916"/>
      <c r="F126" s="1916"/>
      <c r="G126" s="1916"/>
      <c r="H126" s="1916"/>
      <c r="I126" s="1916"/>
      <c r="J126" s="1916"/>
      <c r="K126" s="1916"/>
      <c r="L126" s="1916"/>
      <c r="M126" s="1277"/>
    </row>
    <row r="128" spans="1:13" s="428" customFormat="1">
      <c r="A128" s="428" t="s">
        <v>248</v>
      </c>
    </row>
    <row r="129" spans="1:3" s="428" customFormat="1">
      <c r="A129" s="429" t="s">
        <v>249</v>
      </c>
      <c r="B129" s="430" t="s">
        <v>250</v>
      </c>
      <c r="C129" s="430"/>
    </row>
  </sheetData>
  <autoFilter ref="A3:C3"/>
  <sortState ref="A5:N124">
    <sortCondition ref="A5:A124"/>
  </sortState>
  <mergeCells count="1">
    <mergeCell ref="A126:L126"/>
  </mergeCells>
  <hyperlinks>
    <hyperlink ref="B129"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dimension ref="A1:D35"/>
  <sheetViews>
    <sheetView topLeftCell="A2" workbookViewId="0">
      <selection activeCell="E20" sqref="E20"/>
    </sheetView>
  </sheetViews>
  <sheetFormatPr defaultRowHeight="15.75"/>
  <cols>
    <col min="1" max="1" width="18.25" customWidth="1"/>
    <col min="2" max="2" width="17.75" customWidth="1"/>
    <col min="3" max="3" width="14.625" customWidth="1"/>
  </cols>
  <sheetData>
    <row r="1" spans="1:4">
      <c r="A1" t="s">
        <v>950</v>
      </c>
    </row>
    <row r="2" spans="1:4">
      <c r="B2" t="str">
        <f>Profile!D3</f>
        <v>Galax</v>
      </c>
      <c r="C2" t="str">
        <f>Profile!K3</f>
        <v>Western</v>
      </c>
      <c r="D2" t="s">
        <v>893</v>
      </c>
    </row>
    <row r="3" spans="1:4">
      <c r="A3">
        <v>1998</v>
      </c>
      <c r="B3" s="1402">
        <f>VLOOKUP(Profile!I3,NMBirths_Trend,34,FALSE)</f>
        <v>0.43103448275862066</v>
      </c>
      <c r="C3" s="1402">
        <f>VLOOKUP(Profile!K3,NMBirths_Trend,34,FALSE)</f>
        <v>0.26538273216908764</v>
      </c>
      <c r="D3" s="1402">
        <f>'NM Births_1998-2012'!AH5</f>
        <v>0.2981171770406103</v>
      </c>
    </row>
    <row r="4" spans="1:4">
      <c r="A4">
        <v>1999</v>
      </c>
      <c r="B4" s="1402">
        <f>VLOOKUP(Profile!I3,NMBirths_Trend,35,FALSE)</f>
        <v>0.3247863247863248</v>
      </c>
      <c r="C4" s="1402">
        <f>VLOOKUP(Profile!K3,NMBirths_Trend,35,FALSE)</f>
        <v>0.25361620057859208</v>
      </c>
      <c r="D4" s="1402">
        <f>'NM Births_1998-2012'!AI5</f>
        <v>0.29729956830905291</v>
      </c>
    </row>
    <row r="5" spans="1:4">
      <c r="A5">
        <v>2000</v>
      </c>
      <c r="B5" s="1402">
        <f>VLOOKUP(Profile!I3,NMBirths_Trend,36,FALSE)</f>
        <v>0.40157480314960631</v>
      </c>
      <c r="C5" s="1402">
        <f>VLOOKUP(Profile!K3,NMBirths_Trend,36,FALSE)</f>
        <v>0.25800682815802306</v>
      </c>
      <c r="D5" s="1402">
        <f>'NM Births_1998-2012'!AJ5</f>
        <v>0.29975521929114746</v>
      </c>
    </row>
    <row r="6" spans="1:4">
      <c r="A6">
        <v>2001</v>
      </c>
      <c r="B6" s="1402">
        <f>VLOOKUP(Profile!I3,NMBirths_Trend,37,FALSE)</f>
        <v>0.49090909090909091</v>
      </c>
      <c r="C6" s="1402">
        <f>VLOOKUP(Profile!K3,NMBirths_Trend,37,FALSE)</f>
        <v>0.25921562026594852</v>
      </c>
      <c r="D6" s="1402">
        <f>'NM Births_1998-2012'!AK5</f>
        <v>0.303681074991627</v>
      </c>
    </row>
    <row r="7" spans="1:4">
      <c r="A7">
        <v>2002</v>
      </c>
      <c r="B7" s="1402">
        <f>VLOOKUP(Profile!I3,NMBirths_Trend,38,FALSE)</f>
        <v>0.51351351351351349</v>
      </c>
      <c r="C7" s="1402">
        <f>VLOOKUP(Profile!K3,NMBirths_Trend,38,FALSE)</f>
        <v>0.27491582491582489</v>
      </c>
      <c r="D7" s="1402">
        <f>'NM Births_1998-2012'!AL5</f>
        <v>0.30455988310575904</v>
      </c>
    </row>
    <row r="8" spans="1:4">
      <c r="A8">
        <v>2003</v>
      </c>
      <c r="B8" s="1402">
        <f>VLOOKUP(Profile!I3,NMBirths_Trend,39,FALSE)</f>
        <v>0.54545454545454541</v>
      </c>
      <c r="C8" s="1402">
        <f>VLOOKUP(Profile!K3,NMBirths_Trend,39,FALSE)</f>
        <v>0.28196941690472188</v>
      </c>
      <c r="D8" s="1402">
        <f>'NM Births_1998-2012'!AM5</f>
        <v>0.3059734887282346</v>
      </c>
    </row>
    <row r="9" spans="1:4">
      <c r="A9">
        <v>2004</v>
      </c>
      <c r="B9" s="1402">
        <f>VLOOKUP(Profile!I3,NMBirths_Trend,40,FALSE)</f>
        <v>0.52941176470588236</v>
      </c>
      <c r="C9" s="1402">
        <f>VLOOKUP(Profile!K3,NMBirths_Trend,40,FALSE)</f>
        <v>0.28078565328778821</v>
      </c>
      <c r="D9" s="1402">
        <f>'NM Births_1998-2012'!AN5</f>
        <v>0.31002600404507369</v>
      </c>
    </row>
    <row r="10" spans="1:4">
      <c r="A10">
        <v>2005</v>
      </c>
      <c r="B10" s="1402">
        <f>VLOOKUP(Profile!I3,NMBirths_Trend,41,FALSE)</f>
        <v>0.5</v>
      </c>
      <c r="C10" s="1402">
        <f>VLOOKUP(Profile!K3,NMBirths_Trend,41,FALSE)</f>
        <v>0.30613975576662145</v>
      </c>
      <c r="D10" s="1402">
        <f>'NM Births_1998-2012'!AO5</f>
        <v>0.32234323558686168</v>
      </c>
    </row>
    <row r="11" spans="1:4">
      <c r="A11">
        <v>2006</v>
      </c>
      <c r="B11" s="1402">
        <f>VLOOKUP(Profile!I3,NMBirths_Trend,42,FALSE)</f>
        <v>0.50649350649350644</v>
      </c>
      <c r="C11" s="1402">
        <f>VLOOKUP(Profile!K3,NMBirths_Trend,42,FALSE)</f>
        <v>0.31618257261410787</v>
      </c>
      <c r="D11" s="1402">
        <f>'NM Births_1998-2012'!AP5</f>
        <v>0.34083438210267297</v>
      </c>
    </row>
    <row r="12" spans="1:4">
      <c r="A12">
        <v>2007</v>
      </c>
      <c r="B12" s="1402">
        <f>VLOOKUP(Profile!I3,NMBirths_Trend,43,FALSE)</f>
        <v>0.60439560439560436</v>
      </c>
      <c r="C12" s="1402">
        <f>VLOOKUP(Profile!K3,NMBirths_Trend,43,FALSE)</f>
        <v>0.34643893006767645</v>
      </c>
      <c r="D12" s="1402">
        <f>'NM Births_1998-2012'!AQ5</f>
        <v>0.35309038250458874</v>
      </c>
    </row>
    <row r="13" spans="1:4">
      <c r="A13">
        <v>2008</v>
      </c>
      <c r="B13" s="1402">
        <f>VLOOKUP(Profile!I3,NMBirths_Trend,44,FALSE)</f>
        <v>0.57831325301204817</v>
      </c>
      <c r="C13" s="1402">
        <f>VLOOKUP(Profile!K3,NMBirths_Trend,44,FALSE)</f>
        <v>0.34771241830065358</v>
      </c>
      <c r="D13" s="1402">
        <f>'NM Births_1998-2012'!AR5</f>
        <v>0.35843232186755242</v>
      </c>
    </row>
    <row r="14" spans="1:4">
      <c r="A14">
        <v>2009</v>
      </c>
      <c r="B14" s="1402">
        <f>VLOOKUP(Profile!I3,NMBirths_Trend,45,FALSE)</f>
        <v>0.63779527559055116</v>
      </c>
      <c r="C14" s="1402">
        <f>VLOOKUP(Profile!K3,NMBirths_Trend,45,FALSE)</f>
        <v>0.37218363543960697</v>
      </c>
      <c r="D14" s="1402">
        <f>'NM Births_1998-2012'!AS5</f>
        <v>0.35824307718686593</v>
      </c>
    </row>
    <row r="15" spans="1:4">
      <c r="A15">
        <v>2010</v>
      </c>
      <c r="B15" s="1402">
        <f>VLOOKUP(Profile!I3,NMBirths_Trend,46,FALSE)</f>
        <v>0.53030303030303028</v>
      </c>
      <c r="C15" s="1402">
        <f>VLOOKUP(Profile!K3,NMBirths_Trend,46,FALSE)</f>
        <v>0.37925141001538198</v>
      </c>
      <c r="D15" s="1402">
        <f>'NM Births_1998-2012'!AT5</f>
        <v>0.35490702780422406</v>
      </c>
    </row>
    <row r="16" spans="1:4">
      <c r="A16">
        <v>2011</v>
      </c>
      <c r="B16" s="1402">
        <f>VLOOKUP(Profile!I3,NMBirths_Trend,47,FALSE)</f>
        <v>0.45945945945945948</v>
      </c>
      <c r="C16" s="1402">
        <f>VLOOKUP(Profile!K3,NMBirths_Trend,47,FALSE)</f>
        <v>0.37677809388335703</v>
      </c>
      <c r="D16" s="1402">
        <f>'NM Births_1998-2012'!AU5</f>
        <v>0.35493782004389174</v>
      </c>
    </row>
    <row r="17" spans="1:4">
      <c r="A17">
        <v>2012</v>
      </c>
      <c r="B17" s="1402">
        <f>VLOOKUP(Profile!I3,NMBirths_Trend,48,FALSE)</f>
        <v>0.52459016393442626</v>
      </c>
      <c r="C17" s="1402">
        <f>VLOOKUP(Profile!K3,NMBirths_Trend,48,FALSE)</f>
        <v>0.37574824696425518</v>
      </c>
      <c r="D17" s="1402">
        <f>'NM Births_1998-2012'!AV5</f>
        <v>0.35279298907704426</v>
      </c>
    </row>
    <row r="19" spans="1:4">
      <c r="A19" t="s">
        <v>949</v>
      </c>
    </row>
    <row r="20" spans="1:4">
      <c r="B20" t="str">
        <f>Profile!D3</f>
        <v>Galax</v>
      </c>
      <c r="C20" t="str">
        <f>Profile!K3</f>
        <v>Western</v>
      </c>
      <c r="D20" t="s">
        <v>893</v>
      </c>
    </row>
    <row r="21" spans="1:4">
      <c r="A21">
        <v>1998</v>
      </c>
      <c r="B21" s="1434">
        <f>VLOOKUP(Profile!I3,TeenBirths_Trend,34,FALSE)</f>
        <v>49.763033175355453</v>
      </c>
      <c r="C21" s="1434">
        <f>VLOOKUP(Profile!K3,TeenBirths_Trend,34,FALSE)</f>
        <v>23.944069177596131</v>
      </c>
      <c r="D21" s="1434">
        <f>'Teen Births_1998-2012'!AH5</f>
        <v>21.993094229370861</v>
      </c>
    </row>
    <row r="22" spans="1:4">
      <c r="A22">
        <v>1999</v>
      </c>
      <c r="B22" s="1434">
        <f>VLOOKUP(Profile!I3,TeenBirths_Trend,35,FALSE)</f>
        <v>60.747663551401871</v>
      </c>
      <c r="C22" s="1434">
        <f>VLOOKUP(Profile!K3,TeenBirths_Trend,35,FALSE)</f>
        <v>23.337067264095587</v>
      </c>
      <c r="D22" s="1434">
        <f>'Teen Births_1998-2012'!AI5</f>
        <v>21.672451714894493</v>
      </c>
    </row>
    <row r="23" spans="1:4">
      <c r="A23">
        <v>2000</v>
      </c>
      <c r="B23" s="1434">
        <f>VLOOKUP(Profile!I3,TeenBirths_Trend,36,FALSE)</f>
        <v>46.798029556650242</v>
      </c>
      <c r="C23" s="1434">
        <f>VLOOKUP(Profile!K3,TeenBirths_Trend,36,FALSE)</f>
        <v>22.588235294117649</v>
      </c>
      <c r="D23" s="1434">
        <f>'Teen Births_1998-2012'!AJ5</f>
        <v>20.498076279692203</v>
      </c>
    </row>
    <row r="24" spans="1:4">
      <c r="A24">
        <v>2001</v>
      </c>
      <c r="B24" s="1434">
        <f>VLOOKUP(Profile!I3,TeenBirths_Trend,37,FALSE)</f>
        <v>62.015503875968989</v>
      </c>
      <c r="C24" s="1434">
        <f>VLOOKUP(Profile!K3,TeenBirths_Trend,37,FALSE)</f>
        <v>21.740891781672833</v>
      </c>
      <c r="D24" s="1434">
        <f>'Teen Births_1998-2012'!AK5</f>
        <v>19.688543968751606</v>
      </c>
    </row>
    <row r="25" spans="1:4">
      <c r="A25">
        <v>2002</v>
      </c>
      <c r="B25" s="1434">
        <f>VLOOKUP(Profile!I3,TeenBirths_Trend,38,FALSE)</f>
        <v>56</v>
      </c>
      <c r="C25" s="1434">
        <f>VLOOKUP(Profile!K3,TeenBirths_Trend,38,FALSE)</f>
        <v>20.27008518914181</v>
      </c>
      <c r="D25" s="1434">
        <f>'Teen Births_1998-2012'!AL5</f>
        <v>18.674449210372391</v>
      </c>
    </row>
    <row r="26" spans="1:4">
      <c r="A26">
        <v>2003</v>
      </c>
      <c r="B26" s="1434">
        <f>VLOOKUP(Profile!I3,TeenBirths_Trend,39,FALSE)</f>
        <v>25.069637883008355</v>
      </c>
      <c r="C26" s="1434">
        <f>VLOOKUP(Profile!K3,TeenBirths_Trend,39,FALSE)</f>
        <v>18.822942366867185</v>
      </c>
      <c r="D26" s="1434">
        <f>'Teen Births_1998-2012'!AM5</f>
        <v>17.903555881281065</v>
      </c>
    </row>
    <row r="27" spans="1:4">
      <c r="A27">
        <v>2004</v>
      </c>
      <c r="B27" s="1434">
        <f>VLOOKUP(Profile!I3,TeenBirths_Trend,40,FALSE)</f>
        <v>45.945945945945951</v>
      </c>
      <c r="C27" s="1434">
        <f>VLOOKUP(Profile!K3,TeenBirths_Trend,40,FALSE)</f>
        <v>19.717292898997474</v>
      </c>
      <c r="D27" s="1434">
        <f>'Teen Births_1998-2012'!AN5</f>
        <v>17.707166297187989</v>
      </c>
    </row>
    <row r="28" spans="1:4">
      <c r="A28">
        <v>2005</v>
      </c>
      <c r="B28" s="1434">
        <f>VLOOKUP(Profile!I3,TeenBirths_Trend,41,FALSE)</f>
        <v>50</v>
      </c>
      <c r="C28" s="1434">
        <f>VLOOKUP(Profile!K3,TeenBirths_Trend,41,FALSE)</f>
        <v>19.798703984558113</v>
      </c>
      <c r="D28" s="1434">
        <f>'Teen Births_1998-2012'!AO5</f>
        <v>17.591687162315662</v>
      </c>
    </row>
    <row r="29" spans="1:4">
      <c r="A29">
        <v>2006</v>
      </c>
      <c r="B29" s="1434">
        <f>VLOOKUP(Profile!I3,TeenBirths_Trend,42,FALSE)</f>
        <v>35.422343324250683</v>
      </c>
      <c r="C29" s="1434">
        <f>VLOOKUP(Profile!K3,TeenBirths_Trend,42,FALSE)</f>
        <v>20.067075029795724</v>
      </c>
      <c r="D29" s="1434">
        <f>'Teen Births_1998-2012'!AP5</f>
        <v>18.306180625228926</v>
      </c>
    </row>
    <row r="30" spans="1:4">
      <c r="A30">
        <v>2007</v>
      </c>
      <c r="B30" s="1434">
        <f>VLOOKUP(Profile!I3,TeenBirths_Trend,43,FALSE)</f>
        <v>52.197802197802197</v>
      </c>
      <c r="C30" s="1434">
        <f>VLOOKUP(Profile!K3,TeenBirths_Trend,43,FALSE)</f>
        <v>22.691793041926854</v>
      </c>
      <c r="D30" s="1434">
        <f>'Teen Births_1998-2012'!AQ5</f>
        <v>18.39683066850121</v>
      </c>
    </row>
    <row r="31" spans="1:4">
      <c r="A31">
        <v>2008</v>
      </c>
      <c r="B31" s="1434">
        <f>VLOOKUP(Profile!I3,TeenBirths_Trend,44,FALSE)</f>
        <v>50.420168067226889</v>
      </c>
      <c r="C31" s="1434">
        <f>VLOOKUP(Profile!K3,TeenBirths_Trend,44,FALSE)</f>
        <v>23.714301808145102</v>
      </c>
      <c r="D31" s="1434">
        <f>'Teen Births_1998-2012'!AR5</f>
        <v>17.690427455734188</v>
      </c>
    </row>
    <row r="32" spans="1:4">
      <c r="A32">
        <v>2009</v>
      </c>
      <c r="B32" s="1434">
        <f>VLOOKUP(Profile!I3,TeenBirths_Trend,45,FALSE)</f>
        <v>69.767441860465112</v>
      </c>
      <c r="C32" s="1434">
        <f>VLOOKUP(Profile!K3,TeenBirths_Trend,45,FALSE)</f>
        <v>22.311022311022313</v>
      </c>
      <c r="D32" s="1434">
        <f>'Teen Births_1998-2012'!AS5</f>
        <v>16.372318054611284</v>
      </c>
    </row>
    <row r="33" spans="1:4">
      <c r="A33">
        <v>2010</v>
      </c>
      <c r="B33" s="1434">
        <f>VLOOKUP(Profile!I3,TeenBirths_Trend,46,FALSE)</f>
        <v>41.871921182266007</v>
      </c>
      <c r="C33" s="1434">
        <f>VLOOKUP(Profile!K3,TeenBirths_Trend,46,FALSE)</f>
        <v>22.179649766601006</v>
      </c>
      <c r="D33" s="1434">
        <f>'Teen Births_1998-2012'!AT5</f>
        <v>14.340618588477803</v>
      </c>
    </row>
    <row r="34" spans="1:4">
      <c r="A34">
        <v>2011</v>
      </c>
      <c r="B34" s="1434">
        <f>VLOOKUP(Profile!I3,TeenBirths_Trend,47,FALSE)</f>
        <v>43.373493975903614</v>
      </c>
      <c r="C34" s="1434">
        <f>VLOOKUP(Profile!K3,TeenBirths_Trend,47,FALSE)</f>
        <v>18.868450390189523</v>
      </c>
      <c r="D34" s="1434">
        <f>'Teen Births_1998-2012'!AU5</f>
        <v>12.702167795404645</v>
      </c>
    </row>
    <row r="35" spans="1:4">
      <c r="A35">
        <v>2012</v>
      </c>
      <c r="B35" s="1434">
        <f>VLOOKUP(Profile!I3,TeenBirths_Trend,48,FALSE)</f>
        <v>45.977011494252871</v>
      </c>
      <c r="C35" s="1434">
        <f>VLOOKUP(Profile!K3,TeenBirths_Trend,48,FALSE)</f>
        <v>19.05972045743329</v>
      </c>
      <c r="D35" s="1434">
        <f>'Teen Births_1998-2012'!AV5</f>
        <v>11.846432840922917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J132"/>
  <sheetViews>
    <sheetView workbookViewId="0">
      <pane ySplit="4" topLeftCell="A5" activePane="bottomLeft" state="frozen"/>
      <selection pane="bottomLeft" activeCell="A5" sqref="A5:XFD124"/>
    </sheetView>
  </sheetViews>
  <sheetFormatPr defaultRowHeight="15.75"/>
  <cols>
    <col min="1" max="1" width="5.875" style="558" customWidth="1"/>
    <col min="2" max="2" width="29.5" style="558" customWidth="1"/>
    <col min="3" max="3" width="16.25" style="558" customWidth="1"/>
    <col min="4" max="9" width="11.375" style="558" customWidth="1"/>
    <col min="10" max="10" width="3.875" style="558" customWidth="1"/>
    <col min="11" max="16384" width="9" style="558"/>
  </cols>
  <sheetData>
    <row r="1" spans="1:9">
      <c r="A1" s="258" t="s">
        <v>914</v>
      </c>
    </row>
    <row r="3" spans="1:9" ht="31.5">
      <c r="A3" s="667" t="s">
        <v>4</v>
      </c>
      <c r="B3" s="621" t="s">
        <v>5</v>
      </c>
      <c r="C3" s="621" t="s">
        <v>251</v>
      </c>
      <c r="D3" s="673" t="s">
        <v>784</v>
      </c>
      <c r="E3" s="673" t="s">
        <v>785</v>
      </c>
      <c r="F3" s="673" t="s">
        <v>786</v>
      </c>
      <c r="G3" s="673" t="s">
        <v>787</v>
      </c>
      <c r="H3" s="673" t="s">
        <v>854</v>
      </c>
      <c r="I3" s="673" t="s">
        <v>911</v>
      </c>
    </row>
    <row r="4" spans="1:9">
      <c r="A4" s="670">
        <v>999</v>
      </c>
      <c r="B4" s="671" t="s">
        <v>819</v>
      </c>
      <c r="C4" s="671"/>
      <c r="D4" s="672">
        <f>SUM(D5:D124)</f>
        <v>1063886</v>
      </c>
      <c r="E4" s="672">
        <f>SUM(E5:E124)</f>
        <v>1129713</v>
      </c>
      <c r="F4" s="672">
        <f>SUM(F5:F124)</f>
        <v>1188712</v>
      </c>
      <c r="G4" s="672">
        <f>SUM(G5:G124)</f>
        <v>1236732</v>
      </c>
      <c r="H4" s="1014">
        <f>SUM(H5:H124)</f>
        <v>1291480</v>
      </c>
      <c r="I4" s="1014">
        <v>1313599</v>
      </c>
    </row>
    <row r="5" spans="1:9" s="666" customFormat="1">
      <c r="A5" s="662" t="s">
        <v>10</v>
      </c>
      <c r="B5" s="663" t="s">
        <v>11</v>
      </c>
      <c r="C5" s="663" t="s">
        <v>264</v>
      </c>
      <c r="D5" s="664">
        <v>7838</v>
      </c>
      <c r="E5" s="664">
        <v>7933</v>
      </c>
      <c r="F5" s="664">
        <v>8275</v>
      </c>
      <c r="G5" s="665">
        <v>8453</v>
      </c>
      <c r="H5" s="1015">
        <v>8723</v>
      </c>
      <c r="I5" s="1015">
        <v>8834</v>
      </c>
    </row>
    <row r="6" spans="1:9" s="666" customFormat="1">
      <c r="A6" s="662" t="s">
        <v>12</v>
      </c>
      <c r="B6" s="663" t="s">
        <v>13</v>
      </c>
      <c r="C6" s="663" t="s">
        <v>265</v>
      </c>
      <c r="D6" s="664">
        <v>8176</v>
      </c>
      <c r="E6" s="664">
        <v>8802</v>
      </c>
      <c r="F6" s="664">
        <v>9342</v>
      </c>
      <c r="G6" s="665">
        <v>9739</v>
      </c>
      <c r="H6" s="1015">
        <v>10033</v>
      </c>
      <c r="I6" s="1015">
        <v>10311</v>
      </c>
    </row>
    <row r="7" spans="1:9" s="666" customFormat="1">
      <c r="A7" s="662" t="s">
        <v>16</v>
      </c>
      <c r="B7" s="663" t="s">
        <v>297</v>
      </c>
      <c r="C7" s="663" t="s">
        <v>265</v>
      </c>
      <c r="D7" s="664">
        <v>4828</v>
      </c>
      <c r="E7" s="664">
        <v>4948</v>
      </c>
      <c r="F7" s="664">
        <v>5104</v>
      </c>
      <c r="G7" s="665">
        <v>5268</v>
      </c>
      <c r="H7" s="1015">
        <v>5201</v>
      </c>
      <c r="I7" s="1015">
        <v>5268</v>
      </c>
    </row>
    <row r="8" spans="1:9" s="666" customFormat="1">
      <c r="A8" s="662" t="s">
        <v>18</v>
      </c>
      <c r="B8" s="663" t="s">
        <v>19</v>
      </c>
      <c r="C8" s="663" t="s">
        <v>266</v>
      </c>
      <c r="D8" s="664">
        <v>2246</v>
      </c>
      <c r="E8" s="664">
        <v>2521</v>
      </c>
      <c r="F8" s="664">
        <v>2605</v>
      </c>
      <c r="G8" s="665">
        <v>2798</v>
      </c>
      <c r="H8" s="1015">
        <v>2751</v>
      </c>
      <c r="I8" s="1015">
        <v>2678</v>
      </c>
    </row>
    <row r="9" spans="1:9" s="666" customFormat="1">
      <c r="A9" s="662" t="s">
        <v>20</v>
      </c>
      <c r="B9" s="663" t="s">
        <v>21</v>
      </c>
      <c r="C9" s="663" t="s">
        <v>265</v>
      </c>
      <c r="D9" s="664">
        <v>5174</v>
      </c>
      <c r="E9" s="664">
        <v>5467</v>
      </c>
      <c r="F9" s="664">
        <v>5594</v>
      </c>
      <c r="G9" s="665">
        <v>5642</v>
      </c>
      <c r="H9" s="1015">
        <v>5907</v>
      </c>
      <c r="I9" s="1015">
        <v>5814</v>
      </c>
    </row>
    <row r="10" spans="1:9" s="666" customFormat="1">
      <c r="A10" s="662" t="s">
        <v>22</v>
      </c>
      <c r="B10" s="663" t="s">
        <v>23</v>
      </c>
      <c r="C10" s="663" t="s">
        <v>265</v>
      </c>
      <c r="D10" s="664">
        <v>2975</v>
      </c>
      <c r="E10" s="664">
        <v>3152</v>
      </c>
      <c r="F10" s="664">
        <v>3225</v>
      </c>
      <c r="G10" s="665">
        <v>3410</v>
      </c>
      <c r="H10" s="1015">
        <v>3595</v>
      </c>
      <c r="I10" s="1015">
        <v>3521</v>
      </c>
    </row>
    <row r="11" spans="1:9" s="666" customFormat="1">
      <c r="A11" s="662" t="s">
        <v>24</v>
      </c>
      <c r="B11" s="663" t="s">
        <v>25</v>
      </c>
      <c r="C11" s="663" t="s">
        <v>267</v>
      </c>
      <c r="D11" s="664">
        <v>12005</v>
      </c>
      <c r="E11" s="664">
        <v>12767</v>
      </c>
      <c r="F11" s="664">
        <v>13291</v>
      </c>
      <c r="G11" s="665">
        <v>13920</v>
      </c>
      <c r="H11" s="1015">
        <v>14811</v>
      </c>
      <c r="I11" s="1015">
        <v>15509</v>
      </c>
    </row>
    <row r="12" spans="1:9" s="666" customFormat="1">
      <c r="A12" s="662" t="s">
        <v>26</v>
      </c>
      <c r="B12" s="663" t="s">
        <v>706</v>
      </c>
      <c r="C12" s="663" t="s">
        <v>265</v>
      </c>
      <c r="D12" s="664">
        <v>18094</v>
      </c>
      <c r="E12" s="664">
        <v>19350</v>
      </c>
      <c r="F12" s="664">
        <v>20252</v>
      </c>
      <c r="G12" s="665">
        <v>21261</v>
      </c>
      <c r="H12" s="1015">
        <v>22605</v>
      </c>
      <c r="I12" s="1015">
        <v>22667</v>
      </c>
    </row>
    <row r="13" spans="1:9" s="666" customFormat="1">
      <c r="A13" s="662" t="s">
        <v>27</v>
      </c>
      <c r="B13" s="663" t="s">
        <v>28</v>
      </c>
      <c r="C13" s="663" t="s">
        <v>265</v>
      </c>
      <c r="D13" s="664">
        <v>581</v>
      </c>
      <c r="E13" s="664">
        <v>645</v>
      </c>
      <c r="F13" s="664">
        <v>700</v>
      </c>
      <c r="G13" s="665">
        <v>711</v>
      </c>
      <c r="H13" s="1015">
        <v>794</v>
      </c>
      <c r="I13" s="1015">
        <v>736</v>
      </c>
    </row>
    <row r="14" spans="1:9" s="666" customFormat="1">
      <c r="A14" s="662" t="s">
        <v>29</v>
      </c>
      <c r="B14" s="663" t="s">
        <v>1012</v>
      </c>
      <c r="C14" s="663" t="s">
        <v>265</v>
      </c>
      <c r="D14" s="664">
        <v>8794</v>
      </c>
      <c r="E14" s="664">
        <v>9666</v>
      </c>
      <c r="F14" s="664">
        <v>10011</v>
      </c>
      <c r="G14" s="665">
        <v>10434</v>
      </c>
      <c r="H14" s="1015">
        <v>10773</v>
      </c>
      <c r="I14" s="1015">
        <v>11727</v>
      </c>
    </row>
    <row r="15" spans="1:9" s="666" customFormat="1">
      <c r="A15" s="662" t="s">
        <v>30</v>
      </c>
      <c r="B15" s="663" t="s">
        <v>31</v>
      </c>
      <c r="C15" s="663" t="s">
        <v>268</v>
      </c>
      <c r="D15" s="664">
        <v>1012</v>
      </c>
      <c r="E15" s="664">
        <v>1033</v>
      </c>
      <c r="F15" s="664">
        <v>1013</v>
      </c>
      <c r="G15" s="665">
        <v>1072</v>
      </c>
      <c r="H15" s="1015">
        <v>1141</v>
      </c>
      <c r="I15" s="1015">
        <v>1071</v>
      </c>
    </row>
    <row r="16" spans="1:9" s="666" customFormat="1">
      <c r="A16" s="662" t="s">
        <v>32</v>
      </c>
      <c r="B16" s="663" t="s">
        <v>33</v>
      </c>
      <c r="C16" s="663" t="s">
        <v>265</v>
      </c>
      <c r="D16" s="664">
        <v>2552</v>
      </c>
      <c r="E16" s="664">
        <v>2753</v>
      </c>
      <c r="F16" s="664">
        <v>2765</v>
      </c>
      <c r="G16" s="665">
        <v>2911</v>
      </c>
      <c r="H16" s="1015">
        <v>3022</v>
      </c>
      <c r="I16" s="1015">
        <v>3149</v>
      </c>
    </row>
    <row r="17" spans="1:9" s="666" customFormat="1">
      <c r="A17" s="662" t="s">
        <v>36</v>
      </c>
      <c r="B17" s="663" t="s">
        <v>37</v>
      </c>
      <c r="C17" s="663" t="s">
        <v>264</v>
      </c>
      <c r="D17" s="664">
        <v>4252</v>
      </c>
      <c r="E17" s="664">
        <v>4356</v>
      </c>
      <c r="F17" s="664">
        <v>4431</v>
      </c>
      <c r="G17" s="665">
        <v>4447</v>
      </c>
      <c r="H17" s="1015">
        <v>4598</v>
      </c>
      <c r="I17" s="1015">
        <v>4694</v>
      </c>
    </row>
    <row r="18" spans="1:9" s="666" customFormat="1">
      <c r="A18" s="662" t="s">
        <v>38</v>
      </c>
      <c r="B18" s="663" t="s">
        <v>39</v>
      </c>
      <c r="C18" s="663" t="s">
        <v>268</v>
      </c>
      <c r="D18" s="664">
        <v>6675</v>
      </c>
      <c r="E18" s="664">
        <v>6666</v>
      </c>
      <c r="F18" s="664">
        <v>6581</v>
      </c>
      <c r="G18" s="665">
        <v>6599</v>
      </c>
      <c r="H18" s="1015">
        <v>6789</v>
      </c>
      <c r="I18" s="1015">
        <v>6755</v>
      </c>
    </row>
    <row r="19" spans="1:9" s="666" customFormat="1">
      <c r="A19" s="662" t="s">
        <v>40</v>
      </c>
      <c r="B19" s="663" t="s">
        <v>41</v>
      </c>
      <c r="C19" s="663" t="s">
        <v>266</v>
      </c>
      <c r="D19" s="664">
        <v>3183</v>
      </c>
      <c r="E19" s="664">
        <v>3390</v>
      </c>
      <c r="F19" s="664">
        <v>3515</v>
      </c>
      <c r="G19" s="665">
        <v>3661</v>
      </c>
      <c r="H19" s="1015">
        <v>3855</v>
      </c>
      <c r="I19" s="1015">
        <v>3873</v>
      </c>
    </row>
    <row r="20" spans="1:9" s="666" customFormat="1">
      <c r="A20" s="662" t="s">
        <v>42</v>
      </c>
      <c r="B20" s="663" t="s">
        <v>43</v>
      </c>
      <c r="C20" s="663" t="s">
        <v>265</v>
      </c>
      <c r="D20" s="664">
        <v>9260</v>
      </c>
      <c r="E20" s="664">
        <v>9829</v>
      </c>
      <c r="F20" s="664">
        <v>10297</v>
      </c>
      <c r="G20" s="665">
        <v>10702</v>
      </c>
      <c r="H20" s="1015">
        <v>11112</v>
      </c>
      <c r="I20" s="1015">
        <v>11215</v>
      </c>
    </row>
    <row r="21" spans="1:9" s="666" customFormat="1">
      <c r="A21" s="662" t="s">
        <v>44</v>
      </c>
      <c r="B21" s="663" t="s">
        <v>45</v>
      </c>
      <c r="C21" s="663" t="s">
        <v>266</v>
      </c>
      <c r="D21" s="664">
        <v>4948</v>
      </c>
      <c r="E21" s="664">
        <v>5235</v>
      </c>
      <c r="F21" s="664">
        <v>5427</v>
      </c>
      <c r="G21" s="665">
        <v>5688</v>
      </c>
      <c r="H21" s="1015">
        <v>5852</v>
      </c>
      <c r="I21" s="1015">
        <v>5813</v>
      </c>
    </row>
    <row r="22" spans="1:9" s="666" customFormat="1">
      <c r="A22" s="662" t="s">
        <v>46</v>
      </c>
      <c r="B22" s="663" t="s">
        <v>47</v>
      </c>
      <c r="C22" s="663" t="s">
        <v>268</v>
      </c>
      <c r="D22" s="664">
        <v>6445</v>
      </c>
      <c r="E22" s="664">
        <v>6690</v>
      </c>
      <c r="F22" s="664">
        <v>6980</v>
      </c>
      <c r="G22" s="665">
        <v>7218</v>
      </c>
      <c r="H22" s="1015">
        <v>7309</v>
      </c>
      <c r="I22" s="1015">
        <v>7237</v>
      </c>
    </row>
    <row r="23" spans="1:9" s="666" customFormat="1">
      <c r="A23" s="662" t="s">
        <v>48</v>
      </c>
      <c r="B23" s="663" t="s">
        <v>269</v>
      </c>
      <c r="C23" s="663" t="s">
        <v>266</v>
      </c>
      <c r="D23" s="664">
        <v>1111</v>
      </c>
      <c r="E23" s="664">
        <v>1161</v>
      </c>
      <c r="F23" s="664">
        <v>1216</v>
      </c>
      <c r="G23" s="665">
        <v>1224</v>
      </c>
      <c r="H23" s="1015">
        <v>1262</v>
      </c>
      <c r="I23" s="1015">
        <v>1227</v>
      </c>
    </row>
    <row r="24" spans="1:9" s="666" customFormat="1">
      <c r="A24" s="662" t="s">
        <v>50</v>
      </c>
      <c r="B24" s="663" t="s">
        <v>51</v>
      </c>
      <c r="C24" s="663" t="s">
        <v>265</v>
      </c>
      <c r="D24" s="664">
        <v>3207</v>
      </c>
      <c r="E24" s="664">
        <v>3258</v>
      </c>
      <c r="F24" s="664">
        <v>3332</v>
      </c>
      <c r="G24" s="665">
        <v>3389</v>
      </c>
      <c r="H24" s="1015">
        <v>3384</v>
      </c>
      <c r="I24" s="1015">
        <v>3295</v>
      </c>
    </row>
    <row r="25" spans="1:9" s="666" customFormat="1">
      <c r="A25" s="662" t="s">
        <v>56</v>
      </c>
      <c r="B25" s="663" t="s">
        <v>295</v>
      </c>
      <c r="C25" s="663" t="s">
        <v>266</v>
      </c>
      <c r="D25" s="664">
        <v>35855</v>
      </c>
      <c r="E25" s="664">
        <v>39703</v>
      </c>
      <c r="F25" s="664">
        <v>42522</v>
      </c>
      <c r="G25" s="665">
        <v>44327</v>
      </c>
      <c r="H25" s="1015">
        <v>46644</v>
      </c>
      <c r="I25" s="1015">
        <v>47977</v>
      </c>
    </row>
    <row r="26" spans="1:9" s="666" customFormat="1">
      <c r="A26" s="662" t="s">
        <v>58</v>
      </c>
      <c r="B26" s="663" t="s">
        <v>59</v>
      </c>
      <c r="C26" s="663" t="s">
        <v>267</v>
      </c>
      <c r="D26" s="664">
        <v>1146</v>
      </c>
      <c r="E26" s="664">
        <v>1243</v>
      </c>
      <c r="F26" s="664">
        <v>1250</v>
      </c>
      <c r="G26" s="665">
        <v>1266</v>
      </c>
      <c r="H26" s="1015">
        <v>1329</v>
      </c>
      <c r="I26" s="1015">
        <v>1366</v>
      </c>
    </row>
    <row r="27" spans="1:9" s="666" customFormat="1">
      <c r="A27" s="662" t="s">
        <v>60</v>
      </c>
      <c r="B27" s="663" t="s">
        <v>61</v>
      </c>
      <c r="C27" s="663" t="s">
        <v>265</v>
      </c>
      <c r="D27" s="664">
        <v>768</v>
      </c>
      <c r="E27" s="664">
        <v>856</v>
      </c>
      <c r="F27" s="664">
        <v>908</v>
      </c>
      <c r="G27" s="665">
        <v>931</v>
      </c>
      <c r="H27" s="1015">
        <v>1004</v>
      </c>
      <c r="I27" s="1015">
        <v>992</v>
      </c>
    </row>
    <row r="28" spans="1:9" s="666" customFormat="1">
      <c r="A28" s="662" t="s">
        <v>62</v>
      </c>
      <c r="B28" s="663" t="s">
        <v>63</v>
      </c>
      <c r="C28" s="663" t="s">
        <v>267</v>
      </c>
      <c r="D28" s="664">
        <v>6626</v>
      </c>
      <c r="E28" s="664">
        <v>7181</v>
      </c>
      <c r="F28" s="664">
        <v>7680</v>
      </c>
      <c r="G28" s="665">
        <v>8058</v>
      </c>
      <c r="H28" s="1015">
        <v>8468</v>
      </c>
      <c r="I28" s="1015">
        <v>8570</v>
      </c>
    </row>
    <row r="29" spans="1:9" s="666" customFormat="1">
      <c r="A29" s="662" t="s">
        <v>64</v>
      </c>
      <c r="B29" s="663" t="s">
        <v>65</v>
      </c>
      <c r="C29" s="663" t="s">
        <v>266</v>
      </c>
      <c r="D29" s="664">
        <v>2383</v>
      </c>
      <c r="E29" s="664">
        <v>2460</v>
      </c>
      <c r="F29" s="664">
        <v>2552</v>
      </c>
      <c r="G29" s="665">
        <v>2632</v>
      </c>
      <c r="H29" s="1015">
        <v>2756</v>
      </c>
      <c r="I29" s="1015">
        <v>2814</v>
      </c>
    </row>
    <row r="30" spans="1:9" s="666" customFormat="1">
      <c r="A30" s="662" t="s">
        <v>68</v>
      </c>
      <c r="B30" s="663" t="s">
        <v>69</v>
      </c>
      <c r="C30" s="663" t="s">
        <v>268</v>
      </c>
      <c r="D30" s="664">
        <v>4826</v>
      </c>
      <c r="E30" s="664">
        <v>4741</v>
      </c>
      <c r="F30" s="664">
        <v>4783</v>
      </c>
      <c r="G30" s="665">
        <v>4812</v>
      </c>
      <c r="H30" s="1015">
        <v>4986</v>
      </c>
      <c r="I30" s="1015">
        <v>4913</v>
      </c>
    </row>
    <row r="31" spans="1:9" s="666" customFormat="1">
      <c r="A31" s="662" t="s">
        <v>70</v>
      </c>
      <c r="B31" s="663" t="s">
        <v>71</v>
      </c>
      <c r="C31" s="663" t="s">
        <v>264</v>
      </c>
      <c r="D31" s="664">
        <v>4897</v>
      </c>
      <c r="E31" s="664">
        <v>5141</v>
      </c>
      <c r="F31" s="664">
        <v>5363</v>
      </c>
      <c r="G31" s="665">
        <v>5597</v>
      </c>
      <c r="H31" s="1015">
        <v>5744</v>
      </c>
      <c r="I31" s="1015">
        <v>5702</v>
      </c>
    </row>
    <row r="32" spans="1:9" s="666" customFormat="1">
      <c r="A32" s="662" t="s">
        <v>72</v>
      </c>
      <c r="B32" s="663" t="s">
        <v>73</v>
      </c>
      <c r="C32" s="663" t="s">
        <v>266</v>
      </c>
      <c r="D32" s="664">
        <v>2500</v>
      </c>
      <c r="E32" s="664">
        <v>2606</v>
      </c>
      <c r="F32" s="664">
        <v>2734</v>
      </c>
      <c r="G32" s="665">
        <v>2886</v>
      </c>
      <c r="H32" s="1015">
        <v>2966</v>
      </c>
      <c r="I32" s="1015">
        <v>2901</v>
      </c>
    </row>
    <row r="33" spans="1:9" s="666" customFormat="1">
      <c r="A33" s="662" t="s">
        <v>74</v>
      </c>
      <c r="B33" s="663" t="s">
        <v>296</v>
      </c>
      <c r="C33" s="663" t="s">
        <v>267</v>
      </c>
      <c r="D33" s="664">
        <v>75812</v>
      </c>
      <c r="E33" s="664">
        <v>84858</v>
      </c>
      <c r="F33" s="664">
        <v>92407</v>
      </c>
      <c r="G33" s="665">
        <v>93029</v>
      </c>
      <c r="H33" s="1015">
        <v>98429</v>
      </c>
      <c r="I33" s="1015">
        <v>100667</v>
      </c>
    </row>
    <row r="34" spans="1:9" s="666" customFormat="1">
      <c r="A34" s="662" t="s">
        <v>76</v>
      </c>
      <c r="B34" s="663" t="s">
        <v>77</v>
      </c>
      <c r="C34" s="663" t="s">
        <v>267</v>
      </c>
      <c r="D34" s="664">
        <v>5699</v>
      </c>
      <c r="E34" s="664">
        <v>6253</v>
      </c>
      <c r="F34" s="664">
        <v>6341</v>
      </c>
      <c r="G34" s="665">
        <v>6717</v>
      </c>
      <c r="H34" s="1015">
        <v>7064</v>
      </c>
      <c r="I34" s="1015">
        <v>7051</v>
      </c>
    </row>
    <row r="35" spans="1:9" s="666" customFormat="1">
      <c r="A35" s="662" t="s">
        <v>78</v>
      </c>
      <c r="B35" s="663" t="s">
        <v>79</v>
      </c>
      <c r="C35" s="663" t="s">
        <v>268</v>
      </c>
      <c r="D35" s="664">
        <v>2390</v>
      </c>
      <c r="E35" s="664">
        <v>2606</v>
      </c>
      <c r="F35" s="664">
        <v>2757</v>
      </c>
      <c r="G35" s="665">
        <v>2879</v>
      </c>
      <c r="H35" s="1015">
        <v>2997</v>
      </c>
      <c r="I35" s="1015">
        <v>2979</v>
      </c>
    </row>
    <row r="36" spans="1:9" s="666" customFormat="1">
      <c r="A36" s="662" t="s">
        <v>80</v>
      </c>
      <c r="B36" s="663" t="s">
        <v>81</v>
      </c>
      <c r="C36" s="663" t="s">
        <v>266</v>
      </c>
      <c r="D36" s="664">
        <v>2221</v>
      </c>
      <c r="E36" s="664">
        <v>2414</v>
      </c>
      <c r="F36" s="664">
        <v>2576</v>
      </c>
      <c r="G36" s="665">
        <v>2788</v>
      </c>
      <c r="H36" s="1015">
        <v>3055</v>
      </c>
      <c r="I36" s="1015">
        <v>3091</v>
      </c>
    </row>
    <row r="37" spans="1:9" s="666" customFormat="1">
      <c r="A37" s="662" t="s">
        <v>84</v>
      </c>
      <c r="B37" s="663" t="s">
        <v>85</v>
      </c>
      <c r="C37" s="663" t="s">
        <v>265</v>
      </c>
      <c r="D37" s="664">
        <v>9262</v>
      </c>
      <c r="E37" s="664">
        <v>9646</v>
      </c>
      <c r="F37" s="664">
        <v>9931</v>
      </c>
      <c r="G37" s="665">
        <v>10534</v>
      </c>
      <c r="H37" s="1015">
        <v>10836</v>
      </c>
      <c r="I37" s="1015">
        <v>10648</v>
      </c>
    </row>
    <row r="38" spans="1:9" s="666" customFormat="1">
      <c r="A38" s="662" t="s">
        <v>86</v>
      </c>
      <c r="B38" s="663" t="s">
        <v>87</v>
      </c>
      <c r="C38" s="663" t="s">
        <v>267</v>
      </c>
      <c r="D38" s="664">
        <v>8033</v>
      </c>
      <c r="E38" s="664">
        <v>9008</v>
      </c>
      <c r="F38" s="664">
        <v>10014</v>
      </c>
      <c r="G38" s="665">
        <v>10594</v>
      </c>
      <c r="H38" s="1015">
        <v>11299</v>
      </c>
      <c r="I38" s="1015">
        <v>11379</v>
      </c>
    </row>
    <row r="39" spans="1:9" s="666" customFormat="1">
      <c r="A39" s="662" t="s">
        <v>92</v>
      </c>
      <c r="B39" s="663" t="s">
        <v>93</v>
      </c>
      <c r="C39" s="663" t="s">
        <v>268</v>
      </c>
      <c r="D39" s="664">
        <v>3194</v>
      </c>
      <c r="E39" s="664">
        <v>3335</v>
      </c>
      <c r="F39" s="664">
        <v>3529</v>
      </c>
      <c r="G39" s="665">
        <v>3525</v>
      </c>
      <c r="H39" s="1015">
        <v>3480</v>
      </c>
      <c r="I39" s="1015">
        <v>3563</v>
      </c>
    </row>
    <row r="40" spans="1:9" s="666" customFormat="1">
      <c r="A40" s="662" t="s">
        <v>94</v>
      </c>
      <c r="B40" s="663" t="s">
        <v>95</v>
      </c>
      <c r="C40" s="663" t="s">
        <v>264</v>
      </c>
      <c r="D40" s="664">
        <v>4441</v>
      </c>
      <c r="E40" s="664">
        <v>4854</v>
      </c>
      <c r="F40" s="664">
        <v>5019</v>
      </c>
      <c r="G40" s="665">
        <v>5270</v>
      </c>
      <c r="H40" s="1015">
        <v>5430</v>
      </c>
      <c r="I40" s="1015">
        <v>5549</v>
      </c>
    </row>
    <row r="41" spans="1:9" s="666" customFormat="1">
      <c r="A41" s="662" t="s">
        <v>96</v>
      </c>
      <c r="B41" s="663" t="s">
        <v>97</v>
      </c>
      <c r="C41" s="663" t="s">
        <v>266</v>
      </c>
      <c r="D41" s="664">
        <v>1610</v>
      </c>
      <c r="E41" s="664">
        <v>1710</v>
      </c>
      <c r="F41" s="664">
        <v>1846</v>
      </c>
      <c r="G41" s="665">
        <v>1847</v>
      </c>
      <c r="H41" s="1015">
        <v>1930</v>
      </c>
      <c r="I41" s="1015">
        <v>1965</v>
      </c>
    </row>
    <row r="42" spans="1:9" s="666" customFormat="1">
      <c r="A42" s="662" t="s">
        <v>98</v>
      </c>
      <c r="B42" s="663" t="s">
        <v>99</v>
      </c>
      <c r="C42" s="663" t="s">
        <v>268</v>
      </c>
      <c r="D42" s="664">
        <v>3701</v>
      </c>
      <c r="E42" s="664">
        <v>3745</v>
      </c>
      <c r="F42" s="664">
        <v>3855</v>
      </c>
      <c r="G42" s="665">
        <v>3956</v>
      </c>
      <c r="H42" s="1015">
        <v>4123</v>
      </c>
      <c r="I42" s="1015">
        <v>4094</v>
      </c>
    </row>
    <row r="43" spans="1:9" s="666" customFormat="1">
      <c r="A43" s="662" t="s">
        <v>100</v>
      </c>
      <c r="B43" s="663" t="s">
        <v>101</v>
      </c>
      <c r="C43" s="663" t="s">
        <v>267</v>
      </c>
      <c r="D43" s="664">
        <v>2456</v>
      </c>
      <c r="E43" s="664">
        <v>2711</v>
      </c>
      <c r="F43" s="664">
        <v>2814</v>
      </c>
      <c r="G43" s="665">
        <v>2943</v>
      </c>
      <c r="H43" s="1015">
        <v>3142</v>
      </c>
      <c r="I43" s="1015">
        <v>3216</v>
      </c>
    </row>
    <row r="44" spans="1:9" s="666" customFormat="1">
      <c r="A44" s="662" t="s">
        <v>102</v>
      </c>
      <c r="B44" s="663" t="s">
        <v>282</v>
      </c>
      <c r="C44" s="663" t="s">
        <v>264</v>
      </c>
      <c r="D44" s="664">
        <v>4538</v>
      </c>
      <c r="E44" s="664">
        <v>4651</v>
      </c>
      <c r="F44" s="664">
        <v>4913</v>
      </c>
      <c r="G44" s="665">
        <v>5090</v>
      </c>
      <c r="H44" s="1015">
        <v>5264</v>
      </c>
      <c r="I44" s="1015">
        <v>5214</v>
      </c>
    </row>
    <row r="45" spans="1:9" s="666" customFormat="1">
      <c r="A45" s="662" t="s">
        <v>104</v>
      </c>
      <c r="B45" s="663" t="s">
        <v>105</v>
      </c>
      <c r="C45" s="663" t="s">
        <v>265</v>
      </c>
      <c r="D45" s="664">
        <v>8753</v>
      </c>
      <c r="E45" s="664">
        <v>9055</v>
      </c>
      <c r="F45" s="664">
        <v>9295</v>
      </c>
      <c r="G45" s="665">
        <v>9493</v>
      </c>
      <c r="H45" s="1015">
        <v>9608</v>
      </c>
      <c r="I45" s="1015">
        <v>9623</v>
      </c>
    </row>
    <row r="46" spans="1:9" s="666" customFormat="1">
      <c r="A46" s="662" t="s">
        <v>108</v>
      </c>
      <c r="B46" s="663" t="s">
        <v>109</v>
      </c>
      <c r="C46" s="663" t="s">
        <v>266</v>
      </c>
      <c r="D46" s="664">
        <v>6854</v>
      </c>
      <c r="E46" s="664">
        <v>7567</v>
      </c>
      <c r="F46" s="664">
        <v>8063</v>
      </c>
      <c r="G46" s="665">
        <v>8392</v>
      </c>
      <c r="H46" s="1015">
        <v>8666</v>
      </c>
      <c r="I46" s="1015">
        <v>8913</v>
      </c>
    </row>
    <row r="47" spans="1:9" s="666" customFormat="1">
      <c r="A47" s="662" t="s">
        <v>110</v>
      </c>
      <c r="B47" s="663" t="s">
        <v>111</v>
      </c>
      <c r="C47" s="663" t="s">
        <v>266</v>
      </c>
      <c r="D47" s="664">
        <v>35618</v>
      </c>
      <c r="E47" s="664">
        <v>39553</v>
      </c>
      <c r="F47" s="664">
        <v>42070</v>
      </c>
      <c r="G47" s="665">
        <v>44367</v>
      </c>
      <c r="H47" s="1015">
        <v>46486</v>
      </c>
      <c r="I47" s="1015">
        <v>47798</v>
      </c>
    </row>
    <row r="48" spans="1:9" s="666" customFormat="1">
      <c r="A48" s="662" t="s">
        <v>112</v>
      </c>
      <c r="B48" s="663" t="s">
        <v>300</v>
      </c>
      <c r="C48" s="663" t="s">
        <v>265</v>
      </c>
      <c r="D48" s="664">
        <v>17644</v>
      </c>
      <c r="E48" s="664">
        <v>18295</v>
      </c>
      <c r="F48" s="664">
        <v>18853</v>
      </c>
      <c r="G48" s="665">
        <v>20095</v>
      </c>
      <c r="H48" s="1015">
        <v>20770</v>
      </c>
      <c r="I48" s="1015">
        <v>20831</v>
      </c>
    </row>
    <row r="49" spans="1:9" s="666" customFormat="1">
      <c r="A49" s="662" t="s">
        <v>114</v>
      </c>
      <c r="B49" s="663" t="s">
        <v>115</v>
      </c>
      <c r="C49" s="663" t="s">
        <v>265</v>
      </c>
      <c r="D49" s="664">
        <v>275</v>
      </c>
      <c r="E49" s="664">
        <v>261</v>
      </c>
      <c r="F49" s="664">
        <v>287</v>
      </c>
      <c r="G49" s="665">
        <v>295</v>
      </c>
      <c r="H49" s="1015">
        <v>267</v>
      </c>
      <c r="I49" s="1015">
        <v>351</v>
      </c>
    </row>
    <row r="50" spans="1:9" s="666" customFormat="1">
      <c r="A50" s="662" t="s">
        <v>118</v>
      </c>
      <c r="B50" s="663" t="s">
        <v>270</v>
      </c>
      <c r="C50" s="663" t="s">
        <v>264</v>
      </c>
      <c r="D50" s="664">
        <v>4709</v>
      </c>
      <c r="E50" s="664">
        <v>4874</v>
      </c>
      <c r="F50" s="664">
        <v>5101</v>
      </c>
      <c r="G50" s="665">
        <v>5242</v>
      </c>
      <c r="H50" s="1015">
        <v>5453</v>
      </c>
      <c r="I50" s="1015">
        <v>5323</v>
      </c>
    </row>
    <row r="51" spans="1:9" s="666" customFormat="1">
      <c r="A51" s="662" t="s">
        <v>120</v>
      </c>
      <c r="B51" s="663" t="s">
        <v>121</v>
      </c>
      <c r="C51" s="663" t="s">
        <v>264</v>
      </c>
      <c r="D51" s="664">
        <v>5508</v>
      </c>
      <c r="E51" s="664">
        <v>5830</v>
      </c>
      <c r="F51" s="664">
        <v>6130</v>
      </c>
      <c r="G51" s="665">
        <v>6540</v>
      </c>
      <c r="H51" s="1015">
        <v>6928</v>
      </c>
      <c r="I51" s="1015">
        <v>7079</v>
      </c>
    </row>
    <row r="52" spans="1:9" s="666" customFormat="1">
      <c r="A52" s="662" t="s">
        <v>122</v>
      </c>
      <c r="B52" s="663" t="s">
        <v>287</v>
      </c>
      <c r="C52" s="663" t="s">
        <v>266</v>
      </c>
      <c r="D52" s="664">
        <v>1384</v>
      </c>
      <c r="E52" s="664">
        <v>1512</v>
      </c>
      <c r="F52" s="664">
        <v>1551</v>
      </c>
      <c r="G52" s="665">
        <v>1573</v>
      </c>
      <c r="H52" s="1015">
        <v>1638</v>
      </c>
      <c r="I52" s="1015">
        <v>1720</v>
      </c>
    </row>
    <row r="53" spans="1:9" s="666" customFormat="1">
      <c r="A53" s="662" t="s">
        <v>124</v>
      </c>
      <c r="B53" s="663" t="s">
        <v>125</v>
      </c>
      <c r="C53" s="663" t="s">
        <v>267</v>
      </c>
      <c r="D53" s="664">
        <v>2611</v>
      </c>
      <c r="E53" s="664">
        <v>2863</v>
      </c>
      <c r="F53" s="664">
        <v>3263</v>
      </c>
      <c r="G53" s="665">
        <v>3559</v>
      </c>
      <c r="H53" s="1015">
        <v>3685</v>
      </c>
      <c r="I53" s="1015">
        <v>3720</v>
      </c>
    </row>
    <row r="54" spans="1:9" s="666" customFormat="1">
      <c r="A54" s="662" t="s">
        <v>126</v>
      </c>
      <c r="B54" s="663" t="s">
        <v>127</v>
      </c>
      <c r="C54" s="663" t="s">
        <v>266</v>
      </c>
      <c r="D54" s="664">
        <v>1893</v>
      </c>
      <c r="E54" s="664">
        <v>2108</v>
      </c>
      <c r="F54" s="664">
        <v>2304</v>
      </c>
      <c r="G54" s="665">
        <v>2499</v>
      </c>
      <c r="H54" s="1015">
        <v>2536</v>
      </c>
      <c r="I54" s="1015">
        <v>2563</v>
      </c>
    </row>
    <row r="55" spans="1:9" s="666" customFormat="1">
      <c r="A55" s="662" t="s">
        <v>128</v>
      </c>
      <c r="B55" s="663" t="s">
        <v>129</v>
      </c>
      <c r="C55" s="663" t="s">
        <v>266</v>
      </c>
      <c r="D55" s="664">
        <v>1959</v>
      </c>
      <c r="E55" s="664">
        <v>2012</v>
      </c>
      <c r="F55" s="664">
        <v>2116</v>
      </c>
      <c r="G55" s="665">
        <v>2213</v>
      </c>
      <c r="H55" s="1015">
        <v>2298</v>
      </c>
      <c r="I55" s="1015">
        <v>2289</v>
      </c>
    </row>
    <row r="56" spans="1:9" s="666" customFormat="1">
      <c r="A56" s="662" t="s">
        <v>130</v>
      </c>
      <c r="B56" s="663" t="s">
        <v>131</v>
      </c>
      <c r="C56" s="663" t="s">
        <v>268</v>
      </c>
      <c r="D56" s="664">
        <v>7825</v>
      </c>
      <c r="E56" s="664">
        <v>7866</v>
      </c>
      <c r="F56" s="664">
        <v>7907</v>
      </c>
      <c r="G56" s="665">
        <v>8111</v>
      </c>
      <c r="H56" s="1015">
        <v>8264</v>
      </c>
      <c r="I56" s="1015">
        <v>8287</v>
      </c>
    </row>
    <row r="57" spans="1:9" s="666" customFormat="1">
      <c r="A57" s="662" t="s">
        <v>132</v>
      </c>
      <c r="B57" s="663" t="s">
        <v>133</v>
      </c>
      <c r="C57" s="663" t="s">
        <v>267</v>
      </c>
      <c r="D57" s="664">
        <v>13527</v>
      </c>
      <c r="E57" s="664">
        <v>15547</v>
      </c>
      <c r="F57" s="664">
        <v>17321</v>
      </c>
      <c r="G57" s="665">
        <v>18721</v>
      </c>
      <c r="H57" s="1015">
        <v>20358</v>
      </c>
      <c r="I57" s="1015">
        <v>21076</v>
      </c>
    </row>
    <row r="58" spans="1:9" s="666" customFormat="1">
      <c r="A58" s="662" t="s">
        <v>134</v>
      </c>
      <c r="B58" s="663" t="s">
        <v>135</v>
      </c>
      <c r="C58" s="663" t="s">
        <v>267</v>
      </c>
      <c r="D58" s="664">
        <v>4734</v>
      </c>
      <c r="E58" s="664">
        <v>5158</v>
      </c>
      <c r="F58" s="664">
        <v>5533</v>
      </c>
      <c r="G58" s="665">
        <v>5794</v>
      </c>
      <c r="H58" s="1015">
        <v>6083</v>
      </c>
      <c r="I58" s="1015">
        <v>6281</v>
      </c>
    </row>
    <row r="59" spans="1:9" s="666" customFormat="1">
      <c r="A59" s="662" t="s">
        <v>136</v>
      </c>
      <c r="B59" s="663" t="s">
        <v>137</v>
      </c>
      <c r="C59" s="663" t="s">
        <v>266</v>
      </c>
      <c r="D59" s="664">
        <v>2964</v>
      </c>
      <c r="E59" s="664">
        <v>2969</v>
      </c>
      <c r="F59" s="664">
        <v>3156</v>
      </c>
      <c r="G59" s="665">
        <v>3163</v>
      </c>
      <c r="H59" s="1015">
        <v>3160</v>
      </c>
      <c r="I59" s="1015">
        <v>3264</v>
      </c>
    </row>
    <row r="60" spans="1:9" s="666" customFormat="1">
      <c r="A60" s="662" t="s">
        <v>140</v>
      </c>
      <c r="B60" s="663" t="s">
        <v>141</v>
      </c>
      <c r="C60" s="663" t="s">
        <v>267</v>
      </c>
      <c r="D60" s="664">
        <v>1705</v>
      </c>
      <c r="E60" s="664">
        <v>1925</v>
      </c>
      <c r="F60" s="664">
        <v>2021</v>
      </c>
      <c r="G60" s="665">
        <v>2143</v>
      </c>
      <c r="H60" s="1015">
        <v>2306</v>
      </c>
      <c r="I60" s="1015">
        <v>2312</v>
      </c>
    </row>
    <row r="61" spans="1:9" s="666" customFormat="1">
      <c r="A61" s="662" t="s">
        <v>146</v>
      </c>
      <c r="B61" s="663" t="s">
        <v>147</v>
      </c>
      <c r="C61" s="663" t="s">
        <v>264</v>
      </c>
      <c r="D61" s="664">
        <v>1066</v>
      </c>
      <c r="E61" s="664">
        <v>1162</v>
      </c>
      <c r="F61" s="664">
        <v>1164</v>
      </c>
      <c r="G61" s="665">
        <v>1206</v>
      </c>
      <c r="H61" s="1015">
        <v>1249</v>
      </c>
      <c r="I61" s="1015">
        <v>1254</v>
      </c>
    </row>
    <row r="62" spans="1:9" s="666" customFormat="1">
      <c r="A62" s="662" t="s">
        <v>148</v>
      </c>
      <c r="B62" s="663" t="s">
        <v>149</v>
      </c>
      <c r="C62" s="663" t="s">
        <v>265</v>
      </c>
      <c r="D62" s="664">
        <v>6628</v>
      </c>
      <c r="E62" s="664">
        <v>6924</v>
      </c>
      <c r="F62" s="664">
        <v>7151</v>
      </c>
      <c r="G62" s="665">
        <v>7468</v>
      </c>
      <c r="H62" s="1015">
        <v>7722</v>
      </c>
      <c r="I62" s="1015">
        <v>7792</v>
      </c>
    </row>
    <row r="63" spans="1:9" s="666" customFormat="1">
      <c r="A63" s="662" t="s">
        <v>150</v>
      </c>
      <c r="B63" s="663" t="s">
        <v>151</v>
      </c>
      <c r="C63" s="663" t="s">
        <v>266</v>
      </c>
      <c r="D63" s="664">
        <v>1547</v>
      </c>
      <c r="E63" s="664">
        <v>1614</v>
      </c>
      <c r="F63" s="664">
        <v>1767</v>
      </c>
      <c r="G63" s="665">
        <v>2018</v>
      </c>
      <c r="H63" s="1015">
        <v>2100</v>
      </c>
      <c r="I63" s="1015">
        <v>2108</v>
      </c>
    </row>
    <row r="64" spans="1:9" s="666" customFormat="1">
      <c r="A64" s="662" t="s">
        <v>152</v>
      </c>
      <c r="B64" s="663" t="s">
        <v>153</v>
      </c>
      <c r="C64" s="663" t="s">
        <v>268</v>
      </c>
      <c r="D64" s="664">
        <v>9697</v>
      </c>
      <c r="E64" s="664">
        <v>10197</v>
      </c>
      <c r="F64" s="664">
        <v>10461</v>
      </c>
      <c r="G64" s="665">
        <v>10787</v>
      </c>
      <c r="H64" s="1015">
        <v>11158</v>
      </c>
      <c r="I64" s="1015">
        <v>11243</v>
      </c>
    </row>
    <row r="65" spans="1:9" s="666" customFormat="1">
      <c r="A65" s="662" t="s">
        <v>154</v>
      </c>
      <c r="B65" s="663" t="s">
        <v>155</v>
      </c>
      <c r="C65" s="663" t="s">
        <v>265</v>
      </c>
      <c r="D65" s="664">
        <v>2711</v>
      </c>
      <c r="E65" s="664">
        <v>2812</v>
      </c>
      <c r="F65" s="664">
        <v>2904</v>
      </c>
      <c r="G65" s="665">
        <v>3017</v>
      </c>
      <c r="H65" s="1015">
        <v>3094</v>
      </c>
      <c r="I65" s="1015">
        <v>3113</v>
      </c>
    </row>
    <row r="66" spans="1:9" s="666" customFormat="1">
      <c r="A66" s="662" t="s">
        <v>156</v>
      </c>
      <c r="B66" s="663" t="s">
        <v>157</v>
      </c>
      <c r="C66" s="663" t="s">
        <v>266</v>
      </c>
      <c r="D66" s="664">
        <v>1293</v>
      </c>
      <c r="E66" s="664">
        <v>1499</v>
      </c>
      <c r="F66" s="664">
        <v>1602</v>
      </c>
      <c r="G66" s="665">
        <v>1778</v>
      </c>
      <c r="H66" s="1015">
        <v>1812</v>
      </c>
      <c r="I66" s="1015">
        <v>1879</v>
      </c>
    </row>
    <row r="67" spans="1:9" s="666" customFormat="1">
      <c r="A67" s="662" t="s">
        <v>162</v>
      </c>
      <c r="B67" s="663" t="s">
        <v>163</v>
      </c>
      <c r="C67" s="663" t="s">
        <v>264</v>
      </c>
      <c r="D67" s="664">
        <v>3586</v>
      </c>
      <c r="E67" s="664">
        <v>3602</v>
      </c>
      <c r="F67" s="664">
        <v>3685</v>
      </c>
      <c r="G67" s="665">
        <v>3771</v>
      </c>
      <c r="H67" s="1015">
        <v>3905</v>
      </c>
      <c r="I67" s="1015">
        <v>3874</v>
      </c>
    </row>
    <row r="68" spans="1:9" s="666" customFormat="1">
      <c r="A68" s="662" t="s">
        <v>164</v>
      </c>
      <c r="B68" s="663" t="s">
        <v>165</v>
      </c>
      <c r="C68" s="663" t="s">
        <v>266</v>
      </c>
      <c r="D68" s="664">
        <v>1835</v>
      </c>
      <c r="E68" s="664">
        <v>1998</v>
      </c>
      <c r="F68" s="664">
        <v>2101</v>
      </c>
      <c r="G68" s="665">
        <v>2234</v>
      </c>
      <c r="H68" s="1015">
        <v>2458</v>
      </c>
      <c r="I68" s="1015">
        <v>2492</v>
      </c>
    </row>
    <row r="69" spans="1:9" s="666" customFormat="1">
      <c r="A69" s="662" t="s">
        <v>168</v>
      </c>
      <c r="B69" s="663" t="s">
        <v>169</v>
      </c>
      <c r="C69" s="663" t="s">
        <v>266</v>
      </c>
      <c r="D69" s="664">
        <v>3728</v>
      </c>
      <c r="E69" s="664">
        <v>3802</v>
      </c>
      <c r="F69" s="664">
        <v>4039</v>
      </c>
      <c r="G69" s="665">
        <v>4252</v>
      </c>
      <c r="H69" s="1015">
        <v>4410</v>
      </c>
      <c r="I69" s="1015">
        <v>4431</v>
      </c>
    </row>
    <row r="70" spans="1:9" s="666" customFormat="1">
      <c r="A70" s="662" t="s">
        <v>170</v>
      </c>
      <c r="B70" s="663" t="s">
        <v>171</v>
      </c>
      <c r="C70" s="663" t="s">
        <v>267</v>
      </c>
      <c r="D70" s="664">
        <v>4386</v>
      </c>
      <c r="E70" s="664">
        <v>4670</v>
      </c>
      <c r="F70" s="664">
        <v>4928</v>
      </c>
      <c r="G70" s="665">
        <v>5150</v>
      </c>
      <c r="H70" s="1015">
        <v>5445</v>
      </c>
      <c r="I70" s="1015">
        <v>5604</v>
      </c>
    </row>
    <row r="71" spans="1:9" s="666" customFormat="1">
      <c r="A71" s="662" t="s">
        <v>172</v>
      </c>
      <c r="B71" s="663" t="s">
        <v>173</v>
      </c>
      <c r="C71" s="663" t="s">
        <v>267</v>
      </c>
      <c r="D71" s="664">
        <v>4471</v>
      </c>
      <c r="E71" s="664">
        <v>4781</v>
      </c>
      <c r="F71" s="664">
        <v>4859</v>
      </c>
      <c r="G71" s="665">
        <v>5128</v>
      </c>
      <c r="H71" s="1015">
        <v>5306</v>
      </c>
      <c r="I71" s="1015">
        <v>5237</v>
      </c>
    </row>
    <row r="72" spans="1:9" s="666" customFormat="1">
      <c r="A72" s="662" t="s">
        <v>174</v>
      </c>
      <c r="B72" s="663" t="s">
        <v>175</v>
      </c>
      <c r="C72" s="663" t="s">
        <v>268</v>
      </c>
      <c r="D72" s="664">
        <v>4334</v>
      </c>
      <c r="E72" s="664">
        <v>4332</v>
      </c>
      <c r="F72" s="664">
        <v>4497</v>
      </c>
      <c r="G72" s="665">
        <v>4727</v>
      </c>
      <c r="H72" s="1015">
        <v>4850</v>
      </c>
      <c r="I72" s="1015">
        <v>4753</v>
      </c>
    </row>
    <row r="73" spans="1:9" s="666" customFormat="1">
      <c r="A73" s="662" t="s">
        <v>178</v>
      </c>
      <c r="B73" s="663" t="s">
        <v>179</v>
      </c>
      <c r="C73" s="663" t="s">
        <v>265</v>
      </c>
      <c r="D73" s="664">
        <v>12093</v>
      </c>
      <c r="E73" s="664">
        <v>12723</v>
      </c>
      <c r="F73" s="664">
        <v>13387</v>
      </c>
      <c r="G73" s="665">
        <v>13553</v>
      </c>
      <c r="H73" s="1015">
        <v>14060</v>
      </c>
      <c r="I73" s="1015">
        <v>14469</v>
      </c>
    </row>
    <row r="74" spans="1:9" s="666" customFormat="1">
      <c r="A74" s="662" t="s">
        <v>182</v>
      </c>
      <c r="B74" s="663" t="s">
        <v>183</v>
      </c>
      <c r="C74" s="663" t="s">
        <v>266</v>
      </c>
      <c r="D74" s="664">
        <v>1774</v>
      </c>
      <c r="E74" s="664">
        <v>1994</v>
      </c>
      <c r="F74" s="664">
        <v>2185</v>
      </c>
      <c r="G74" s="665">
        <v>2340</v>
      </c>
      <c r="H74" s="1015">
        <v>2414</v>
      </c>
      <c r="I74" s="1015">
        <v>2398</v>
      </c>
    </row>
    <row r="75" spans="1:9" s="666" customFormat="1">
      <c r="A75" s="662" t="s">
        <v>184</v>
      </c>
      <c r="B75" s="663" t="s">
        <v>185</v>
      </c>
      <c r="C75" s="663" t="s">
        <v>266</v>
      </c>
      <c r="D75" s="664">
        <v>4344</v>
      </c>
      <c r="E75" s="664">
        <v>4516</v>
      </c>
      <c r="F75" s="664">
        <v>4758</v>
      </c>
      <c r="G75" s="665">
        <v>4873</v>
      </c>
      <c r="H75" s="1015">
        <v>4999</v>
      </c>
      <c r="I75" s="1015">
        <v>5166</v>
      </c>
    </row>
    <row r="76" spans="1:9" s="666" customFormat="1">
      <c r="A76" s="662" t="s">
        <v>186</v>
      </c>
      <c r="B76" s="663" t="s">
        <v>187</v>
      </c>
      <c r="C76" s="663" t="s">
        <v>264</v>
      </c>
      <c r="D76" s="664">
        <v>3101</v>
      </c>
      <c r="E76" s="664">
        <v>3307</v>
      </c>
      <c r="F76" s="664">
        <v>3567</v>
      </c>
      <c r="G76" s="665">
        <v>3756</v>
      </c>
      <c r="H76" s="1015">
        <v>3948</v>
      </c>
      <c r="I76" s="1015">
        <v>4265</v>
      </c>
    </row>
    <row r="77" spans="1:9" s="666" customFormat="1">
      <c r="A77" s="662" t="s">
        <v>188</v>
      </c>
      <c r="B77" s="663" t="s">
        <v>189</v>
      </c>
      <c r="C77" s="663" t="s">
        <v>267</v>
      </c>
      <c r="D77" s="664">
        <v>41210</v>
      </c>
      <c r="E77" s="664">
        <v>45513</v>
      </c>
      <c r="F77" s="664">
        <v>49733</v>
      </c>
      <c r="G77" s="665">
        <v>52912</v>
      </c>
      <c r="H77" s="1015">
        <v>56295</v>
      </c>
      <c r="I77" s="1015">
        <v>57308</v>
      </c>
    </row>
    <row r="78" spans="1:9" s="666" customFormat="1">
      <c r="A78" s="662" t="s">
        <v>190</v>
      </c>
      <c r="B78" s="663" t="s">
        <v>191</v>
      </c>
      <c r="C78" s="663" t="s">
        <v>268</v>
      </c>
      <c r="D78" s="664">
        <v>6537</v>
      </c>
      <c r="E78" s="664">
        <v>6915</v>
      </c>
      <c r="F78" s="664">
        <v>7262</v>
      </c>
      <c r="G78" s="665">
        <v>7440</v>
      </c>
      <c r="H78" s="1015">
        <v>7718</v>
      </c>
      <c r="I78" s="1015">
        <v>7885</v>
      </c>
    </row>
    <row r="79" spans="1:9" s="666" customFormat="1">
      <c r="A79" s="662" t="s">
        <v>194</v>
      </c>
      <c r="B79" s="663" t="s">
        <v>195</v>
      </c>
      <c r="C79" s="663" t="s">
        <v>267</v>
      </c>
      <c r="D79" s="664">
        <v>750</v>
      </c>
      <c r="E79" s="664">
        <v>778</v>
      </c>
      <c r="F79" s="664">
        <v>857</v>
      </c>
      <c r="G79" s="665">
        <v>972</v>
      </c>
      <c r="H79" s="1015">
        <v>986</v>
      </c>
      <c r="I79" s="1015">
        <v>977</v>
      </c>
    </row>
    <row r="80" spans="1:9" s="666" customFormat="1">
      <c r="A80" s="662" t="s">
        <v>198</v>
      </c>
      <c r="B80" s="663" t="s">
        <v>272</v>
      </c>
      <c r="C80" s="663" t="s">
        <v>266</v>
      </c>
      <c r="D80" s="664">
        <v>1605</v>
      </c>
      <c r="E80" s="664">
        <v>1668</v>
      </c>
      <c r="F80" s="664">
        <v>1752</v>
      </c>
      <c r="G80" s="665">
        <v>1755</v>
      </c>
      <c r="H80" s="1015">
        <v>1874</v>
      </c>
      <c r="I80" s="1015">
        <v>1914</v>
      </c>
    </row>
    <row r="81" spans="1:9" s="666" customFormat="1">
      <c r="A81" s="662" t="s">
        <v>202</v>
      </c>
      <c r="B81" s="663" t="s">
        <v>301</v>
      </c>
      <c r="C81" s="663" t="s">
        <v>265</v>
      </c>
      <c r="D81" s="664">
        <v>11187</v>
      </c>
      <c r="E81" s="664">
        <v>12292</v>
      </c>
      <c r="F81" s="664">
        <v>13171</v>
      </c>
      <c r="G81" s="665">
        <v>13784</v>
      </c>
      <c r="H81" s="1015">
        <v>14474</v>
      </c>
      <c r="I81" s="1015">
        <v>14703</v>
      </c>
    </row>
    <row r="82" spans="1:9" s="666" customFormat="1">
      <c r="A82" s="662" t="s">
        <v>204</v>
      </c>
      <c r="B82" s="663" t="s">
        <v>293</v>
      </c>
      <c r="C82" s="663" t="s">
        <v>265</v>
      </c>
      <c r="D82" s="664">
        <v>5155</v>
      </c>
      <c r="E82" s="664">
        <v>5260</v>
      </c>
      <c r="F82" s="664">
        <v>5506</v>
      </c>
      <c r="G82" s="665">
        <v>5785</v>
      </c>
      <c r="H82" s="1015">
        <v>6052</v>
      </c>
      <c r="I82" s="1015">
        <v>6236</v>
      </c>
    </row>
    <row r="83" spans="1:9" s="666" customFormat="1">
      <c r="A83" s="662" t="s">
        <v>206</v>
      </c>
      <c r="B83" s="663" t="s">
        <v>294</v>
      </c>
      <c r="C83" s="663" t="s">
        <v>267</v>
      </c>
      <c r="D83" s="664">
        <v>15002</v>
      </c>
      <c r="E83" s="664">
        <v>16315</v>
      </c>
      <c r="F83" s="664">
        <v>17090</v>
      </c>
      <c r="G83" s="665">
        <v>17852</v>
      </c>
      <c r="H83" s="1015">
        <v>18900</v>
      </c>
      <c r="I83" s="1015">
        <v>19327</v>
      </c>
    </row>
    <row r="84" spans="1:9" s="666" customFormat="1">
      <c r="A84" s="662" t="s">
        <v>208</v>
      </c>
      <c r="B84" s="663" t="s">
        <v>209</v>
      </c>
      <c r="C84" s="663" t="s">
        <v>268</v>
      </c>
      <c r="D84" s="664">
        <v>7701</v>
      </c>
      <c r="E84" s="664">
        <v>7806</v>
      </c>
      <c r="F84" s="664">
        <v>7863</v>
      </c>
      <c r="G84" s="665">
        <v>7829</v>
      </c>
      <c r="H84" s="1015">
        <v>8019</v>
      </c>
      <c r="I84" s="1015">
        <v>8260</v>
      </c>
    </row>
    <row r="85" spans="1:9" s="666" customFormat="1">
      <c r="A85" s="662" t="s">
        <v>210</v>
      </c>
      <c r="B85" s="663" t="s">
        <v>211</v>
      </c>
      <c r="C85" s="663" t="s">
        <v>268</v>
      </c>
      <c r="D85" s="664">
        <v>5369</v>
      </c>
      <c r="E85" s="664">
        <v>5449</v>
      </c>
      <c r="F85" s="664">
        <v>5614</v>
      </c>
      <c r="G85" s="665">
        <v>5825</v>
      </c>
      <c r="H85" s="1015">
        <v>6025</v>
      </c>
      <c r="I85" s="1015">
        <v>6067</v>
      </c>
    </row>
    <row r="86" spans="1:9" s="666" customFormat="1">
      <c r="A86" s="662" t="s">
        <v>212</v>
      </c>
      <c r="B86" s="663" t="s">
        <v>213</v>
      </c>
      <c r="C86" s="663" t="s">
        <v>267</v>
      </c>
      <c r="D86" s="664">
        <v>6009</v>
      </c>
      <c r="E86" s="664">
        <v>6355</v>
      </c>
      <c r="F86" s="664">
        <v>6712</v>
      </c>
      <c r="G86" s="665">
        <v>7275</v>
      </c>
      <c r="H86" s="1015">
        <v>7645</v>
      </c>
      <c r="I86" s="1015">
        <v>7718</v>
      </c>
    </row>
    <row r="87" spans="1:9" s="666" customFormat="1">
      <c r="A87" s="662" t="s">
        <v>214</v>
      </c>
      <c r="B87" s="663" t="s">
        <v>215</v>
      </c>
      <c r="C87" s="663" t="s">
        <v>268</v>
      </c>
      <c r="D87" s="664">
        <v>7664</v>
      </c>
      <c r="E87" s="664">
        <v>7866</v>
      </c>
      <c r="F87" s="664">
        <v>8130</v>
      </c>
      <c r="G87" s="665">
        <v>8383</v>
      </c>
      <c r="H87" s="1015">
        <v>8746</v>
      </c>
      <c r="I87" s="1015">
        <v>8726</v>
      </c>
    </row>
    <row r="88" spans="1:9" s="666" customFormat="1">
      <c r="A88" s="662" t="s">
        <v>216</v>
      </c>
      <c r="B88" s="663" t="s">
        <v>217</v>
      </c>
      <c r="C88" s="663" t="s">
        <v>264</v>
      </c>
      <c r="D88" s="664">
        <v>3635</v>
      </c>
      <c r="E88" s="664">
        <v>3656</v>
      </c>
      <c r="F88" s="664">
        <v>3702</v>
      </c>
      <c r="G88" s="665">
        <v>3898</v>
      </c>
      <c r="H88" s="1015">
        <v>3971</v>
      </c>
      <c r="I88" s="1015">
        <v>4048</v>
      </c>
    </row>
    <row r="89" spans="1:9" s="666" customFormat="1">
      <c r="A89" s="662" t="s">
        <v>218</v>
      </c>
      <c r="B89" s="663" t="s">
        <v>219</v>
      </c>
      <c r="C89" s="663" t="s">
        <v>267</v>
      </c>
      <c r="D89" s="664">
        <v>13315</v>
      </c>
      <c r="E89" s="664">
        <v>14447</v>
      </c>
      <c r="F89" s="664">
        <v>15933</v>
      </c>
      <c r="G89" s="665">
        <v>16451</v>
      </c>
      <c r="H89" s="1015">
        <v>17598</v>
      </c>
      <c r="I89" s="1015">
        <v>18481</v>
      </c>
    </row>
    <row r="90" spans="1:9" s="666" customFormat="1">
      <c r="A90" s="662" t="s">
        <v>220</v>
      </c>
      <c r="B90" s="663" t="s">
        <v>221</v>
      </c>
      <c r="C90" s="663" t="s">
        <v>267</v>
      </c>
      <c r="D90" s="664">
        <v>11208</v>
      </c>
      <c r="E90" s="664">
        <v>12273</v>
      </c>
      <c r="F90" s="664">
        <v>13088</v>
      </c>
      <c r="G90" s="665">
        <v>13923</v>
      </c>
      <c r="H90" s="1015">
        <v>14780</v>
      </c>
      <c r="I90" s="1015">
        <v>15224</v>
      </c>
    </row>
    <row r="91" spans="1:9" s="666" customFormat="1">
      <c r="A91" s="662" t="s">
        <v>224</v>
      </c>
      <c r="B91" s="663" t="s">
        <v>225</v>
      </c>
      <c r="C91" s="663" t="s">
        <v>264</v>
      </c>
      <c r="D91" s="664">
        <v>1186</v>
      </c>
      <c r="E91" s="664">
        <v>1276</v>
      </c>
      <c r="F91" s="664">
        <v>1312</v>
      </c>
      <c r="G91" s="665">
        <v>1314</v>
      </c>
      <c r="H91" s="1015">
        <v>1369</v>
      </c>
      <c r="I91" s="1015">
        <v>1407</v>
      </c>
    </row>
    <row r="92" spans="1:9" s="666" customFormat="1">
      <c r="A92" s="662" t="s">
        <v>226</v>
      </c>
      <c r="B92" s="663" t="s">
        <v>227</v>
      </c>
      <c r="C92" s="663" t="s">
        <v>264</v>
      </c>
      <c r="D92" s="664">
        <v>2270</v>
      </c>
      <c r="E92" s="664">
        <v>2364</v>
      </c>
      <c r="F92" s="664">
        <v>2319</v>
      </c>
      <c r="G92" s="665">
        <v>2430</v>
      </c>
      <c r="H92" s="1015">
        <v>2579</v>
      </c>
      <c r="I92" s="1015">
        <v>2575</v>
      </c>
    </row>
    <row r="93" spans="1:9" s="666" customFormat="1">
      <c r="A93" s="662" t="s">
        <v>228</v>
      </c>
      <c r="B93" s="663" t="s">
        <v>229</v>
      </c>
      <c r="C93" s="663" t="s">
        <v>268</v>
      </c>
      <c r="D93" s="664">
        <v>10056</v>
      </c>
      <c r="E93" s="664">
        <v>10416</v>
      </c>
      <c r="F93" s="664">
        <v>10534</v>
      </c>
      <c r="G93" s="665">
        <v>10662</v>
      </c>
      <c r="H93" s="1015">
        <v>11056</v>
      </c>
      <c r="I93" s="1015">
        <v>11169</v>
      </c>
    </row>
    <row r="94" spans="1:9" s="666" customFormat="1">
      <c r="A94" s="662" t="s">
        <v>232</v>
      </c>
      <c r="B94" s="663" t="s">
        <v>233</v>
      </c>
      <c r="C94" s="663" t="s">
        <v>267</v>
      </c>
      <c r="D94" s="664">
        <v>5021</v>
      </c>
      <c r="E94" s="664">
        <v>5496</v>
      </c>
      <c r="F94" s="664">
        <v>5898</v>
      </c>
      <c r="G94" s="665">
        <v>6197</v>
      </c>
      <c r="H94" s="1015">
        <v>6615</v>
      </c>
      <c r="I94" s="1015">
        <v>6678</v>
      </c>
    </row>
    <row r="95" spans="1:9" s="666" customFormat="1">
      <c r="A95" s="662" t="s">
        <v>234</v>
      </c>
      <c r="B95" s="663" t="s">
        <v>235</v>
      </c>
      <c r="C95" s="663" t="s">
        <v>268</v>
      </c>
      <c r="D95" s="664">
        <v>9268</v>
      </c>
      <c r="E95" s="664">
        <v>9845</v>
      </c>
      <c r="F95" s="664">
        <v>10107</v>
      </c>
      <c r="G95" s="665">
        <v>10502</v>
      </c>
      <c r="H95" s="1015">
        <v>11157</v>
      </c>
      <c r="I95" s="1015">
        <v>11412</v>
      </c>
    </row>
    <row r="96" spans="1:9" s="666" customFormat="1">
      <c r="A96" s="662" t="s">
        <v>236</v>
      </c>
      <c r="B96" s="663" t="s">
        <v>237</v>
      </c>
      <c r="C96" s="663" t="s">
        <v>266</v>
      </c>
      <c r="D96" s="664">
        <v>3399</v>
      </c>
      <c r="E96" s="664">
        <v>3659</v>
      </c>
      <c r="F96" s="664">
        <v>3951</v>
      </c>
      <c r="G96" s="665">
        <v>4039</v>
      </c>
      <c r="H96" s="1015">
        <v>4123</v>
      </c>
      <c r="I96" s="1015">
        <v>4117</v>
      </c>
    </row>
    <row r="97" spans="1:9" s="666" customFormat="1">
      <c r="A97" s="662" t="s">
        <v>242</v>
      </c>
      <c r="B97" s="663" t="s">
        <v>243</v>
      </c>
      <c r="C97" s="663" t="s">
        <v>268</v>
      </c>
      <c r="D97" s="664">
        <v>11363</v>
      </c>
      <c r="E97" s="664">
        <v>11376</v>
      </c>
      <c r="F97" s="664">
        <v>11483</v>
      </c>
      <c r="G97" s="665">
        <v>11654</v>
      </c>
      <c r="H97" s="1015">
        <v>12033</v>
      </c>
      <c r="I97" s="1015">
        <v>12226</v>
      </c>
    </row>
    <row r="98" spans="1:9" s="666" customFormat="1">
      <c r="A98" s="662" t="s">
        <v>244</v>
      </c>
      <c r="B98" s="663" t="s">
        <v>245</v>
      </c>
      <c r="C98" s="663" t="s">
        <v>268</v>
      </c>
      <c r="D98" s="664">
        <v>5811</v>
      </c>
      <c r="E98" s="664">
        <v>5977</v>
      </c>
      <c r="F98" s="664">
        <v>6171</v>
      </c>
      <c r="G98" s="665">
        <v>6459</v>
      </c>
      <c r="H98" s="1015">
        <v>6701</v>
      </c>
      <c r="I98" s="1015">
        <v>6669</v>
      </c>
    </row>
    <row r="99" spans="1:9" s="666" customFormat="1">
      <c r="A99" s="662" t="s">
        <v>246</v>
      </c>
      <c r="B99" s="663" t="s">
        <v>247</v>
      </c>
      <c r="C99" s="663" t="s">
        <v>264</v>
      </c>
      <c r="D99" s="664">
        <v>4081</v>
      </c>
      <c r="E99" s="664">
        <v>4442</v>
      </c>
      <c r="F99" s="664">
        <v>4995</v>
      </c>
      <c r="G99" s="665">
        <v>5306</v>
      </c>
      <c r="H99" s="1015">
        <v>5520</v>
      </c>
      <c r="I99" s="1015">
        <v>5698</v>
      </c>
    </row>
    <row r="100" spans="1:9" s="666" customFormat="1">
      <c r="A100" s="662" t="s">
        <v>14</v>
      </c>
      <c r="B100" s="663" t="s">
        <v>15</v>
      </c>
      <c r="C100" s="663" t="s">
        <v>267</v>
      </c>
      <c r="D100" s="664">
        <v>13029</v>
      </c>
      <c r="E100" s="664">
        <v>14056</v>
      </c>
      <c r="F100" s="664">
        <v>14657</v>
      </c>
      <c r="G100" s="665">
        <v>15158</v>
      </c>
      <c r="H100" s="1015">
        <v>16053</v>
      </c>
      <c r="I100" s="1015">
        <v>16347</v>
      </c>
    </row>
    <row r="101" spans="1:9" s="666" customFormat="1">
      <c r="A101" s="662" t="s">
        <v>34</v>
      </c>
      <c r="B101" s="663" t="s">
        <v>35</v>
      </c>
      <c r="C101" s="663" t="s">
        <v>268</v>
      </c>
      <c r="D101" s="664">
        <v>5372</v>
      </c>
      <c r="E101" s="664">
        <v>5548</v>
      </c>
      <c r="F101" s="664">
        <v>5763</v>
      </c>
      <c r="G101" s="665">
        <v>5907</v>
      </c>
      <c r="H101" s="1015">
        <v>6229</v>
      </c>
      <c r="I101" s="1015">
        <v>6006</v>
      </c>
    </row>
    <row r="102" spans="1:9" s="666" customFormat="1">
      <c r="A102" s="662" t="s">
        <v>52</v>
      </c>
      <c r="B102" s="663" t="s">
        <v>53</v>
      </c>
      <c r="C102" s="663" t="s">
        <v>265</v>
      </c>
      <c r="D102" s="664">
        <v>7041</v>
      </c>
      <c r="E102" s="664">
        <v>7248</v>
      </c>
      <c r="F102" s="664">
        <v>7391</v>
      </c>
      <c r="G102" s="665">
        <v>7564</v>
      </c>
      <c r="H102" s="1015">
        <v>7765</v>
      </c>
      <c r="I102" s="1015">
        <v>7497</v>
      </c>
    </row>
    <row r="103" spans="1:9" s="666" customFormat="1">
      <c r="A103" s="662" t="s">
        <v>54</v>
      </c>
      <c r="B103" s="663" t="s">
        <v>55</v>
      </c>
      <c r="C103" s="663" t="s">
        <v>264</v>
      </c>
      <c r="D103" s="664">
        <v>26544</v>
      </c>
      <c r="E103" s="664">
        <v>28694</v>
      </c>
      <c r="F103" s="664">
        <v>30023</v>
      </c>
      <c r="G103" s="665">
        <v>31405</v>
      </c>
      <c r="H103" s="1015">
        <v>33054</v>
      </c>
      <c r="I103" s="1015">
        <v>34104</v>
      </c>
    </row>
    <row r="104" spans="1:9" s="666" customFormat="1">
      <c r="A104" s="662" t="s">
        <v>66</v>
      </c>
      <c r="B104" s="663" t="s">
        <v>67</v>
      </c>
      <c r="C104" s="663" t="s">
        <v>265</v>
      </c>
      <c r="D104" s="664">
        <v>14027</v>
      </c>
      <c r="E104" s="664">
        <v>14616</v>
      </c>
      <c r="F104" s="664">
        <v>15065</v>
      </c>
      <c r="G104" s="665">
        <v>15726</v>
      </c>
      <c r="H104" s="1015">
        <v>16291</v>
      </c>
      <c r="I104" s="1015">
        <v>16561</v>
      </c>
    </row>
    <row r="105" spans="1:9" s="666" customFormat="1">
      <c r="A105" s="662" t="s">
        <v>82</v>
      </c>
      <c r="B105" s="663" t="s">
        <v>83</v>
      </c>
      <c r="C105" s="663" t="s">
        <v>264</v>
      </c>
      <c r="D105" s="664">
        <v>2546</v>
      </c>
      <c r="E105" s="664">
        <v>2688</v>
      </c>
      <c r="F105" s="664">
        <v>2894</v>
      </c>
      <c r="G105" s="665">
        <v>3194</v>
      </c>
      <c r="H105" s="1015">
        <v>3315</v>
      </c>
      <c r="I105" s="1015">
        <v>3311</v>
      </c>
    </row>
    <row r="106" spans="1:9" s="666" customFormat="1">
      <c r="A106" s="662" t="s">
        <v>88</v>
      </c>
      <c r="B106" s="663" t="s">
        <v>89</v>
      </c>
      <c r="C106" s="663" t="s">
        <v>267</v>
      </c>
      <c r="D106" s="664">
        <v>4846</v>
      </c>
      <c r="E106" s="664">
        <v>5187</v>
      </c>
      <c r="F106" s="664">
        <v>5534</v>
      </c>
      <c r="G106" s="665">
        <v>5906</v>
      </c>
      <c r="H106" s="1015">
        <v>6094</v>
      </c>
      <c r="I106" s="1015">
        <v>6324</v>
      </c>
    </row>
    <row r="107" spans="1:9" s="666" customFormat="1">
      <c r="A107" s="662" t="s">
        <v>90</v>
      </c>
      <c r="B107" s="663" t="s">
        <v>91</v>
      </c>
      <c r="C107" s="663" t="s">
        <v>268</v>
      </c>
      <c r="D107" s="664">
        <v>2525</v>
      </c>
      <c r="E107" s="664">
        <v>2574</v>
      </c>
      <c r="F107" s="664">
        <v>2486</v>
      </c>
      <c r="G107" s="665">
        <v>2518</v>
      </c>
      <c r="H107" s="1015">
        <v>2566</v>
      </c>
      <c r="I107" s="1015">
        <v>2682</v>
      </c>
    </row>
    <row r="108" spans="1:9" s="666" customFormat="1">
      <c r="A108" s="662" t="s">
        <v>106</v>
      </c>
      <c r="B108" s="663" t="s">
        <v>107</v>
      </c>
      <c r="C108" s="663" t="s">
        <v>264</v>
      </c>
      <c r="D108" s="664">
        <v>23612</v>
      </c>
      <c r="E108" s="664">
        <v>24651</v>
      </c>
      <c r="F108" s="664">
        <v>26228</v>
      </c>
      <c r="G108" s="665">
        <v>27614</v>
      </c>
      <c r="H108" s="1015">
        <v>28769</v>
      </c>
      <c r="I108" s="1015">
        <v>29538</v>
      </c>
    </row>
    <row r="109" spans="1:9" s="666" customFormat="1">
      <c r="A109" s="662" t="s">
        <v>116</v>
      </c>
      <c r="B109" s="663" t="s">
        <v>117</v>
      </c>
      <c r="C109" s="663" t="s">
        <v>266</v>
      </c>
      <c r="D109" s="664">
        <v>6711</v>
      </c>
      <c r="E109" s="664">
        <v>6971</v>
      </c>
      <c r="F109" s="664">
        <v>7303</v>
      </c>
      <c r="G109" s="665">
        <v>7704</v>
      </c>
      <c r="H109" s="1015">
        <v>8056</v>
      </c>
      <c r="I109" s="1015">
        <v>8292</v>
      </c>
    </row>
    <row r="110" spans="1:9" s="666" customFormat="1">
      <c r="A110" s="662" t="s">
        <v>138</v>
      </c>
      <c r="B110" s="663" t="s">
        <v>139</v>
      </c>
      <c r="C110" s="663" t="s">
        <v>265</v>
      </c>
      <c r="D110" s="664">
        <v>14716</v>
      </c>
      <c r="E110" s="664">
        <v>15489</v>
      </c>
      <c r="F110" s="664">
        <v>16122</v>
      </c>
      <c r="G110" s="665">
        <v>16822</v>
      </c>
      <c r="H110" s="1015">
        <v>17494</v>
      </c>
      <c r="I110" s="1015">
        <v>17725</v>
      </c>
    </row>
    <row r="111" spans="1:9" s="666" customFormat="1">
      <c r="A111" s="662" t="s">
        <v>142</v>
      </c>
      <c r="B111" s="663" t="s">
        <v>143</v>
      </c>
      <c r="C111" s="663" t="s">
        <v>267</v>
      </c>
      <c r="D111" s="664">
        <v>6165</v>
      </c>
      <c r="E111" s="664">
        <v>6953</v>
      </c>
      <c r="F111" s="664">
        <v>7318</v>
      </c>
      <c r="G111" s="665">
        <v>7505</v>
      </c>
      <c r="H111" s="1015">
        <v>7934</v>
      </c>
      <c r="I111" s="1015">
        <v>8376</v>
      </c>
    </row>
    <row r="112" spans="1:9" s="666" customFormat="1">
      <c r="A112" s="662" t="s">
        <v>144</v>
      </c>
      <c r="B112" s="663" t="s">
        <v>145</v>
      </c>
      <c r="C112" s="663" t="s">
        <v>267</v>
      </c>
      <c r="D112" s="664">
        <v>2321</v>
      </c>
      <c r="E112" s="664">
        <v>2366</v>
      </c>
      <c r="F112" s="664">
        <v>2460</v>
      </c>
      <c r="G112" s="665">
        <v>2507</v>
      </c>
      <c r="H112" s="1015">
        <v>2804</v>
      </c>
      <c r="I112" s="1015">
        <v>2748</v>
      </c>
    </row>
    <row r="113" spans="1:10" s="666" customFormat="1">
      <c r="A113" s="662" t="s">
        <v>158</v>
      </c>
      <c r="B113" s="663" t="s">
        <v>159</v>
      </c>
      <c r="C113" s="663" t="s">
        <v>264</v>
      </c>
      <c r="D113" s="664">
        <v>36779</v>
      </c>
      <c r="E113" s="664">
        <v>38337</v>
      </c>
      <c r="F113" s="664">
        <v>40818</v>
      </c>
      <c r="G113" s="665">
        <v>42505</v>
      </c>
      <c r="H113" s="1015">
        <v>43949</v>
      </c>
      <c r="I113" s="1015">
        <v>44162</v>
      </c>
    </row>
    <row r="114" spans="1:10" s="666" customFormat="1">
      <c r="A114" s="662" t="s">
        <v>160</v>
      </c>
      <c r="B114" s="663" t="s">
        <v>161</v>
      </c>
      <c r="C114" s="663" t="s">
        <v>264</v>
      </c>
      <c r="D114" s="664">
        <v>50442</v>
      </c>
      <c r="E114" s="664">
        <v>50455</v>
      </c>
      <c r="F114" s="664">
        <v>52054</v>
      </c>
      <c r="G114" s="665">
        <v>54448</v>
      </c>
      <c r="H114" s="1015">
        <v>56361</v>
      </c>
      <c r="I114" s="1015">
        <v>57649</v>
      </c>
    </row>
    <row r="115" spans="1:10" s="666" customFormat="1">
      <c r="A115" s="662" t="s">
        <v>166</v>
      </c>
      <c r="B115" s="663" t="s">
        <v>167</v>
      </c>
      <c r="C115" s="663" t="s">
        <v>268</v>
      </c>
      <c r="D115" s="664">
        <v>1419</v>
      </c>
      <c r="E115" s="664">
        <v>1377</v>
      </c>
      <c r="F115" s="664">
        <v>1392</v>
      </c>
      <c r="G115" s="665">
        <v>1494</v>
      </c>
      <c r="H115" s="1015">
        <v>1503</v>
      </c>
      <c r="I115" s="1015">
        <v>1494</v>
      </c>
    </row>
    <row r="116" spans="1:10" s="666" customFormat="1">
      <c r="A116" s="662" t="s">
        <v>176</v>
      </c>
      <c r="B116" s="663" t="s">
        <v>177</v>
      </c>
      <c r="C116" s="663" t="s">
        <v>266</v>
      </c>
      <c r="D116" s="664">
        <v>11093</v>
      </c>
      <c r="E116" s="664">
        <v>11308</v>
      </c>
      <c r="F116" s="664">
        <v>11830</v>
      </c>
      <c r="G116" s="665">
        <v>11991</v>
      </c>
      <c r="H116" s="1015">
        <v>12152</v>
      </c>
      <c r="I116" s="1015">
        <v>12186</v>
      </c>
    </row>
    <row r="117" spans="1:10" s="666" customFormat="1">
      <c r="A117" s="662" t="s">
        <v>180</v>
      </c>
      <c r="B117" s="663" t="s">
        <v>181</v>
      </c>
      <c r="C117" s="663" t="s">
        <v>264</v>
      </c>
      <c r="D117" s="664">
        <v>23479</v>
      </c>
      <c r="E117" s="664">
        <v>24259</v>
      </c>
      <c r="F117" s="664">
        <v>25241</v>
      </c>
      <c r="G117" s="665">
        <v>26822</v>
      </c>
      <c r="H117" s="1015">
        <v>27875</v>
      </c>
      <c r="I117" s="1015">
        <v>28467</v>
      </c>
    </row>
    <row r="118" spans="1:10" s="666" customFormat="1">
      <c r="A118" s="662" t="s">
        <v>192</v>
      </c>
      <c r="B118" s="663" t="s">
        <v>193</v>
      </c>
      <c r="C118" s="663" t="s">
        <v>268</v>
      </c>
      <c r="D118" s="664">
        <v>2076</v>
      </c>
      <c r="E118" s="664">
        <v>2127</v>
      </c>
      <c r="F118" s="664">
        <v>2238</v>
      </c>
      <c r="G118" s="665">
        <v>2314</v>
      </c>
      <c r="H118" s="1015">
        <v>2371</v>
      </c>
      <c r="I118" s="1015">
        <v>2467</v>
      </c>
    </row>
    <row r="119" spans="1:10" s="666" customFormat="1">
      <c r="A119" s="662" t="s">
        <v>196</v>
      </c>
      <c r="B119" s="663" t="s">
        <v>197</v>
      </c>
      <c r="C119" s="663" t="s">
        <v>266</v>
      </c>
      <c r="D119" s="664">
        <v>53763</v>
      </c>
      <c r="E119" s="664">
        <v>54660</v>
      </c>
      <c r="F119" s="664">
        <v>55559</v>
      </c>
      <c r="G119" s="665">
        <v>56264</v>
      </c>
      <c r="H119" s="1015">
        <v>57781</v>
      </c>
      <c r="I119" s="1015">
        <v>58266</v>
      </c>
    </row>
    <row r="120" spans="1:10" s="666" customFormat="1">
      <c r="A120" s="662" t="s">
        <v>200</v>
      </c>
      <c r="B120" s="663" t="s">
        <v>201</v>
      </c>
      <c r="C120" s="663" t="s">
        <v>265</v>
      </c>
      <c r="D120" s="664">
        <v>26027</v>
      </c>
      <c r="E120" s="664">
        <v>27247</v>
      </c>
      <c r="F120" s="664">
        <v>28258</v>
      </c>
      <c r="G120" s="665">
        <v>29646</v>
      </c>
      <c r="H120" s="1015">
        <v>30805</v>
      </c>
      <c r="I120" s="1015">
        <v>31083</v>
      </c>
    </row>
    <row r="121" spans="1:10" s="666" customFormat="1">
      <c r="A121" s="662" t="s">
        <v>222</v>
      </c>
      <c r="B121" s="663" t="s">
        <v>223</v>
      </c>
      <c r="C121" s="663" t="s">
        <v>264</v>
      </c>
      <c r="D121" s="664">
        <v>13356</v>
      </c>
      <c r="E121" s="664">
        <v>14165</v>
      </c>
      <c r="F121" s="664">
        <v>15116</v>
      </c>
      <c r="G121" s="665">
        <v>15757</v>
      </c>
      <c r="H121" s="1015">
        <v>16510</v>
      </c>
      <c r="I121" s="1015">
        <v>16884</v>
      </c>
    </row>
    <row r="122" spans="1:10" s="666" customFormat="1">
      <c r="A122" s="662" t="s">
        <v>230</v>
      </c>
      <c r="B122" s="663" t="s">
        <v>231</v>
      </c>
      <c r="C122" s="663" t="s">
        <v>264</v>
      </c>
      <c r="D122" s="664">
        <v>40826</v>
      </c>
      <c r="E122" s="664">
        <v>43882</v>
      </c>
      <c r="F122" s="664">
        <v>46581</v>
      </c>
      <c r="G122" s="665">
        <v>49219</v>
      </c>
      <c r="H122" s="1015">
        <v>51524</v>
      </c>
      <c r="I122" s="1015">
        <v>52794</v>
      </c>
    </row>
    <row r="123" spans="1:10" s="666" customFormat="1">
      <c r="A123" s="662" t="s">
        <v>238</v>
      </c>
      <c r="B123" s="663" t="s">
        <v>239</v>
      </c>
      <c r="C123" s="663" t="s">
        <v>264</v>
      </c>
      <c r="D123" s="664">
        <v>1132</v>
      </c>
      <c r="E123" s="664">
        <v>1262</v>
      </c>
      <c r="F123" s="664">
        <v>1479</v>
      </c>
      <c r="G123" s="665">
        <v>1524</v>
      </c>
      <c r="H123" s="1015">
        <v>1610</v>
      </c>
      <c r="I123" s="1015">
        <v>1678</v>
      </c>
    </row>
    <row r="124" spans="1:10" s="666" customFormat="1">
      <c r="A124" s="662" t="s">
        <v>240</v>
      </c>
      <c r="B124" s="663" t="s">
        <v>241</v>
      </c>
      <c r="C124" s="663" t="s">
        <v>267</v>
      </c>
      <c r="D124" s="664">
        <v>4966</v>
      </c>
      <c r="E124" s="664">
        <v>5477</v>
      </c>
      <c r="F124" s="664">
        <v>5943</v>
      </c>
      <c r="G124" s="665">
        <v>6085</v>
      </c>
      <c r="H124" s="1015">
        <v>6480</v>
      </c>
      <c r="I124" s="1015">
        <v>6580</v>
      </c>
    </row>
    <row r="125" spans="1:10" ht="29.25" customHeight="1">
      <c r="A125" s="587" t="s">
        <v>8</v>
      </c>
      <c r="B125" s="668" t="s">
        <v>820</v>
      </c>
      <c r="C125" s="661"/>
      <c r="D125" s="576">
        <v>1065610</v>
      </c>
      <c r="E125" s="576">
        <v>1131369</v>
      </c>
      <c r="F125" s="576">
        <v>1190299</v>
      </c>
      <c r="G125" s="669">
        <v>1238189</v>
      </c>
      <c r="H125" s="669">
        <v>1292800</v>
      </c>
      <c r="I125" s="669">
        <v>1314786</v>
      </c>
    </row>
    <row r="127" spans="1:10" ht="12.75" customHeight="1">
      <c r="A127" s="1916" t="s">
        <v>931</v>
      </c>
      <c r="B127" s="1917"/>
      <c r="C127" s="1917"/>
      <c r="D127" s="1917"/>
      <c r="E127" s="1917"/>
      <c r="F127" s="1917"/>
      <c r="G127" s="1917"/>
      <c r="H127" s="1917"/>
      <c r="I127" s="1917"/>
      <c r="J127" s="1917"/>
    </row>
    <row r="128" spans="1:10">
      <c r="A128" s="1917"/>
      <c r="B128" s="1917"/>
      <c r="C128" s="1917"/>
      <c r="D128" s="1917"/>
      <c r="E128" s="1917"/>
      <c r="F128" s="1917"/>
      <c r="G128" s="1917"/>
      <c r="H128" s="1917"/>
      <c r="I128" s="1917"/>
      <c r="J128" s="1917"/>
    </row>
    <row r="129" spans="1:10" ht="18" customHeight="1">
      <c r="A129" s="1917"/>
      <c r="B129" s="1917"/>
      <c r="C129" s="1917"/>
      <c r="D129" s="1917"/>
      <c r="E129" s="1917"/>
      <c r="F129" s="1917"/>
      <c r="G129" s="1917"/>
      <c r="H129" s="1917"/>
      <c r="I129" s="1917"/>
      <c r="J129" s="1917"/>
    </row>
    <row r="130" spans="1:10">
      <c r="A130" s="588"/>
      <c r="B130" s="588"/>
      <c r="C130" s="588"/>
      <c r="D130" s="588"/>
      <c r="E130" s="588"/>
      <c r="F130" s="588"/>
      <c r="G130" s="588"/>
      <c r="H130" s="1006"/>
      <c r="I130" s="1278"/>
      <c r="J130" s="588"/>
    </row>
    <row r="131" spans="1:10" s="428" customFormat="1">
      <c r="A131" s="428" t="s">
        <v>248</v>
      </c>
    </row>
    <row r="132" spans="1:10" s="428" customFormat="1">
      <c r="A132" s="429" t="s">
        <v>249</v>
      </c>
      <c r="B132" s="430" t="s">
        <v>250</v>
      </c>
      <c r="C132" s="430"/>
    </row>
  </sheetData>
  <autoFilter ref="A3:C3"/>
  <sortState ref="A5:J124">
    <sortCondition ref="A5:A124"/>
  </sortState>
  <mergeCells count="1">
    <mergeCell ref="A127:J129"/>
  </mergeCells>
  <hyperlinks>
    <hyperlink ref="B132" r:id="rId1"/>
  </hyperlink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F131"/>
  <sheetViews>
    <sheetView workbookViewId="0">
      <selection sqref="A1:XFD1048576"/>
    </sheetView>
  </sheetViews>
  <sheetFormatPr defaultRowHeight="15.75"/>
  <cols>
    <col min="1" max="1" width="5.875" style="558" customWidth="1"/>
    <col min="2" max="2" width="29.5" style="558" customWidth="1"/>
    <col min="3" max="3" width="16.25" style="558" customWidth="1"/>
    <col min="4" max="5" width="11.375" style="558" customWidth="1"/>
    <col min="6" max="6" width="3.875" style="558" customWidth="1"/>
    <col min="7" max="16384" width="9" style="558"/>
  </cols>
  <sheetData>
    <row r="1" spans="1:5">
      <c r="A1" s="258" t="s">
        <v>989</v>
      </c>
    </row>
    <row r="3" spans="1:5">
      <c r="A3" s="667" t="s">
        <v>4</v>
      </c>
      <c r="B3" s="621" t="s">
        <v>5</v>
      </c>
      <c r="C3" s="621" t="s">
        <v>251</v>
      </c>
      <c r="D3" s="673" t="s">
        <v>990</v>
      </c>
      <c r="E3" s="673" t="s">
        <v>991</v>
      </c>
    </row>
    <row r="4" spans="1:5">
      <c r="A4" s="670">
        <v>999</v>
      </c>
      <c r="B4" s="671" t="s">
        <v>819</v>
      </c>
      <c r="C4" s="671"/>
      <c r="D4" s="1014">
        <f>SUM(D5:D124)</f>
        <v>414719</v>
      </c>
      <c r="E4" s="1014">
        <f>SUM(E5:E124)</f>
        <v>381256</v>
      </c>
    </row>
    <row r="5" spans="1:5" s="666" customFormat="1">
      <c r="A5" s="662" t="s">
        <v>10</v>
      </c>
      <c r="B5" s="663" t="s">
        <v>11</v>
      </c>
      <c r="C5" s="663" t="s">
        <v>264</v>
      </c>
      <c r="D5" s="1015">
        <v>5135</v>
      </c>
      <c r="E5" s="1015">
        <v>4948</v>
      </c>
    </row>
    <row r="6" spans="1:5" s="666" customFormat="1">
      <c r="A6" s="662" t="s">
        <v>12</v>
      </c>
      <c r="B6" s="663" t="s">
        <v>13</v>
      </c>
      <c r="C6" s="663" t="s">
        <v>265</v>
      </c>
      <c r="D6" s="1015">
        <v>3348</v>
      </c>
      <c r="E6" s="1015">
        <v>2836</v>
      </c>
    </row>
    <row r="7" spans="1:5" s="666" customFormat="1">
      <c r="A7" s="662" t="s">
        <v>16</v>
      </c>
      <c r="B7" s="663" t="s">
        <v>297</v>
      </c>
      <c r="C7" s="663" t="s">
        <v>265</v>
      </c>
      <c r="D7" s="1015">
        <v>3000</v>
      </c>
      <c r="E7" s="1015">
        <v>2922</v>
      </c>
    </row>
    <row r="8" spans="1:5" s="666" customFormat="1">
      <c r="A8" s="662" t="s">
        <v>18</v>
      </c>
      <c r="B8" s="663" t="s">
        <v>19</v>
      </c>
      <c r="C8" s="663" t="s">
        <v>266</v>
      </c>
      <c r="D8" s="1015">
        <v>1145</v>
      </c>
      <c r="E8" s="1015">
        <v>1023</v>
      </c>
    </row>
    <row r="9" spans="1:5" s="666" customFormat="1">
      <c r="A9" s="662" t="s">
        <v>20</v>
      </c>
      <c r="B9" s="663" t="s">
        <v>21</v>
      </c>
      <c r="C9" s="663" t="s">
        <v>265</v>
      </c>
      <c r="D9" s="1015">
        <v>2843</v>
      </c>
      <c r="E9" s="1015">
        <v>2482</v>
      </c>
    </row>
    <row r="10" spans="1:5" s="666" customFormat="1">
      <c r="A10" s="662" t="s">
        <v>22</v>
      </c>
      <c r="B10" s="663" t="s">
        <v>23</v>
      </c>
      <c r="C10" s="663" t="s">
        <v>265</v>
      </c>
      <c r="D10" s="1015">
        <v>1954</v>
      </c>
      <c r="E10" s="1015">
        <v>1977</v>
      </c>
    </row>
    <row r="11" spans="1:5" s="666" customFormat="1">
      <c r="A11" s="662" t="s">
        <v>24</v>
      </c>
      <c r="B11" s="663" t="s">
        <v>25</v>
      </c>
      <c r="C11" s="663" t="s">
        <v>267</v>
      </c>
      <c r="D11" s="1015">
        <v>1563</v>
      </c>
      <c r="E11" s="1015">
        <v>1515</v>
      </c>
    </row>
    <row r="12" spans="1:5" s="666" customFormat="1">
      <c r="A12" s="662" t="s">
        <v>26</v>
      </c>
      <c r="B12" s="663" t="s">
        <v>706</v>
      </c>
      <c r="C12" s="663" t="s">
        <v>265</v>
      </c>
      <c r="D12" s="1015">
        <v>7954</v>
      </c>
      <c r="E12" s="1015">
        <v>7239</v>
      </c>
    </row>
    <row r="13" spans="1:5" s="666" customFormat="1">
      <c r="A13" s="662" t="s">
        <v>27</v>
      </c>
      <c r="B13" s="663" t="s">
        <v>28</v>
      </c>
      <c r="C13" s="663" t="s">
        <v>265</v>
      </c>
      <c r="D13" s="1015">
        <v>306</v>
      </c>
      <c r="E13" s="1015">
        <v>317</v>
      </c>
    </row>
    <row r="14" spans="1:5" s="666" customFormat="1">
      <c r="A14" s="662" t="s">
        <v>29</v>
      </c>
      <c r="B14" s="663" t="s">
        <v>1012</v>
      </c>
      <c r="C14" s="663" t="s">
        <v>265</v>
      </c>
      <c r="D14" s="1015">
        <v>3517</v>
      </c>
      <c r="E14" s="1015">
        <v>3155</v>
      </c>
    </row>
    <row r="15" spans="1:5" s="666" customFormat="1">
      <c r="A15" s="662" t="s">
        <v>30</v>
      </c>
      <c r="B15" s="663" t="s">
        <v>31</v>
      </c>
      <c r="C15" s="663" t="s">
        <v>268</v>
      </c>
      <c r="D15" s="1015">
        <v>536</v>
      </c>
      <c r="E15" s="1015">
        <v>469</v>
      </c>
    </row>
    <row r="16" spans="1:5" s="666" customFormat="1">
      <c r="A16" s="662" t="s">
        <v>32</v>
      </c>
      <c r="B16" s="663" t="s">
        <v>33</v>
      </c>
      <c r="C16" s="663" t="s">
        <v>265</v>
      </c>
      <c r="D16" s="1015">
        <v>938</v>
      </c>
      <c r="E16" s="1015">
        <v>927</v>
      </c>
    </row>
    <row r="17" spans="1:5" s="666" customFormat="1">
      <c r="A17" s="662" t="s">
        <v>36</v>
      </c>
      <c r="B17" s="663" t="s">
        <v>37</v>
      </c>
      <c r="C17" s="663" t="s">
        <v>264</v>
      </c>
      <c r="D17" s="1015">
        <v>3045</v>
      </c>
      <c r="E17" s="1015">
        <v>2889</v>
      </c>
    </row>
    <row r="18" spans="1:5" s="666" customFormat="1">
      <c r="A18" s="662" t="s">
        <v>38</v>
      </c>
      <c r="B18" s="663" t="s">
        <v>39</v>
      </c>
      <c r="C18" s="663" t="s">
        <v>268</v>
      </c>
      <c r="D18" s="1015">
        <v>4906</v>
      </c>
      <c r="E18" s="1015">
        <v>4617</v>
      </c>
    </row>
    <row r="19" spans="1:5" s="666" customFormat="1">
      <c r="A19" s="662" t="s">
        <v>40</v>
      </c>
      <c r="B19" s="663" t="s">
        <v>41</v>
      </c>
      <c r="C19" s="663" t="s">
        <v>266</v>
      </c>
      <c r="D19" s="1015">
        <v>2351</v>
      </c>
      <c r="E19" s="1015">
        <v>2149</v>
      </c>
    </row>
    <row r="20" spans="1:5" s="666" customFormat="1">
      <c r="A20" s="662" t="s">
        <v>42</v>
      </c>
      <c r="B20" s="663" t="s">
        <v>43</v>
      </c>
      <c r="C20" s="663" t="s">
        <v>265</v>
      </c>
      <c r="D20" s="1015">
        <v>5296</v>
      </c>
      <c r="E20" s="1015">
        <v>4894</v>
      </c>
    </row>
    <row r="21" spans="1:5" s="666" customFormat="1">
      <c r="A21" s="662" t="s">
        <v>44</v>
      </c>
      <c r="B21" s="663" t="s">
        <v>45</v>
      </c>
      <c r="C21" s="663" t="s">
        <v>266</v>
      </c>
      <c r="D21" s="1015">
        <v>1562</v>
      </c>
      <c r="E21" s="1015">
        <v>1516</v>
      </c>
    </row>
    <row r="22" spans="1:5" s="666" customFormat="1">
      <c r="A22" s="662" t="s">
        <v>46</v>
      </c>
      <c r="B22" s="663" t="s">
        <v>47</v>
      </c>
      <c r="C22" s="663" t="s">
        <v>268</v>
      </c>
      <c r="D22" s="1015">
        <v>4580</v>
      </c>
      <c r="E22" s="1015">
        <v>4329</v>
      </c>
    </row>
    <row r="23" spans="1:5" s="666" customFormat="1">
      <c r="A23" s="662" t="s">
        <v>48</v>
      </c>
      <c r="B23" s="663" t="s">
        <v>269</v>
      </c>
      <c r="C23" s="663" t="s">
        <v>266</v>
      </c>
      <c r="D23" s="1015">
        <v>603</v>
      </c>
      <c r="E23" s="1015">
        <v>555</v>
      </c>
    </row>
    <row r="24" spans="1:5" s="666" customFormat="1">
      <c r="A24" s="662" t="s">
        <v>50</v>
      </c>
      <c r="B24" s="663" t="s">
        <v>51</v>
      </c>
      <c r="C24" s="663" t="s">
        <v>265</v>
      </c>
      <c r="D24" s="1015">
        <v>2007</v>
      </c>
      <c r="E24" s="1015">
        <v>1943</v>
      </c>
    </row>
    <row r="25" spans="1:5" s="666" customFormat="1">
      <c r="A25" s="662" t="s">
        <v>56</v>
      </c>
      <c r="B25" s="663" t="s">
        <v>295</v>
      </c>
      <c r="C25" s="663" t="s">
        <v>266</v>
      </c>
      <c r="D25" s="1015">
        <v>9458</v>
      </c>
      <c r="E25" s="1015">
        <v>8280</v>
      </c>
    </row>
    <row r="26" spans="1:5" s="666" customFormat="1">
      <c r="A26" s="662" t="s">
        <v>58</v>
      </c>
      <c r="B26" s="663" t="s">
        <v>59</v>
      </c>
      <c r="C26" s="663" t="s">
        <v>267</v>
      </c>
      <c r="D26" s="1015">
        <v>256</v>
      </c>
      <c r="E26" s="1015">
        <v>213</v>
      </c>
    </row>
    <row r="27" spans="1:5" s="666" customFormat="1">
      <c r="A27" s="662" t="s">
        <v>60</v>
      </c>
      <c r="B27" s="663" t="s">
        <v>61</v>
      </c>
      <c r="C27" s="663" t="s">
        <v>265</v>
      </c>
      <c r="D27" s="1015">
        <v>566</v>
      </c>
      <c r="E27" s="1015">
        <v>504</v>
      </c>
    </row>
    <row r="28" spans="1:5" s="666" customFormat="1">
      <c r="A28" s="662" t="s">
        <v>62</v>
      </c>
      <c r="B28" s="663" t="s">
        <v>63</v>
      </c>
      <c r="C28" s="663" t="s">
        <v>267</v>
      </c>
      <c r="D28" s="1015">
        <v>2480</v>
      </c>
      <c r="E28" s="1015">
        <v>2105</v>
      </c>
    </row>
    <row r="29" spans="1:5" s="666" customFormat="1">
      <c r="A29" s="662" t="s">
        <v>64</v>
      </c>
      <c r="B29" s="663" t="s">
        <v>65</v>
      </c>
      <c r="C29" s="663" t="s">
        <v>266</v>
      </c>
      <c r="D29" s="1015">
        <v>1416</v>
      </c>
      <c r="E29" s="1015">
        <v>1275</v>
      </c>
    </row>
    <row r="30" spans="1:5" s="666" customFormat="1">
      <c r="A30" s="662" t="s">
        <v>68</v>
      </c>
      <c r="B30" s="663" t="s">
        <v>69</v>
      </c>
      <c r="C30" s="663" t="s">
        <v>268</v>
      </c>
      <c r="D30" s="1015">
        <v>3288</v>
      </c>
      <c r="E30" s="1015">
        <v>3119</v>
      </c>
    </row>
    <row r="31" spans="1:5" s="666" customFormat="1">
      <c r="A31" s="662" t="s">
        <v>70</v>
      </c>
      <c r="B31" s="663" t="s">
        <v>71</v>
      </c>
      <c r="C31" s="663" t="s">
        <v>264</v>
      </c>
      <c r="D31" s="1015">
        <v>2650</v>
      </c>
      <c r="E31" s="1015">
        <v>2384</v>
      </c>
    </row>
    <row r="32" spans="1:5" s="666" customFormat="1">
      <c r="A32" s="662" t="s">
        <v>72</v>
      </c>
      <c r="B32" s="663" t="s">
        <v>73</v>
      </c>
      <c r="C32" s="663" t="s">
        <v>266</v>
      </c>
      <c r="D32" s="1015">
        <v>1498</v>
      </c>
      <c r="E32" s="1015">
        <v>1419</v>
      </c>
    </row>
    <row r="33" spans="1:5" s="666" customFormat="1">
      <c r="A33" s="662" t="s">
        <v>74</v>
      </c>
      <c r="B33" s="663" t="s">
        <v>296</v>
      </c>
      <c r="C33" s="663" t="s">
        <v>267</v>
      </c>
      <c r="D33" s="1015">
        <v>5103</v>
      </c>
      <c r="E33" s="1015">
        <v>5090</v>
      </c>
    </row>
    <row r="34" spans="1:5" s="666" customFormat="1">
      <c r="A34" s="662" t="s">
        <v>76</v>
      </c>
      <c r="B34" s="663" t="s">
        <v>77</v>
      </c>
      <c r="C34" s="663" t="s">
        <v>267</v>
      </c>
      <c r="D34" s="1015">
        <v>1288</v>
      </c>
      <c r="E34" s="1015">
        <v>1055</v>
      </c>
    </row>
    <row r="35" spans="1:5" s="666" customFormat="1">
      <c r="A35" s="662" t="s">
        <v>78</v>
      </c>
      <c r="B35" s="663" t="s">
        <v>79</v>
      </c>
      <c r="C35" s="663" t="s">
        <v>268</v>
      </c>
      <c r="D35" s="1015">
        <v>1412</v>
      </c>
      <c r="E35" s="1015">
        <v>1292</v>
      </c>
    </row>
    <row r="36" spans="1:5" s="666" customFormat="1">
      <c r="A36" s="662" t="s">
        <v>80</v>
      </c>
      <c r="B36" s="663" t="s">
        <v>81</v>
      </c>
      <c r="C36" s="663" t="s">
        <v>266</v>
      </c>
      <c r="D36" s="1015">
        <v>1026</v>
      </c>
      <c r="E36" s="1015">
        <v>1000</v>
      </c>
    </row>
    <row r="37" spans="1:5" s="666" customFormat="1">
      <c r="A37" s="662" t="s">
        <v>84</v>
      </c>
      <c r="B37" s="663" t="s">
        <v>85</v>
      </c>
      <c r="C37" s="663" t="s">
        <v>265</v>
      </c>
      <c r="D37" s="1015">
        <v>5353</v>
      </c>
      <c r="E37" s="1015">
        <v>4741</v>
      </c>
    </row>
    <row r="38" spans="1:5" s="666" customFormat="1">
      <c r="A38" s="662" t="s">
        <v>86</v>
      </c>
      <c r="B38" s="663" t="s">
        <v>87</v>
      </c>
      <c r="C38" s="663" t="s">
        <v>267</v>
      </c>
      <c r="D38" s="1015">
        <v>2194</v>
      </c>
      <c r="E38" s="1015">
        <v>1704</v>
      </c>
    </row>
    <row r="39" spans="1:5" s="666" customFormat="1">
      <c r="A39" s="662" t="s">
        <v>92</v>
      </c>
      <c r="B39" s="663" t="s">
        <v>93</v>
      </c>
      <c r="C39" s="663" t="s">
        <v>268</v>
      </c>
      <c r="D39" s="1015">
        <v>1810</v>
      </c>
      <c r="E39" s="1015">
        <v>1797</v>
      </c>
    </row>
    <row r="40" spans="1:5" s="666" customFormat="1">
      <c r="A40" s="662" t="s">
        <v>94</v>
      </c>
      <c r="B40" s="663" t="s">
        <v>95</v>
      </c>
      <c r="C40" s="663" t="s">
        <v>264</v>
      </c>
      <c r="D40" s="1015">
        <v>1998</v>
      </c>
      <c r="E40" s="1015">
        <v>1874</v>
      </c>
    </row>
    <row r="41" spans="1:5" s="666" customFormat="1">
      <c r="A41" s="662" t="s">
        <v>96</v>
      </c>
      <c r="B41" s="663" t="s">
        <v>97</v>
      </c>
      <c r="C41" s="663" t="s">
        <v>266</v>
      </c>
      <c r="D41" s="1015">
        <v>730</v>
      </c>
      <c r="E41" s="1015">
        <v>660</v>
      </c>
    </row>
    <row r="42" spans="1:5" s="666" customFormat="1">
      <c r="A42" s="662" t="s">
        <v>98</v>
      </c>
      <c r="B42" s="663" t="s">
        <v>99</v>
      </c>
      <c r="C42" s="663" t="s">
        <v>268</v>
      </c>
      <c r="D42" s="1015">
        <v>2764</v>
      </c>
      <c r="E42" s="1015">
        <v>2618</v>
      </c>
    </row>
    <row r="43" spans="1:5" s="666" customFormat="1">
      <c r="A43" s="662" t="s">
        <v>100</v>
      </c>
      <c r="B43" s="663" t="s">
        <v>101</v>
      </c>
      <c r="C43" s="663" t="s">
        <v>267</v>
      </c>
      <c r="D43" s="1015">
        <v>1044</v>
      </c>
      <c r="E43" s="1015">
        <v>913</v>
      </c>
    </row>
    <row r="44" spans="1:5" s="666" customFormat="1">
      <c r="A44" s="662" t="s">
        <v>102</v>
      </c>
      <c r="B44" s="663" t="s">
        <v>282</v>
      </c>
      <c r="C44" s="663" t="s">
        <v>264</v>
      </c>
      <c r="D44" s="1015">
        <v>2679</v>
      </c>
      <c r="E44" s="1015">
        <v>2595</v>
      </c>
    </row>
    <row r="45" spans="1:5" s="666" customFormat="1">
      <c r="A45" s="662" t="s">
        <v>104</v>
      </c>
      <c r="B45" s="663" t="s">
        <v>105</v>
      </c>
      <c r="C45" s="663" t="s">
        <v>265</v>
      </c>
      <c r="D45" s="1015">
        <v>6370</v>
      </c>
      <c r="E45" s="1015">
        <v>6012</v>
      </c>
    </row>
    <row r="46" spans="1:5" s="666" customFormat="1">
      <c r="A46" s="662" t="s">
        <v>108</v>
      </c>
      <c r="B46" s="663" t="s">
        <v>109</v>
      </c>
      <c r="C46" s="663" t="s">
        <v>266</v>
      </c>
      <c r="D46" s="1015">
        <v>2224</v>
      </c>
      <c r="E46" s="1015">
        <v>1840</v>
      </c>
    </row>
    <row r="47" spans="1:5" s="666" customFormat="1">
      <c r="A47" s="662" t="s">
        <v>110</v>
      </c>
      <c r="B47" s="663" t="s">
        <v>111</v>
      </c>
      <c r="C47" s="663" t="s">
        <v>266</v>
      </c>
      <c r="D47" s="1015">
        <v>13246</v>
      </c>
      <c r="E47" s="1015">
        <v>11764</v>
      </c>
    </row>
    <row r="48" spans="1:5" s="666" customFormat="1">
      <c r="A48" s="662" t="s">
        <v>112</v>
      </c>
      <c r="B48" s="663" t="s">
        <v>300</v>
      </c>
      <c r="C48" s="663" t="s">
        <v>265</v>
      </c>
      <c r="D48" s="1015">
        <v>10516</v>
      </c>
      <c r="E48" s="1015">
        <v>9695</v>
      </c>
    </row>
    <row r="49" spans="1:5" s="666" customFormat="1">
      <c r="A49" s="662" t="s">
        <v>114</v>
      </c>
      <c r="B49" s="663" t="s">
        <v>115</v>
      </c>
      <c r="C49" s="663" t="s">
        <v>265</v>
      </c>
      <c r="D49" s="1015">
        <v>106</v>
      </c>
      <c r="E49" s="1015">
        <v>115</v>
      </c>
    </row>
    <row r="50" spans="1:5" s="666" customFormat="1">
      <c r="A50" s="662" t="s">
        <v>118</v>
      </c>
      <c r="B50" s="663" t="s">
        <v>270</v>
      </c>
      <c r="C50" s="663" t="s">
        <v>264</v>
      </c>
      <c r="D50" s="1015">
        <v>1987</v>
      </c>
      <c r="E50" s="1015">
        <v>1742</v>
      </c>
    </row>
    <row r="51" spans="1:5" s="666" customFormat="1">
      <c r="A51" s="662" t="s">
        <v>120</v>
      </c>
      <c r="B51" s="663" t="s">
        <v>121</v>
      </c>
      <c r="C51" s="663" t="s">
        <v>264</v>
      </c>
      <c r="D51" s="1015">
        <v>2015</v>
      </c>
      <c r="E51" s="1015">
        <v>1771</v>
      </c>
    </row>
    <row r="52" spans="1:5" s="666" customFormat="1">
      <c r="A52" s="662" t="s">
        <v>122</v>
      </c>
      <c r="B52" s="663" t="s">
        <v>287</v>
      </c>
      <c r="C52" s="663" t="s">
        <v>266</v>
      </c>
      <c r="D52" s="1015">
        <v>741</v>
      </c>
      <c r="E52" s="1015">
        <v>708</v>
      </c>
    </row>
    <row r="53" spans="1:5" s="666" customFormat="1">
      <c r="A53" s="662" t="s">
        <v>124</v>
      </c>
      <c r="B53" s="663" t="s">
        <v>125</v>
      </c>
      <c r="C53" s="663" t="s">
        <v>267</v>
      </c>
      <c r="D53" s="1015">
        <v>1462</v>
      </c>
      <c r="E53" s="1015">
        <v>1379</v>
      </c>
    </row>
    <row r="54" spans="1:5" s="666" customFormat="1">
      <c r="A54" s="662" t="s">
        <v>126</v>
      </c>
      <c r="B54" s="663" t="s">
        <v>127</v>
      </c>
      <c r="C54" s="663" t="s">
        <v>266</v>
      </c>
      <c r="D54" s="1015">
        <v>949</v>
      </c>
      <c r="E54" s="1015">
        <v>815</v>
      </c>
    </row>
    <row r="55" spans="1:5" s="666" customFormat="1">
      <c r="A55" s="662" t="s">
        <v>128</v>
      </c>
      <c r="B55" s="663" t="s">
        <v>129</v>
      </c>
      <c r="C55" s="663" t="s">
        <v>266</v>
      </c>
      <c r="D55" s="1015">
        <v>1299</v>
      </c>
      <c r="E55" s="1015">
        <v>1101</v>
      </c>
    </row>
    <row r="56" spans="1:5" s="666" customFormat="1">
      <c r="A56" s="662" t="s">
        <v>130</v>
      </c>
      <c r="B56" s="663" t="s">
        <v>131</v>
      </c>
      <c r="C56" s="663" t="s">
        <v>268</v>
      </c>
      <c r="D56" s="1015">
        <v>6204</v>
      </c>
      <c r="E56" s="1015">
        <v>6196</v>
      </c>
    </row>
    <row r="57" spans="1:5" s="666" customFormat="1">
      <c r="A57" s="662" t="s">
        <v>132</v>
      </c>
      <c r="B57" s="663" t="s">
        <v>133</v>
      </c>
      <c r="C57" s="663" t="s">
        <v>267</v>
      </c>
      <c r="D57" s="1015">
        <v>894</v>
      </c>
      <c r="E57" s="1015">
        <v>771</v>
      </c>
    </row>
    <row r="58" spans="1:5" s="666" customFormat="1">
      <c r="A58" s="662" t="s">
        <v>134</v>
      </c>
      <c r="B58" s="663" t="s">
        <v>135</v>
      </c>
      <c r="C58" s="663" t="s">
        <v>267</v>
      </c>
      <c r="D58" s="1015">
        <v>2819</v>
      </c>
      <c r="E58" s="1015">
        <v>2819</v>
      </c>
    </row>
    <row r="59" spans="1:5" s="666" customFormat="1">
      <c r="A59" s="662" t="s">
        <v>136</v>
      </c>
      <c r="B59" s="663" t="s">
        <v>137</v>
      </c>
      <c r="C59" s="663" t="s">
        <v>266</v>
      </c>
      <c r="D59" s="1015">
        <v>2079</v>
      </c>
      <c r="E59" s="1015">
        <v>1973</v>
      </c>
    </row>
    <row r="60" spans="1:5" s="666" customFormat="1">
      <c r="A60" s="662" t="s">
        <v>140</v>
      </c>
      <c r="B60" s="663" t="s">
        <v>141</v>
      </c>
      <c r="C60" s="663" t="s">
        <v>267</v>
      </c>
      <c r="D60" s="1015">
        <v>841</v>
      </c>
      <c r="E60" s="1015">
        <v>839</v>
      </c>
    </row>
    <row r="61" spans="1:5" s="666" customFormat="1">
      <c r="A61" s="662" t="s">
        <v>146</v>
      </c>
      <c r="B61" s="663" t="s">
        <v>147</v>
      </c>
      <c r="C61" s="663" t="s">
        <v>264</v>
      </c>
      <c r="D61" s="1015">
        <v>579</v>
      </c>
      <c r="E61" s="1015">
        <v>629</v>
      </c>
    </row>
    <row r="62" spans="1:5" s="666" customFormat="1">
      <c r="A62" s="662" t="s">
        <v>148</v>
      </c>
      <c r="B62" s="663" t="s">
        <v>149</v>
      </c>
      <c r="C62" s="663" t="s">
        <v>265</v>
      </c>
      <c r="D62" s="1015">
        <v>4954</v>
      </c>
      <c r="E62" s="1015">
        <v>4501</v>
      </c>
    </row>
    <row r="63" spans="1:5" s="666" customFormat="1">
      <c r="A63" s="662" t="s">
        <v>150</v>
      </c>
      <c r="B63" s="663" t="s">
        <v>151</v>
      </c>
      <c r="C63" s="663" t="s">
        <v>266</v>
      </c>
      <c r="D63" s="1015">
        <v>886</v>
      </c>
      <c r="E63" s="1015">
        <v>960</v>
      </c>
    </row>
    <row r="64" spans="1:5" s="666" customFormat="1">
      <c r="A64" s="662" t="s">
        <v>152</v>
      </c>
      <c r="B64" s="663" t="s">
        <v>153</v>
      </c>
      <c r="C64" s="663" t="s">
        <v>268</v>
      </c>
      <c r="D64" s="1015">
        <v>4987</v>
      </c>
      <c r="E64" s="1015">
        <v>4547</v>
      </c>
    </row>
    <row r="65" spans="1:5" s="666" customFormat="1">
      <c r="A65" s="662" t="s">
        <v>154</v>
      </c>
      <c r="B65" s="663" t="s">
        <v>155</v>
      </c>
      <c r="C65" s="663" t="s">
        <v>265</v>
      </c>
      <c r="D65" s="1015">
        <v>1854</v>
      </c>
      <c r="E65" s="1015">
        <v>1771</v>
      </c>
    </row>
    <row r="66" spans="1:5" s="666" customFormat="1">
      <c r="A66" s="662" t="s">
        <v>156</v>
      </c>
      <c r="B66" s="663" t="s">
        <v>157</v>
      </c>
      <c r="C66" s="663" t="s">
        <v>266</v>
      </c>
      <c r="D66" s="1015">
        <v>371</v>
      </c>
      <c r="E66" s="1015">
        <v>391</v>
      </c>
    </row>
    <row r="67" spans="1:5" s="666" customFormat="1">
      <c r="A67" s="662" t="s">
        <v>162</v>
      </c>
      <c r="B67" s="663" t="s">
        <v>163</v>
      </c>
      <c r="C67" s="663" t="s">
        <v>264</v>
      </c>
      <c r="D67" s="1015">
        <v>2303</v>
      </c>
      <c r="E67" s="1015">
        <v>2311</v>
      </c>
    </row>
    <row r="68" spans="1:5" s="666" customFormat="1">
      <c r="A68" s="662" t="s">
        <v>164</v>
      </c>
      <c r="B68" s="663" t="s">
        <v>165</v>
      </c>
      <c r="C68" s="663" t="s">
        <v>266</v>
      </c>
      <c r="D68" s="1015">
        <v>1207</v>
      </c>
      <c r="E68" s="1015">
        <v>1261</v>
      </c>
    </row>
    <row r="69" spans="1:5" s="666" customFormat="1">
      <c r="A69" s="662" t="s">
        <v>168</v>
      </c>
      <c r="B69" s="663" t="s">
        <v>169</v>
      </c>
      <c r="C69" s="663" t="s">
        <v>266</v>
      </c>
      <c r="D69" s="1015">
        <v>2516</v>
      </c>
      <c r="E69" s="1015">
        <v>2256</v>
      </c>
    </row>
    <row r="70" spans="1:5" s="666" customFormat="1">
      <c r="A70" s="662" t="s">
        <v>170</v>
      </c>
      <c r="B70" s="663" t="s">
        <v>171</v>
      </c>
      <c r="C70" s="663" t="s">
        <v>267</v>
      </c>
      <c r="D70" s="1015">
        <v>1704</v>
      </c>
      <c r="E70" s="1015">
        <v>1707</v>
      </c>
    </row>
    <row r="71" spans="1:5" s="666" customFormat="1">
      <c r="A71" s="662" t="s">
        <v>172</v>
      </c>
      <c r="B71" s="663" t="s">
        <v>173</v>
      </c>
      <c r="C71" s="663" t="s">
        <v>267</v>
      </c>
      <c r="D71" s="1015">
        <v>2497</v>
      </c>
      <c r="E71" s="1015">
        <v>2395</v>
      </c>
    </row>
    <row r="72" spans="1:5" s="666" customFormat="1">
      <c r="A72" s="662" t="s">
        <v>174</v>
      </c>
      <c r="B72" s="663" t="s">
        <v>175</v>
      </c>
      <c r="C72" s="663" t="s">
        <v>268</v>
      </c>
      <c r="D72" s="1015">
        <v>2770</v>
      </c>
      <c r="E72" s="1015">
        <v>2680</v>
      </c>
    </row>
    <row r="73" spans="1:5" s="666" customFormat="1">
      <c r="A73" s="662" t="s">
        <v>178</v>
      </c>
      <c r="B73" s="663" t="s">
        <v>179</v>
      </c>
      <c r="C73" s="663" t="s">
        <v>265</v>
      </c>
      <c r="D73" s="1015">
        <v>6712</v>
      </c>
      <c r="E73" s="1015">
        <v>6334</v>
      </c>
    </row>
    <row r="74" spans="1:5" s="666" customFormat="1">
      <c r="A74" s="662" t="s">
        <v>182</v>
      </c>
      <c r="B74" s="663" t="s">
        <v>183</v>
      </c>
      <c r="C74" s="663" t="s">
        <v>266</v>
      </c>
      <c r="D74" s="1015">
        <v>606</v>
      </c>
      <c r="E74" s="1015">
        <v>485</v>
      </c>
    </row>
    <row r="75" spans="1:5" s="666" customFormat="1">
      <c r="A75" s="662" t="s">
        <v>184</v>
      </c>
      <c r="B75" s="663" t="s">
        <v>185</v>
      </c>
      <c r="C75" s="663" t="s">
        <v>266</v>
      </c>
      <c r="D75" s="1015">
        <v>2840</v>
      </c>
      <c r="E75" s="1015">
        <v>2572</v>
      </c>
    </row>
    <row r="76" spans="1:5" s="666" customFormat="1">
      <c r="A76" s="662" t="s">
        <v>186</v>
      </c>
      <c r="B76" s="663" t="s">
        <v>187</v>
      </c>
      <c r="C76" s="663" t="s">
        <v>264</v>
      </c>
      <c r="D76" s="1015">
        <v>1044</v>
      </c>
      <c r="E76" s="1015">
        <v>968</v>
      </c>
    </row>
    <row r="77" spans="1:5" s="666" customFormat="1">
      <c r="A77" s="662" t="s">
        <v>188</v>
      </c>
      <c r="B77" s="663" t="s">
        <v>189</v>
      </c>
      <c r="C77" s="663" t="s">
        <v>267</v>
      </c>
      <c r="D77" s="1015">
        <v>4063</v>
      </c>
      <c r="E77" s="1015">
        <v>3776</v>
      </c>
    </row>
    <row r="78" spans="1:5" s="666" customFormat="1">
      <c r="A78" s="662" t="s">
        <v>190</v>
      </c>
      <c r="B78" s="663" t="s">
        <v>191</v>
      </c>
      <c r="C78" s="663" t="s">
        <v>268</v>
      </c>
      <c r="D78" s="1015">
        <v>4744</v>
      </c>
      <c r="E78" s="1015">
        <v>4368</v>
      </c>
    </row>
    <row r="79" spans="1:5" s="666" customFormat="1">
      <c r="A79" s="662" t="s">
        <v>194</v>
      </c>
      <c r="B79" s="663" t="s">
        <v>195</v>
      </c>
      <c r="C79" s="663" t="s">
        <v>267</v>
      </c>
      <c r="D79" s="1015">
        <v>239</v>
      </c>
      <c r="E79" s="1015">
        <v>187</v>
      </c>
    </row>
    <row r="80" spans="1:5" s="666" customFormat="1">
      <c r="A80" s="662" t="s">
        <v>198</v>
      </c>
      <c r="B80" s="663" t="s">
        <v>272</v>
      </c>
      <c r="C80" s="663" t="s">
        <v>266</v>
      </c>
      <c r="D80" s="1015">
        <v>1040</v>
      </c>
      <c r="E80" s="1015">
        <v>1004</v>
      </c>
    </row>
    <row r="81" spans="1:5" s="666" customFormat="1">
      <c r="A81" s="662" t="s">
        <v>202</v>
      </c>
      <c r="B81" s="663" t="s">
        <v>301</v>
      </c>
      <c r="C81" s="663" t="s">
        <v>265</v>
      </c>
      <c r="D81" s="1015">
        <v>3484</v>
      </c>
      <c r="E81" s="1015">
        <v>3272</v>
      </c>
    </row>
    <row r="82" spans="1:5" s="666" customFormat="1">
      <c r="A82" s="662" t="s">
        <v>204</v>
      </c>
      <c r="B82" s="663" t="s">
        <v>293</v>
      </c>
      <c r="C82" s="663" t="s">
        <v>265</v>
      </c>
      <c r="D82" s="1015">
        <v>3464</v>
      </c>
      <c r="E82" s="1015">
        <v>3303</v>
      </c>
    </row>
    <row r="83" spans="1:5" s="666" customFormat="1">
      <c r="A83" s="662" t="s">
        <v>206</v>
      </c>
      <c r="B83" s="663" t="s">
        <v>294</v>
      </c>
      <c r="C83" s="663" t="s">
        <v>267</v>
      </c>
      <c r="D83" s="1015">
        <v>6339</v>
      </c>
      <c r="E83" s="1015">
        <v>6081</v>
      </c>
    </row>
    <row r="84" spans="1:5" s="666" customFormat="1">
      <c r="A84" s="662" t="s">
        <v>208</v>
      </c>
      <c r="B84" s="663" t="s">
        <v>209</v>
      </c>
      <c r="C84" s="663" t="s">
        <v>268</v>
      </c>
      <c r="D84" s="1015">
        <v>5383</v>
      </c>
      <c r="E84" s="1015">
        <v>5413</v>
      </c>
    </row>
    <row r="85" spans="1:5" s="666" customFormat="1">
      <c r="A85" s="662" t="s">
        <v>210</v>
      </c>
      <c r="B85" s="663" t="s">
        <v>211</v>
      </c>
      <c r="C85" s="663" t="s">
        <v>268</v>
      </c>
      <c r="D85" s="1015">
        <v>3633</v>
      </c>
      <c r="E85" s="1015">
        <v>3500</v>
      </c>
    </row>
    <row r="86" spans="1:5" s="666" customFormat="1">
      <c r="A86" s="662" t="s">
        <v>212</v>
      </c>
      <c r="B86" s="663" t="s">
        <v>213</v>
      </c>
      <c r="C86" s="663" t="s">
        <v>267</v>
      </c>
      <c r="D86" s="1015">
        <v>3343</v>
      </c>
      <c r="E86" s="1015">
        <v>3134</v>
      </c>
    </row>
    <row r="87" spans="1:5" s="666" customFormat="1">
      <c r="A87" s="662" t="s">
        <v>214</v>
      </c>
      <c r="B87" s="663" t="s">
        <v>215</v>
      </c>
      <c r="C87" s="663" t="s">
        <v>268</v>
      </c>
      <c r="D87" s="1015">
        <v>5116</v>
      </c>
      <c r="E87" s="1015">
        <v>4800</v>
      </c>
    </row>
    <row r="88" spans="1:5" s="666" customFormat="1">
      <c r="A88" s="662" t="s">
        <v>216</v>
      </c>
      <c r="B88" s="663" t="s">
        <v>217</v>
      </c>
      <c r="C88" s="663" t="s">
        <v>264</v>
      </c>
      <c r="D88" s="1015">
        <v>1974</v>
      </c>
      <c r="E88" s="1015">
        <v>1723</v>
      </c>
    </row>
    <row r="89" spans="1:5" s="666" customFormat="1">
      <c r="A89" s="662" t="s">
        <v>218</v>
      </c>
      <c r="B89" s="663" t="s">
        <v>219</v>
      </c>
      <c r="C89" s="663" t="s">
        <v>267</v>
      </c>
      <c r="D89" s="1015">
        <v>3337</v>
      </c>
      <c r="E89" s="1015">
        <v>2899</v>
      </c>
    </row>
    <row r="90" spans="1:5" s="666" customFormat="1">
      <c r="A90" s="662" t="s">
        <v>220</v>
      </c>
      <c r="B90" s="663" t="s">
        <v>221</v>
      </c>
      <c r="C90" s="663" t="s">
        <v>267</v>
      </c>
      <c r="D90" s="1015">
        <v>1900</v>
      </c>
      <c r="E90" s="1015">
        <v>1782</v>
      </c>
    </row>
    <row r="91" spans="1:5" s="666" customFormat="1">
      <c r="A91" s="662" t="s">
        <v>224</v>
      </c>
      <c r="B91" s="663" t="s">
        <v>225</v>
      </c>
      <c r="C91" s="663" t="s">
        <v>264</v>
      </c>
      <c r="D91" s="1015">
        <v>551</v>
      </c>
      <c r="E91" s="1015">
        <v>583</v>
      </c>
    </row>
    <row r="92" spans="1:5" s="666" customFormat="1">
      <c r="A92" s="662" t="s">
        <v>226</v>
      </c>
      <c r="B92" s="663" t="s">
        <v>227</v>
      </c>
      <c r="C92" s="663" t="s">
        <v>264</v>
      </c>
      <c r="D92" s="1015">
        <v>1311</v>
      </c>
      <c r="E92" s="1015">
        <v>1210</v>
      </c>
    </row>
    <row r="93" spans="1:5" s="666" customFormat="1">
      <c r="A93" s="662" t="s">
        <v>228</v>
      </c>
      <c r="B93" s="663" t="s">
        <v>229</v>
      </c>
      <c r="C93" s="663" t="s">
        <v>268</v>
      </c>
      <c r="D93" s="1015">
        <v>6448</v>
      </c>
      <c r="E93" s="1015">
        <v>6169</v>
      </c>
    </row>
    <row r="94" spans="1:5" s="666" customFormat="1">
      <c r="A94" s="662" t="s">
        <v>232</v>
      </c>
      <c r="B94" s="663" t="s">
        <v>233</v>
      </c>
      <c r="C94" s="663" t="s">
        <v>267</v>
      </c>
      <c r="D94" s="1015">
        <v>2085</v>
      </c>
      <c r="E94" s="1015">
        <v>1874</v>
      </c>
    </row>
    <row r="95" spans="1:5" s="666" customFormat="1">
      <c r="A95" s="662" t="s">
        <v>234</v>
      </c>
      <c r="B95" s="663" t="s">
        <v>235</v>
      </c>
      <c r="C95" s="663" t="s">
        <v>268</v>
      </c>
      <c r="D95" s="1015">
        <v>5415</v>
      </c>
      <c r="E95" s="1015">
        <v>5097</v>
      </c>
    </row>
    <row r="96" spans="1:5" s="666" customFormat="1">
      <c r="A96" s="662" t="s">
        <v>236</v>
      </c>
      <c r="B96" s="663" t="s">
        <v>237</v>
      </c>
      <c r="C96" s="663" t="s">
        <v>266</v>
      </c>
      <c r="D96" s="1015">
        <v>2279</v>
      </c>
      <c r="E96" s="1015">
        <v>2138</v>
      </c>
    </row>
    <row r="97" spans="1:5" s="666" customFormat="1">
      <c r="A97" s="662" t="s">
        <v>242</v>
      </c>
      <c r="B97" s="663" t="s">
        <v>243</v>
      </c>
      <c r="C97" s="663" t="s">
        <v>268</v>
      </c>
      <c r="D97" s="1015">
        <v>7015</v>
      </c>
      <c r="E97" s="1015">
        <v>6770</v>
      </c>
    </row>
    <row r="98" spans="1:5" s="666" customFormat="1">
      <c r="A98" s="662" t="s">
        <v>244</v>
      </c>
      <c r="B98" s="663" t="s">
        <v>245</v>
      </c>
      <c r="C98" s="663" t="s">
        <v>268</v>
      </c>
      <c r="D98" s="1015">
        <v>3313</v>
      </c>
      <c r="E98" s="1015">
        <v>3146</v>
      </c>
    </row>
    <row r="99" spans="1:5" s="666" customFormat="1">
      <c r="A99" s="662" t="s">
        <v>246</v>
      </c>
      <c r="B99" s="663" t="s">
        <v>247</v>
      </c>
      <c r="C99" s="663" t="s">
        <v>264</v>
      </c>
      <c r="D99" s="1015">
        <v>1107</v>
      </c>
      <c r="E99" s="1015">
        <v>990</v>
      </c>
    </row>
    <row r="100" spans="1:5" s="666" customFormat="1">
      <c r="A100" s="662" t="s">
        <v>14</v>
      </c>
      <c r="B100" s="663" t="s">
        <v>15</v>
      </c>
      <c r="C100" s="663" t="s">
        <v>267</v>
      </c>
      <c r="D100" s="1015">
        <v>2014</v>
      </c>
      <c r="E100" s="1015">
        <v>1912</v>
      </c>
    </row>
    <row r="101" spans="1:5" s="666" customFormat="1">
      <c r="A101" s="662" t="s">
        <v>34</v>
      </c>
      <c r="B101" s="663" t="s">
        <v>35</v>
      </c>
      <c r="C101" s="663" t="s">
        <v>268</v>
      </c>
      <c r="D101" s="1015">
        <v>1991</v>
      </c>
      <c r="E101" s="1015">
        <v>1829</v>
      </c>
    </row>
    <row r="102" spans="1:5" s="666" customFormat="1">
      <c r="A102" s="662" t="s">
        <v>52</v>
      </c>
      <c r="B102" s="663" t="s">
        <v>53</v>
      </c>
      <c r="C102" s="663" t="s">
        <v>265</v>
      </c>
      <c r="D102" s="1015">
        <v>2081</v>
      </c>
      <c r="E102" s="1015">
        <v>1831</v>
      </c>
    </row>
    <row r="103" spans="1:5" s="666" customFormat="1">
      <c r="A103" s="662" t="s">
        <v>54</v>
      </c>
      <c r="B103" s="663" t="s">
        <v>55</v>
      </c>
      <c r="C103" s="663" t="s">
        <v>264</v>
      </c>
      <c r="D103" s="1015">
        <v>7944</v>
      </c>
      <c r="E103" s="1015">
        <v>6871</v>
      </c>
    </row>
    <row r="104" spans="1:5" s="666" customFormat="1">
      <c r="A104" s="662" t="s">
        <v>66</v>
      </c>
      <c r="B104" s="663" t="s">
        <v>67</v>
      </c>
      <c r="C104" s="663" t="s">
        <v>265</v>
      </c>
      <c r="D104" s="1015">
        <v>8490</v>
      </c>
      <c r="E104" s="1015">
        <v>7600</v>
      </c>
    </row>
    <row r="105" spans="1:5" s="666" customFormat="1">
      <c r="A105" s="662" t="s">
        <v>82</v>
      </c>
      <c r="B105" s="663" t="s">
        <v>83</v>
      </c>
      <c r="C105" s="663" t="s">
        <v>264</v>
      </c>
      <c r="D105" s="1015">
        <v>2018</v>
      </c>
      <c r="E105" s="1015">
        <v>2019</v>
      </c>
    </row>
    <row r="106" spans="1:5" s="666" customFormat="1">
      <c r="A106" s="662" t="s">
        <v>88</v>
      </c>
      <c r="B106" s="663" t="s">
        <v>89</v>
      </c>
      <c r="C106" s="663" t="s">
        <v>267</v>
      </c>
      <c r="D106" s="1015">
        <v>1547</v>
      </c>
      <c r="E106" s="1015">
        <v>1478</v>
      </c>
    </row>
    <row r="107" spans="1:5" s="666" customFormat="1">
      <c r="A107" s="662" t="s">
        <v>90</v>
      </c>
      <c r="B107" s="663" t="s">
        <v>91</v>
      </c>
      <c r="C107" s="663" t="s">
        <v>268</v>
      </c>
      <c r="D107" s="1015">
        <v>1602</v>
      </c>
      <c r="E107" s="1015">
        <v>1539</v>
      </c>
    </row>
    <row r="108" spans="1:5" s="666" customFormat="1">
      <c r="A108" s="662" t="s">
        <v>106</v>
      </c>
      <c r="B108" s="663" t="s">
        <v>107</v>
      </c>
      <c r="C108" s="663" t="s">
        <v>264</v>
      </c>
      <c r="D108" s="1015">
        <v>8706</v>
      </c>
      <c r="E108" s="1015">
        <v>7386</v>
      </c>
    </row>
    <row r="109" spans="1:5" s="666" customFormat="1">
      <c r="A109" s="662" t="s">
        <v>116</v>
      </c>
      <c r="B109" s="663" t="s">
        <v>117</v>
      </c>
      <c r="C109" s="663" t="s">
        <v>266</v>
      </c>
      <c r="D109" s="1015">
        <v>2680</v>
      </c>
      <c r="E109" s="1015">
        <v>2700</v>
      </c>
    </row>
    <row r="110" spans="1:5" s="666" customFormat="1">
      <c r="A110" s="662" t="s">
        <v>138</v>
      </c>
      <c r="B110" s="663" t="s">
        <v>139</v>
      </c>
      <c r="C110" s="663" t="s">
        <v>265</v>
      </c>
      <c r="D110" s="1015">
        <v>9361</v>
      </c>
      <c r="E110" s="1015">
        <v>8856</v>
      </c>
    </row>
    <row r="111" spans="1:5" s="666" customFormat="1">
      <c r="A111" s="662" t="s">
        <v>142</v>
      </c>
      <c r="B111" s="663" t="s">
        <v>143</v>
      </c>
      <c r="C111" s="663" t="s">
        <v>267</v>
      </c>
      <c r="D111" s="1015">
        <v>456</v>
      </c>
      <c r="E111" s="1015">
        <v>465</v>
      </c>
    </row>
    <row r="112" spans="1:5" s="666" customFormat="1">
      <c r="A112" s="662" t="s">
        <v>144</v>
      </c>
      <c r="B112" s="663" t="s">
        <v>145</v>
      </c>
      <c r="C112" s="663" t="s">
        <v>267</v>
      </c>
      <c r="D112" s="1015">
        <v>189</v>
      </c>
      <c r="E112" s="1015">
        <v>171</v>
      </c>
    </row>
    <row r="113" spans="1:6" s="666" customFormat="1">
      <c r="A113" s="662" t="s">
        <v>158</v>
      </c>
      <c r="B113" s="663" t="s">
        <v>159</v>
      </c>
      <c r="C113" s="663" t="s">
        <v>264</v>
      </c>
      <c r="D113" s="1015">
        <v>13154</v>
      </c>
      <c r="E113" s="1015">
        <v>11622</v>
      </c>
    </row>
    <row r="114" spans="1:6" s="666" customFormat="1">
      <c r="A114" s="662" t="s">
        <v>160</v>
      </c>
      <c r="B114" s="663" t="s">
        <v>161</v>
      </c>
      <c r="C114" s="663" t="s">
        <v>264</v>
      </c>
      <c r="D114" s="1015">
        <v>16624</v>
      </c>
      <c r="E114" s="1015">
        <v>14236</v>
      </c>
    </row>
    <row r="115" spans="1:6" s="666" customFormat="1">
      <c r="A115" s="662" t="s">
        <v>166</v>
      </c>
      <c r="B115" s="663" t="s">
        <v>167</v>
      </c>
      <c r="C115" s="663" t="s">
        <v>268</v>
      </c>
      <c r="D115" s="1015">
        <v>879</v>
      </c>
      <c r="E115" s="1015">
        <v>787</v>
      </c>
    </row>
    <row r="116" spans="1:6" s="666" customFormat="1">
      <c r="A116" s="662" t="s">
        <v>176</v>
      </c>
      <c r="B116" s="663" t="s">
        <v>177</v>
      </c>
      <c r="C116" s="663" t="s">
        <v>266</v>
      </c>
      <c r="D116" s="1015">
        <v>4916</v>
      </c>
      <c r="E116" s="1015">
        <v>4267</v>
      </c>
    </row>
    <row r="117" spans="1:6" s="666" customFormat="1">
      <c r="A117" s="662" t="s">
        <v>180</v>
      </c>
      <c r="B117" s="663" t="s">
        <v>181</v>
      </c>
      <c r="C117" s="663" t="s">
        <v>264</v>
      </c>
      <c r="D117" s="1015">
        <v>7585</v>
      </c>
      <c r="E117" s="1015">
        <v>6678</v>
      </c>
    </row>
    <row r="118" spans="1:6" s="666" customFormat="1">
      <c r="A118" s="662" t="s">
        <v>192</v>
      </c>
      <c r="B118" s="663" t="s">
        <v>193</v>
      </c>
      <c r="C118" s="663" t="s">
        <v>268</v>
      </c>
      <c r="D118" s="1015">
        <v>1225</v>
      </c>
      <c r="E118" s="1015">
        <v>1018</v>
      </c>
    </row>
    <row r="119" spans="1:6" s="666" customFormat="1">
      <c r="A119" s="662" t="s">
        <v>196</v>
      </c>
      <c r="B119" s="663" t="s">
        <v>197</v>
      </c>
      <c r="C119" s="663" t="s">
        <v>266</v>
      </c>
      <c r="D119" s="1015">
        <v>17167</v>
      </c>
      <c r="E119" s="1015">
        <v>16045</v>
      </c>
    </row>
    <row r="120" spans="1:6" s="666" customFormat="1">
      <c r="A120" s="662" t="s">
        <v>200</v>
      </c>
      <c r="B120" s="663" t="s">
        <v>201</v>
      </c>
      <c r="C120" s="663" t="s">
        <v>265</v>
      </c>
      <c r="D120" s="1015">
        <v>10856</v>
      </c>
      <c r="E120" s="1015">
        <v>9998</v>
      </c>
    </row>
    <row r="121" spans="1:6" s="666" customFormat="1">
      <c r="A121" s="662" t="s">
        <v>222</v>
      </c>
      <c r="B121" s="663" t="s">
        <v>223</v>
      </c>
      <c r="C121" s="663" t="s">
        <v>264</v>
      </c>
      <c r="D121" s="1015">
        <v>6436</v>
      </c>
      <c r="E121" s="1015">
        <v>5703</v>
      </c>
    </row>
    <row r="122" spans="1:6" s="666" customFormat="1">
      <c r="A122" s="662" t="s">
        <v>230</v>
      </c>
      <c r="B122" s="663" t="s">
        <v>231</v>
      </c>
      <c r="C122" s="663" t="s">
        <v>264</v>
      </c>
      <c r="D122" s="1015">
        <v>10353</v>
      </c>
      <c r="E122" s="1015">
        <v>8975</v>
      </c>
    </row>
    <row r="123" spans="1:6" s="666" customFormat="1">
      <c r="A123" s="662" t="s">
        <v>238</v>
      </c>
      <c r="B123" s="663" t="s">
        <v>239</v>
      </c>
      <c r="C123" s="663" t="s">
        <v>264</v>
      </c>
      <c r="D123" s="1015">
        <v>186</v>
      </c>
      <c r="E123" s="1015">
        <v>163</v>
      </c>
    </row>
    <row r="124" spans="1:6" s="666" customFormat="1">
      <c r="A124" s="662" t="s">
        <v>240</v>
      </c>
      <c r="B124" s="663" t="s">
        <v>241</v>
      </c>
      <c r="C124" s="663" t="s">
        <v>267</v>
      </c>
      <c r="D124" s="1015">
        <v>1492</v>
      </c>
      <c r="E124" s="1015">
        <v>1240</v>
      </c>
    </row>
    <row r="126" spans="1:6" ht="12.75" customHeight="1">
      <c r="A126" s="1916" t="s">
        <v>992</v>
      </c>
      <c r="B126" s="1917"/>
      <c r="C126" s="1917"/>
      <c r="D126" s="1917"/>
      <c r="E126" s="1917"/>
      <c r="F126" s="1917"/>
    </row>
    <row r="127" spans="1:6">
      <c r="A127" s="1917"/>
      <c r="B127" s="1917"/>
      <c r="C127" s="1917"/>
      <c r="D127" s="1917"/>
      <c r="E127" s="1917"/>
      <c r="F127" s="1917"/>
    </row>
    <row r="128" spans="1:6" ht="18" customHeight="1">
      <c r="A128" s="1917"/>
      <c r="B128" s="1917"/>
      <c r="C128" s="1917"/>
      <c r="D128" s="1917"/>
      <c r="E128" s="1917"/>
      <c r="F128" s="1917"/>
    </row>
    <row r="129" spans="1:6">
      <c r="A129" s="1502"/>
      <c r="B129" s="1502"/>
      <c r="C129" s="1502"/>
      <c r="D129" s="1502"/>
      <c r="E129" s="1502"/>
      <c r="F129" s="1502"/>
    </row>
    <row r="130" spans="1:6" s="428" customFormat="1">
      <c r="A130" s="428" t="s">
        <v>248</v>
      </c>
    </row>
    <row r="131" spans="1:6" s="428" customFormat="1">
      <c r="A131" s="429" t="s">
        <v>249</v>
      </c>
      <c r="B131" s="430" t="s">
        <v>250</v>
      </c>
      <c r="C131" s="430"/>
    </row>
  </sheetData>
  <sortState ref="A4:E124">
    <sortCondition ref="A5:A124"/>
  </sortState>
  <mergeCells count="1">
    <mergeCell ref="A126:F128"/>
  </mergeCells>
  <hyperlinks>
    <hyperlink ref="B131" r:id="rId1"/>
  </hyperlink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I131"/>
  <sheetViews>
    <sheetView workbookViewId="0">
      <pane ySplit="4" topLeftCell="A5" activePane="bottomLeft" state="frozen"/>
      <selection pane="bottomLeft" activeCell="A5" sqref="A5:XFD124"/>
    </sheetView>
  </sheetViews>
  <sheetFormatPr defaultRowHeight="15.75"/>
  <cols>
    <col min="1" max="1" width="9" style="271"/>
    <col min="2" max="2" width="34.375" style="271" customWidth="1"/>
    <col min="3" max="3" width="15" style="271" customWidth="1"/>
    <col min="4" max="7" width="11.125" style="271" customWidth="1"/>
    <col min="8" max="9" width="11.375" style="271" customWidth="1"/>
    <col min="10" max="11" width="9" style="271"/>
    <col min="12" max="12" width="9.25" style="271" customWidth="1"/>
    <col min="13" max="16384" width="9" style="271"/>
  </cols>
  <sheetData>
    <row r="1" spans="1:9">
      <c r="A1" s="64" t="s">
        <v>913</v>
      </c>
    </row>
    <row r="3" spans="1:9">
      <c r="A3" s="64" t="s">
        <v>4</v>
      </c>
      <c r="B3" s="64" t="s">
        <v>5</v>
      </c>
      <c r="C3" s="64" t="s">
        <v>251</v>
      </c>
      <c r="D3" s="64" t="s">
        <v>807</v>
      </c>
      <c r="E3" s="64" t="s">
        <v>808</v>
      </c>
      <c r="F3" s="64" t="s">
        <v>809</v>
      </c>
      <c r="G3" s="64" t="s">
        <v>806</v>
      </c>
      <c r="H3" s="64" t="s">
        <v>851</v>
      </c>
      <c r="I3" s="64" t="s">
        <v>912</v>
      </c>
    </row>
    <row r="4" spans="1:9">
      <c r="A4" s="674">
        <v>999</v>
      </c>
      <c r="B4" s="675" t="s">
        <v>9</v>
      </c>
      <c r="C4" s="675"/>
      <c r="D4" s="676">
        <f>SUM(D5:D124)</f>
        <v>1373665</v>
      </c>
      <c r="E4" s="676">
        <f>SUM(E5:E124)</f>
        <v>1520062</v>
      </c>
      <c r="F4" s="676">
        <f>SUM(F5:F124)</f>
        <v>1623085</v>
      </c>
      <c r="G4" s="676">
        <f>SUM(G5:G124)</f>
        <v>1699580</v>
      </c>
      <c r="H4" s="676">
        <f>SUM(H5:H124)</f>
        <v>1772903</v>
      </c>
      <c r="I4" s="676">
        <v>1772010</v>
      </c>
    </row>
    <row r="5" spans="1:9">
      <c r="A5" s="555" t="s">
        <v>10</v>
      </c>
      <c r="B5" s="556" t="s">
        <v>11</v>
      </c>
      <c r="C5" s="607" t="s">
        <v>264</v>
      </c>
      <c r="D5" s="274">
        <v>10154</v>
      </c>
      <c r="E5" s="274">
        <v>10645</v>
      </c>
      <c r="F5" s="274">
        <v>11189</v>
      </c>
      <c r="G5" s="274">
        <v>11696</v>
      </c>
      <c r="H5" s="272">
        <v>12021</v>
      </c>
      <c r="I5" s="272">
        <v>11999</v>
      </c>
    </row>
    <row r="6" spans="1:9">
      <c r="A6" s="555" t="s">
        <v>12</v>
      </c>
      <c r="B6" s="556" t="s">
        <v>13</v>
      </c>
      <c r="C6" s="607" t="s">
        <v>265</v>
      </c>
      <c r="D6" s="274">
        <v>10450</v>
      </c>
      <c r="E6" s="274">
        <v>11816</v>
      </c>
      <c r="F6" s="274">
        <v>12861</v>
      </c>
      <c r="G6" s="274">
        <v>13492</v>
      </c>
      <c r="H6" s="272">
        <v>13805</v>
      </c>
      <c r="I6" s="272">
        <v>13949</v>
      </c>
    </row>
    <row r="7" spans="1:9">
      <c r="A7" s="555" t="s">
        <v>16</v>
      </c>
      <c r="B7" s="556" t="s">
        <v>297</v>
      </c>
      <c r="C7" s="607" t="s">
        <v>265</v>
      </c>
      <c r="D7" s="274">
        <v>6378</v>
      </c>
      <c r="E7" s="274">
        <v>6596</v>
      </c>
      <c r="F7" s="274">
        <v>6817</v>
      </c>
      <c r="G7" s="274">
        <v>7087</v>
      </c>
      <c r="H7" s="272">
        <v>7255</v>
      </c>
      <c r="I7" s="272">
        <v>7129</v>
      </c>
    </row>
    <row r="8" spans="1:9">
      <c r="A8" s="555" t="s">
        <v>18</v>
      </c>
      <c r="B8" s="556" t="s">
        <v>19</v>
      </c>
      <c r="C8" s="607" t="s">
        <v>266</v>
      </c>
      <c r="D8" s="274">
        <v>3026</v>
      </c>
      <c r="E8" s="274">
        <v>3512</v>
      </c>
      <c r="F8" s="274">
        <v>3662</v>
      </c>
      <c r="G8" s="274">
        <v>3831</v>
      </c>
      <c r="H8" s="272">
        <v>3758</v>
      </c>
      <c r="I8" s="272">
        <v>3571</v>
      </c>
    </row>
    <row r="9" spans="1:9">
      <c r="A9" s="555" t="s">
        <v>20</v>
      </c>
      <c r="B9" s="556" t="s">
        <v>21</v>
      </c>
      <c r="C9" s="607" t="s">
        <v>265</v>
      </c>
      <c r="D9" s="274">
        <v>6851</v>
      </c>
      <c r="E9" s="274">
        <v>7644</v>
      </c>
      <c r="F9" s="274">
        <v>7861</v>
      </c>
      <c r="G9" s="274">
        <v>7938</v>
      </c>
      <c r="H9" s="272">
        <v>8197</v>
      </c>
      <c r="I9" s="272">
        <v>7902</v>
      </c>
    </row>
    <row r="10" spans="1:9">
      <c r="A10" s="555" t="s">
        <v>22</v>
      </c>
      <c r="B10" s="556" t="s">
        <v>23</v>
      </c>
      <c r="C10" s="607" t="s">
        <v>265</v>
      </c>
      <c r="D10" s="274">
        <v>3905</v>
      </c>
      <c r="E10" s="274">
        <v>4235</v>
      </c>
      <c r="F10" s="274">
        <v>4416</v>
      </c>
      <c r="G10" s="274">
        <v>4691</v>
      </c>
      <c r="H10" s="272">
        <v>4818</v>
      </c>
      <c r="I10" s="272">
        <v>4773</v>
      </c>
    </row>
    <row r="11" spans="1:9">
      <c r="A11" s="555" t="s">
        <v>24</v>
      </c>
      <c r="B11" s="556" t="s">
        <v>25</v>
      </c>
      <c r="C11" s="607" t="s">
        <v>267</v>
      </c>
      <c r="D11" s="274">
        <v>13991</v>
      </c>
      <c r="E11" s="274">
        <v>15240</v>
      </c>
      <c r="F11" s="274">
        <v>16243</v>
      </c>
      <c r="G11" s="274">
        <v>17046</v>
      </c>
      <c r="H11" s="272">
        <v>18023</v>
      </c>
      <c r="I11" s="272">
        <v>18981</v>
      </c>
    </row>
    <row r="12" spans="1:9">
      <c r="A12" s="555" t="s">
        <v>26</v>
      </c>
      <c r="B12" s="556" t="s">
        <v>706</v>
      </c>
      <c r="C12" s="607" t="s">
        <v>265</v>
      </c>
      <c r="D12" s="274">
        <v>24014</v>
      </c>
      <c r="E12" s="274">
        <v>26818</v>
      </c>
      <c r="F12" s="274">
        <v>28895</v>
      </c>
      <c r="G12" s="274">
        <v>30421</v>
      </c>
      <c r="H12" s="272">
        <v>33010</v>
      </c>
      <c r="I12" s="272">
        <v>31132</v>
      </c>
    </row>
    <row r="13" spans="1:9">
      <c r="A13" s="555" t="s">
        <v>27</v>
      </c>
      <c r="B13" s="556" t="s">
        <v>28</v>
      </c>
      <c r="C13" s="612" t="s">
        <v>265</v>
      </c>
      <c r="D13" s="274">
        <v>768</v>
      </c>
      <c r="E13" s="274">
        <v>865</v>
      </c>
      <c r="F13" s="274">
        <v>899</v>
      </c>
      <c r="G13" s="274">
        <v>973</v>
      </c>
      <c r="H13" s="272">
        <v>1072</v>
      </c>
      <c r="I13" s="272">
        <v>982</v>
      </c>
    </row>
    <row r="14" spans="1:9">
      <c r="A14" s="555" t="s">
        <v>29</v>
      </c>
      <c r="B14" s="556" t="s">
        <v>1012</v>
      </c>
      <c r="C14" s="612" t="s">
        <v>265</v>
      </c>
      <c r="D14" s="274">
        <v>11776</v>
      </c>
      <c r="E14" s="274">
        <v>13183</v>
      </c>
      <c r="F14" s="274">
        <v>13989</v>
      </c>
      <c r="G14" s="274">
        <v>14476</v>
      </c>
      <c r="H14" s="272">
        <v>14890</v>
      </c>
      <c r="I14" s="272">
        <v>15856</v>
      </c>
    </row>
    <row r="15" spans="1:9">
      <c r="A15" s="555" t="s">
        <v>30</v>
      </c>
      <c r="B15" s="556" t="s">
        <v>31</v>
      </c>
      <c r="C15" s="612" t="s">
        <v>268</v>
      </c>
      <c r="D15" s="274">
        <v>1291</v>
      </c>
      <c r="E15" s="274">
        <v>1353</v>
      </c>
      <c r="F15" s="274">
        <v>1382</v>
      </c>
      <c r="G15" s="274">
        <v>1384</v>
      </c>
      <c r="H15" s="272">
        <v>1448</v>
      </c>
      <c r="I15" s="272">
        <v>1367</v>
      </c>
    </row>
    <row r="16" spans="1:9">
      <c r="A16" s="555" t="s">
        <v>32</v>
      </c>
      <c r="B16" s="556" t="s">
        <v>33</v>
      </c>
      <c r="C16" s="612" t="s">
        <v>265</v>
      </c>
      <c r="D16" s="274">
        <v>3233</v>
      </c>
      <c r="E16" s="274">
        <v>3680</v>
      </c>
      <c r="F16" s="274">
        <v>3726</v>
      </c>
      <c r="G16" s="274">
        <v>4000</v>
      </c>
      <c r="H16" s="272">
        <v>4098</v>
      </c>
      <c r="I16" s="272">
        <v>4208</v>
      </c>
    </row>
    <row r="17" spans="1:9">
      <c r="A17" s="555" t="s">
        <v>36</v>
      </c>
      <c r="B17" s="556" t="s">
        <v>37</v>
      </c>
      <c r="C17" s="612" t="s">
        <v>264</v>
      </c>
      <c r="D17" s="274">
        <v>5641</v>
      </c>
      <c r="E17" s="274">
        <v>5937</v>
      </c>
      <c r="F17" s="274">
        <v>6192</v>
      </c>
      <c r="G17" s="274">
        <v>6314</v>
      </c>
      <c r="H17" s="272">
        <v>6374</v>
      </c>
      <c r="I17" s="272">
        <v>6370</v>
      </c>
    </row>
    <row r="18" spans="1:9">
      <c r="A18" s="555" t="s">
        <v>38</v>
      </c>
      <c r="B18" s="556" t="s">
        <v>39</v>
      </c>
      <c r="C18" s="612" t="s">
        <v>268</v>
      </c>
      <c r="D18" s="274">
        <v>8117</v>
      </c>
      <c r="E18" s="274">
        <v>8292</v>
      </c>
      <c r="F18" s="274">
        <v>8181</v>
      </c>
      <c r="G18" s="274">
        <v>8282</v>
      </c>
      <c r="H18" s="272">
        <v>8685</v>
      </c>
      <c r="I18" s="272">
        <v>8594</v>
      </c>
    </row>
    <row r="19" spans="1:9">
      <c r="A19" s="555" t="s">
        <v>40</v>
      </c>
      <c r="B19" s="556" t="s">
        <v>41</v>
      </c>
      <c r="C19" s="612" t="s">
        <v>266</v>
      </c>
      <c r="D19" s="274">
        <v>4579</v>
      </c>
      <c r="E19" s="274">
        <v>5112</v>
      </c>
      <c r="F19" s="274">
        <v>5450</v>
      </c>
      <c r="G19" s="274">
        <v>5724</v>
      </c>
      <c r="H19" s="272">
        <v>5834</v>
      </c>
      <c r="I19" s="272">
        <v>5595</v>
      </c>
    </row>
    <row r="20" spans="1:9">
      <c r="A20" s="555" t="s">
        <v>42</v>
      </c>
      <c r="B20" s="556" t="s">
        <v>43</v>
      </c>
      <c r="C20" s="612" t="s">
        <v>265</v>
      </c>
      <c r="D20" s="274">
        <v>12064</v>
      </c>
      <c r="E20" s="274">
        <v>13378</v>
      </c>
      <c r="F20" s="274">
        <v>14158</v>
      </c>
      <c r="G20" s="274">
        <v>14628</v>
      </c>
      <c r="H20" s="272">
        <v>15039</v>
      </c>
      <c r="I20" s="272">
        <v>14890</v>
      </c>
    </row>
    <row r="21" spans="1:9">
      <c r="A21" s="555" t="s">
        <v>44</v>
      </c>
      <c r="B21" s="556" t="s">
        <v>45</v>
      </c>
      <c r="C21" s="612" t="s">
        <v>266</v>
      </c>
      <c r="D21" s="274">
        <v>7077</v>
      </c>
      <c r="E21" s="274">
        <v>7864</v>
      </c>
      <c r="F21" s="274">
        <v>8226</v>
      </c>
      <c r="G21" s="274">
        <v>8666</v>
      </c>
      <c r="H21" s="272">
        <v>8995</v>
      </c>
      <c r="I21" s="272">
        <v>8728</v>
      </c>
    </row>
    <row r="22" spans="1:9">
      <c r="A22" s="555" t="s">
        <v>46</v>
      </c>
      <c r="B22" s="556" t="s">
        <v>47</v>
      </c>
      <c r="C22" s="612" t="s">
        <v>268</v>
      </c>
      <c r="D22" s="274">
        <v>8782</v>
      </c>
      <c r="E22" s="274">
        <v>9353</v>
      </c>
      <c r="F22" s="274">
        <v>9766</v>
      </c>
      <c r="G22" s="274">
        <v>10040</v>
      </c>
      <c r="H22" s="272">
        <v>10165</v>
      </c>
      <c r="I22" s="272">
        <v>9993</v>
      </c>
    </row>
    <row r="23" spans="1:9">
      <c r="A23" s="555" t="s">
        <v>48</v>
      </c>
      <c r="B23" s="556" t="s">
        <v>269</v>
      </c>
      <c r="C23" s="612" t="s">
        <v>266</v>
      </c>
      <c r="D23" s="274">
        <v>1617</v>
      </c>
      <c r="E23" s="274">
        <v>1753</v>
      </c>
      <c r="F23" s="274">
        <v>1811</v>
      </c>
      <c r="G23" s="274">
        <v>1897</v>
      </c>
      <c r="H23" s="272">
        <v>1975</v>
      </c>
      <c r="I23" s="272">
        <v>1907</v>
      </c>
    </row>
    <row r="24" spans="1:9">
      <c r="A24" s="555" t="s">
        <v>50</v>
      </c>
      <c r="B24" s="556" t="s">
        <v>51</v>
      </c>
      <c r="C24" s="612" t="s">
        <v>265</v>
      </c>
      <c r="D24" s="274">
        <v>4100</v>
      </c>
      <c r="E24" s="274">
        <v>4284</v>
      </c>
      <c r="F24" s="274">
        <v>4431</v>
      </c>
      <c r="G24" s="274">
        <v>4550</v>
      </c>
      <c r="H24" s="272">
        <v>4494</v>
      </c>
      <c r="I24" s="272">
        <v>4300</v>
      </c>
    </row>
    <row r="25" spans="1:9">
      <c r="A25" s="555" t="s">
        <v>56</v>
      </c>
      <c r="B25" s="556" t="s">
        <v>295</v>
      </c>
      <c r="C25" s="612" t="s">
        <v>266</v>
      </c>
      <c r="D25" s="274">
        <v>46029</v>
      </c>
      <c r="E25" s="274">
        <v>53461</v>
      </c>
      <c r="F25" s="274">
        <v>58122</v>
      </c>
      <c r="G25" s="274">
        <v>61602</v>
      </c>
      <c r="H25" s="272">
        <v>65119</v>
      </c>
      <c r="I25" s="272">
        <v>65990</v>
      </c>
    </row>
    <row r="26" spans="1:9">
      <c r="A26" s="555" t="s">
        <v>58</v>
      </c>
      <c r="B26" s="556" t="s">
        <v>59</v>
      </c>
      <c r="C26" s="612" t="s">
        <v>267</v>
      </c>
      <c r="D26" s="274">
        <v>1554</v>
      </c>
      <c r="E26" s="274">
        <v>1671</v>
      </c>
      <c r="F26" s="274">
        <v>1745</v>
      </c>
      <c r="G26" s="274">
        <v>1777</v>
      </c>
      <c r="H26" s="272">
        <v>1798</v>
      </c>
      <c r="I26" s="272">
        <v>1814</v>
      </c>
    </row>
    <row r="27" spans="1:9">
      <c r="A27" s="555" t="s">
        <v>60</v>
      </c>
      <c r="B27" s="556" t="s">
        <v>61</v>
      </c>
      <c r="C27" s="612" t="s">
        <v>265</v>
      </c>
      <c r="D27" s="274">
        <v>979</v>
      </c>
      <c r="E27" s="274">
        <v>1125</v>
      </c>
      <c r="F27" s="274">
        <v>1186</v>
      </c>
      <c r="G27" s="274">
        <v>1256</v>
      </c>
      <c r="H27" s="272">
        <v>1296</v>
      </c>
      <c r="I27" s="272">
        <v>1290</v>
      </c>
    </row>
    <row r="28" spans="1:9">
      <c r="A28" s="555" t="s">
        <v>62</v>
      </c>
      <c r="B28" s="556" t="s">
        <v>63</v>
      </c>
      <c r="C28" s="612" t="s">
        <v>267</v>
      </c>
      <c r="D28" s="274">
        <v>8685</v>
      </c>
      <c r="E28" s="274">
        <v>9887</v>
      </c>
      <c r="F28" s="274">
        <v>10548</v>
      </c>
      <c r="G28" s="274">
        <v>11041</v>
      </c>
      <c r="H28" s="272">
        <v>11627</v>
      </c>
      <c r="I28" s="272">
        <v>11503</v>
      </c>
    </row>
    <row r="29" spans="1:9">
      <c r="A29" s="555" t="s">
        <v>64</v>
      </c>
      <c r="B29" s="556" t="s">
        <v>65</v>
      </c>
      <c r="C29" s="612" t="s">
        <v>266</v>
      </c>
      <c r="D29" s="274">
        <v>3206</v>
      </c>
      <c r="E29" s="274">
        <v>3488</v>
      </c>
      <c r="F29" s="274">
        <v>3664</v>
      </c>
      <c r="G29" s="274">
        <v>3838</v>
      </c>
      <c r="H29" s="272">
        <v>3884</v>
      </c>
      <c r="I29" s="272">
        <v>3885</v>
      </c>
    </row>
    <row r="30" spans="1:9">
      <c r="A30" s="555" t="s">
        <v>68</v>
      </c>
      <c r="B30" s="556" t="s">
        <v>69</v>
      </c>
      <c r="C30" s="612" t="s">
        <v>268</v>
      </c>
      <c r="D30" s="274">
        <v>5991</v>
      </c>
      <c r="E30" s="274">
        <v>6117</v>
      </c>
      <c r="F30" s="274">
        <v>6204</v>
      </c>
      <c r="G30" s="274">
        <v>6290</v>
      </c>
      <c r="H30" s="272">
        <v>6510</v>
      </c>
      <c r="I30" s="272">
        <v>6390</v>
      </c>
    </row>
    <row r="31" spans="1:9">
      <c r="A31" s="555" t="s">
        <v>70</v>
      </c>
      <c r="B31" s="556" t="s">
        <v>71</v>
      </c>
      <c r="C31" s="612" t="s">
        <v>264</v>
      </c>
      <c r="D31" s="274">
        <v>6775</v>
      </c>
      <c r="E31" s="274">
        <v>7489</v>
      </c>
      <c r="F31" s="274">
        <v>7879</v>
      </c>
      <c r="G31" s="274">
        <v>8289</v>
      </c>
      <c r="H31" s="272">
        <v>8402</v>
      </c>
      <c r="I31" s="272">
        <v>8271</v>
      </c>
    </row>
    <row r="32" spans="1:9">
      <c r="A32" s="555" t="s">
        <v>72</v>
      </c>
      <c r="B32" s="556" t="s">
        <v>73</v>
      </c>
      <c r="C32" s="612" t="s">
        <v>266</v>
      </c>
      <c r="D32" s="274">
        <v>3349</v>
      </c>
      <c r="E32" s="274">
        <v>3585</v>
      </c>
      <c r="F32" s="274">
        <v>3825</v>
      </c>
      <c r="G32" s="274">
        <v>4145</v>
      </c>
      <c r="H32" s="272">
        <v>4239</v>
      </c>
      <c r="I32" s="272">
        <v>4141</v>
      </c>
    </row>
    <row r="33" spans="1:9">
      <c r="A33" s="555" t="s">
        <v>74</v>
      </c>
      <c r="B33" s="556" t="s">
        <v>296</v>
      </c>
      <c r="C33" s="612" t="s">
        <v>267</v>
      </c>
      <c r="D33" s="274">
        <v>87159</v>
      </c>
      <c r="E33" s="274">
        <v>99397</v>
      </c>
      <c r="F33" s="274">
        <v>109477</v>
      </c>
      <c r="G33" s="274">
        <v>112563</v>
      </c>
      <c r="H33" s="272">
        <v>119261</v>
      </c>
      <c r="I33" s="272">
        <v>122381</v>
      </c>
    </row>
    <row r="34" spans="1:9">
      <c r="A34" s="555" t="s">
        <v>76</v>
      </c>
      <c r="B34" s="556" t="s">
        <v>77</v>
      </c>
      <c r="C34" s="612" t="s">
        <v>267</v>
      </c>
      <c r="D34" s="274">
        <v>7501</v>
      </c>
      <c r="E34" s="274">
        <v>8570</v>
      </c>
      <c r="F34" s="274">
        <v>8823</v>
      </c>
      <c r="G34" s="274">
        <v>9298</v>
      </c>
      <c r="H34" s="272">
        <v>9603</v>
      </c>
      <c r="I34" s="272">
        <v>9525</v>
      </c>
    </row>
    <row r="35" spans="1:9">
      <c r="A35" s="555" t="s">
        <v>78</v>
      </c>
      <c r="B35" s="556" t="s">
        <v>79</v>
      </c>
      <c r="C35" s="612" t="s">
        <v>268</v>
      </c>
      <c r="D35" s="274">
        <v>3128</v>
      </c>
      <c r="E35" s="274">
        <v>3492</v>
      </c>
      <c r="F35" s="274">
        <v>3755</v>
      </c>
      <c r="G35" s="274">
        <v>3951</v>
      </c>
      <c r="H35" s="272">
        <v>4003</v>
      </c>
      <c r="I35" s="272">
        <v>3922</v>
      </c>
    </row>
    <row r="36" spans="1:9">
      <c r="A36" s="555" t="s">
        <v>80</v>
      </c>
      <c r="B36" s="556" t="s">
        <v>81</v>
      </c>
      <c r="C36" s="612" t="s">
        <v>266</v>
      </c>
      <c r="D36" s="274">
        <v>2973</v>
      </c>
      <c r="E36" s="274">
        <v>3322</v>
      </c>
      <c r="F36" s="274">
        <v>3614</v>
      </c>
      <c r="G36" s="274">
        <v>3963</v>
      </c>
      <c r="H36" s="272">
        <v>4085</v>
      </c>
      <c r="I36" s="272">
        <v>4087</v>
      </c>
    </row>
    <row r="37" spans="1:9">
      <c r="A37" s="555" t="s">
        <v>84</v>
      </c>
      <c r="B37" s="556" t="s">
        <v>85</v>
      </c>
      <c r="C37" s="612" t="s">
        <v>265</v>
      </c>
      <c r="D37" s="274">
        <v>12419</v>
      </c>
      <c r="E37" s="274">
        <v>13477</v>
      </c>
      <c r="F37" s="274">
        <v>14096</v>
      </c>
      <c r="G37" s="274">
        <v>14591</v>
      </c>
      <c r="H37" s="272">
        <v>14823</v>
      </c>
      <c r="I37" s="272">
        <v>14539</v>
      </c>
    </row>
    <row r="38" spans="1:9">
      <c r="A38" s="555" t="s">
        <v>86</v>
      </c>
      <c r="B38" s="556" t="s">
        <v>87</v>
      </c>
      <c r="C38" s="612" t="s">
        <v>267</v>
      </c>
      <c r="D38" s="274">
        <v>10934</v>
      </c>
      <c r="E38" s="274">
        <v>12741</v>
      </c>
      <c r="F38" s="274">
        <v>14062</v>
      </c>
      <c r="G38" s="274">
        <v>14891</v>
      </c>
      <c r="H38" s="272">
        <v>15442</v>
      </c>
      <c r="I38" s="272">
        <v>14817</v>
      </c>
    </row>
    <row r="39" spans="1:9">
      <c r="A39" s="555" t="s">
        <v>92</v>
      </c>
      <c r="B39" s="556" t="s">
        <v>93</v>
      </c>
      <c r="C39" s="612" t="s">
        <v>268</v>
      </c>
      <c r="D39" s="274">
        <v>4238</v>
      </c>
      <c r="E39" s="274">
        <v>4613</v>
      </c>
      <c r="F39" s="274">
        <v>4863</v>
      </c>
      <c r="G39" s="274">
        <v>4766</v>
      </c>
      <c r="H39" s="272">
        <v>4728</v>
      </c>
      <c r="I39" s="272">
        <v>4798</v>
      </c>
    </row>
    <row r="40" spans="1:9">
      <c r="A40" s="555" t="s">
        <v>94</v>
      </c>
      <c r="B40" s="556" t="s">
        <v>95</v>
      </c>
      <c r="C40" s="612" t="s">
        <v>264</v>
      </c>
      <c r="D40" s="274">
        <v>6072</v>
      </c>
      <c r="E40" s="274">
        <v>7144</v>
      </c>
      <c r="F40" s="274">
        <v>7615</v>
      </c>
      <c r="G40" s="274">
        <v>8100</v>
      </c>
      <c r="H40" s="272">
        <v>8215</v>
      </c>
      <c r="I40" s="272">
        <v>8157</v>
      </c>
    </row>
    <row r="41" spans="1:9">
      <c r="A41" s="555" t="s">
        <v>96</v>
      </c>
      <c r="B41" s="556" t="s">
        <v>97</v>
      </c>
      <c r="C41" s="612" t="s">
        <v>266</v>
      </c>
      <c r="D41" s="274">
        <v>2165</v>
      </c>
      <c r="E41" s="274">
        <v>2415</v>
      </c>
      <c r="F41" s="274">
        <v>2642</v>
      </c>
      <c r="G41" s="274">
        <v>2624</v>
      </c>
      <c r="H41" s="272">
        <v>2686</v>
      </c>
      <c r="I41" s="272">
        <v>2733</v>
      </c>
    </row>
    <row r="42" spans="1:9">
      <c r="A42" s="555" t="s">
        <v>98</v>
      </c>
      <c r="B42" s="556" t="s">
        <v>99</v>
      </c>
      <c r="C42" s="612" t="s">
        <v>268</v>
      </c>
      <c r="D42" s="274">
        <v>4831</v>
      </c>
      <c r="E42" s="274">
        <v>5023</v>
      </c>
      <c r="F42" s="274">
        <v>5230</v>
      </c>
      <c r="G42" s="274">
        <v>5368</v>
      </c>
      <c r="H42" s="272">
        <v>5495</v>
      </c>
      <c r="I42" s="272">
        <v>5404</v>
      </c>
    </row>
    <row r="43" spans="1:9">
      <c r="A43" s="555" t="s">
        <v>100</v>
      </c>
      <c r="B43" s="556" t="s">
        <v>101</v>
      </c>
      <c r="C43" s="612" t="s">
        <v>267</v>
      </c>
      <c r="D43" s="274">
        <v>3189</v>
      </c>
      <c r="E43" s="274">
        <v>3612</v>
      </c>
      <c r="F43" s="274">
        <v>3843</v>
      </c>
      <c r="G43" s="274">
        <v>4068</v>
      </c>
      <c r="H43" s="272">
        <v>4258</v>
      </c>
      <c r="I43" s="272">
        <v>4306</v>
      </c>
    </row>
    <row r="44" spans="1:9">
      <c r="A44" s="555" t="s">
        <v>102</v>
      </c>
      <c r="B44" s="556" t="s">
        <v>282</v>
      </c>
      <c r="C44" s="612" t="s">
        <v>264</v>
      </c>
      <c r="D44" s="274">
        <v>6171</v>
      </c>
      <c r="E44" s="274">
        <v>6523</v>
      </c>
      <c r="F44" s="274">
        <v>6894</v>
      </c>
      <c r="G44" s="274">
        <v>7055</v>
      </c>
      <c r="H44" s="272">
        <v>7643</v>
      </c>
      <c r="I44" s="272">
        <v>7299</v>
      </c>
    </row>
    <row r="45" spans="1:9">
      <c r="A45" s="555" t="s">
        <v>104</v>
      </c>
      <c r="B45" s="556" t="s">
        <v>105</v>
      </c>
      <c r="C45" s="612" t="s">
        <v>265</v>
      </c>
      <c r="D45" s="274">
        <v>11126</v>
      </c>
      <c r="E45" s="274">
        <v>11836</v>
      </c>
      <c r="F45" s="274">
        <v>12253</v>
      </c>
      <c r="G45" s="274">
        <v>12493</v>
      </c>
      <c r="H45" s="272">
        <v>12495</v>
      </c>
      <c r="I45" s="272">
        <v>12397</v>
      </c>
    </row>
    <row r="46" spans="1:9">
      <c r="A46" s="555" t="s">
        <v>108</v>
      </c>
      <c r="B46" s="556" t="s">
        <v>109</v>
      </c>
      <c r="C46" s="612" t="s">
        <v>266</v>
      </c>
      <c r="D46" s="274">
        <v>8990</v>
      </c>
      <c r="E46" s="274">
        <v>10473</v>
      </c>
      <c r="F46" s="274">
        <v>11322</v>
      </c>
      <c r="G46" s="274">
        <v>11933</v>
      </c>
      <c r="H46" s="272">
        <v>12202</v>
      </c>
      <c r="I46" s="272">
        <v>12275</v>
      </c>
    </row>
    <row r="47" spans="1:9">
      <c r="A47" s="555" t="s">
        <v>110</v>
      </c>
      <c r="B47" s="556" t="s">
        <v>111</v>
      </c>
      <c r="C47" s="612" t="s">
        <v>266</v>
      </c>
      <c r="D47" s="274">
        <v>45673</v>
      </c>
      <c r="E47" s="274">
        <v>53566</v>
      </c>
      <c r="F47" s="274">
        <v>58387</v>
      </c>
      <c r="G47" s="274">
        <v>62318</v>
      </c>
      <c r="H47" s="272">
        <v>65255</v>
      </c>
      <c r="I47" s="272">
        <v>65569</v>
      </c>
    </row>
    <row r="48" spans="1:9">
      <c r="A48" s="555" t="s">
        <v>112</v>
      </c>
      <c r="B48" s="556" t="s">
        <v>300</v>
      </c>
      <c r="C48" s="612" t="s">
        <v>265</v>
      </c>
      <c r="D48" s="274">
        <v>24235</v>
      </c>
      <c r="E48" s="274">
        <v>25897</v>
      </c>
      <c r="F48" s="274">
        <v>26899</v>
      </c>
      <c r="G48" s="274">
        <v>28223</v>
      </c>
      <c r="H48" s="272">
        <v>29375</v>
      </c>
      <c r="I48" s="272">
        <v>28381</v>
      </c>
    </row>
    <row r="49" spans="1:9">
      <c r="A49" s="555" t="s">
        <v>114</v>
      </c>
      <c r="B49" s="556" t="s">
        <v>115</v>
      </c>
      <c r="C49" s="612" t="s">
        <v>265</v>
      </c>
      <c r="D49" s="274">
        <v>378</v>
      </c>
      <c r="E49" s="274">
        <v>369</v>
      </c>
      <c r="F49" s="274">
        <v>401</v>
      </c>
      <c r="G49" s="274">
        <v>419</v>
      </c>
      <c r="H49" s="272">
        <v>380</v>
      </c>
      <c r="I49" s="272">
        <v>464</v>
      </c>
    </row>
    <row r="50" spans="1:9">
      <c r="A50" s="555" t="s">
        <v>118</v>
      </c>
      <c r="B50" s="556" t="s">
        <v>270</v>
      </c>
      <c r="C50" s="612" t="s">
        <v>264</v>
      </c>
      <c r="D50" s="274">
        <v>6168</v>
      </c>
      <c r="E50" s="274">
        <v>6782</v>
      </c>
      <c r="F50" s="274">
        <v>7201</v>
      </c>
      <c r="G50" s="274">
        <v>7466</v>
      </c>
      <c r="H50" s="272">
        <v>7694</v>
      </c>
      <c r="I50" s="272">
        <v>7411</v>
      </c>
    </row>
    <row r="51" spans="1:9">
      <c r="A51" s="555" t="s">
        <v>120</v>
      </c>
      <c r="B51" s="556" t="s">
        <v>121</v>
      </c>
      <c r="C51" s="612" t="s">
        <v>264</v>
      </c>
      <c r="D51" s="274">
        <v>7265</v>
      </c>
      <c r="E51" s="274">
        <v>8068</v>
      </c>
      <c r="F51" s="274">
        <v>8654</v>
      </c>
      <c r="G51" s="274">
        <v>9250</v>
      </c>
      <c r="H51" s="272">
        <v>9814</v>
      </c>
      <c r="I51" s="272">
        <v>9790</v>
      </c>
    </row>
    <row r="52" spans="1:9">
      <c r="A52" s="555" t="s">
        <v>122</v>
      </c>
      <c r="B52" s="556" t="s">
        <v>287</v>
      </c>
      <c r="C52" s="612" t="s">
        <v>266</v>
      </c>
      <c r="D52" s="274">
        <v>1821</v>
      </c>
      <c r="E52" s="274">
        <v>2014</v>
      </c>
      <c r="F52" s="274">
        <v>2106</v>
      </c>
      <c r="G52" s="274">
        <v>2155</v>
      </c>
      <c r="H52" s="272">
        <v>2302</v>
      </c>
      <c r="I52" s="272">
        <v>2311</v>
      </c>
    </row>
    <row r="53" spans="1:9">
      <c r="A53" s="555" t="s">
        <v>124</v>
      </c>
      <c r="B53" s="556" t="s">
        <v>125</v>
      </c>
      <c r="C53" s="612" t="s">
        <v>267</v>
      </c>
      <c r="D53" s="274">
        <v>3674</v>
      </c>
      <c r="E53" s="274">
        <v>4105</v>
      </c>
      <c r="F53" s="274">
        <v>4672</v>
      </c>
      <c r="G53" s="274">
        <v>5146</v>
      </c>
      <c r="H53" s="272">
        <v>5401</v>
      </c>
      <c r="I53" s="272">
        <v>5434</v>
      </c>
    </row>
    <row r="54" spans="1:9">
      <c r="A54" s="555" t="s">
        <v>126</v>
      </c>
      <c r="B54" s="556" t="s">
        <v>127</v>
      </c>
      <c r="C54" s="612" t="s">
        <v>266</v>
      </c>
      <c r="D54" s="274">
        <v>2589</v>
      </c>
      <c r="E54" s="274">
        <v>3047</v>
      </c>
      <c r="F54" s="274">
        <v>3327</v>
      </c>
      <c r="G54" s="274">
        <v>3605</v>
      </c>
      <c r="H54" s="272">
        <v>3654</v>
      </c>
      <c r="I54" s="272">
        <v>3571</v>
      </c>
    </row>
    <row r="55" spans="1:9">
      <c r="A55" s="555" t="s">
        <v>128</v>
      </c>
      <c r="B55" s="556" t="s">
        <v>129</v>
      </c>
      <c r="C55" s="612" t="s">
        <v>266</v>
      </c>
      <c r="D55" s="274">
        <v>2561</v>
      </c>
      <c r="E55" s="274">
        <v>2809</v>
      </c>
      <c r="F55" s="274">
        <v>2950</v>
      </c>
      <c r="G55" s="274">
        <v>3083</v>
      </c>
      <c r="H55" s="272">
        <v>3166</v>
      </c>
      <c r="I55" s="272">
        <v>3121</v>
      </c>
    </row>
    <row r="56" spans="1:9">
      <c r="A56" s="555" t="s">
        <v>130</v>
      </c>
      <c r="B56" s="556" t="s">
        <v>131</v>
      </c>
      <c r="C56" s="612" t="s">
        <v>268</v>
      </c>
      <c r="D56" s="274">
        <v>9767</v>
      </c>
      <c r="E56" s="274">
        <v>10029</v>
      </c>
      <c r="F56" s="274">
        <v>10229</v>
      </c>
      <c r="G56" s="274">
        <v>10482</v>
      </c>
      <c r="H56" s="272">
        <v>10674</v>
      </c>
      <c r="I56" s="272">
        <v>10725</v>
      </c>
    </row>
    <row r="57" spans="1:9">
      <c r="A57" s="555" t="s">
        <v>132</v>
      </c>
      <c r="B57" s="556" t="s">
        <v>133</v>
      </c>
      <c r="C57" s="612" t="s">
        <v>267</v>
      </c>
      <c r="D57" s="274">
        <v>16334</v>
      </c>
      <c r="E57" s="274">
        <v>19245</v>
      </c>
      <c r="F57" s="274">
        <v>21523</v>
      </c>
      <c r="G57" s="274">
        <v>23187</v>
      </c>
      <c r="H57" s="272">
        <v>25111</v>
      </c>
      <c r="I57" s="272">
        <v>26251</v>
      </c>
    </row>
    <row r="58" spans="1:9">
      <c r="A58" s="555" t="s">
        <v>134</v>
      </c>
      <c r="B58" s="556" t="s">
        <v>135</v>
      </c>
      <c r="C58" s="612" t="s">
        <v>267</v>
      </c>
      <c r="D58" s="274">
        <v>6368</v>
      </c>
      <c r="E58" s="274">
        <v>7341</v>
      </c>
      <c r="F58" s="274">
        <v>8009</v>
      </c>
      <c r="G58" s="274">
        <v>8312</v>
      </c>
      <c r="H58" s="272">
        <v>8668</v>
      </c>
      <c r="I58" s="272">
        <v>8716</v>
      </c>
    </row>
    <row r="59" spans="1:9">
      <c r="A59" s="555" t="s">
        <v>136</v>
      </c>
      <c r="B59" s="556" t="s">
        <v>137</v>
      </c>
      <c r="C59" s="612" t="s">
        <v>266</v>
      </c>
      <c r="D59" s="274">
        <v>3971</v>
      </c>
      <c r="E59" s="274">
        <v>4180</v>
      </c>
      <c r="F59" s="274">
        <v>4361</v>
      </c>
      <c r="G59" s="274">
        <v>4416</v>
      </c>
      <c r="H59" s="272">
        <v>4360</v>
      </c>
      <c r="I59" s="272">
        <v>4409</v>
      </c>
    </row>
    <row r="60" spans="1:9">
      <c r="A60" s="555" t="s">
        <v>140</v>
      </c>
      <c r="B60" s="556" t="s">
        <v>141</v>
      </c>
      <c r="C60" s="612" t="s">
        <v>267</v>
      </c>
      <c r="D60" s="274">
        <v>2302</v>
      </c>
      <c r="E60" s="274">
        <v>2706</v>
      </c>
      <c r="F60" s="274">
        <v>2883</v>
      </c>
      <c r="G60" s="274">
        <v>3097</v>
      </c>
      <c r="H60" s="272">
        <v>3289</v>
      </c>
      <c r="I60" s="272">
        <v>3268</v>
      </c>
    </row>
    <row r="61" spans="1:9">
      <c r="A61" s="555" t="s">
        <v>146</v>
      </c>
      <c r="B61" s="556" t="s">
        <v>147</v>
      </c>
      <c r="C61" s="612" t="s">
        <v>264</v>
      </c>
      <c r="D61" s="274">
        <v>1508</v>
      </c>
      <c r="E61" s="274">
        <v>1745</v>
      </c>
      <c r="F61" s="274">
        <v>1806</v>
      </c>
      <c r="G61" s="274">
        <v>1858</v>
      </c>
      <c r="H61" s="272">
        <v>1909</v>
      </c>
      <c r="I61" s="272">
        <v>1877</v>
      </c>
    </row>
    <row r="62" spans="1:9">
      <c r="A62" s="555" t="s">
        <v>148</v>
      </c>
      <c r="B62" s="556" t="s">
        <v>149</v>
      </c>
      <c r="C62" s="612" t="s">
        <v>265</v>
      </c>
      <c r="D62" s="274">
        <v>8605</v>
      </c>
      <c r="E62" s="274">
        <v>9368</v>
      </c>
      <c r="F62" s="274">
        <v>9715</v>
      </c>
      <c r="G62" s="274">
        <v>10096</v>
      </c>
      <c r="H62" s="272">
        <v>10278</v>
      </c>
      <c r="I62" s="272">
        <v>10277</v>
      </c>
    </row>
    <row r="63" spans="1:9">
      <c r="A63" s="555" t="s">
        <v>150</v>
      </c>
      <c r="B63" s="556" t="s">
        <v>151</v>
      </c>
      <c r="C63" s="612" t="s">
        <v>266</v>
      </c>
      <c r="D63" s="274">
        <v>2154</v>
      </c>
      <c r="E63" s="274">
        <v>2434</v>
      </c>
      <c r="F63" s="274">
        <v>2600</v>
      </c>
      <c r="G63" s="274">
        <v>2883</v>
      </c>
      <c r="H63" s="272">
        <v>2997</v>
      </c>
      <c r="I63" s="272">
        <v>2945</v>
      </c>
    </row>
    <row r="64" spans="1:9">
      <c r="A64" s="555" t="s">
        <v>152</v>
      </c>
      <c r="B64" s="556" t="s">
        <v>153</v>
      </c>
      <c r="C64" s="612" t="s">
        <v>268</v>
      </c>
      <c r="D64" s="274">
        <v>12483</v>
      </c>
      <c r="E64" s="274">
        <v>13455</v>
      </c>
      <c r="F64" s="274">
        <v>14053</v>
      </c>
      <c r="G64" s="274">
        <v>14545</v>
      </c>
      <c r="H64" s="272">
        <v>15067</v>
      </c>
      <c r="I64" s="272">
        <v>14799</v>
      </c>
    </row>
    <row r="65" spans="1:9">
      <c r="A65" s="555" t="s">
        <v>154</v>
      </c>
      <c r="B65" s="556" t="s">
        <v>155</v>
      </c>
      <c r="C65" s="612" t="s">
        <v>265</v>
      </c>
      <c r="D65" s="274">
        <v>3562</v>
      </c>
      <c r="E65" s="274">
        <v>3914</v>
      </c>
      <c r="F65" s="274">
        <v>4078</v>
      </c>
      <c r="G65" s="274">
        <v>4237</v>
      </c>
      <c r="H65" s="272">
        <v>4379</v>
      </c>
      <c r="I65" s="272">
        <v>4359</v>
      </c>
    </row>
    <row r="66" spans="1:9">
      <c r="A66" s="555" t="s">
        <v>156</v>
      </c>
      <c r="B66" s="556" t="s">
        <v>157</v>
      </c>
      <c r="C66" s="612" t="s">
        <v>266</v>
      </c>
      <c r="D66" s="274">
        <v>1742</v>
      </c>
      <c r="E66" s="274">
        <v>2112</v>
      </c>
      <c r="F66" s="274">
        <v>2344</v>
      </c>
      <c r="G66" s="274">
        <v>2581</v>
      </c>
      <c r="H66" s="272">
        <v>2654</v>
      </c>
      <c r="I66" s="272">
        <v>2597</v>
      </c>
    </row>
    <row r="67" spans="1:9">
      <c r="A67" s="555" t="s">
        <v>162</v>
      </c>
      <c r="B67" s="556" t="s">
        <v>163</v>
      </c>
      <c r="C67" s="612" t="s">
        <v>264</v>
      </c>
      <c r="D67" s="274">
        <v>4506</v>
      </c>
      <c r="E67" s="274">
        <v>4672</v>
      </c>
      <c r="F67" s="274">
        <v>4948</v>
      </c>
      <c r="G67" s="274">
        <v>5041</v>
      </c>
      <c r="H67" s="272">
        <v>5116</v>
      </c>
      <c r="I67" s="272">
        <v>5107</v>
      </c>
    </row>
    <row r="68" spans="1:9">
      <c r="A68" s="555" t="s">
        <v>164</v>
      </c>
      <c r="B68" s="556" t="s">
        <v>165</v>
      </c>
      <c r="C68" s="612" t="s">
        <v>266</v>
      </c>
      <c r="D68" s="274">
        <v>2431</v>
      </c>
      <c r="E68" s="274">
        <v>2695</v>
      </c>
      <c r="F68" s="274">
        <v>2858</v>
      </c>
      <c r="G68" s="274">
        <v>2977</v>
      </c>
      <c r="H68" s="272">
        <v>3260</v>
      </c>
      <c r="I68" s="272">
        <v>3291</v>
      </c>
    </row>
    <row r="69" spans="1:9">
      <c r="A69" s="555" t="s">
        <v>168</v>
      </c>
      <c r="B69" s="556" t="s">
        <v>169</v>
      </c>
      <c r="C69" s="612" t="s">
        <v>266</v>
      </c>
      <c r="D69" s="274">
        <v>4826</v>
      </c>
      <c r="E69" s="274">
        <v>5170</v>
      </c>
      <c r="F69" s="274">
        <v>5491</v>
      </c>
      <c r="G69" s="274">
        <v>5780</v>
      </c>
      <c r="H69" s="272">
        <v>5891</v>
      </c>
      <c r="I69" s="272">
        <v>5923</v>
      </c>
    </row>
    <row r="70" spans="1:9">
      <c r="A70" s="555" t="s">
        <v>170</v>
      </c>
      <c r="B70" s="556" t="s">
        <v>171</v>
      </c>
      <c r="C70" s="612" t="s">
        <v>267</v>
      </c>
      <c r="D70" s="274">
        <v>5693</v>
      </c>
      <c r="E70" s="274">
        <v>6315</v>
      </c>
      <c r="F70" s="274">
        <v>6809</v>
      </c>
      <c r="G70" s="274">
        <v>7145</v>
      </c>
      <c r="H70" s="272">
        <v>7442</v>
      </c>
      <c r="I70" s="272">
        <v>7517</v>
      </c>
    </row>
    <row r="71" spans="1:9">
      <c r="A71" s="555" t="s">
        <v>172</v>
      </c>
      <c r="B71" s="556" t="s">
        <v>173</v>
      </c>
      <c r="C71" s="612" t="s">
        <v>267</v>
      </c>
      <c r="D71" s="274">
        <v>6081</v>
      </c>
      <c r="E71" s="274">
        <v>6673</v>
      </c>
      <c r="F71" s="274">
        <v>6884</v>
      </c>
      <c r="G71" s="274">
        <v>7211</v>
      </c>
      <c r="H71" s="272">
        <v>7374</v>
      </c>
      <c r="I71" s="272">
        <v>7355</v>
      </c>
    </row>
    <row r="72" spans="1:9">
      <c r="A72" s="555" t="s">
        <v>174</v>
      </c>
      <c r="B72" s="556" t="s">
        <v>175</v>
      </c>
      <c r="C72" s="612" t="s">
        <v>268</v>
      </c>
      <c r="D72" s="274">
        <v>5752</v>
      </c>
      <c r="E72" s="274">
        <v>5986</v>
      </c>
      <c r="F72" s="274">
        <v>6211</v>
      </c>
      <c r="G72" s="274">
        <v>6361</v>
      </c>
      <c r="H72" s="272">
        <v>6284</v>
      </c>
      <c r="I72" s="272">
        <v>6077</v>
      </c>
    </row>
    <row r="73" spans="1:9">
      <c r="A73" s="555" t="s">
        <v>178</v>
      </c>
      <c r="B73" s="556" t="s">
        <v>179</v>
      </c>
      <c r="C73" s="612" t="s">
        <v>265</v>
      </c>
      <c r="D73" s="274">
        <v>16280</v>
      </c>
      <c r="E73" s="274">
        <v>17448</v>
      </c>
      <c r="F73" s="274">
        <v>18265</v>
      </c>
      <c r="G73" s="274">
        <v>18571</v>
      </c>
      <c r="H73" s="272">
        <v>19012</v>
      </c>
      <c r="I73" s="272">
        <v>19233</v>
      </c>
    </row>
    <row r="74" spans="1:9">
      <c r="A74" s="555" t="s">
        <v>182</v>
      </c>
      <c r="B74" s="556" t="s">
        <v>183</v>
      </c>
      <c r="C74" s="612" t="s">
        <v>266</v>
      </c>
      <c r="D74" s="274">
        <v>2269</v>
      </c>
      <c r="E74" s="274">
        <v>2691</v>
      </c>
      <c r="F74" s="274">
        <v>2973</v>
      </c>
      <c r="G74" s="274">
        <v>3221</v>
      </c>
      <c r="H74" s="272">
        <v>3278</v>
      </c>
      <c r="I74" s="272">
        <v>3217</v>
      </c>
    </row>
    <row r="75" spans="1:9">
      <c r="A75" s="555" t="s">
        <v>184</v>
      </c>
      <c r="B75" s="556" t="s">
        <v>185</v>
      </c>
      <c r="C75" s="612" t="s">
        <v>266</v>
      </c>
      <c r="D75" s="274">
        <v>5629</v>
      </c>
      <c r="E75" s="274">
        <v>6051</v>
      </c>
      <c r="F75" s="274">
        <v>6389</v>
      </c>
      <c r="G75" s="274">
        <v>6609</v>
      </c>
      <c r="H75" s="272">
        <v>6706</v>
      </c>
      <c r="I75" s="272">
        <v>6692</v>
      </c>
    </row>
    <row r="76" spans="1:9">
      <c r="A76" s="555" t="s">
        <v>186</v>
      </c>
      <c r="B76" s="556" t="s">
        <v>187</v>
      </c>
      <c r="C76" s="612" t="s">
        <v>264</v>
      </c>
      <c r="D76" s="274">
        <v>4279</v>
      </c>
      <c r="E76" s="274">
        <v>4792</v>
      </c>
      <c r="F76" s="274">
        <v>5225</v>
      </c>
      <c r="G76" s="274">
        <v>5570</v>
      </c>
      <c r="H76" s="272">
        <v>5936</v>
      </c>
      <c r="I76" s="272">
        <v>6195</v>
      </c>
    </row>
    <row r="77" spans="1:9">
      <c r="A77" s="555" t="s">
        <v>188</v>
      </c>
      <c r="B77" s="556" t="s">
        <v>189</v>
      </c>
      <c r="C77" s="612" t="s">
        <v>267</v>
      </c>
      <c r="D77" s="274">
        <v>49214</v>
      </c>
      <c r="E77" s="274">
        <v>55745</v>
      </c>
      <c r="F77" s="274">
        <v>61478</v>
      </c>
      <c r="G77" s="274">
        <v>65938</v>
      </c>
      <c r="H77" s="272">
        <v>70257</v>
      </c>
      <c r="I77" s="272">
        <v>70982</v>
      </c>
    </row>
    <row r="78" spans="1:9">
      <c r="A78" s="555" t="s">
        <v>190</v>
      </c>
      <c r="B78" s="556" t="s">
        <v>191</v>
      </c>
      <c r="C78" s="612" t="s">
        <v>268</v>
      </c>
      <c r="D78" s="274">
        <v>9201</v>
      </c>
      <c r="E78" s="274">
        <v>10052</v>
      </c>
      <c r="F78" s="274">
        <v>10488</v>
      </c>
      <c r="G78" s="274">
        <v>10556</v>
      </c>
      <c r="H78" s="272">
        <v>10844</v>
      </c>
      <c r="I78" s="272">
        <v>10765</v>
      </c>
    </row>
    <row r="79" spans="1:9">
      <c r="A79" s="555" t="s">
        <v>194</v>
      </c>
      <c r="B79" s="556" t="s">
        <v>195</v>
      </c>
      <c r="C79" s="612" t="s">
        <v>267</v>
      </c>
      <c r="D79" s="274">
        <v>953</v>
      </c>
      <c r="E79" s="274">
        <v>1065</v>
      </c>
      <c r="F79" s="274">
        <v>1182</v>
      </c>
      <c r="G79" s="274">
        <v>1314</v>
      </c>
      <c r="H79" s="272">
        <v>1268</v>
      </c>
      <c r="I79" s="272">
        <v>1218</v>
      </c>
    </row>
    <row r="80" spans="1:9">
      <c r="A80" s="555" t="s">
        <v>198</v>
      </c>
      <c r="B80" s="556" t="s">
        <v>272</v>
      </c>
      <c r="C80" s="612" t="s">
        <v>266</v>
      </c>
      <c r="D80" s="274">
        <v>2197</v>
      </c>
      <c r="E80" s="274">
        <v>2411</v>
      </c>
      <c r="F80" s="274">
        <v>2565</v>
      </c>
      <c r="G80" s="274">
        <v>2620</v>
      </c>
      <c r="H80" s="272">
        <v>2786</v>
      </c>
      <c r="I80" s="272">
        <v>2780</v>
      </c>
    </row>
    <row r="81" spans="1:9">
      <c r="A81" s="555" t="s">
        <v>202</v>
      </c>
      <c r="B81" s="556" t="s">
        <v>301</v>
      </c>
      <c r="C81" s="612" t="s">
        <v>265</v>
      </c>
      <c r="D81" s="274">
        <v>14095</v>
      </c>
      <c r="E81" s="274">
        <v>16034</v>
      </c>
      <c r="F81" s="274">
        <v>17260</v>
      </c>
      <c r="G81" s="274">
        <v>17971</v>
      </c>
      <c r="H81" s="272">
        <v>18740</v>
      </c>
      <c r="I81" s="272">
        <v>18942</v>
      </c>
    </row>
    <row r="82" spans="1:9">
      <c r="A82" s="555" t="s">
        <v>204</v>
      </c>
      <c r="B82" s="556" t="s">
        <v>293</v>
      </c>
      <c r="C82" s="612" t="s">
        <v>265</v>
      </c>
      <c r="D82" s="274">
        <v>6688</v>
      </c>
      <c r="E82" s="274">
        <v>7271</v>
      </c>
      <c r="F82" s="274">
        <v>7691</v>
      </c>
      <c r="G82" s="274">
        <v>8057</v>
      </c>
      <c r="H82" s="272">
        <v>8632</v>
      </c>
      <c r="I82" s="272">
        <v>8555</v>
      </c>
    </row>
    <row r="83" spans="1:9">
      <c r="A83" s="555" t="s">
        <v>206</v>
      </c>
      <c r="B83" s="556" t="s">
        <v>294</v>
      </c>
      <c r="C83" s="612" t="s">
        <v>267</v>
      </c>
      <c r="D83" s="274">
        <v>19635</v>
      </c>
      <c r="E83" s="274">
        <v>21912</v>
      </c>
      <c r="F83" s="274">
        <v>23550</v>
      </c>
      <c r="G83" s="274">
        <v>24475</v>
      </c>
      <c r="H83" s="272">
        <v>26143</v>
      </c>
      <c r="I83" s="272">
        <v>25826</v>
      </c>
    </row>
    <row r="84" spans="1:9">
      <c r="A84" s="555" t="s">
        <v>208</v>
      </c>
      <c r="B84" s="556" t="s">
        <v>209</v>
      </c>
      <c r="C84" s="612" t="s">
        <v>268</v>
      </c>
      <c r="D84" s="274">
        <v>9646</v>
      </c>
      <c r="E84" s="274">
        <v>10113</v>
      </c>
      <c r="F84" s="274">
        <v>10183</v>
      </c>
      <c r="G84" s="274">
        <v>10222</v>
      </c>
      <c r="H84" s="272">
        <v>10525</v>
      </c>
      <c r="I84" s="272">
        <v>10709</v>
      </c>
    </row>
    <row r="85" spans="1:9">
      <c r="A85" s="555" t="s">
        <v>210</v>
      </c>
      <c r="B85" s="556" t="s">
        <v>211</v>
      </c>
      <c r="C85" s="612" t="s">
        <v>268</v>
      </c>
      <c r="D85" s="274">
        <v>6562</v>
      </c>
      <c r="E85" s="274">
        <v>6967</v>
      </c>
      <c r="F85" s="274">
        <v>7272</v>
      </c>
      <c r="G85" s="274">
        <v>7508</v>
      </c>
      <c r="H85" s="272">
        <v>7756</v>
      </c>
      <c r="I85" s="272">
        <v>7711</v>
      </c>
    </row>
    <row r="86" spans="1:9">
      <c r="A86" s="555" t="s">
        <v>212</v>
      </c>
      <c r="B86" s="556" t="s">
        <v>213</v>
      </c>
      <c r="C86" s="612" t="s">
        <v>267</v>
      </c>
      <c r="D86" s="274">
        <v>7923</v>
      </c>
      <c r="E86" s="274">
        <v>8974</v>
      </c>
      <c r="F86" s="274">
        <v>9471</v>
      </c>
      <c r="G86" s="274">
        <v>10213</v>
      </c>
      <c r="H86" s="272">
        <v>10692</v>
      </c>
      <c r="I86" s="272">
        <v>10645</v>
      </c>
    </row>
    <row r="87" spans="1:9">
      <c r="A87" s="555" t="s">
        <v>214</v>
      </c>
      <c r="B87" s="556" t="s">
        <v>215</v>
      </c>
      <c r="C87" s="612" t="s">
        <v>268</v>
      </c>
      <c r="D87" s="274">
        <v>10180</v>
      </c>
      <c r="E87" s="274">
        <v>10747</v>
      </c>
      <c r="F87" s="274">
        <v>11199</v>
      </c>
      <c r="G87" s="274">
        <v>11408</v>
      </c>
      <c r="H87" s="272">
        <v>11740</v>
      </c>
      <c r="I87" s="272">
        <v>11494</v>
      </c>
    </row>
    <row r="88" spans="1:9">
      <c r="A88" s="555" t="s">
        <v>216</v>
      </c>
      <c r="B88" s="556" t="s">
        <v>217</v>
      </c>
      <c r="C88" s="612" t="s">
        <v>264</v>
      </c>
      <c r="D88" s="274">
        <v>4739</v>
      </c>
      <c r="E88" s="274">
        <v>4945</v>
      </c>
      <c r="F88" s="274">
        <v>5095</v>
      </c>
      <c r="G88" s="274">
        <v>5386</v>
      </c>
      <c r="H88" s="272">
        <v>5524</v>
      </c>
      <c r="I88" s="272">
        <v>5487</v>
      </c>
    </row>
    <row r="89" spans="1:9">
      <c r="A89" s="555" t="s">
        <v>218</v>
      </c>
      <c r="B89" s="556" t="s">
        <v>219</v>
      </c>
      <c r="C89" s="612" t="s">
        <v>267</v>
      </c>
      <c r="D89" s="274">
        <v>17964</v>
      </c>
      <c r="E89" s="274">
        <v>20138</v>
      </c>
      <c r="F89" s="274">
        <v>22280</v>
      </c>
      <c r="G89" s="274">
        <v>23180</v>
      </c>
      <c r="H89" s="272">
        <v>24370</v>
      </c>
      <c r="I89" s="272">
        <v>24969</v>
      </c>
    </row>
    <row r="90" spans="1:9">
      <c r="A90" s="555" t="s">
        <v>220</v>
      </c>
      <c r="B90" s="556" t="s">
        <v>221</v>
      </c>
      <c r="C90" s="612" t="s">
        <v>267</v>
      </c>
      <c r="D90" s="274">
        <v>14825</v>
      </c>
      <c r="E90" s="274">
        <v>16746</v>
      </c>
      <c r="F90" s="274">
        <v>18064</v>
      </c>
      <c r="G90" s="274">
        <v>19198</v>
      </c>
      <c r="H90" s="272">
        <v>20228</v>
      </c>
      <c r="I90" s="272">
        <v>20731</v>
      </c>
    </row>
    <row r="91" spans="1:9">
      <c r="A91" s="555" t="s">
        <v>224</v>
      </c>
      <c r="B91" s="556" t="s">
        <v>225</v>
      </c>
      <c r="C91" s="612" t="s">
        <v>264</v>
      </c>
      <c r="D91" s="274">
        <v>1567</v>
      </c>
      <c r="E91" s="274">
        <v>1773</v>
      </c>
      <c r="F91" s="274">
        <v>1851</v>
      </c>
      <c r="G91" s="274">
        <v>1859</v>
      </c>
      <c r="H91" s="272">
        <v>2001</v>
      </c>
      <c r="I91" s="272">
        <v>1941</v>
      </c>
    </row>
    <row r="92" spans="1:9">
      <c r="A92" s="555" t="s">
        <v>226</v>
      </c>
      <c r="B92" s="556" t="s">
        <v>227</v>
      </c>
      <c r="C92" s="612" t="s">
        <v>264</v>
      </c>
      <c r="D92" s="274">
        <v>3094</v>
      </c>
      <c r="E92" s="274">
        <v>3329</v>
      </c>
      <c r="F92" s="274">
        <v>3364</v>
      </c>
      <c r="G92" s="274">
        <v>3451</v>
      </c>
      <c r="H92" s="272">
        <v>3637</v>
      </c>
      <c r="I92" s="272">
        <v>3626</v>
      </c>
    </row>
    <row r="93" spans="1:9">
      <c r="A93" s="555" t="s">
        <v>228</v>
      </c>
      <c r="B93" s="556" t="s">
        <v>229</v>
      </c>
      <c r="C93" s="612" t="s">
        <v>268</v>
      </c>
      <c r="D93" s="274">
        <v>12497</v>
      </c>
      <c r="E93" s="274">
        <v>13345</v>
      </c>
      <c r="F93" s="274">
        <v>13646</v>
      </c>
      <c r="G93" s="274">
        <v>13980</v>
      </c>
      <c r="H93" s="272">
        <v>14880</v>
      </c>
      <c r="I93" s="272">
        <v>15085</v>
      </c>
    </row>
    <row r="94" spans="1:9">
      <c r="A94" s="555" t="s">
        <v>232</v>
      </c>
      <c r="B94" s="556" t="s">
        <v>233</v>
      </c>
      <c r="C94" s="612" t="s">
        <v>267</v>
      </c>
      <c r="D94" s="274">
        <v>7149</v>
      </c>
      <c r="E94" s="274">
        <v>8160</v>
      </c>
      <c r="F94" s="274">
        <v>8829</v>
      </c>
      <c r="G94" s="274">
        <v>9150</v>
      </c>
      <c r="H94" s="272">
        <v>9684</v>
      </c>
      <c r="I94" s="272">
        <v>9464</v>
      </c>
    </row>
    <row r="95" spans="1:9">
      <c r="A95" s="555" t="s">
        <v>234</v>
      </c>
      <c r="B95" s="556" t="s">
        <v>235</v>
      </c>
      <c r="C95" s="612" t="s">
        <v>268</v>
      </c>
      <c r="D95" s="274">
        <v>12315</v>
      </c>
      <c r="E95" s="274">
        <v>13359</v>
      </c>
      <c r="F95" s="274">
        <v>13843</v>
      </c>
      <c r="G95" s="274">
        <v>14301</v>
      </c>
      <c r="H95" s="272">
        <v>14799</v>
      </c>
      <c r="I95" s="272">
        <v>14873</v>
      </c>
    </row>
    <row r="96" spans="1:9">
      <c r="A96" s="555" t="s">
        <v>236</v>
      </c>
      <c r="B96" s="556" t="s">
        <v>237</v>
      </c>
      <c r="C96" s="612" t="s">
        <v>266</v>
      </c>
      <c r="D96" s="274">
        <v>4513</v>
      </c>
      <c r="E96" s="274">
        <v>5047</v>
      </c>
      <c r="F96" s="274">
        <v>5476</v>
      </c>
      <c r="G96" s="274">
        <v>5688</v>
      </c>
      <c r="H96" s="272">
        <v>5943</v>
      </c>
      <c r="I96" s="272">
        <v>5777</v>
      </c>
    </row>
    <row r="97" spans="1:9">
      <c r="A97" s="555" t="s">
        <v>242</v>
      </c>
      <c r="B97" s="556" t="s">
        <v>243</v>
      </c>
      <c r="C97" s="612" t="s">
        <v>268</v>
      </c>
      <c r="D97" s="274">
        <v>14030</v>
      </c>
      <c r="E97" s="274">
        <v>14463</v>
      </c>
      <c r="F97" s="274">
        <v>14854</v>
      </c>
      <c r="G97" s="274">
        <v>15217</v>
      </c>
      <c r="H97" s="272">
        <v>16014</v>
      </c>
      <c r="I97" s="272">
        <v>16101</v>
      </c>
    </row>
    <row r="98" spans="1:9">
      <c r="A98" s="557" t="s">
        <v>244</v>
      </c>
      <c r="B98" s="556" t="s">
        <v>245</v>
      </c>
      <c r="C98" s="612" t="s">
        <v>268</v>
      </c>
      <c r="D98" s="274">
        <v>7668</v>
      </c>
      <c r="E98" s="274">
        <v>8273</v>
      </c>
      <c r="F98" s="274">
        <v>8646</v>
      </c>
      <c r="G98" s="274">
        <v>8824</v>
      </c>
      <c r="H98" s="272">
        <v>8921</v>
      </c>
      <c r="I98" s="272">
        <v>8741</v>
      </c>
    </row>
    <row r="99" spans="1:9">
      <c r="A99" s="555" t="s">
        <v>246</v>
      </c>
      <c r="B99" s="556" t="s">
        <v>247</v>
      </c>
      <c r="C99" s="612" t="s">
        <v>264</v>
      </c>
      <c r="D99" s="274">
        <v>5296</v>
      </c>
      <c r="E99" s="274">
        <v>6038</v>
      </c>
      <c r="F99" s="274">
        <v>6915</v>
      </c>
      <c r="G99" s="274">
        <v>7316</v>
      </c>
      <c r="H99" s="272">
        <v>7612</v>
      </c>
      <c r="I99" s="272">
        <v>7806</v>
      </c>
    </row>
    <row r="100" spans="1:9">
      <c r="A100" s="555" t="s">
        <v>14</v>
      </c>
      <c r="B100" s="556" t="s">
        <v>15</v>
      </c>
      <c r="C100" s="612" t="s">
        <v>267</v>
      </c>
      <c r="D100" s="274">
        <v>15962</v>
      </c>
      <c r="E100" s="274">
        <v>17710</v>
      </c>
      <c r="F100" s="274">
        <v>18687</v>
      </c>
      <c r="G100" s="274">
        <v>19292</v>
      </c>
      <c r="H100" s="272">
        <v>20308</v>
      </c>
      <c r="I100" s="272">
        <v>20469</v>
      </c>
    </row>
    <row r="101" spans="1:9">
      <c r="A101" s="555" t="s">
        <v>34</v>
      </c>
      <c r="B101" s="556" t="s">
        <v>35</v>
      </c>
      <c r="C101" s="612" t="s">
        <v>268</v>
      </c>
      <c r="D101" s="274">
        <v>7327</v>
      </c>
      <c r="E101" s="274">
        <v>7665</v>
      </c>
      <c r="F101" s="274">
        <v>7806</v>
      </c>
      <c r="G101" s="274">
        <v>7978</v>
      </c>
      <c r="H101" s="272">
        <v>8389</v>
      </c>
      <c r="I101" s="272">
        <v>8192</v>
      </c>
    </row>
    <row r="102" spans="1:9">
      <c r="A102" s="555" t="s">
        <v>52</v>
      </c>
      <c r="B102" s="556" t="s">
        <v>53</v>
      </c>
      <c r="C102" s="612" t="s">
        <v>265</v>
      </c>
      <c r="D102" s="274">
        <v>9244</v>
      </c>
      <c r="E102" s="274">
        <v>10060</v>
      </c>
      <c r="F102" s="274">
        <v>10367</v>
      </c>
      <c r="G102" s="274">
        <v>10526</v>
      </c>
      <c r="H102" s="272">
        <v>10690</v>
      </c>
      <c r="I102" s="272">
        <v>10159</v>
      </c>
    </row>
    <row r="103" spans="1:9">
      <c r="A103" s="555" t="s">
        <v>54</v>
      </c>
      <c r="B103" s="556" t="s">
        <v>55</v>
      </c>
      <c r="C103" s="612" t="s">
        <v>264</v>
      </c>
      <c r="D103" s="274">
        <v>33603</v>
      </c>
      <c r="E103" s="274">
        <v>38206</v>
      </c>
      <c r="F103" s="274">
        <v>41105</v>
      </c>
      <c r="G103" s="274">
        <v>43573</v>
      </c>
      <c r="H103" s="272">
        <v>45879</v>
      </c>
      <c r="I103" s="272">
        <v>46378</v>
      </c>
    </row>
    <row r="104" spans="1:9">
      <c r="A104" s="555" t="s">
        <v>66</v>
      </c>
      <c r="B104" s="556" t="s">
        <v>67</v>
      </c>
      <c r="C104" s="612" t="s">
        <v>265</v>
      </c>
      <c r="D104" s="274">
        <v>18848</v>
      </c>
      <c r="E104" s="274">
        <v>20178</v>
      </c>
      <c r="F104" s="274">
        <v>20803</v>
      </c>
      <c r="G104" s="274">
        <v>21531</v>
      </c>
      <c r="H104" s="272">
        <v>22049</v>
      </c>
      <c r="I104" s="272">
        <v>21975</v>
      </c>
    </row>
    <row r="105" spans="1:9">
      <c r="A105" s="555" t="s">
        <v>82</v>
      </c>
      <c r="B105" s="556" t="s">
        <v>83</v>
      </c>
      <c r="C105" s="612" t="s">
        <v>264</v>
      </c>
      <c r="D105" s="274">
        <v>3397</v>
      </c>
      <c r="E105" s="274">
        <v>3726</v>
      </c>
      <c r="F105" s="274">
        <v>4061</v>
      </c>
      <c r="G105" s="274">
        <v>4345</v>
      </c>
      <c r="H105" s="272">
        <v>4465</v>
      </c>
      <c r="I105" s="272">
        <v>4324</v>
      </c>
    </row>
    <row r="106" spans="1:9">
      <c r="A106" s="555" t="s">
        <v>88</v>
      </c>
      <c r="B106" s="556" t="s">
        <v>89</v>
      </c>
      <c r="C106" s="612" t="s">
        <v>267</v>
      </c>
      <c r="D106" s="274">
        <v>6641</v>
      </c>
      <c r="E106" s="274">
        <v>7361</v>
      </c>
      <c r="F106" s="274">
        <v>8047</v>
      </c>
      <c r="G106" s="274">
        <v>8547</v>
      </c>
      <c r="H106" s="272">
        <v>8773</v>
      </c>
      <c r="I106" s="272">
        <v>8834</v>
      </c>
    </row>
    <row r="107" spans="1:9">
      <c r="A107" s="555" t="s">
        <v>90</v>
      </c>
      <c r="B107" s="556" t="s">
        <v>91</v>
      </c>
      <c r="C107" s="612" t="s">
        <v>268</v>
      </c>
      <c r="D107" s="274">
        <v>3218</v>
      </c>
      <c r="E107" s="274">
        <v>3337</v>
      </c>
      <c r="F107" s="274">
        <v>3291</v>
      </c>
      <c r="G107" s="274">
        <v>3356</v>
      </c>
      <c r="H107" s="272">
        <v>3451</v>
      </c>
      <c r="I107" s="272">
        <v>3498</v>
      </c>
    </row>
    <row r="108" spans="1:9">
      <c r="A108" s="555" t="s">
        <v>106</v>
      </c>
      <c r="B108" s="556" t="s">
        <v>107</v>
      </c>
      <c r="C108" s="612" t="s">
        <v>264</v>
      </c>
      <c r="D108" s="274">
        <v>30419</v>
      </c>
      <c r="E108" s="274">
        <v>33145</v>
      </c>
      <c r="F108" s="274">
        <v>36596</v>
      </c>
      <c r="G108" s="274">
        <v>39587</v>
      </c>
      <c r="H108" s="272">
        <v>41666</v>
      </c>
      <c r="I108" s="272">
        <v>41584</v>
      </c>
    </row>
    <row r="109" spans="1:9">
      <c r="A109" s="555" t="s">
        <v>116</v>
      </c>
      <c r="B109" s="556" t="s">
        <v>117</v>
      </c>
      <c r="C109" s="612" t="s">
        <v>266</v>
      </c>
      <c r="D109" s="274">
        <v>9309</v>
      </c>
      <c r="E109" s="274">
        <v>9893</v>
      </c>
      <c r="F109" s="274">
        <v>10554</v>
      </c>
      <c r="G109" s="274">
        <v>11123</v>
      </c>
      <c r="H109" s="272">
        <v>11522</v>
      </c>
      <c r="I109" s="272">
        <v>11698</v>
      </c>
    </row>
    <row r="110" spans="1:9">
      <c r="A110" s="555" t="s">
        <v>138</v>
      </c>
      <c r="B110" s="556" t="s">
        <v>139</v>
      </c>
      <c r="C110" s="612" t="s">
        <v>265</v>
      </c>
      <c r="D110" s="274">
        <v>18940</v>
      </c>
      <c r="E110" s="274">
        <v>20583</v>
      </c>
      <c r="F110" s="274">
        <v>21700</v>
      </c>
      <c r="G110" s="274">
        <v>23034</v>
      </c>
      <c r="H110" s="272">
        <v>24012</v>
      </c>
      <c r="I110" s="272">
        <v>24060</v>
      </c>
    </row>
    <row r="111" spans="1:9">
      <c r="A111" s="555" t="s">
        <v>142</v>
      </c>
      <c r="B111" s="556" t="s">
        <v>143</v>
      </c>
      <c r="C111" s="612" t="s">
        <v>267</v>
      </c>
      <c r="D111" s="274">
        <v>7474</v>
      </c>
      <c r="E111" s="274">
        <v>8559</v>
      </c>
      <c r="F111" s="274">
        <v>9091</v>
      </c>
      <c r="G111" s="274">
        <v>9339</v>
      </c>
      <c r="H111" s="272">
        <v>9977</v>
      </c>
      <c r="I111" s="272">
        <v>10277</v>
      </c>
    </row>
    <row r="112" spans="1:9">
      <c r="A112" s="555" t="s">
        <v>144</v>
      </c>
      <c r="B112" s="556" t="s">
        <v>145</v>
      </c>
      <c r="C112" s="612" t="s">
        <v>267</v>
      </c>
      <c r="D112" s="274">
        <v>2779</v>
      </c>
      <c r="E112" s="274">
        <v>2927</v>
      </c>
      <c r="F112" s="274">
        <v>3047</v>
      </c>
      <c r="G112" s="274">
        <v>3105</v>
      </c>
      <c r="H112" s="272">
        <v>3454</v>
      </c>
      <c r="I112" s="272">
        <v>3349</v>
      </c>
    </row>
    <row r="113" spans="1:9">
      <c r="A113" s="555" t="s">
        <v>158</v>
      </c>
      <c r="B113" s="556" t="s">
        <v>159</v>
      </c>
      <c r="C113" s="612" t="s">
        <v>264</v>
      </c>
      <c r="D113" s="274">
        <v>48654</v>
      </c>
      <c r="E113" s="274">
        <v>53658</v>
      </c>
      <c r="F113" s="274">
        <v>58116</v>
      </c>
      <c r="G113" s="274">
        <v>61038</v>
      </c>
      <c r="H113" s="272">
        <v>63267</v>
      </c>
      <c r="I113" s="272">
        <v>62448</v>
      </c>
    </row>
    <row r="114" spans="1:9">
      <c r="A114" s="555" t="s">
        <v>160</v>
      </c>
      <c r="B114" s="556" t="s">
        <v>161</v>
      </c>
      <c r="C114" s="612" t="s">
        <v>264</v>
      </c>
      <c r="D114" s="274">
        <v>66429</v>
      </c>
      <c r="E114" s="274">
        <v>71727</v>
      </c>
      <c r="F114" s="274">
        <v>76013</v>
      </c>
      <c r="G114" s="274">
        <v>80123</v>
      </c>
      <c r="H114" s="272">
        <v>83283</v>
      </c>
      <c r="I114" s="272">
        <v>82376</v>
      </c>
    </row>
    <row r="115" spans="1:9">
      <c r="A115" s="555" t="s">
        <v>166</v>
      </c>
      <c r="B115" s="556" t="s">
        <v>167</v>
      </c>
      <c r="C115" s="612" t="s">
        <v>268</v>
      </c>
      <c r="D115" s="274">
        <v>1772</v>
      </c>
      <c r="E115" s="274">
        <v>1764</v>
      </c>
      <c r="F115" s="274">
        <v>1809</v>
      </c>
      <c r="G115" s="274">
        <v>1960</v>
      </c>
      <c r="H115" s="272">
        <v>1965</v>
      </c>
      <c r="I115" s="272">
        <v>1916</v>
      </c>
    </row>
    <row r="116" spans="1:9">
      <c r="A116" s="555" t="s">
        <v>176</v>
      </c>
      <c r="B116" s="556" t="s">
        <v>177</v>
      </c>
      <c r="C116" s="612" t="s">
        <v>266</v>
      </c>
      <c r="D116" s="274">
        <v>15142</v>
      </c>
      <c r="E116" s="274">
        <v>16358</v>
      </c>
      <c r="F116" s="274">
        <v>17348</v>
      </c>
      <c r="G116" s="274">
        <v>17791</v>
      </c>
      <c r="H116" s="272">
        <v>18274</v>
      </c>
      <c r="I116" s="272">
        <v>18159</v>
      </c>
    </row>
    <row r="117" spans="1:9">
      <c r="A117" s="555" t="s">
        <v>180</v>
      </c>
      <c r="B117" s="556" t="s">
        <v>181</v>
      </c>
      <c r="C117" s="612" t="s">
        <v>264</v>
      </c>
      <c r="D117" s="274">
        <v>30861</v>
      </c>
      <c r="E117" s="274">
        <v>33859</v>
      </c>
      <c r="F117" s="274">
        <v>36126</v>
      </c>
      <c r="G117" s="274">
        <v>38497</v>
      </c>
      <c r="H117" s="272">
        <v>40350</v>
      </c>
      <c r="I117" s="272">
        <v>39895</v>
      </c>
    </row>
    <row r="118" spans="1:9">
      <c r="A118" s="555" t="s">
        <v>192</v>
      </c>
      <c r="B118" s="556" t="s">
        <v>193</v>
      </c>
      <c r="C118" s="612" t="s">
        <v>268</v>
      </c>
      <c r="D118" s="274">
        <v>2895</v>
      </c>
      <c r="E118" s="274">
        <v>3063</v>
      </c>
      <c r="F118" s="274">
        <v>3166</v>
      </c>
      <c r="G118" s="274">
        <v>3235</v>
      </c>
      <c r="H118" s="272">
        <v>3382</v>
      </c>
      <c r="I118" s="272">
        <v>3431</v>
      </c>
    </row>
    <row r="119" spans="1:9">
      <c r="A119" s="555" t="s">
        <v>196</v>
      </c>
      <c r="B119" s="556" t="s">
        <v>197</v>
      </c>
      <c r="C119" s="612" t="s">
        <v>266</v>
      </c>
      <c r="D119" s="274">
        <v>70672</v>
      </c>
      <c r="E119" s="274">
        <v>76857</v>
      </c>
      <c r="F119" s="274">
        <v>80723</v>
      </c>
      <c r="G119" s="274">
        <v>83897</v>
      </c>
      <c r="H119" s="272">
        <v>86840</v>
      </c>
      <c r="I119" s="272">
        <v>85225</v>
      </c>
    </row>
    <row r="120" spans="1:9">
      <c r="A120" s="555" t="s">
        <v>200</v>
      </c>
      <c r="B120" s="556" t="s">
        <v>201</v>
      </c>
      <c r="C120" s="612" t="s">
        <v>265</v>
      </c>
      <c r="D120" s="274">
        <v>33469</v>
      </c>
      <c r="E120" s="274">
        <v>36351</v>
      </c>
      <c r="F120" s="274">
        <v>38199</v>
      </c>
      <c r="G120" s="274">
        <v>40318</v>
      </c>
      <c r="H120" s="272">
        <v>42510</v>
      </c>
      <c r="I120" s="272">
        <v>42614</v>
      </c>
    </row>
    <row r="121" spans="1:9">
      <c r="A121" s="555" t="s">
        <v>222</v>
      </c>
      <c r="B121" s="556" t="s">
        <v>223</v>
      </c>
      <c r="C121" s="612" t="s">
        <v>264</v>
      </c>
      <c r="D121" s="274">
        <v>17288</v>
      </c>
      <c r="E121" s="274">
        <v>19079</v>
      </c>
      <c r="F121" s="274">
        <v>20687</v>
      </c>
      <c r="G121" s="274">
        <v>21762</v>
      </c>
      <c r="H121" s="272">
        <v>22739</v>
      </c>
      <c r="I121" s="272">
        <v>22768</v>
      </c>
    </row>
    <row r="122" spans="1:9">
      <c r="A122" s="555" t="s">
        <v>230</v>
      </c>
      <c r="B122" s="556" t="s">
        <v>231</v>
      </c>
      <c r="C122" s="612" t="s">
        <v>264</v>
      </c>
      <c r="D122" s="274">
        <v>52757</v>
      </c>
      <c r="E122" s="274">
        <v>60748</v>
      </c>
      <c r="F122" s="274">
        <v>65740</v>
      </c>
      <c r="G122" s="274">
        <v>69984</v>
      </c>
      <c r="H122" s="272">
        <v>72721</v>
      </c>
      <c r="I122" s="272">
        <v>73791</v>
      </c>
    </row>
    <row r="123" spans="1:9">
      <c r="A123" s="555" t="s">
        <v>238</v>
      </c>
      <c r="B123" s="556" t="s">
        <v>239</v>
      </c>
      <c r="C123" s="612" t="s">
        <v>264</v>
      </c>
      <c r="D123" s="274">
        <v>1605</v>
      </c>
      <c r="E123" s="274">
        <v>1869</v>
      </c>
      <c r="F123" s="274">
        <v>2254</v>
      </c>
      <c r="G123" s="274">
        <v>2292</v>
      </c>
      <c r="H123" s="272">
        <v>2414</v>
      </c>
      <c r="I123" s="272">
        <v>2489</v>
      </c>
    </row>
    <row r="124" spans="1:9">
      <c r="A124" s="555" t="s">
        <v>240</v>
      </c>
      <c r="B124" s="556" t="s">
        <v>241</v>
      </c>
      <c r="C124" s="612" t="s">
        <v>267</v>
      </c>
      <c r="D124" s="274">
        <v>6825</v>
      </c>
      <c r="E124" s="274">
        <v>7772</v>
      </c>
      <c r="F124" s="274">
        <v>8479</v>
      </c>
      <c r="G124" s="274">
        <v>8632</v>
      </c>
      <c r="H124" s="272">
        <v>9031</v>
      </c>
      <c r="I124" s="272">
        <v>8841</v>
      </c>
    </row>
    <row r="126" spans="1:9" s="558" customFormat="1" ht="17.25" customHeight="1">
      <c r="A126" s="1916" t="s">
        <v>930</v>
      </c>
      <c r="B126" s="1917"/>
      <c r="C126" s="1917"/>
      <c r="D126" s="1917"/>
      <c r="E126" s="1917"/>
      <c r="F126" s="1917"/>
      <c r="G126" s="1917"/>
      <c r="H126" s="1917"/>
      <c r="I126" s="1278"/>
    </row>
    <row r="127" spans="1:9" s="558" customFormat="1">
      <c r="A127" s="1917"/>
      <c r="B127" s="1917"/>
      <c r="C127" s="1917"/>
      <c r="D127" s="1917"/>
      <c r="E127" s="1917"/>
      <c r="F127" s="1917"/>
      <c r="G127" s="1917"/>
      <c r="H127" s="1917"/>
      <c r="I127" s="1278"/>
    </row>
    <row r="128" spans="1:9" s="558" customFormat="1">
      <c r="A128" s="1917"/>
      <c r="B128" s="1917"/>
      <c r="C128" s="1917"/>
      <c r="D128" s="1917"/>
      <c r="E128" s="1917"/>
      <c r="F128" s="1917"/>
      <c r="G128" s="1917"/>
      <c r="H128" s="1917"/>
      <c r="I128" s="1278"/>
    </row>
    <row r="129" spans="1:9" s="558" customFormat="1">
      <c r="A129" s="588"/>
      <c r="B129" s="588"/>
      <c r="C129" s="588"/>
      <c r="D129" s="588"/>
      <c r="E129" s="588"/>
      <c r="F129" s="588"/>
      <c r="G129" s="588"/>
      <c r="H129" s="588"/>
      <c r="I129" s="1278"/>
    </row>
    <row r="130" spans="1:9" s="428" customFormat="1">
      <c r="A130" s="428" t="s">
        <v>248</v>
      </c>
    </row>
    <row r="131" spans="1:9" s="428" customFormat="1">
      <c r="A131" s="429" t="s">
        <v>249</v>
      </c>
      <c r="B131" s="430" t="s">
        <v>250</v>
      </c>
      <c r="C131" s="430"/>
    </row>
  </sheetData>
  <autoFilter ref="A3:C3"/>
  <sortState ref="A5:L124">
    <sortCondition ref="A5:A124"/>
  </sortState>
  <mergeCells count="1">
    <mergeCell ref="A126:H128"/>
  </mergeCells>
  <hyperlinks>
    <hyperlink ref="B131" r:id="rId1"/>
  </hyperlinks>
  <pageMargins left="0.7" right="0.7" top="0.75" bottom="0.75" header="0.3" footer="0.3"/>
  <pageSetup orientation="portrait" r:id="rId2"/>
</worksheet>
</file>

<file path=xl/worksheets/sheet23.xml><?xml version="1.0" encoding="utf-8"?>
<worksheet xmlns="http://schemas.openxmlformats.org/spreadsheetml/2006/main" xmlns:r="http://schemas.openxmlformats.org/officeDocument/2006/relationships">
  <dimension ref="A1:F131"/>
  <sheetViews>
    <sheetView workbookViewId="0">
      <selection activeCell="G11" sqref="G11"/>
    </sheetView>
  </sheetViews>
  <sheetFormatPr defaultRowHeight="15.75"/>
  <cols>
    <col min="1" max="1" width="5.875" style="558" customWidth="1"/>
    <col min="2" max="2" width="29.5" style="558" customWidth="1"/>
    <col min="3" max="3" width="16.25" style="558" customWidth="1"/>
    <col min="4" max="4" width="11.375" style="558" customWidth="1"/>
    <col min="5" max="5" width="3.875" style="558" customWidth="1"/>
    <col min="6" max="16384" width="9" style="558"/>
  </cols>
  <sheetData>
    <row r="1" spans="1:6">
      <c r="A1" s="258" t="s">
        <v>1211</v>
      </c>
    </row>
    <row r="3" spans="1:6">
      <c r="A3" s="667" t="s">
        <v>4</v>
      </c>
      <c r="B3" s="621" t="s">
        <v>5</v>
      </c>
      <c r="C3" s="621" t="s">
        <v>251</v>
      </c>
      <c r="D3" s="673" t="s">
        <v>912</v>
      </c>
    </row>
    <row r="4" spans="1:6" s="666" customFormat="1">
      <c r="A4" s="670">
        <v>999</v>
      </c>
      <c r="B4" s="671" t="s">
        <v>819</v>
      </c>
      <c r="C4" s="671"/>
      <c r="D4" s="1014">
        <f>SUM(D5:D124)</f>
        <v>43823</v>
      </c>
      <c r="E4" s="558"/>
      <c r="F4" s="558"/>
    </row>
    <row r="5" spans="1:6">
      <c r="A5" s="662" t="s">
        <v>10</v>
      </c>
      <c r="B5" s="663" t="s">
        <v>11</v>
      </c>
      <c r="C5" s="663" t="s">
        <v>264</v>
      </c>
      <c r="D5" s="1015">
        <v>94</v>
      </c>
      <c r="E5" s="666"/>
      <c r="F5" s="666"/>
    </row>
    <row r="6" spans="1:6" s="666" customFormat="1">
      <c r="A6" s="662" t="s">
        <v>12</v>
      </c>
      <c r="B6" s="663" t="s">
        <v>13</v>
      </c>
      <c r="C6" s="663" t="s">
        <v>265</v>
      </c>
      <c r="D6" s="1015">
        <v>300</v>
      </c>
    </row>
    <row r="7" spans="1:6" s="666" customFormat="1">
      <c r="A7" s="662" t="s">
        <v>16</v>
      </c>
      <c r="B7" s="663" t="s">
        <v>297</v>
      </c>
      <c r="C7" s="663" t="s">
        <v>265</v>
      </c>
      <c r="D7" s="1015">
        <v>102</v>
      </c>
    </row>
    <row r="8" spans="1:6" s="666" customFormat="1">
      <c r="A8" s="662" t="s">
        <v>18</v>
      </c>
      <c r="B8" s="663" t="s">
        <v>19</v>
      </c>
      <c r="C8" s="663" t="s">
        <v>266</v>
      </c>
      <c r="D8" s="1015">
        <v>55</v>
      </c>
    </row>
    <row r="9" spans="1:6" s="666" customFormat="1">
      <c r="A9" s="662" t="s">
        <v>20</v>
      </c>
      <c r="B9" s="663" t="s">
        <v>21</v>
      </c>
      <c r="C9" s="663" t="s">
        <v>265</v>
      </c>
      <c r="D9" s="1015">
        <v>167</v>
      </c>
    </row>
    <row r="10" spans="1:6" s="666" customFormat="1">
      <c r="A10" s="662" t="s">
        <v>22</v>
      </c>
      <c r="B10" s="663" t="s">
        <v>23</v>
      </c>
      <c r="C10" s="663" t="s">
        <v>265</v>
      </c>
      <c r="D10" s="1015">
        <v>62</v>
      </c>
    </row>
    <row r="11" spans="1:6" s="666" customFormat="1">
      <c r="A11" s="662" t="s">
        <v>24</v>
      </c>
      <c r="B11" s="663" t="s">
        <v>25</v>
      </c>
      <c r="C11" s="663" t="s">
        <v>267</v>
      </c>
      <c r="D11" s="1015">
        <v>534</v>
      </c>
    </row>
    <row r="12" spans="1:6" s="666" customFormat="1">
      <c r="A12" s="662" t="s">
        <v>26</v>
      </c>
      <c r="B12" s="663" t="s">
        <v>706</v>
      </c>
      <c r="C12" s="663" t="s">
        <v>265</v>
      </c>
      <c r="D12" s="1015">
        <v>621</v>
      </c>
    </row>
    <row r="13" spans="1:6" s="666" customFormat="1">
      <c r="A13" s="662" t="s">
        <v>27</v>
      </c>
      <c r="B13" s="663" t="s">
        <v>28</v>
      </c>
      <c r="C13" s="663" t="s">
        <v>265</v>
      </c>
      <c r="D13" s="1015">
        <v>1</v>
      </c>
    </row>
    <row r="14" spans="1:6" s="666" customFormat="1">
      <c r="A14" s="662" t="s">
        <v>29</v>
      </c>
      <c r="B14" s="663" t="s">
        <v>1012</v>
      </c>
      <c r="C14" s="663" t="s">
        <v>265</v>
      </c>
      <c r="D14" s="1015">
        <v>227</v>
      </c>
    </row>
    <row r="15" spans="1:6" s="666" customFormat="1">
      <c r="A15" s="662" t="s">
        <v>30</v>
      </c>
      <c r="B15" s="663" t="s">
        <v>31</v>
      </c>
      <c r="C15" s="663" t="s">
        <v>268</v>
      </c>
      <c r="D15" s="1015">
        <v>11</v>
      </c>
    </row>
    <row r="16" spans="1:6" s="666" customFormat="1">
      <c r="A16" s="662" t="s">
        <v>32</v>
      </c>
      <c r="B16" s="663" t="s">
        <v>33</v>
      </c>
      <c r="C16" s="663" t="s">
        <v>265</v>
      </c>
      <c r="D16" s="1015">
        <v>94</v>
      </c>
    </row>
    <row r="17" spans="1:4" s="666" customFormat="1">
      <c r="A17" s="662" t="s">
        <v>36</v>
      </c>
      <c r="B17" s="663" t="s">
        <v>37</v>
      </c>
      <c r="C17" s="663" t="s">
        <v>264</v>
      </c>
      <c r="D17" s="1015">
        <v>68</v>
      </c>
    </row>
    <row r="18" spans="1:4" s="666" customFormat="1">
      <c r="A18" s="662" t="s">
        <v>38</v>
      </c>
      <c r="B18" s="663" t="s">
        <v>39</v>
      </c>
      <c r="C18" s="663" t="s">
        <v>268</v>
      </c>
      <c r="D18" s="1015">
        <v>16</v>
      </c>
    </row>
    <row r="19" spans="1:4" s="666" customFormat="1">
      <c r="A19" s="662" t="s">
        <v>40</v>
      </c>
      <c r="B19" s="663" t="s">
        <v>41</v>
      </c>
      <c r="C19" s="663" t="s">
        <v>266</v>
      </c>
      <c r="D19" s="1015">
        <v>34</v>
      </c>
    </row>
    <row r="20" spans="1:4" s="666" customFormat="1">
      <c r="A20" s="662" t="s">
        <v>42</v>
      </c>
      <c r="B20" s="663" t="s">
        <v>43</v>
      </c>
      <c r="C20" s="663" t="s">
        <v>265</v>
      </c>
      <c r="D20" s="1015">
        <v>248</v>
      </c>
    </row>
    <row r="21" spans="1:4" s="666" customFormat="1">
      <c r="A21" s="662" t="s">
        <v>44</v>
      </c>
      <c r="B21" s="663" t="s">
        <v>45</v>
      </c>
      <c r="C21" s="663" t="s">
        <v>266</v>
      </c>
      <c r="D21" s="1015">
        <v>158</v>
      </c>
    </row>
    <row r="22" spans="1:4" s="666" customFormat="1">
      <c r="A22" s="662" t="s">
        <v>46</v>
      </c>
      <c r="B22" s="663" t="s">
        <v>47</v>
      </c>
      <c r="C22" s="663" t="s">
        <v>268</v>
      </c>
      <c r="D22" s="1015">
        <v>173</v>
      </c>
    </row>
    <row r="23" spans="1:4" s="666" customFormat="1">
      <c r="A23" s="662" t="s">
        <v>48</v>
      </c>
      <c r="B23" s="663" t="s">
        <v>269</v>
      </c>
      <c r="C23" s="663" t="s">
        <v>266</v>
      </c>
      <c r="D23" s="1015">
        <v>38</v>
      </c>
    </row>
    <row r="24" spans="1:4" s="666" customFormat="1">
      <c r="A24" s="662" t="s">
        <v>50</v>
      </c>
      <c r="B24" s="663" t="s">
        <v>51</v>
      </c>
      <c r="C24" s="663" t="s">
        <v>265</v>
      </c>
      <c r="D24" s="1015">
        <v>29</v>
      </c>
    </row>
    <row r="25" spans="1:4" s="666" customFormat="1">
      <c r="A25" s="662" t="s">
        <v>56</v>
      </c>
      <c r="B25" s="663" t="s">
        <v>295</v>
      </c>
      <c r="C25" s="663" t="s">
        <v>266</v>
      </c>
      <c r="D25" s="1015">
        <v>1038</v>
      </c>
    </row>
    <row r="26" spans="1:4" s="666" customFormat="1">
      <c r="A26" s="662" t="s">
        <v>58</v>
      </c>
      <c r="B26" s="663" t="s">
        <v>59</v>
      </c>
      <c r="C26" s="663" t="s">
        <v>267</v>
      </c>
      <c r="D26" s="1015">
        <v>37</v>
      </c>
    </row>
    <row r="27" spans="1:4" s="666" customFormat="1">
      <c r="A27" s="662" t="s">
        <v>60</v>
      </c>
      <c r="B27" s="663" t="s">
        <v>61</v>
      </c>
      <c r="C27" s="663" t="s">
        <v>265</v>
      </c>
      <c r="D27" s="1015">
        <v>19</v>
      </c>
    </row>
    <row r="28" spans="1:4" s="666" customFormat="1">
      <c r="A28" s="662" t="s">
        <v>62</v>
      </c>
      <c r="B28" s="663" t="s">
        <v>63</v>
      </c>
      <c r="C28" s="663" t="s">
        <v>267</v>
      </c>
      <c r="D28" s="1015">
        <v>474</v>
      </c>
    </row>
    <row r="29" spans="1:4" s="666" customFormat="1">
      <c r="A29" s="662" t="s">
        <v>64</v>
      </c>
      <c r="B29" s="663" t="s">
        <v>65</v>
      </c>
      <c r="C29" s="663" t="s">
        <v>266</v>
      </c>
      <c r="D29" s="1015">
        <v>35</v>
      </c>
    </row>
    <row r="30" spans="1:4" s="666" customFormat="1">
      <c r="A30" s="662" t="s">
        <v>68</v>
      </c>
      <c r="B30" s="663" t="s">
        <v>69</v>
      </c>
      <c r="C30" s="663" t="s">
        <v>268</v>
      </c>
      <c r="D30" s="1015">
        <v>25</v>
      </c>
    </row>
    <row r="31" spans="1:4" s="666" customFormat="1">
      <c r="A31" s="662" t="s">
        <v>70</v>
      </c>
      <c r="B31" s="663" t="s">
        <v>71</v>
      </c>
      <c r="C31" s="663" t="s">
        <v>264</v>
      </c>
      <c r="D31" s="1015">
        <v>128</v>
      </c>
    </row>
    <row r="32" spans="1:4" s="666" customFormat="1">
      <c r="A32" s="662" t="s">
        <v>72</v>
      </c>
      <c r="B32" s="663" t="s">
        <v>73</v>
      </c>
      <c r="C32" s="663" t="s">
        <v>266</v>
      </c>
      <c r="D32" s="1015">
        <v>172</v>
      </c>
    </row>
    <row r="33" spans="1:4" s="666" customFormat="1">
      <c r="A33" s="662" t="s">
        <v>74</v>
      </c>
      <c r="B33" s="663" t="s">
        <v>296</v>
      </c>
      <c r="C33" s="663" t="s">
        <v>267</v>
      </c>
      <c r="D33" s="1015">
        <v>4374</v>
      </c>
    </row>
    <row r="34" spans="1:4" s="666" customFormat="1">
      <c r="A34" s="662" t="s">
        <v>76</v>
      </c>
      <c r="B34" s="663" t="s">
        <v>77</v>
      </c>
      <c r="C34" s="663" t="s">
        <v>267</v>
      </c>
      <c r="D34" s="1015">
        <v>261</v>
      </c>
    </row>
    <row r="35" spans="1:4" s="666" customFormat="1">
      <c r="A35" s="662" t="s">
        <v>78</v>
      </c>
      <c r="B35" s="663" t="s">
        <v>79</v>
      </c>
      <c r="C35" s="663" t="s">
        <v>268</v>
      </c>
      <c r="D35" s="1015">
        <v>30</v>
      </c>
    </row>
    <row r="36" spans="1:4" s="666" customFormat="1">
      <c r="A36" s="662" t="s">
        <v>80</v>
      </c>
      <c r="B36" s="663" t="s">
        <v>81</v>
      </c>
      <c r="C36" s="663" t="s">
        <v>266</v>
      </c>
      <c r="D36" s="1015">
        <v>79</v>
      </c>
    </row>
    <row r="37" spans="1:4" s="666" customFormat="1">
      <c r="A37" s="662" t="s">
        <v>84</v>
      </c>
      <c r="B37" s="663" t="s">
        <v>85</v>
      </c>
      <c r="C37" s="663" t="s">
        <v>265</v>
      </c>
      <c r="D37" s="1015">
        <v>248</v>
      </c>
    </row>
    <row r="38" spans="1:4" s="666" customFormat="1">
      <c r="A38" s="662" t="s">
        <v>86</v>
      </c>
      <c r="B38" s="663" t="s">
        <v>87</v>
      </c>
      <c r="C38" s="663" t="s">
        <v>267</v>
      </c>
      <c r="D38" s="1015">
        <v>243</v>
      </c>
    </row>
    <row r="39" spans="1:4" s="666" customFormat="1">
      <c r="A39" s="662" t="s">
        <v>92</v>
      </c>
      <c r="B39" s="663" t="s">
        <v>93</v>
      </c>
      <c r="C39" s="663" t="s">
        <v>268</v>
      </c>
      <c r="D39" s="1015">
        <v>70</v>
      </c>
    </row>
    <row r="40" spans="1:4" s="666" customFormat="1">
      <c r="A40" s="662" t="s">
        <v>94</v>
      </c>
      <c r="B40" s="663" t="s">
        <v>95</v>
      </c>
      <c r="C40" s="663" t="s">
        <v>264</v>
      </c>
      <c r="D40" s="1015">
        <v>166</v>
      </c>
    </row>
    <row r="41" spans="1:4" s="666" customFormat="1">
      <c r="A41" s="662" t="s">
        <v>96</v>
      </c>
      <c r="B41" s="663" t="s">
        <v>97</v>
      </c>
      <c r="C41" s="663" t="s">
        <v>266</v>
      </c>
      <c r="D41" s="1015">
        <v>72</v>
      </c>
    </row>
    <row r="42" spans="1:4" s="666" customFormat="1">
      <c r="A42" s="662" t="s">
        <v>98</v>
      </c>
      <c r="B42" s="663" t="s">
        <v>99</v>
      </c>
      <c r="C42" s="663" t="s">
        <v>268</v>
      </c>
      <c r="D42" s="1015">
        <v>28</v>
      </c>
    </row>
    <row r="43" spans="1:4" s="666" customFormat="1">
      <c r="A43" s="662" t="s">
        <v>100</v>
      </c>
      <c r="B43" s="663" t="s">
        <v>101</v>
      </c>
      <c r="C43" s="663" t="s">
        <v>267</v>
      </c>
      <c r="D43" s="1015">
        <v>40</v>
      </c>
    </row>
    <row r="44" spans="1:4" s="666" customFormat="1">
      <c r="A44" s="662" t="s">
        <v>102</v>
      </c>
      <c r="B44" s="663" t="s">
        <v>282</v>
      </c>
      <c r="C44" s="663" t="s">
        <v>264</v>
      </c>
      <c r="D44" s="1015">
        <v>179</v>
      </c>
    </row>
    <row r="45" spans="1:4" s="666" customFormat="1">
      <c r="A45" s="662" t="s">
        <v>104</v>
      </c>
      <c r="B45" s="663" t="s">
        <v>105</v>
      </c>
      <c r="C45" s="663" t="s">
        <v>265</v>
      </c>
      <c r="D45" s="1015">
        <v>71</v>
      </c>
    </row>
    <row r="46" spans="1:4" s="666" customFormat="1">
      <c r="A46" s="662" t="s">
        <v>108</v>
      </c>
      <c r="B46" s="663" t="s">
        <v>109</v>
      </c>
      <c r="C46" s="663" t="s">
        <v>266</v>
      </c>
      <c r="D46" s="1015">
        <v>250</v>
      </c>
    </row>
    <row r="47" spans="1:4" s="666" customFormat="1">
      <c r="A47" s="662" t="s">
        <v>110</v>
      </c>
      <c r="B47" s="663" t="s">
        <v>111</v>
      </c>
      <c r="C47" s="663" t="s">
        <v>266</v>
      </c>
      <c r="D47" s="1015">
        <v>1999</v>
      </c>
    </row>
    <row r="48" spans="1:4" s="666" customFormat="1">
      <c r="A48" s="662" t="s">
        <v>112</v>
      </c>
      <c r="B48" s="663" t="s">
        <v>300</v>
      </c>
      <c r="C48" s="663" t="s">
        <v>265</v>
      </c>
      <c r="D48" s="1015">
        <v>514</v>
      </c>
    </row>
    <row r="49" spans="1:4" s="666" customFormat="1">
      <c r="A49" s="662" t="s">
        <v>114</v>
      </c>
      <c r="B49" s="663" t="s">
        <v>115</v>
      </c>
      <c r="C49" s="663" t="s">
        <v>265</v>
      </c>
      <c r="D49" s="1015">
        <v>0</v>
      </c>
    </row>
    <row r="50" spans="1:4" s="666" customFormat="1">
      <c r="A50" s="662" t="s">
        <v>118</v>
      </c>
      <c r="B50" s="663" t="s">
        <v>270</v>
      </c>
      <c r="C50" s="663" t="s">
        <v>264</v>
      </c>
      <c r="D50" s="1015">
        <v>88</v>
      </c>
    </row>
    <row r="51" spans="1:4" s="666" customFormat="1">
      <c r="A51" s="662" t="s">
        <v>120</v>
      </c>
      <c r="B51" s="663" t="s">
        <v>121</v>
      </c>
      <c r="C51" s="663" t="s">
        <v>264</v>
      </c>
      <c r="D51" s="1015">
        <v>320</v>
      </c>
    </row>
    <row r="52" spans="1:4" s="666" customFormat="1">
      <c r="A52" s="662" t="s">
        <v>122</v>
      </c>
      <c r="B52" s="663" t="s">
        <v>287</v>
      </c>
      <c r="C52" s="663" t="s">
        <v>266</v>
      </c>
      <c r="D52" s="1015">
        <v>29</v>
      </c>
    </row>
    <row r="53" spans="1:4" s="666" customFormat="1">
      <c r="A53" s="662" t="s">
        <v>124</v>
      </c>
      <c r="B53" s="663" t="s">
        <v>125</v>
      </c>
      <c r="C53" s="663" t="s">
        <v>267</v>
      </c>
      <c r="D53" s="1015">
        <v>160</v>
      </c>
    </row>
    <row r="54" spans="1:4" s="666" customFormat="1">
      <c r="A54" s="662" t="s">
        <v>126</v>
      </c>
      <c r="B54" s="663" t="s">
        <v>127</v>
      </c>
      <c r="C54" s="663" t="s">
        <v>266</v>
      </c>
      <c r="D54" s="1015">
        <v>117</v>
      </c>
    </row>
    <row r="55" spans="1:4" s="666" customFormat="1">
      <c r="A55" s="662" t="s">
        <v>128</v>
      </c>
      <c r="B55" s="663" t="s">
        <v>129</v>
      </c>
      <c r="C55" s="663" t="s">
        <v>266</v>
      </c>
      <c r="D55" s="1015">
        <v>33</v>
      </c>
    </row>
    <row r="56" spans="1:4" s="666" customFormat="1">
      <c r="A56" s="662" t="s">
        <v>130</v>
      </c>
      <c r="B56" s="663" t="s">
        <v>131</v>
      </c>
      <c r="C56" s="663" t="s">
        <v>268</v>
      </c>
      <c r="D56" s="1015">
        <v>46</v>
      </c>
    </row>
    <row r="57" spans="1:4" s="666" customFormat="1">
      <c r="A57" s="662" t="s">
        <v>132</v>
      </c>
      <c r="B57" s="663" t="s">
        <v>133</v>
      </c>
      <c r="C57" s="663" t="s">
        <v>267</v>
      </c>
      <c r="D57" s="1015">
        <v>709</v>
      </c>
    </row>
    <row r="58" spans="1:4" s="666" customFormat="1">
      <c r="A58" s="662" t="s">
        <v>134</v>
      </c>
      <c r="B58" s="663" t="s">
        <v>135</v>
      </c>
      <c r="C58" s="663" t="s">
        <v>267</v>
      </c>
      <c r="D58" s="1015">
        <v>86</v>
      </c>
    </row>
    <row r="59" spans="1:4" s="666" customFormat="1">
      <c r="A59" s="662" t="s">
        <v>136</v>
      </c>
      <c r="B59" s="663" t="s">
        <v>137</v>
      </c>
      <c r="C59" s="663" t="s">
        <v>266</v>
      </c>
      <c r="D59" s="1015">
        <v>15</v>
      </c>
    </row>
    <row r="60" spans="1:4" s="666" customFormat="1">
      <c r="A60" s="662" t="s">
        <v>140</v>
      </c>
      <c r="B60" s="663" t="s">
        <v>141</v>
      </c>
      <c r="C60" s="663" t="s">
        <v>267</v>
      </c>
      <c r="D60" s="1015">
        <v>6</v>
      </c>
    </row>
    <row r="61" spans="1:4" s="666" customFormat="1">
      <c r="A61" s="662" t="s">
        <v>146</v>
      </c>
      <c r="B61" s="663" t="s">
        <v>147</v>
      </c>
      <c r="C61" s="663" t="s">
        <v>264</v>
      </c>
      <c r="D61" s="1015">
        <v>32</v>
      </c>
    </row>
    <row r="62" spans="1:4" s="666" customFormat="1">
      <c r="A62" s="662" t="s">
        <v>148</v>
      </c>
      <c r="B62" s="663" t="s">
        <v>149</v>
      </c>
      <c r="C62" s="663" t="s">
        <v>265</v>
      </c>
      <c r="D62" s="1015">
        <v>98</v>
      </c>
    </row>
    <row r="63" spans="1:4" s="666" customFormat="1">
      <c r="A63" s="662" t="s">
        <v>150</v>
      </c>
      <c r="B63" s="663" t="s">
        <v>151</v>
      </c>
      <c r="C63" s="663" t="s">
        <v>266</v>
      </c>
      <c r="D63" s="1015">
        <v>72</v>
      </c>
    </row>
    <row r="64" spans="1:4" s="666" customFormat="1">
      <c r="A64" s="662" t="s">
        <v>152</v>
      </c>
      <c r="B64" s="663" t="s">
        <v>153</v>
      </c>
      <c r="C64" s="663" t="s">
        <v>268</v>
      </c>
      <c r="D64" s="1015">
        <v>403</v>
      </c>
    </row>
    <row r="65" spans="1:4" s="666" customFormat="1">
      <c r="A65" s="662" t="s">
        <v>154</v>
      </c>
      <c r="B65" s="663" t="s">
        <v>155</v>
      </c>
      <c r="C65" s="663" t="s">
        <v>265</v>
      </c>
      <c r="D65" s="1015">
        <v>35</v>
      </c>
    </row>
    <row r="66" spans="1:4" s="666" customFormat="1">
      <c r="A66" s="662" t="s">
        <v>156</v>
      </c>
      <c r="B66" s="663" t="s">
        <v>157</v>
      </c>
      <c r="C66" s="663" t="s">
        <v>266</v>
      </c>
      <c r="D66" s="1015">
        <v>57</v>
      </c>
    </row>
    <row r="67" spans="1:4" s="666" customFormat="1">
      <c r="A67" s="662" t="s">
        <v>162</v>
      </c>
      <c r="B67" s="663" t="s">
        <v>163</v>
      </c>
      <c r="C67" s="663" t="s">
        <v>264</v>
      </c>
      <c r="D67" s="1015">
        <v>131</v>
      </c>
    </row>
    <row r="68" spans="1:4" s="666" customFormat="1">
      <c r="A68" s="662" t="s">
        <v>164</v>
      </c>
      <c r="B68" s="663" t="s">
        <v>165</v>
      </c>
      <c r="C68" s="663" t="s">
        <v>266</v>
      </c>
      <c r="D68" s="1015">
        <v>44</v>
      </c>
    </row>
    <row r="69" spans="1:4" s="666" customFormat="1">
      <c r="A69" s="662" t="s">
        <v>168</v>
      </c>
      <c r="B69" s="663" t="s">
        <v>169</v>
      </c>
      <c r="C69" s="663" t="s">
        <v>266</v>
      </c>
      <c r="D69" s="1015">
        <v>73</v>
      </c>
    </row>
    <row r="70" spans="1:4" s="666" customFormat="1">
      <c r="A70" s="662" t="s">
        <v>170</v>
      </c>
      <c r="B70" s="663" t="s">
        <v>171</v>
      </c>
      <c r="C70" s="663" t="s">
        <v>267</v>
      </c>
      <c r="D70" s="1015">
        <v>162</v>
      </c>
    </row>
    <row r="71" spans="1:4" s="666" customFormat="1">
      <c r="A71" s="662" t="s">
        <v>172</v>
      </c>
      <c r="B71" s="663" t="s">
        <v>173</v>
      </c>
      <c r="C71" s="663" t="s">
        <v>267</v>
      </c>
      <c r="D71" s="1015">
        <v>64</v>
      </c>
    </row>
    <row r="72" spans="1:4" s="666" customFormat="1">
      <c r="A72" s="662" t="s">
        <v>174</v>
      </c>
      <c r="B72" s="663" t="s">
        <v>175</v>
      </c>
      <c r="C72" s="663" t="s">
        <v>268</v>
      </c>
      <c r="D72" s="1015">
        <v>68</v>
      </c>
    </row>
    <row r="73" spans="1:4" s="666" customFormat="1">
      <c r="A73" s="662" t="s">
        <v>178</v>
      </c>
      <c r="B73" s="663" t="s">
        <v>179</v>
      </c>
      <c r="C73" s="663" t="s">
        <v>265</v>
      </c>
      <c r="D73" s="1015">
        <v>222</v>
      </c>
    </row>
    <row r="74" spans="1:4" s="666" customFormat="1">
      <c r="A74" s="662" t="s">
        <v>182</v>
      </c>
      <c r="B74" s="663" t="s">
        <v>183</v>
      </c>
      <c r="C74" s="663" t="s">
        <v>266</v>
      </c>
      <c r="D74" s="1015">
        <v>69</v>
      </c>
    </row>
    <row r="75" spans="1:4" s="666" customFormat="1">
      <c r="A75" s="662" t="s">
        <v>184</v>
      </c>
      <c r="B75" s="663" t="s">
        <v>185</v>
      </c>
      <c r="C75" s="663" t="s">
        <v>266</v>
      </c>
      <c r="D75" s="1015">
        <v>105</v>
      </c>
    </row>
    <row r="76" spans="1:4" s="666" customFormat="1">
      <c r="A76" s="662" t="s">
        <v>186</v>
      </c>
      <c r="B76" s="663" t="s">
        <v>187</v>
      </c>
      <c r="C76" s="663" t="s">
        <v>264</v>
      </c>
      <c r="D76" s="1015">
        <v>53</v>
      </c>
    </row>
    <row r="77" spans="1:4" s="666" customFormat="1">
      <c r="A77" s="662" t="s">
        <v>188</v>
      </c>
      <c r="B77" s="663" t="s">
        <v>189</v>
      </c>
      <c r="C77" s="663" t="s">
        <v>267</v>
      </c>
      <c r="D77" s="1015">
        <v>1726</v>
      </c>
    </row>
    <row r="78" spans="1:4" s="666" customFormat="1">
      <c r="A78" s="662" t="s">
        <v>190</v>
      </c>
      <c r="B78" s="663" t="s">
        <v>191</v>
      </c>
      <c r="C78" s="663" t="s">
        <v>268</v>
      </c>
      <c r="D78" s="1015">
        <v>151</v>
      </c>
    </row>
    <row r="79" spans="1:4" s="666" customFormat="1">
      <c r="A79" s="662" t="s">
        <v>194</v>
      </c>
      <c r="B79" s="663" t="s">
        <v>195</v>
      </c>
      <c r="C79" s="663" t="s">
        <v>267</v>
      </c>
      <c r="D79" s="1015">
        <v>28</v>
      </c>
    </row>
    <row r="80" spans="1:4" s="666" customFormat="1">
      <c r="A80" s="662" t="s">
        <v>198</v>
      </c>
      <c r="B80" s="663" t="s">
        <v>272</v>
      </c>
      <c r="C80" s="663" t="s">
        <v>266</v>
      </c>
      <c r="D80" s="1015">
        <v>36</v>
      </c>
    </row>
    <row r="81" spans="1:4" s="666" customFormat="1">
      <c r="A81" s="662" t="s">
        <v>202</v>
      </c>
      <c r="B81" s="663" t="s">
        <v>301</v>
      </c>
      <c r="C81" s="663" t="s">
        <v>265</v>
      </c>
      <c r="D81" s="1015">
        <v>582</v>
      </c>
    </row>
    <row r="82" spans="1:4" s="666" customFormat="1">
      <c r="A82" s="662" t="s">
        <v>204</v>
      </c>
      <c r="B82" s="663" t="s">
        <v>293</v>
      </c>
      <c r="C82" s="663" t="s">
        <v>265</v>
      </c>
      <c r="D82" s="1015">
        <v>71</v>
      </c>
    </row>
    <row r="83" spans="1:4" s="666" customFormat="1">
      <c r="A83" s="662" t="s">
        <v>206</v>
      </c>
      <c r="B83" s="663" t="s">
        <v>294</v>
      </c>
      <c r="C83" s="663" t="s">
        <v>267</v>
      </c>
      <c r="D83" s="1015">
        <v>440</v>
      </c>
    </row>
    <row r="84" spans="1:4" s="666" customFormat="1">
      <c r="A84" s="662" t="s">
        <v>208</v>
      </c>
      <c r="B84" s="663" t="s">
        <v>209</v>
      </c>
      <c r="C84" s="663" t="s">
        <v>268</v>
      </c>
      <c r="D84" s="1015">
        <v>45</v>
      </c>
    </row>
    <row r="85" spans="1:4" s="666" customFormat="1">
      <c r="A85" s="662" t="s">
        <v>210</v>
      </c>
      <c r="B85" s="663" t="s">
        <v>211</v>
      </c>
      <c r="C85" s="663" t="s">
        <v>268</v>
      </c>
      <c r="D85" s="1015">
        <v>22</v>
      </c>
    </row>
    <row r="86" spans="1:4" s="666" customFormat="1">
      <c r="A86" s="662" t="s">
        <v>212</v>
      </c>
      <c r="B86" s="663" t="s">
        <v>213</v>
      </c>
      <c r="C86" s="663" t="s">
        <v>267</v>
      </c>
      <c r="D86" s="1015">
        <v>163</v>
      </c>
    </row>
    <row r="87" spans="1:4" s="666" customFormat="1">
      <c r="A87" s="662" t="s">
        <v>214</v>
      </c>
      <c r="B87" s="663" t="s">
        <v>215</v>
      </c>
      <c r="C87" s="663" t="s">
        <v>268</v>
      </c>
      <c r="D87" s="1015">
        <v>126</v>
      </c>
    </row>
    <row r="88" spans="1:4" s="666" customFormat="1">
      <c r="A88" s="662" t="s">
        <v>216</v>
      </c>
      <c r="B88" s="663" t="s">
        <v>217</v>
      </c>
      <c r="C88" s="663" t="s">
        <v>264</v>
      </c>
      <c r="D88" s="1015">
        <v>44</v>
      </c>
    </row>
    <row r="89" spans="1:4" s="666" customFormat="1">
      <c r="A89" s="662" t="s">
        <v>218</v>
      </c>
      <c r="B89" s="663" t="s">
        <v>219</v>
      </c>
      <c r="C89" s="663" t="s">
        <v>267</v>
      </c>
      <c r="D89" s="1015">
        <v>439</v>
      </c>
    </row>
    <row r="90" spans="1:4" s="666" customFormat="1">
      <c r="A90" s="662" t="s">
        <v>220</v>
      </c>
      <c r="B90" s="663" t="s">
        <v>221</v>
      </c>
      <c r="C90" s="663" t="s">
        <v>267</v>
      </c>
      <c r="D90" s="1015">
        <v>467</v>
      </c>
    </row>
    <row r="91" spans="1:4" s="666" customFormat="1">
      <c r="A91" s="662" t="s">
        <v>224</v>
      </c>
      <c r="B91" s="663" t="s">
        <v>225</v>
      </c>
      <c r="C91" s="663" t="s">
        <v>264</v>
      </c>
      <c r="D91" s="1015">
        <v>54</v>
      </c>
    </row>
    <row r="92" spans="1:4" s="666" customFormat="1">
      <c r="A92" s="662" t="s">
        <v>226</v>
      </c>
      <c r="B92" s="663" t="s">
        <v>227</v>
      </c>
      <c r="C92" s="663" t="s">
        <v>264</v>
      </c>
      <c r="D92" s="1015">
        <v>78</v>
      </c>
    </row>
    <row r="93" spans="1:4" s="666" customFormat="1">
      <c r="A93" s="662" t="s">
        <v>228</v>
      </c>
      <c r="B93" s="663" t="s">
        <v>229</v>
      </c>
      <c r="C93" s="663" t="s">
        <v>268</v>
      </c>
      <c r="D93" s="1015">
        <v>181</v>
      </c>
    </row>
    <row r="94" spans="1:4" s="666" customFormat="1">
      <c r="A94" s="662" t="s">
        <v>232</v>
      </c>
      <c r="B94" s="663" t="s">
        <v>233</v>
      </c>
      <c r="C94" s="663" t="s">
        <v>267</v>
      </c>
      <c r="D94" s="1015">
        <v>218</v>
      </c>
    </row>
    <row r="95" spans="1:4" s="666" customFormat="1">
      <c r="A95" s="662" t="s">
        <v>234</v>
      </c>
      <c r="B95" s="663" t="s">
        <v>235</v>
      </c>
      <c r="C95" s="663" t="s">
        <v>268</v>
      </c>
      <c r="D95" s="1015">
        <v>104</v>
      </c>
    </row>
    <row r="96" spans="1:4" s="666" customFormat="1">
      <c r="A96" s="662" t="s">
        <v>236</v>
      </c>
      <c r="B96" s="663" t="s">
        <v>237</v>
      </c>
      <c r="C96" s="663" t="s">
        <v>266</v>
      </c>
      <c r="D96" s="1015">
        <v>78</v>
      </c>
    </row>
    <row r="97" spans="1:4" s="666" customFormat="1">
      <c r="A97" s="662" t="s">
        <v>242</v>
      </c>
      <c r="B97" s="663" t="s">
        <v>243</v>
      </c>
      <c r="C97" s="663" t="s">
        <v>268</v>
      </c>
      <c r="D97" s="1015">
        <v>95</v>
      </c>
    </row>
    <row r="98" spans="1:4" s="666" customFormat="1">
      <c r="A98" s="662" t="s">
        <v>244</v>
      </c>
      <c r="B98" s="663" t="s">
        <v>245</v>
      </c>
      <c r="C98" s="663" t="s">
        <v>268</v>
      </c>
      <c r="D98" s="1015">
        <v>182</v>
      </c>
    </row>
    <row r="99" spans="1:4" s="666" customFormat="1">
      <c r="A99" s="662" t="s">
        <v>246</v>
      </c>
      <c r="B99" s="663" t="s">
        <v>247</v>
      </c>
      <c r="C99" s="663" t="s">
        <v>264</v>
      </c>
      <c r="D99" s="1015">
        <v>205</v>
      </c>
    </row>
    <row r="100" spans="1:4" s="666" customFormat="1">
      <c r="A100" s="662" t="s">
        <v>14</v>
      </c>
      <c r="B100" s="663" t="s">
        <v>15</v>
      </c>
      <c r="C100" s="663" t="s">
        <v>267</v>
      </c>
      <c r="D100" s="1015">
        <v>750</v>
      </c>
    </row>
    <row r="101" spans="1:4" s="666" customFormat="1">
      <c r="A101" s="662" t="s">
        <v>34</v>
      </c>
      <c r="B101" s="663" t="s">
        <v>35</v>
      </c>
      <c r="C101" s="663" t="s">
        <v>268</v>
      </c>
      <c r="D101" s="1015">
        <v>341</v>
      </c>
    </row>
    <row r="102" spans="1:4" s="666" customFormat="1">
      <c r="A102" s="662" t="s">
        <v>52</v>
      </c>
      <c r="B102" s="663" t="s">
        <v>53</v>
      </c>
      <c r="C102" s="663" t="s">
        <v>265</v>
      </c>
      <c r="D102" s="1015">
        <v>440</v>
      </c>
    </row>
    <row r="103" spans="1:4" s="666" customFormat="1">
      <c r="A103" s="662" t="s">
        <v>54</v>
      </c>
      <c r="B103" s="663" t="s">
        <v>55</v>
      </c>
      <c r="C103" s="663" t="s">
        <v>264</v>
      </c>
      <c r="D103" s="1015">
        <v>1452</v>
      </c>
    </row>
    <row r="104" spans="1:4" s="666" customFormat="1">
      <c r="A104" s="662" t="s">
        <v>66</v>
      </c>
      <c r="B104" s="663" t="s">
        <v>67</v>
      </c>
      <c r="C104" s="663" t="s">
        <v>265</v>
      </c>
      <c r="D104" s="1015">
        <v>569</v>
      </c>
    </row>
    <row r="105" spans="1:4" s="666" customFormat="1">
      <c r="A105" s="662" t="s">
        <v>82</v>
      </c>
      <c r="B105" s="663" t="s">
        <v>83</v>
      </c>
      <c r="C105" s="663" t="s">
        <v>264</v>
      </c>
      <c r="D105" s="1015">
        <v>84</v>
      </c>
    </row>
    <row r="106" spans="1:4" s="666" customFormat="1">
      <c r="A106" s="662" t="s">
        <v>88</v>
      </c>
      <c r="B106" s="663" t="s">
        <v>89</v>
      </c>
      <c r="C106" s="663" t="s">
        <v>267</v>
      </c>
      <c r="D106" s="1015">
        <v>327</v>
      </c>
    </row>
    <row r="107" spans="1:4" s="666" customFormat="1">
      <c r="A107" s="662" t="s">
        <v>90</v>
      </c>
      <c r="B107" s="663" t="s">
        <v>91</v>
      </c>
      <c r="C107" s="663" t="s">
        <v>268</v>
      </c>
      <c r="D107" s="1015">
        <v>65</v>
      </c>
    </row>
    <row r="108" spans="1:4" s="666" customFormat="1">
      <c r="A108" s="662" t="s">
        <v>106</v>
      </c>
      <c r="B108" s="663" t="s">
        <v>107</v>
      </c>
      <c r="C108" s="663" t="s">
        <v>264</v>
      </c>
      <c r="D108" s="1015">
        <v>1197</v>
      </c>
    </row>
    <row r="109" spans="1:4" s="666" customFormat="1">
      <c r="A109" s="662" t="s">
        <v>116</v>
      </c>
      <c r="B109" s="663" t="s">
        <v>117</v>
      </c>
      <c r="C109" s="663" t="s">
        <v>266</v>
      </c>
      <c r="D109" s="1015">
        <v>305</v>
      </c>
    </row>
    <row r="110" spans="1:4" s="666" customFormat="1">
      <c r="A110" s="662" t="s">
        <v>138</v>
      </c>
      <c r="B110" s="663" t="s">
        <v>139</v>
      </c>
      <c r="C110" s="663" t="s">
        <v>265</v>
      </c>
      <c r="D110" s="1015">
        <v>654</v>
      </c>
    </row>
    <row r="111" spans="1:4" s="666" customFormat="1">
      <c r="A111" s="662" t="s">
        <v>142</v>
      </c>
      <c r="B111" s="663" t="s">
        <v>143</v>
      </c>
      <c r="C111" s="663" t="s">
        <v>267</v>
      </c>
      <c r="D111" s="1015">
        <v>336</v>
      </c>
    </row>
    <row r="112" spans="1:4" s="666" customFormat="1">
      <c r="A112" s="662" t="s">
        <v>144</v>
      </c>
      <c r="B112" s="663" t="s">
        <v>145</v>
      </c>
      <c r="C112" s="663" t="s">
        <v>267</v>
      </c>
      <c r="D112" s="1015">
        <v>54</v>
      </c>
    </row>
    <row r="113" spans="1:5" s="666" customFormat="1">
      <c r="A113" s="662" t="s">
        <v>158</v>
      </c>
      <c r="B113" s="663" t="s">
        <v>159</v>
      </c>
      <c r="C113" s="663" t="s">
        <v>264</v>
      </c>
      <c r="D113" s="1015">
        <v>2361</v>
      </c>
    </row>
    <row r="114" spans="1:5" s="666" customFormat="1">
      <c r="A114" s="662" t="s">
        <v>160</v>
      </c>
      <c r="B114" s="663" t="s">
        <v>161</v>
      </c>
      <c r="C114" s="663" t="s">
        <v>264</v>
      </c>
      <c r="D114" s="1015">
        <v>2979</v>
      </c>
    </row>
    <row r="115" spans="1:5" s="666" customFormat="1">
      <c r="A115" s="662" t="s">
        <v>166</v>
      </c>
      <c r="B115" s="663" t="s">
        <v>167</v>
      </c>
      <c r="C115" s="663" t="s">
        <v>268</v>
      </c>
      <c r="D115" s="1015">
        <v>32</v>
      </c>
    </row>
    <row r="116" spans="1:5" s="666" customFormat="1">
      <c r="A116" s="662" t="s">
        <v>176</v>
      </c>
      <c r="B116" s="663" t="s">
        <v>177</v>
      </c>
      <c r="C116" s="663" t="s">
        <v>266</v>
      </c>
      <c r="D116" s="1015">
        <v>656</v>
      </c>
    </row>
    <row r="117" spans="1:5" s="666" customFormat="1">
      <c r="A117" s="662" t="s">
        <v>180</v>
      </c>
      <c r="B117" s="663" t="s">
        <v>181</v>
      </c>
      <c r="C117" s="663" t="s">
        <v>264</v>
      </c>
      <c r="D117" s="1015">
        <v>1017</v>
      </c>
    </row>
    <row r="118" spans="1:5" s="666" customFormat="1">
      <c r="A118" s="662" t="s">
        <v>192</v>
      </c>
      <c r="B118" s="663" t="s">
        <v>193</v>
      </c>
      <c r="C118" s="663" t="s">
        <v>268</v>
      </c>
      <c r="D118" s="1015">
        <v>80</v>
      </c>
    </row>
    <row r="119" spans="1:5" s="666" customFormat="1">
      <c r="A119" s="662" t="s">
        <v>196</v>
      </c>
      <c r="B119" s="663" t="s">
        <v>197</v>
      </c>
      <c r="C119" s="663" t="s">
        <v>266</v>
      </c>
      <c r="D119" s="1015">
        <v>3161</v>
      </c>
    </row>
    <row r="120" spans="1:5" s="666" customFormat="1">
      <c r="A120" s="662" t="s">
        <v>200</v>
      </c>
      <c r="B120" s="663" t="s">
        <v>201</v>
      </c>
      <c r="C120" s="663" t="s">
        <v>265</v>
      </c>
      <c r="D120" s="1015">
        <v>1363</v>
      </c>
    </row>
    <row r="121" spans="1:5" s="666" customFormat="1">
      <c r="A121" s="662" t="s">
        <v>222</v>
      </c>
      <c r="B121" s="663" t="s">
        <v>223</v>
      </c>
      <c r="C121" s="663" t="s">
        <v>264</v>
      </c>
      <c r="D121" s="1015">
        <v>415</v>
      </c>
    </row>
    <row r="122" spans="1:5" s="666" customFormat="1">
      <c r="A122" s="662" t="s">
        <v>230</v>
      </c>
      <c r="B122" s="663" t="s">
        <v>231</v>
      </c>
      <c r="C122" s="663" t="s">
        <v>264</v>
      </c>
      <c r="D122" s="1015">
        <v>2498</v>
      </c>
    </row>
    <row r="123" spans="1:5" s="666" customFormat="1">
      <c r="A123" s="662" t="s">
        <v>238</v>
      </c>
      <c r="B123" s="663" t="s">
        <v>239</v>
      </c>
      <c r="C123" s="663" t="s">
        <v>264</v>
      </c>
      <c r="D123" s="1015">
        <v>78</v>
      </c>
    </row>
    <row r="124" spans="1:5" s="666" customFormat="1">
      <c r="A124" s="662" t="s">
        <v>240</v>
      </c>
      <c r="B124" s="663" t="s">
        <v>241</v>
      </c>
      <c r="C124" s="663" t="s">
        <v>267</v>
      </c>
      <c r="D124" s="1015">
        <v>193</v>
      </c>
    </row>
    <row r="126" spans="1:5" ht="12.75" customHeight="1">
      <c r="A126" s="1916" t="s">
        <v>1210</v>
      </c>
      <c r="B126" s="1917"/>
      <c r="C126" s="1917"/>
      <c r="D126" s="1917"/>
      <c r="E126" s="1917"/>
    </row>
    <row r="127" spans="1:5">
      <c r="A127" s="1917"/>
      <c r="B127" s="1917"/>
      <c r="C127" s="1917"/>
      <c r="D127" s="1917"/>
      <c r="E127" s="1917"/>
    </row>
    <row r="128" spans="1:5" ht="18" customHeight="1">
      <c r="A128" s="1917"/>
      <c r="B128" s="1917"/>
      <c r="C128" s="1917"/>
      <c r="D128" s="1917"/>
      <c r="E128" s="1917"/>
    </row>
    <row r="129" spans="1:5">
      <c r="A129" s="1576"/>
      <c r="B129" s="1576"/>
      <c r="C129" s="1576"/>
      <c r="D129" s="1576"/>
      <c r="E129" s="1576"/>
    </row>
    <row r="130" spans="1:5" s="428" customFormat="1">
      <c r="A130" s="428" t="s">
        <v>248</v>
      </c>
    </row>
    <row r="131" spans="1:5" s="428" customFormat="1">
      <c r="A131" s="429" t="s">
        <v>249</v>
      </c>
      <c r="B131" s="430" t="s">
        <v>250</v>
      </c>
      <c r="C131" s="430"/>
    </row>
  </sheetData>
  <sortState ref="A5:F124">
    <sortCondition ref="A5:A124"/>
  </sortState>
  <mergeCells count="1">
    <mergeCell ref="A126:E128"/>
  </mergeCells>
  <hyperlinks>
    <hyperlink ref="B131" r:id="rId1"/>
  </hyperlinks>
  <pageMargins left="0.7" right="0.7" top="0.75" bottom="0.75" header="0.3" footer="0.3"/>
</worksheet>
</file>

<file path=xl/worksheets/sheet24.xml><?xml version="1.0" encoding="utf-8"?>
<worksheet xmlns="http://schemas.openxmlformats.org/spreadsheetml/2006/main" xmlns:r="http://schemas.openxmlformats.org/officeDocument/2006/relationships">
  <dimension ref="A1:H129"/>
  <sheetViews>
    <sheetView workbookViewId="0">
      <selection activeCell="A5" sqref="A5:XFD124"/>
    </sheetView>
  </sheetViews>
  <sheetFormatPr defaultRowHeight="15.75"/>
  <cols>
    <col min="1" max="1" width="5.875" style="558" customWidth="1"/>
    <col min="2" max="2" width="30.25" style="558" customWidth="1"/>
    <col min="3" max="3" width="12.375" style="558" customWidth="1"/>
    <col min="4" max="8" width="10.875" style="558" customWidth="1"/>
    <col min="9" max="9" width="2.5" style="558" customWidth="1"/>
    <col min="10" max="16384" width="9" style="558"/>
  </cols>
  <sheetData>
    <row r="1" spans="1:8">
      <c r="A1" s="258" t="s">
        <v>939</v>
      </c>
    </row>
    <row r="3" spans="1:8">
      <c r="A3" s="667" t="s">
        <v>4</v>
      </c>
      <c r="B3" s="621" t="s">
        <v>5</v>
      </c>
      <c r="C3" s="621" t="s">
        <v>251</v>
      </c>
      <c r="D3" s="673">
        <v>2010</v>
      </c>
      <c r="E3" s="673">
        <v>2011</v>
      </c>
      <c r="F3" s="673">
        <v>2012</v>
      </c>
      <c r="G3" s="673">
        <v>2013</v>
      </c>
      <c r="H3" s="673">
        <v>2014</v>
      </c>
    </row>
    <row r="4" spans="1:8">
      <c r="A4" s="626">
        <v>999</v>
      </c>
      <c r="B4" s="660" t="s">
        <v>9</v>
      </c>
      <c r="C4" s="622"/>
      <c r="D4" s="585">
        <v>63077</v>
      </c>
      <c r="E4" s="585">
        <v>63449</v>
      </c>
      <c r="F4" s="585">
        <v>59998</v>
      </c>
      <c r="G4" s="585">
        <v>56160</v>
      </c>
      <c r="H4" s="585">
        <v>50841</v>
      </c>
    </row>
    <row r="5" spans="1:8">
      <c r="A5" s="577" t="s">
        <v>10</v>
      </c>
      <c r="B5" s="623" t="s">
        <v>11</v>
      </c>
      <c r="C5" s="623" t="s">
        <v>264</v>
      </c>
      <c r="D5" s="571">
        <v>375</v>
      </c>
      <c r="E5" s="571">
        <v>374</v>
      </c>
      <c r="F5" s="571">
        <v>387</v>
      </c>
      <c r="G5" s="571">
        <v>379</v>
      </c>
      <c r="H5" s="571">
        <v>321</v>
      </c>
    </row>
    <row r="6" spans="1:8">
      <c r="A6" s="662" t="s">
        <v>12</v>
      </c>
      <c r="B6" s="663" t="s">
        <v>13</v>
      </c>
      <c r="C6" s="663" t="s">
        <v>265</v>
      </c>
      <c r="D6" s="664">
        <v>333</v>
      </c>
      <c r="E6" s="664">
        <v>309</v>
      </c>
      <c r="F6" s="664">
        <v>271</v>
      </c>
      <c r="G6" s="664">
        <v>292</v>
      </c>
      <c r="H6" s="664">
        <v>280</v>
      </c>
    </row>
    <row r="7" spans="1:8">
      <c r="A7" s="662" t="s">
        <v>16</v>
      </c>
      <c r="B7" s="663" t="s">
        <v>297</v>
      </c>
      <c r="C7" s="663" t="s">
        <v>265</v>
      </c>
      <c r="D7" s="664">
        <v>228</v>
      </c>
      <c r="E7" s="664">
        <v>220</v>
      </c>
      <c r="F7" s="664">
        <v>187</v>
      </c>
      <c r="G7" s="664">
        <v>188</v>
      </c>
      <c r="H7" s="664">
        <v>171</v>
      </c>
    </row>
    <row r="8" spans="1:8">
      <c r="A8" s="662" t="s">
        <v>18</v>
      </c>
      <c r="B8" s="663" t="s">
        <v>19</v>
      </c>
      <c r="C8" s="663" t="s">
        <v>266</v>
      </c>
      <c r="D8" s="664">
        <v>152</v>
      </c>
      <c r="E8" s="664">
        <v>147</v>
      </c>
      <c r="F8" s="664">
        <v>142</v>
      </c>
      <c r="G8" s="664">
        <v>129</v>
      </c>
      <c r="H8" s="664">
        <v>96</v>
      </c>
    </row>
    <row r="9" spans="1:8">
      <c r="A9" s="662" t="s">
        <v>20</v>
      </c>
      <c r="B9" s="663" t="s">
        <v>21</v>
      </c>
      <c r="C9" s="663" t="s">
        <v>265</v>
      </c>
      <c r="D9" s="664">
        <v>219</v>
      </c>
      <c r="E9" s="664">
        <v>196</v>
      </c>
      <c r="F9" s="664">
        <v>187</v>
      </c>
      <c r="G9" s="664">
        <v>192</v>
      </c>
      <c r="H9" s="664">
        <v>166</v>
      </c>
    </row>
    <row r="10" spans="1:8">
      <c r="A10" s="662" t="s">
        <v>22</v>
      </c>
      <c r="B10" s="663" t="s">
        <v>23</v>
      </c>
      <c r="C10" s="663" t="s">
        <v>265</v>
      </c>
      <c r="D10" s="664">
        <v>174</v>
      </c>
      <c r="E10" s="664">
        <v>162</v>
      </c>
      <c r="F10" s="664">
        <v>167</v>
      </c>
      <c r="G10" s="664">
        <v>177</v>
      </c>
      <c r="H10" s="664">
        <v>171</v>
      </c>
    </row>
    <row r="11" spans="1:8">
      <c r="A11" s="662" t="s">
        <v>24</v>
      </c>
      <c r="B11" s="663" t="s">
        <v>25</v>
      </c>
      <c r="C11" s="663" t="s">
        <v>267</v>
      </c>
      <c r="D11" s="664">
        <v>605</v>
      </c>
      <c r="E11" s="664">
        <v>574</v>
      </c>
      <c r="F11" s="664">
        <v>535</v>
      </c>
      <c r="G11" s="664">
        <v>478</v>
      </c>
      <c r="H11" s="664">
        <v>416</v>
      </c>
    </row>
    <row r="12" spans="1:8">
      <c r="A12" s="662" t="s">
        <v>26</v>
      </c>
      <c r="B12" s="663" t="s">
        <v>706</v>
      </c>
      <c r="C12" s="663" t="s">
        <v>265</v>
      </c>
      <c r="D12" s="664">
        <v>1272</v>
      </c>
      <c r="E12" s="664">
        <v>1224</v>
      </c>
      <c r="F12" s="664">
        <v>1139</v>
      </c>
      <c r="G12" s="664">
        <v>1087</v>
      </c>
      <c r="H12" s="664">
        <v>934</v>
      </c>
    </row>
    <row r="13" spans="1:8">
      <c r="A13" s="662" t="s">
        <v>27</v>
      </c>
      <c r="B13" s="663" t="s">
        <v>28</v>
      </c>
      <c r="C13" s="663" t="s">
        <v>265</v>
      </c>
      <c r="D13" s="664">
        <v>18</v>
      </c>
      <c r="E13" s="664">
        <v>15</v>
      </c>
      <c r="F13" s="664">
        <v>14</v>
      </c>
      <c r="G13" s="664">
        <v>9</v>
      </c>
      <c r="H13" s="664">
        <v>9</v>
      </c>
    </row>
    <row r="14" spans="1:8">
      <c r="A14" s="662" t="s">
        <v>29</v>
      </c>
      <c r="B14" s="663" t="s">
        <v>1012</v>
      </c>
      <c r="C14" s="663" t="s">
        <v>265</v>
      </c>
      <c r="D14" s="664">
        <v>431</v>
      </c>
      <c r="E14" s="664">
        <v>470</v>
      </c>
      <c r="F14" s="664">
        <v>427</v>
      </c>
      <c r="G14" s="664">
        <v>387</v>
      </c>
      <c r="H14" s="664">
        <v>405</v>
      </c>
    </row>
    <row r="15" spans="1:8">
      <c r="A15" s="662" t="s">
        <v>30</v>
      </c>
      <c r="B15" s="663" t="s">
        <v>31</v>
      </c>
      <c r="C15" s="663" t="s">
        <v>268</v>
      </c>
      <c r="D15" s="664">
        <v>27</v>
      </c>
      <c r="E15" s="664">
        <v>41</v>
      </c>
      <c r="F15" s="664">
        <v>37</v>
      </c>
      <c r="G15" s="664">
        <v>30</v>
      </c>
      <c r="H15" s="664">
        <v>29</v>
      </c>
    </row>
    <row r="16" spans="1:8">
      <c r="A16" s="662" t="s">
        <v>32</v>
      </c>
      <c r="B16" s="663" t="s">
        <v>33</v>
      </c>
      <c r="C16" s="663" t="s">
        <v>265</v>
      </c>
      <c r="D16" s="664">
        <v>88</v>
      </c>
      <c r="E16" s="664">
        <v>90</v>
      </c>
      <c r="F16" s="664">
        <v>90</v>
      </c>
      <c r="G16" s="664">
        <v>80</v>
      </c>
      <c r="H16" s="664">
        <v>70</v>
      </c>
    </row>
    <row r="17" spans="1:8">
      <c r="A17" s="662" t="s">
        <v>36</v>
      </c>
      <c r="B17" s="663" t="s">
        <v>37</v>
      </c>
      <c r="C17" s="663" t="s">
        <v>264</v>
      </c>
      <c r="D17" s="664">
        <v>233</v>
      </c>
      <c r="E17" s="664">
        <v>220</v>
      </c>
      <c r="F17" s="664">
        <v>214</v>
      </c>
      <c r="G17" s="664">
        <v>194</v>
      </c>
      <c r="H17" s="664">
        <v>180</v>
      </c>
    </row>
    <row r="18" spans="1:8">
      <c r="A18" s="662" t="s">
        <v>38</v>
      </c>
      <c r="B18" s="663" t="s">
        <v>39</v>
      </c>
      <c r="C18" s="663" t="s">
        <v>268</v>
      </c>
      <c r="D18" s="664">
        <v>310</v>
      </c>
      <c r="E18" s="664">
        <v>261</v>
      </c>
      <c r="F18" s="664">
        <v>223</v>
      </c>
      <c r="G18" s="664">
        <v>263</v>
      </c>
      <c r="H18" s="664">
        <v>254</v>
      </c>
    </row>
    <row r="19" spans="1:8">
      <c r="A19" s="662" t="s">
        <v>40</v>
      </c>
      <c r="B19" s="663" t="s">
        <v>41</v>
      </c>
      <c r="C19" s="663" t="s">
        <v>266</v>
      </c>
      <c r="D19" s="664">
        <v>178</v>
      </c>
      <c r="E19" s="664">
        <v>142</v>
      </c>
      <c r="F19" s="664">
        <v>137</v>
      </c>
      <c r="G19" s="664">
        <v>135</v>
      </c>
      <c r="H19" s="664">
        <v>117</v>
      </c>
    </row>
    <row r="20" spans="1:8">
      <c r="A20" s="662" t="s">
        <v>42</v>
      </c>
      <c r="B20" s="663" t="s">
        <v>43</v>
      </c>
      <c r="C20" s="663" t="s">
        <v>265</v>
      </c>
      <c r="D20" s="664">
        <v>540</v>
      </c>
      <c r="E20" s="664">
        <v>544</v>
      </c>
      <c r="F20" s="664">
        <v>560</v>
      </c>
      <c r="G20" s="664">
        <v>498</v>
      </c>
      <c r="H20" s="664">
        <v>437</v>
      </c>
    </row>
    <row r="21" spans="1:8">
      <c r="A21" s="662" t="s">
        <v>44</v>
      </c>
      <c r="B21" s="663" t="s">
        <v>45</v>
      </c>
      <c r="C21" s="663" t="s">
        <v>266</v>
      </c>
      <c r="D21" s="664">
        <v>380</v>
      </c>
      <c r="E21" s="664">
        <v>390</v>
      </c>
      <c r="F21" s="664">
        <v>355</v>
      </c>
      <c r="G21" s="664">
        <v>332</v>
      </c>
      <c r="H21" s="664">
        <v>295</v>
      </c>
    </row>
    <row r="22" spans="1:8">
      <c r="A22" s="662" t="s">
        <v>46</v>
      </c>
      <c r="B22" s="663" t="s">
        <v>47</v>
      </c>
      <c r="C22" s="663" t="s">
        <v>268</v>
      </c>
      <c r="D22" s="664">
        <v>258</v>
      </c>
      <c r="E22" s="664">
        <v>233</v>
      </c>
      <c r="F22" s="664">
        <v>242</v>
      </c>
      <c r="G22" s="664">
        <v>205</v>
      </c>
      <c r="H22" s="664">
        <v>174</v>
      </c>
    </row>
    <row r="23" spans="1:8">
      <c r="A23" s="662" t="s">
        <v>48</v>
      </c>
      <c r="B23" s="663" t="s">
        <v>269</v>
      </c>
      <c r="C23" s="663" t="s">
        <v>266</v>
      </c>
      <c r="D23" s="664">
        <v>38</v>
      </c>
      <c r="E23" s="664">
        <v>53</v>
      </c>
      <c r="F23" s="664">
        <v>46</v>
      </c>
      <c r="G23" s="664">
        <v>38</v>
      </c>
      <c r="H23" s="664">
        <v>31</v>
      </c>
    </row>
    <row r="24" spans="1:8">
      <c r="A24" s="662" t="s">
        <v>50</v>
      </c>
      <c r="B24" s="663" t="s">
        <v>51</v>
      </c>
      <c r="C24" s="663" t="s">
        <v>265</v>
      </c>
      <c r="D24" s="664">
        <v>152</v>
      </c>
      <c r="E24" s="664">
        <v>150</v>
      </c>
      <c r="F24" s="664">
        <v>157</v>
      </c>
      <c r="G24" s="664">
        <v>158</v>
      </c>
      <c r="H24" s="664">
        <v>129</v>
      </c>
    </row>
    <row r="25" spans="1:8">
      <c r="A25" s="662" t="s">
        <v>56</v>
      </c>
      <c r="B25" s="663" t="s">
        <v>295</v>
      </c>
      <c r="C25" s="663" t="s">
        <v>266</v>
      </c>
      <c r="D25" s="664">
        <v>2119</v>
      </c>
      <c r="E25" s="664">
        <v>2155</v>
      </c>
      <c r="F25" s="664">
        <v>2054</v>
      </c>
      <c r="G25" s="664">
        <v>1901</v>
      </c>
      <c r="H25" s="664">
        <v>1640</v>
      </c>
    </row>
    <row r="26" spans="1:8">
      <c r="A26" s="662" t="s">
        <v>58</v>
      </c>
      <c r="B26" s="663" t="s">
        <v>59</v>
      </c>
      <c r="C26" s="663" t="s">
        <v>267</v>
      </c>
      <c r="D26" s="664">
        <v>41</v>
      </c>
      <c r="E26" s="664">
        <v>43</v>
      </c>
      <c r="F26" s="664">
        <v>40</v>
      </c>
      <c r="G26" s="664">
        <v>38</v>
      </c>
      <c r="H26" s="664">
        <v>29</v>
      </c>
    </row>
    <row r="27" spans="1:8">
      <c r="A27" s="662" t="s">
        <v>60</v>
      </c>
      <c r="B27" s="663" t="s">
        <v>61</v>
      </c>
      <c r="C27" s="663" t="s">
        <v>265</v>
      </c>
      <c r="D27" s="664">
        <v>21</v>
      </c>
      <c r="E27" s="664">
        <v>24</v>
      </c>
      <c r="F27" s="664">
        <v>26</v>
      </c>
      <c r="G27" s="664">
        <v>21</v>
      </c>
      <c r="H27" s="664">
        <v>22</v>
      </c>
    </row>
    <row r="28" spans="1:8">
      <c r="A28" s="662" t="s">
        <v>62</v>
      </c>
      <c r="B28" s="663" t="s">
        <v>63</v>
      </c>
      <c r="C28" s="663" t="s">
        <v>267</v>
      </c>
      <c r="D28" s="664">
        <v>386</v>
      </c>
      <c r="E28" s="664">
        <v>364</v>
      </c>
      <c r="F28" s="664">
        <v>338</v>
      </c>
      <c r="G28" s="664">
        <v>337</v>
      </c>
      <c r="H28" s="664">
        <v>291</v>
      </c>
    </row>
    <row r="29" spans="1:8">
      <c r="A29" s="662" t="s">
        <v>64</v>
      </c>
      <c r="B29" s="663" t="s">
        <v>65</v>
      </c>
      <c r="C29" s="663" t="s">
        <v>266</v>
      </c>
      <c r="D29" s="664">
        <v>122</v>
      </c>
      <c r="E29" s="664">
        <v>123</v>
      </c>
      <c r="F29" s="664">
        <v>115</v>
      </c>
      <c r="G29" s="664">
        <v>131</v>
      </c>
      <c r="H29" s="664">
        <v>105</v>
      </c>
    </row>
    <row r="30" spans="1:8">
      <c r="A30" s="662" t="s">
        <v>68</v>
      </c>
      <c r="B30" s="663" t="s">
        <v>69</v>
      </c>
      <c r="C30" s="663" t="s">
        <v>268</v>
      </c>
      <c r="D30" s="664">
        <v>195</v>
      </c>
      <c r="E30" s="664">
        <v>174</v>
      </c>
      <c r="F30" s="664">
        <v>158</v>
      </c>
      <c r="G30" s="664">
        <v>132</v>
      </c>
      <c r="H30" s="664">
        <v>129</v>
      </c>
    </row>
    <row r="31" spans="1:8">
      <c r="A31" s="662" t="s">
        <v>70</v>
      </c>
      <c r="B31" s="663" t="s">
        <v>71</v>
      </c>
      <c r="C31" s="663" t="s">
        <v>264</v>
      </c>
      <c r="D31" s="664">
        <v>282</v>
      </c>
      <c r="E31" s="664">
        <v>269</v>
      </c>
      <c r="F31" s="664">
        <v>258</v>
      </c>
      <c r="G31" s="664">
        <v>252</v>
      </c>
      <c r="H31" s="664">
        <v>253</v>
      </c>
    </row>
    <row r="32" spans="1:8">
      <c r="A32" s="662" t="s">
        <v>72</v>
      </c>
      <c r="B32" s="663" t="s">
        <v>73</v>
      </c>
      <c r="C32" s="663" t="s">
        <v>266</v>
      </c>
      <c r="D32" s="664">
        <v>174</v>
      </c>
      <c r="E32" s="664">
        <v>153</v>
      </c>
      <c r="F32" s="664">
        <v>157</v>
      </c>
      <c r="G32" s="664">
        <v>132</v>
      </c>
      <c r="H32" s="664">
        <v>122</v>
      </c>
    </row>
    <row r="33" spans="1:8">
      <c r="A33" s="662" t="s">
        <v>74</v>
      </c>
      <c r="B33" s="663" t="s">
        <v>296</v>
      </c>
      <c r="C33" s="663" t="s">
        <v>267</v>
      </c>
      <c r="D33" s="664">
        <v>2998</v>
      </c>
      <c r="E33" s="664">
        <v>3111</v>
      </c>
      <c r="F33" s="664">
        <v>2893</v>
      </c>
      <c r="G33" s="664">
        <v>2797</v>
      </c>
      <c r="H33" s="664">
        <v>2474</v>
      </c>
    </row>
    <row r="34" spans="1:8">
      <c r="A34" s="662" t="s">
        <v>76</v>
      </c>
      <c r="B34" s="663" t="s">
        <v>77</v>
      </c>
      <c r="C34" s="663" t="s">
        <v>267</v>
      </c>
      <c r="D34" s="664">
        <v>240</v>
      </c>
      <c r="E34" s="664">
        <v>228</v>
      </c>
      <c r="F34" s="664">
        <v>219</v>
      </c>
      <c r="G34" s="664">
        <v>186</v>
      </c>
      <c r="H34" s="664">
        <v>158</v>
      </c>
    </row>
    <row r="35" spans="1:8">
      <c r="A35" s="662" t="s">
        <v>78</v>
      </c>
      <c r="B35" s="663" t="s">
        <v>79</v>
      </c>
      <c r="C35" s="663" t="s">
        <v>268</v>
      </c>
      <c r="D35" s="664">
        <v>96</v>
      </c>
      <c r="E35" s="664">
        <v>112</v>
      </c>
      <c r="F35" s="664">
        <v>118</v>
      </c>
      <c r="G35" s="664">
        <v>118</v>
      </c>
      <c r="H35" s="664">
        <v>92</v>
      </c>
    </row>
    <row r="36" spans="1:8">
      <c r="A36" s="662" t="s">
        <v>80</v>
      </c>
      <c r="B36" s="663" t="s">
        <v>81</v>
      </c>
      <c r="C36" s="663" t="s">
        <v>266</v>
      </c>
      <c r="D36" s="664">
        <v>75</v>
      </c>
      <c r="E36" s="664">
        <v>99</v>
      </c>
      <c r="F36" s="664">
        <v>109</v>
      </c>
      <c r="G36" s="664">
        <v>105</v>
      </c>
      <c r="H36" s="664">
        <v>87</v>
      </c>
    </row>
    <row r="37" spans="1:8">
      <c r="A37" s="662" t="s">
        <v>84</v>
      </c>
      <c r="B37" s="663" t="s">
        <v>85</v>
      </c>
      <c r="C37" s="663" t="s">
        <v>265</v>
      </c>
      <c r="D37" s="664">
        <v>469</v>
      </c>
      <c r="E37" s="664">
        <v>501</v>
      </c>
      <c r="F37" s="664">
        <v>449</v>
      </c>
      <c r="G37" s="664">
        <v>422</v>
      </c>
      <c r="H37" s="664">
        <v>387</v>
      </c>
    </row>
    <row r="38" spans="1:8">
      <c r="A38" s="662" t="s">
        <v>86</v>
      </c>
      <c r="B38" s="663" t="s">
        <v>87</v>
      </c>
      <c r="C38" s="663" t="s">
        <v>267</v>
      </c>
      <c r="D38" s="664">
        <v>350</v>
      </c>
      <c r="E38" s="664">
        <v>385</v>
      </c>
      <c r="F38" s="664">
        <v>362</v>
      </c>
      <c r="G38" s="664">
        <v>326</v>
      </c>
      <c r="H38" s="664">
        <v>218</v>
      </c>
    </row>
    <row r="39" spans="1:8">
      <c r="A39" s="662" t="s">
        <v>92</v>
      </c>
      <c r="B39" s="663" t="s">
        <v>93</v>
      </c>
      <c r="C39" s="663" t="s">
        <v>268</v>
      </c>
      <c r="D39" s="664">
        <v>95</v>
      </c>
      <c r="E39" s="664">
        <v>115</v>
      </c>
      <c r="F39" s="664">
        <v>105</v>
      </c>
      <c r="G39" s="664">
        <v>121</v>
      </c>
      <c r="H39" s="664">
        <v>87</v>
      </c>
    </row>
    <row r="40" spans="1:8">
      <c r="A40" s="662" t="s">
        <v>94</v>
      </c>
      <c r="B40" s="663" t="s">
        <v>95</v>
      </c>
      <c r="C40" s="663" t="s">
        <v>264</v>
      </c>
      <c r="D40" s="664">
        <v>249</v>
      </c>
      <c r="E40" s="664">
        <v>219</v>
      </c>
      <c r="F40" s="664">
        <v>204</v>
      </c>
      <c r="G40" s="664">
        <v>184</v>
      </c>
      <c r="H40" s="664">
        <v>200</v>
      </c>
    </row>
    <row r="41" spans="1:8">
      <c r="A41" s="662" t="s">
        <v>96</v>
      </c>
      <c r="B41" s="663" t="s">
        <v>97</v>
      </c>
      <c r="C41" s="663" t="s">
        <v>266</v>
      </c>
      <c r="D41" s="664">
        <v>81</v>
      </c>
      <c r="E41" s="664">
        <v>94</v>
      </c>
      <c r="F41" s="664">
        <v>79</v>
      </c>
      <c r="G41" s="664">
        <v>66</v>
      </c>
      <c r="H41" s="664">
        <v>47</v>
      </c>
    </row>
    <row r="42" spans="1:8">
      <c r="A42" s="662" t="s">
        <v>98</v>
      </c>
      <c r="B42" s="663" t="s">
        <v>99</v>
      </c>
      <c r="C42" s="663" t="s">
        <v>268</v>
      </c>
      <c r="D42" s="664">
        <v>106</v>
      </c>
      <c r="E42" s="664">
        <v>95</v>
      </c>
      <c r="F42" s="664">
        <v>97</v>
      </c>
      <c r="G42" s="664">
        <v>90</v>
      </c>
      <c r="H42" s="664">
        <v>86</v>
      </c>
    </row>
    <row r="43" spans="1:8">
      <c r="A43" s="662" t="s">
        <v>100</v>
      </c>
      <c r="B43" s="663" t="s">
        <v>101</v>
      </c>
      <c r="C43" s="663" t="s">
        <v>267</v>
      </c>
      <c r="D43" s="664">
        <v>117</v>
      </c>
      <c r="E43" s="664">
        <v>114</v>
      </c>
      <c r="F43" s="664">
        <v>105</v>
      </c>
      <c r="G43" s="664">
        <v>81</v>
      </c>
      <c r="H43" s="664">
        <v>72</v>
      </c>
    </row>
    <row r="44" spans="1:8">
      <c r="A44" s="662" t="s">
        <v>102</v>
      </c>
      <c r="B44" s="663" t="s">
        <v>282</v>
      </c>
      <c r="C44" s="663" t="s">
        <v>264</v>
      </c>
      <c r="D44" s="664">
        <v>268</v>
      </c>
      <c r="E44" s="664">
        <v>301</v>
      </c>
      <c r="F44" s="664">
        <v>275</v>
      </c>
      <c r="G44" s="664">
        <v>282</v>
      </c>
      <c r="H44" s="664">
        <v>279</v>
      </c>
    </row>
    <row r="45" spans="1:8">
      <c r="A45" s="662" t="s">
        <v>104</v>
      </c>
      <c r="B45" s="663" t="s">
        <v>105</v>
      </c>
      <c r="C45" s="663" t="s">
        <v>265</v>
      </c>
      <c r="D45" s="664">
        <v>482</v>
      </c>
      <c r="E45" s="664">
        <v>454</v>
      </c>
      <c r="F45" s="664">
        <v>403</v>
      </c>
      <c r="G45" s="664">
        <v>370</v>
      </c>
      <c r="H45" s="664">
        <v>336</v>
      </c>
    </row>
    <row r="46" spans="1:8">
      <c r="A46" s="662" t="s">
        <v>108</v>
      </c>
      <c r="B46" s="663" t="s">
        <v>109</v>
      </c>
      <c r="C46" s="663" t="s">
        <v>266</v>
      </c>
      <c r="D46" s="664">
        <v>345</v>
      </c>
      <c r="E46" s="664">
        <v>359</v>
      </c>
      <c r="F46" s="664">
        <v>315</v>
      </c>
      <c r="G46" s="664">
        <v>280</v>
      </c>
      <c r="H46" s="664">
        <v>264</v>
      </c>
    </row>
    <row r="47" spans="1:8">
      <c r="A47" s="662" t="s">
        <v>110</v>
      </c>
      <c r="B47" s="663" t="s">
        <v>111</v>
      </c>
      <c r="C47" s="663" t="s">
        <v>266</v>
      </c>
      <c r="D47" s="664">
        <v>2779</v>
      </c>
      <c r="E47" s="664">
        <v>2873</v>
      </c>
      <c r="F47" s="664">
        <v>2760</v>
      </c>
      <c r="G47" s="664">
        <v>2452</v>
      </c>
      <c r="H47" s="664">
        <v>2188</v>
      </c>
    </row>
    <row r="48" spans="1:8">
      <c r="A48" s="662" t="s">
        <v>112</v>
      </c>
      <c r="B48" s="663" t="s">
        <v>300</v>
      </c>
      <c r="C48" s="663" t="s">
        <v>265</v>
      </c>
      <c r="D48" s="664">
        <v>1049</v>
      </c>
      <c r="E48" s="664">
        <v>1036</v>
      </c>
      <c r="F48" s="664">
        <v>921</v>
      </c>
      <c r="G48" s="664">
        <v>831</v>
      </c>
      <c r="H48" s="664">
        <v>766</v>
      </c>
    </row>
    <row r="49" spans="1:8">
      <c r="A49" s="662" t="s">
        <v>114</v>
      </c>
      <c r="B49" s="663" t="s">
        <v>115</v>
      </c>
      <c r="C49" s="663" t="s">
        <v>265</v>
      </c>
      <c r="D49" s="664">
        <v>1</v>
      </c>
      <c r="E49" s="664">
        <v>3</v>
      </c>
      <c r="F49" s="664">
        <v>3</v>
      </c>
      <c r="G49" s="664">
        <v>4</v>
      </c>
      <c r="H49" s="664">
        <v>5</v>
      </c>
    </row>
    <row r="50" spans="1:8">
      <c r="A50" s="662" t="s">
        <v>118</v>
      </c>
      <c r="B50" s="663" t="s">
        <v>270</v>
      </c>
      <c r="C50" s="663" t="s">
        <v>264</v>
      </c>
      <c r="D50" s="664">
        <v>296</v>
      </c>
      <c r="E50" s="664">
        <v>298</v>
      </c>
      <c r="F50" s="664">
        <v>255</v>
      </c>
      <c r="G50" s="664">
        <v>234</v>
      </c>
      <c r="H50" s="664">
        <v>203</v>
      </c>
    </row>
    <row r="51" spans="1:8">
      <c r="A51" s="662" t="s">
        <v>120</v>
      </c>
      <c r="B51" s="663" t="s">
        <v>121</v>
      </c>
      <c r="C51" s="663" t="s">
        <v>264</v>
      </c>
      <c r="D51" s="664">
        <v>285</v>
      </c>
      <c r="E51" s="664">
        <v>306</v>
      </c>
      <c r="F51" s="664">
        <v>303</v>
      </c>
      <c r="G51" s="664">
        <v>318</v>
      </c>
      <c r="H51" s="664">
        <v>276</v>
      </c>
    </row>
    <row r="52" spans="1:8">
      <c r="A52" s="662" t="s">
        <v>122</v>
      </c>
      <c r="B52" s="663" t="s">
        <v>287</v>
      </c>
      <c r="C52" s="663" t="s">
        <v>266</v>
      </c>
      <c r="D52" s="664">
        <v>62</v>
      </c>
      <c r="E52" s="664">
        <v>59</v>
      </c>
      <c r="F52" s="664">
        <v>55</v>
      </c>
      <c r="G52" s="664">
        <v>48</v>
      </c>
      <c r="H52" s="664">
        <v>49</v>
      </c>
    </row>
    <row r="53" spans="1:8">
      <c r="A53" s="662" t="s">
        <v>124</v>
      </c>
      <c r="B53" s="663" t="s">
        <v>125</v>
      </c>
      <c r="C53" s="663" t="s">
        <v>267</v>
      </c>
      <c r="D53" s="664">
        <v>105</v>
      </c>
      <c r="E53" s="664">
        <v>113</v>
      </c>
      <c r="F53" s="664">
        <v>111</v>
      </c>
      <c r="G53" s="664">
        <v>118</v>
      </c>
      <c r="H53" s="664">
        <v>114</v>
      </c>
    </row>
    <row r="54" spans="1:8">
      <c r="A54" s="662" t="s">
        <v>126</v>
      </c>
      <c r="B54" s="663" t="s">
        <v>127</v>
      </c>
      <c r="C54" s="663" t="s">
        <v>266</v>
      </c>
      <c r="D54" s="664">
        <v>107</v>
      </c>
      <c r="E54" s="664">
        <v>106</v>
      </c>
      <c r="F54" s="664">
        <v>88</v>
      </c>
      <c r="G54" s="664">
        <v>79</v>
      </c>
      <c r="H54" s="664">
        <v>76</v>
      </c>
    </row>
    <row r="55" spans="1:8">
      <c r="A55" s="662" t="s">
        <v>128</v>
      </c>
      <c r="B55" s="663" t="s">
        <v>129</v>
      </c>
      <c r="C55" s="663" t="s">
        <v>266</v>
      </c>
      <c r="D55" s="664">
        <v>81</v>
      </c>
      <c r="E55" s="664">
        <v>86</v>
      </c>
      <c r="F55" s="664">
        <v>92</v>
      </c>
      <c r="G55" s="664">
        <v>73</v>
      </c>
      <c r="H55" s="664">
        <v>73</v>
      </c>
    </row>
    <row r="56" spans="1:8">
      <c r="A56" s="662" t="s">
        <v>130</v>
      </c>
      <c r="B56" s="663" t="s">
        <v>131</v>
      </c>
      <c r="C56" s="663" t="s">
        <v>268</v>
      </c>
      <c r="D56" s="664">
        <v>482</v>
      </c>
      <c r="E56" s="664">
        <v>507</v>
      </c>
      <c r="F56" s="664">
        <v>503</v>
      </c>
      <c r="G56" s="664">
        <v>500</v>
      </c>
      <c r="H56" s="664">
        <v>445</v>
      </c>
    </row>
    <row r="57" spans="1:8">
      <c r="A57" s="662" t="s">
        <v>132</v>
      </c>
      <c r="B57" s="663" t="s">
        <v>133</v>
      </c>
      <c r="C57" s="663" t="s">
        <v>267</v>
      </c>
      <c r="D57" s="664">
        <v>599</v>
      </c>
      <c r="E57" s="664">
        <v>514</v>
      </c>
      <c r="F57" s="664">
        <v>513</v>
      </c>
      <c r="G57" s="664">
        <v>481</v>
      </c>
      <c r="H57" s="664">
        <v>415</v>
      </c>
    </row>
    <row r="58" spans="1:8">
      <c r="A58" s="662" t="s">
        <v>134</v>
      </c>
      <c r="B58" s="663" t="s">
        <v>135</v>
      </c>
      <c r="C58" s="663" t="s">
        <v>267</v>
      </c>
      <c r="D58" s="664">
        <v>218</v>
      </c>
      <c r="E58" s="664">
        <v>221</v>
      </c>
      <c r="F58" s="664">
        <v>189</v>
      </c>
      <c r="G58" s="664">
        <v>200</v>
      </c>
      <c r="H58" s="664">
        <v>194</v>
      </c>
    </row>
    <row r="59" spans="1:8">
      <c r="A59" s="662" t="s">
        <v>136</v>
      </c>
      <c r="B59" s="663" t="s">
        <v>137</v>
      </c>
      <c r="C59" s="663" t="s">
        <v>266</v>
      </c>
      <c r="D59" s="664">
        <v>99</v>
      </c>
      <c r="E59" s="664">
        <v>120</v>
      </c>
      <c r="F59" s="664">
        <v>132</v>
      </c>
      <c r="G59" s="664">
        <v>115</v>
      </c>
      <c r="H59" s="664">
        <v>101</v>
      </c>
    </row>
    <row r="60" spans="1:8">
      <c r="A60" s="662" t="s">
        <v>140</v>
      </c>
      <c r="B60" s="663" t="s">
        <v>141</v>
      </c>
      <c r="C60" s="663" t="s">
        <v>267</v>
      </c>
      <c r="D60" s="664">
        <v>61</v>
      </c>
      <c r="E60" s="664">
        <v>59</v>
      </c>
      <c r="F60" s="664">
        <v>55</v>
      </c>
      <c r="G60" s="664">
        <v>55</v>
      </c>
      <c r="H60" s="664">
        <v>52</v>
      </c>
    </row>
    <row r="61" spans="1:8">
      <c r="A61" s="662" t="s">
        <v>146</v>
      </c>
      <c r="B61" s="663" t="s">
        <v>147</v>
      </c>
      <c r="C61" s="663" t="s">
        <v>264</v>
      </c>
      <c r="D61" s="664">
        <v>46</v>
      </c>
      <c r="E61" s="664">
        <v>45</v>
      </c>
      <c r="F61" s="664">
        <v>41</v>
      </c>
      <c r="G61" s="664">
        <v>48</v>
      </c>
      <c r="H61" s="664">
        <v>40</v>
      </c>
    </row>
    <row r="62" spans="1:8">
      <c r="A62" s="662" t="s">
        <v>148</v>
      </c>
      <c r="B62" s="663" t="s">
        <v>149</v>
      </c>
      <c r="C62" s="663" t="s">
        <v>265</v>
      </c>
      <c r="D62" s="664">
        <v>348</v>
      </c>
      <c r="E62" s="664">
        <v>322</v>
      </c>
      <c r="F62" s="664">
        <v>300</v>
      </c>
      <c r="G62" s="664">
        <v>299</v>
      </c>
      <c r="H62" s="664">
        <v>298</v>
      </c>
    </row>
    <row r="63" spans="1:8">
      <c r="A63" s="662" t="s">
        <v>150</v>
      </c>
      <c r="B63" s="663" t="s">
        <v>151</v>
      </c>
      <c r="C63" s="663" t="s">
        <v>266</v>
      </c>
      <c r="D63" s="664">
        <v>85</v>
      </c>
      <c r="E63" s="664">
        <v>77</v>
      </c>
      <c r="F63" s="664">
        <v>87</v>
      </c>
      <c r="G63" s="664">
        <v>94</v>
      </c>
      <c r="H63" s="664">
        <v>111</v>
      </c>
    </row>
    <row r="64" spans="1:8">
      <c r="A64" s="662" t="s">
        <v>152</v>
      </c>
      <c r="B64" s="663" t="s">
        <v>153</v>
      </c>
      <c r="C64" s="663" t="s">
        <v>268</v>
      </c>
      <c r="D64" s="664">
        <v>720</v>
      </c>
      <c r="E64" s="664">
        <v>731</v>
      </c>
      <c r="F64" s="664">
        <v>659</v>
      </c>
      <c r="G64" s="664">
        <v>570</v>
      </c>
      <c r="H64" s="664">
        <v>517</v>
      </c>
    </row>
    <row r="65" spans="1:8">
      <c r="A65" s="662" t="s">
        <v>154</v>
      </c>
      <c r="B65" s="663" t="s">
        <v>155</v>
      </c>
      <c r="C65" s="663" t="s">
        <v>265</v>
      </c>
      <c r="D65" s="664">
        <v>84</v>
      </c>
      <c r="E65" s="664">
        <v>76</v>
      </c>
      <c r="F65" s="664">
        <v>80</v>
      </c>
      <c r="G65" s="664">
        <v>74</v>
      </c>
      <c r="H65" s="664">
        <v>67</v>
      </c>
    </row>
    <row r="66" spans="1:8">
      <c r="A66" s="662" t="s">
        <v>156</v>
      </c>
      <c r="B66" s="663" t="s">
        <v>157</v>
      </c>
      <c r="C66" s="663" t="s">
        <v>266</v>
      </c>
      <c r="D66" s="664">
        <v>83</v>
      </c>
      <c r="E66" s="664">
        <v>91</v>
      </c>
      <c r="F66" s="664">
        <v>97</v>
      </c>
      <c r="G66" s="664">
        <v>81</v>
      </c>
      <c r="H66" s="664">
        <v>78</v>
      </c>
    </row>
    <row r="67" spans="1:8">
      <c r="A67" s="662" t="s">
        <v>162</v>
      </c>
      <c r="B67" s="663" t="s">
        <v>163</v>
      </c>
      <c r="C67" s="663" t="s">
        <v>264</v>
      </c>
      <c r="D67" s="664">
        <v>191</v>
      </c>
      <c r="E67" s="664">
        <v>205</v>
      </c>
      <c r="F67" s="664">
        <v>188</v>
      </c>
      <c r="G67" s="664">
        <v>173</v>
      </c>
      <c r="H67" s="664">
        <v>151</v>
      </c>
    </row>
    <row r="68" spans="1:8">
      <c r="A68" s="662" t="s">
        <v>164</v>
      </c>
      <c r="B68" s="663" t="s">
        <v>165</v>
      </c>
      <c r="C68" s="663" t="s">
        <v>266</v>
      </c>
      <c r="D68" s="664">
        <v>60</v>
      </c>
      <c r="E68" s="664">
        <v>67</v>
      </c>
      <c r="F68" s="664">
        <v>57</v>
      </c>
      <c r="G68" s="664">
        <v>67</v>
      </c>
      <c r="H68" s="664">
        <v>64</v>
      </c>
    </row>
    <row r="69" spans="1:8">
      <c r="A69" s="662" t="s">
        <v>168</v>
      </c>
      <c r="B69" s="663" t="s">
        <v>169</v>
      </c>
      <c r="C69" s="663" t="s">
        <v>266</v>
      </c>
      <c r="D69" s="664">
        <v>221</v>
      </c>
      <c r="E69" s="664">
        <v>235</v>
      </c>
      <c r="F69" s="664">
        <v>243</v>
      </c>
      <c r="G69" s="664">
        <v>249</v>
      </c>
      <c r="H69" s="664">
        <v>224</v>
      </c>
    </row>
    <row r="70" spans="1:8">
      <c r="A70" s="662" t="s">
        <v>170</v>
      </c>
      <c r="B70" s="663" t="s">
        <v>171</v>
      </c>
      <c r="C70" s="663" t="s">
        <v>267</v>
      </c>
      <c r="D70" s="664">
        <v>175</v>
      </c>
      <c r="E70" s="664">
        <v>173</v>
      </c>
      <c r="F70" s="664">
        <v>162</v>
      </c>
      <c r="G70" s="664">
        <v>156</v>
      </c>
      <c r="H70" s="664">
        <v>156</v>
      </c>
    </row>
    <row r="71" spans="1:8">
      <c r="A71" s="662" t="s">
        <v>172</v>
      </c>
      <c r="B71" s="663" t="s">
        <v>173</v>
      </c>
      <c r="C71" s="663" t="s">
        <v>267</v>
      </c>
      <c r="D71" s="664">
        <v>179</v>
      </c>
      <c r="E71" s="664">
        <v>172</v>
      </c>
      <c r="F71" s="664">
        <v>143</v>
      </c>
      <c r="G71" s="664">
        <v>124</v>
      </c>
      <c r="H71" s="664">
        <v>105</v>
      </c>
    </row>
    <row r="72" spans="1:8">
      <c r="A72" s="662" t="s">
        <v>174</v>
      </c>
      <c r="B72" s="663" t="s">
        <v>175</v>
      </c>
      <c r="C72" s="663" t="s">
        <v>268</v>
      </c>
      <c r="D72" s="664">
        <v>195</v>
      </c>
      <c r="E72" s="664">
        <v>203</v>
      </c>
      <c r="F72" s="664">
        <v>214</v>
      </c>
      <c r="G72" s="664">
        <v>172</v>
      </c>
      <c r="H72" s="664">
        <v>171</v>
      </c>
    </row>
    <row r="73" spans="1:8">
      <c r="A73" s="662" t="s">
        <v>178</v>
      </c>
      <c r="B73" s="663" t="s">
        <v>179</v>
      </c>
      <c r="C73" s="663" t="s">
        <v>265</v>
      </c>
      <c r="D73" s="664">
        <v>496</v>
      </c>
      <c r="E73" s="664">
        <v>476</v>
      </c>
      <c r="F73" s="664">
        <v>442</v>
      </c>
      <c r="G73" s="664">
        <v>415</v>
      </c>
      <c r="H73" s="664">
        <v>404</v>
      </c>
    </row>
    <row r="74" spans="1:8">
      <c r="A74" s="662" t="s">
        <v>182</v>
      </c>
      <c r="B74" s="663" t="s">
        <v>183</v>
      </c>
      <c r="C74" s="663" t="s">
        <v>266</v>
      </c>
      <c r="D74" s="664">
        <v>73</v>
      </c>
      <c r="E74" s="664">
        <v>99</v>
      </c>
      <c r="F74" s="664">
        <v>95</v>
      </c>
      <c r="G74" s="664">
        <v>92</v>
      </c>
      <c r="H74" s="664">
        <v>75</v>
      </c>
    </row>
    <row r="75" spans="1:8">
      <c r="A75" s="662" t="s">
        <v>184</v>
      </c>
      <c r="B75" s="663" t="s">
        <v>185</v>
      </c>
      <c r="C75" s="663" t="s">
        <v>266</v>
      </c>
      <c r="D75" s="664">
        <v>276</v>
      </c>
      <c r="E75" s="664">
        <v>269</v>
      </c>
      <c r="F75" s="664">
        <v>247</v>
      </c>
      <c r="G75" s="664">
        <v>264</v>
      </c>
      <c r="H75" s="664">
        <v>233</v>
      </c>
    </row>
    <row r="76" spans="1:8">
      <c r="A76" s="662" t="s">
        <v>186</v>
      </c>
      <c r="B76" s="663" t="s">
        <v>187</v>
      </c>
      <c r="C76" s="663" t="s">
        <v>264</v>
      </c>
      <c r="D76" s="664">
        <v>196</v>
      </c>
      <c r="E76" s="664">
        <v>183</v>
      </c>
      <c r="F76" s="664">
        <v>176</v>
      </c>
      <c r="G76" s="664">
        <v>173</v>
      </c>
      <c r="H76" s="664">
        <v>162</v>
      </c>
    </row>
    <row r="77" spans="1:8">
      <c r="A77" s="662" t="s">
        <v>188</v>
      </c>
      <c r="B77" s="663" t="s">
        <v>189</v>
      </c>
      <c r="C77" s="663" t="s">
        <v>267</v>
      </c>
      <c r="D77" s="664">
        <v>2635</v>
      </c>
      <c r="E77" s="664">
        <v>2632</v>
      </c>
      <c r="F77" s="664">
        <v>2370</v>
      </c>
      <c r="G77" s="664">
        <v>2131</v>
      </c>
      <c r="H77" s="664">
        <v>1907</v>
      </c>
    </row>
    <row r="78" spans="1:8">
      <c r="A78" s="662" t="s">
        <v>190</v>
      </c>
      <c r="B78" s="663" t="s">
        <v>191</v>
      </c>
      <c r="C78" s="663" t="s">
        <v>268</v>
      </c>
      <c r="D78" s="664">
        <v>384</v>
      </c>
      <c r="E78" s="664">
        <v>394</v>
      </c>
      <c r="F78" s="664">
        <v>368</v>
      </c>
      <c r="G78" s="664">
        <v>333</v>
      </c>
      <c r="H78" s="664">
        <v>319</v>
      </c>
    </row>
    <row r="79" spans="1:8">
      <c r="A79" s="662" t="s">
        <v>194</v>
      </c>
      <c r="B79" s="663" t="s">
        <v>195</v>
      </c>
      <c r="C79" s="663" t="s">
        <v>267</v>
      </c>
      <c r="D79" s="664">
        <v>10</v>
      </c>
      <c r="E79" s="664">
        <v>13</v>
      </c>
      <c r="F79" s="664">
        <v>14</v>
      </c>
      <c r="G79" s="664">
        <v>28</v>
      </c>
      <c r="H79" s="664">
        <v>26</v>
      </c>
    </row>
    <row r="80" spans="1:8">
      <c r="A80" s="662" t="s">
        <v>198</v>
      </c>
      <c r="B80" s="663" t="s">
        <v>272</v>
      </c>
      <c r="C80" s="663" t="s">
        <v>266</v>
      </c>
      <c r="D80" s="664">
        <v>72</v>
      </c>
      <c r="E80" s="664">
        <v>66</v>
      </c>
      <c r="F80" s="664">
        <v>65</v>
      </c>
      <c r="G80" s="664">
        <v>70</v>
      </c>
      <c r="H80" s="664">
        <v>65</v>
      </c>
    </row>
    <row r="81" spans="1:8">
      <c r="A81" s="662" t="s">
        <v>202</v>
      </c>
      <c r="B81" s="663" t="s">
        <v>301</v>
      </c>
      <c r="C81" s="663" t="s">
        <v>265</v>
      </c>
      <c r="D81" s="664">
        <v>653</v>
      </c>
      <c r="E81" s="664">
        <v>641</v>
      </c>
      <c r="F81" s="664">
        <v>566</v>
      </c>
      <c r="G81" s="664">
        <v>520</v>
      </c>
      <c r="H81" s="664">
        <v>491</v>
      </c>
    </row>
    <row r="82" spans="1:8">
      <c r="A82" s="662" t="s">
        <v>204</v>
      </c>
      <c r="B82" s="663" t="s">
        <v>293</v>
      </c>
      <c r="C82" s="663" t="s">
        <v>265</v>
      </c>
      <c r="D82" s="664">
        <v>165</v>
      </c>
      <c r="E82" s="664">
        <v>188</v>
      </c>
      <c r="F82" s="664">
        <v>156</v>
      </c>
      <c r="G82" s="664">
        <v>135</v>
      </c>
      <c r="H82" s="664">
        <v>139</v>
      </c>
    </row>
    <row r="83" spans="1:8">
      <c r="A83" s="662" t="s">
        <v>206</v>
      </c>
      <c r="B83" s="663" t="s">
        <v>294</v>
      </c>
      <c r="C83" s="663" t="s">
        <v>267</v>
      </c>
      <c r="D83" s="664">
        <v>695</v>
      </c>
      <c r="E83" s="664">
        <v>711</v>
      </c>
      <c r="F83" s="664">
        <v>654</v>
      </c>
      <c r="G83" s="664">
        <v>612</v>
      </c>
      <c r="H83" s="664">
        <v>548</v>
      </c>
    </row>
    <row r="84" spans="1:8">
      <c r="A84" s="662" t="s">
        <v>208</v>
      </c>
      <c r="B84" s="663" t="s">
        <v>209</v>
      </c>
      <c r="C84" s="663" t="s">
        <v>268</v>
      </c>
      <c r="D84" s="664">
        <v>480</v>
      </c>
      <c r="E84" s="664">
        <v>436</v>
      </c>
      <c r="F84" s="664">
        <v>384</v>
      </c>
      <c r="G84" s="664">
        <v>379</v>
      </c>
      <c r="H84" s="664">
        <v>359</v>
      </c>
    </row>
    <row r="85" spans="1:8">
      <c r="A85" s="662" t="s">
        <v>210</v>
      </c>
      <c r="B85" s="663" t="s">
        <v>211</v>
      </c>
      <c r="C85" s="663" t="s">
        <v>268</v>
      </c>
      <c r="D85" s="664">
        <v>372</v>
      </c>
      <c r="E85" s="664">
        <v>352</v>
      </c>
      <c r="F85" s="664">
        <v>324</v>
      </c>
      <c r="G85" s="664">
        <v>275</v>
      </c>
      <c r="H85" s="664">
        <v>259</v>
      </c>
    </row>
    <row r="86" spans="1:8">
      <c r="A86" s="662" t="s">
        <v>212</v>
      </c>
      <c r="B86" s="663" t="s">
        <v>213</v>
      </c>
      <c r="C86" s="663" t="s">
        <v>267</v>
      </c>
      <c r="D86" s="664">
        <v>103</v>
      </c>
      <c r="E86" s="664">
        <v>125</v>
      </c>
      <c r="F86" s="664">
        <v>126</v>
      </c>
      <c r="G86" s="664">
        <v>104</v>
      </c>
      <c r="H86" s="664">
        <v>98</v>
      </c>
    </row>
    <row r="87" spans="1:8">
      <c r="A87" s="662" t="s">
        <v>214</v>
      </c>
      <c r="B87" s="663" t="s">
        <v>215</v>
      </c>
      <c r="C87" s="663" t="s">
        <v>268</v>
      </c>
      <c r="D87" s="664">
        <v>397</v>
      </c>
      <c r="E87" s="664">
        <v>415</v>
      </c>
      <c r="F87" s="664">
        <v>388</v>
      </c>
      <c r="G87" s="664">
        <v>369</v>
      </c>
      <c r="H87" s="664">
        <v>348</v>
      </c>
    </row>
    <row r="88" spans="1:8">
      <c r="A88" s="662" t="s">
        <v>216</v>
      </c>
      <c r="B88" s="663" t="s">
        <v>217</v>
      </c>
      <c r="C88" s="663" t="s">
        <v>264</v>
      </c>
      <c r="D88" s="664">
        <v>236</v>
      </c>
      <c r="E88" s="664">
        <v>244</v>
      </c>
      <c r="F88" s="664">
        <v>228</v>
      </c>
      <c r="G88" s="664">
        <v>190</v>
      </c>
      <c r="H88" s="664">
        <v>163</v>
      </c>
    </row>
    <row r="89" spans="1:8">
      <c r="A89" s="662" t="s">
        <v>218</v>
      </c>
      <c r="B89" s="663" t="s">
        <v>219</v>
      </c>
      <c r="C89" s="663" t="s">
        <v>267</v>
      </c>
      <c r="D89" s="664">
        <v>772</v>
      </c>
      <c r="E89" s="664">
        <v>852</v>
      </c>
      <c r="F89" s="664">
        <v>837</v>
      </c>
      <c r="G89" s="664">
        <v>772</v>
      </c>
      <c r="H89" s="664">
        <v>735</v>
      </c>
    </row>
    <row r="90" spans="1:8">
      <c r="A90" s="662" t="s">
        <v>220</v>
      </c>
      <c r="B90" s="663" t="s">
        <v>221</v>
      </c>
      <c r="C90" s="663" t="s">
        <v>267</v>
      </c>
      <c r="D90" s="664">
        <v>637</v>
      </c>
      <c r="E90" s="664">
        <v>623</v>
      </c>
      <c r="F90" s="664">
        <v>645</v>
      </c>
      <c r="G90" s="664">
        <v>610</v>
      </c>
      <c r="H90" s="664">
        <v>559</v>
      </c>
    </row>
    <row r="91" spans="1:8">
      <c r="A91" s="662" t="s">
        <v>224</v>
      </c>
      <c r="B91" s="663" t="s">
        <v>225</v>
      </c>
      <c r="C91" s="663" t="s">
        <v>264</v>
      </c>
      <c r="D91" s="664">
        <v>110</v>
      </c>
      <c r="E91" s="664">
        <v>99</v>
      </c>
      <c r="F91" s="664">
        <v>87</v>
      </c>
      <c r="G91" s="664">
        <v>86</v>
      </c>
      <c r="H91" s="664">
        <v>76</v>
      </c>
    </row>
    <row r="92" spans="1:8">
      <c r="A92" s="662" t="s">
        <v>226</v>
      </c>
      <c r="B92" s="663" t="s">
        <v>227</v>
      </c>
      <c r="C92" s="663" t="s">
        <v>264</v>
      </c>
      <c r="D92" s="664">
        <v>148</v>
      </c>
      <c r="E92" s="664">
        <v>154</v>
      </c>
      <c r="F92" s="664">
        <v>145</v>
      </c>
      <c r="G92" s="664">
        <v>127</v>
      </c>
      <c r="H92" s="664">
        <v>141</v>
      </c>
    </row>
    <row r="93" spans="1:8">
      <c r="A93" s="662" t="s">
        <v>228</v>
      </c>
      <c r="B93" s="663" t="s">
        <v>229</v>
      </c>
      <c r="C93" s="663" t="s">
        <v>268</v>
      </c>
      <c r="D93" s="664">
        <v>595</v>
      </c>
      <c r="E93" s="664">
        <v>523</v>
      </c>
      <c r="F93" s="664">
        <v>493</v>
      </c>
      <c r="G93" s="664">
        <v>455</v>
      </c>
      <c r="H93" s="664">
        <v>421</v>
      </c>
    </row>
    <row r="94" spans="1:8">
      <c r="A94" s="662" t="s">
        <v>232</v>
      </c>
      <c r="B94" s="663" t="s">
        <v>233</v>
      </c>
      <c r="C94" s="663" t="s">
        <v>267</v>
      </c>
      <c r="D94" s="664">
        <v>267</v>
      </c>
      <c r="E94" s="664">
        <v>263</v>
      </c>
      <c r="F94" s="664">
        <v>254</v>
      </c>
      <c r="G94" s="664">
        <v>249</v>
      </c>
      <c r="H94" s="664">
        <v>243</v>
      </c>
    </row>
    <row r="95" spans="1:8">
      <c r="A95" s="662" t="s">
        <v>234</v>
      </c>
      <c r="B95" s="663" t="s">
        <v>235</v>
      </c>
      <c r="C95" s="663" t="s">
        <v>268</v>
      </c>
      <c r="D95" s="664">
        <v>451</v>
      </c>
      <c r="E95" s="664">
        <v>426</v>
      </c>
      <c r="F95" s="664">
        <v>389</v>
      </c>
      <c r="G95" s="664">
        <v>376</v>
      </c>
      <c r="H95" s="664">
        <v>372</v>
      </c>
    </row>
    <row r="96" spans="1:8">
      <c r="A96" s="662" t="s">
        <v>236</v>
      </c>
      <c r="B96" s="663" t="s">
        <v>237</v>
      </c>
      <c r="C96" s="663" t="s">
        <v>266</v>
      </c>
      <c r="D96" s="664">
        <v>154</v>
      </c>
      <c r="E96" s="664">
        <v>190</v>
      </c>
      <c r="F96" s="664">
        <v>152</v>
      </c>
      <c r="G96" s="664">
        <v>141</v>
      </c>
      <c r="H96" s="664">
        <v>122</v>
      </c>
    </row>
    <row r="97" spans="1:8">
      <c r="A97" s="662" t="s">
        <v>242</v>
      </c>
      <c r="B97" s="663" t="s">
        <v>243</v>
      </c>
      <c r="C97" s="663" t="s">
        <v>268</v>
      </c>
      <c r="D97" s="664">
        <v>828</v>
      </c>
      <c r="E97" s="664">
        <v>764</v>
      </c>
      <c r="F97" s="664">
        <v>752</v>
      </c>
      <c r="G97" s="664">
        <v>721</v>
      </c>
      <c r="H97" s="664">
        <v>649</v>
      </c>
    </row>
    <row r="98" spans="1:8">
      <c r="A98" s="662" t="s">
        <v>244</v>
      </c>
      <c r="B98" s="663" t="s">
        <v>245</v>
      </c>
      <c r="C98" s="663" t="s">
        <v>268</v>
      </c>
      <c r="D98" s="664">
        <v>288</v>
      </c>
      <c r="E98" s="664">
        <v>284</v>
      </c>
      <c r="F98" s="664">
        <v>246</v>
      </c>
      <c r="G98" s="664">
        <v>200</v>
      </c>
      <c r="H98" s="664">
        <v>203</v>
      </c>
    </row>
    <row r="99" spans="1:8">
      <c r="A99" s="662" t="s">
        <v>246</v>
      </c>
      <c r="B99" s="663" t="s">
        <v>247</v>
      </c>
      <c r="C99" s="663" t="s">
        <v>264</v>
      </c>
      <c r="D99" s="664">
        <v>232</v>
      </c>
      <c r="E99" s="664">
        <v>281</v>
      </c>
      <c r="F99" s="664">
        <v>273</v>
      </c>
      <c r="G99" s="664">
        <v>258</v>
      </c>
      <c r="H99" s="664">
        <v>235</v>
      </c>
    </row>
    <row r="100" spans="1:8">
      <c r="A100" s="662" t="s">
        <v>14</v>
      </c>
      <c r="B100" s="663" t="s">
        <v>15</v>
      </c>
      <c r="C100" s="663" t="s">
        <v>267</v>
      </c>
      <c r="D100" s="664">
        <v>871</v>
      </c>
      <c r="E100" s="664">
        <v>894</v>
      </c>
      <c r="F100" s="664">
        <v>790</v>
      </c>
      <c r="G100" s="664">
        <v>735</v>
      </c>
      <c r="H100" s="664">
        <v>687</v>
      </c>
    </row>
    <row r="101" spans="1:8">
      <c r="A101" s="662" t="s">
        <v>34</v>
      </c>
      <c r="B101" s="663" t="s">
        <v>35</v>
      </c>
      <c r="C101" s="663" t="s">
        <v>268</v>
      </c>
      <c r="D101" s="664">
        <v>489</v>
      </c>
      <c r="E101" s="664">
        <v>525</v>
      </c>
      <c r="F101" s="664">
        <v>531</v>
      </c>
      <c r="G101" s="664">
        <v>505</v>
      </c>
      <c r="H101" s="664">
        <v>418</v>
      </c>
    </row>
    <row r="102" spans="1:8">
      <c r="A102" s="662" t="s">
        <v>52</v>
      </c>
      <c r="B102" s="663" t="s">
        <v>53</v>
      </c>
      <c r="C102" s="663" t="s">
        <v>265</v>
      </c>
      <c r="D102" s="664">
        <v>602</v>
      </c>
      <c r="E102" s="664">
        <v>595</v>
      </c>
      <c r="F102" s="664">
        <v>552</v>
      </c>
      <c r="G102" s="664">
        <v>505</v>
      </c>
      <c r="H102" s="664">
        <v>442</v>
      </c>
    </row>
    <row r="103" spans="1:8">
      <c r="A103" s="662" t="s">
        <v>54</v>
      </c>
      <c r="B103" s="663" t="s">
        <v>55</v>
      </c>
      <c r="C103" s="663" t="s">
        <v>264</v>
      </c>
      <c r="D103" s="664">
        <v>2211</v>
      </c>
      <c r="E103" s="664">
        <v>2165</v>
      </c>
      <c r="F103" s="664">
        <v>1980</v>
      </c>
      <c r="G103" s="664">
        <v>1822</v>
      </c>
      <c r="H103" s="664">
        <v>1684</v>
      </c>
    </row>
    <row r="104" spans="1:8">
      <c r="A104" s="662" t="s">
        <v>66</v>
      </c>
      <c r="B104" s="663" t="s">
        <v>67</v>
      </c>
      <c r="C104" s="663" t="s">
        <v>265</v>
      </c>
      <c r="D104" s="664">
        <v>998</v>
      </c>
      <c r="E104" s="664">
        <v>930</v>
      </c>
      <c r="F104" s="664">
        <v>868</v>
      </c>
      <c r="G104" s="664">
        <v>829</v>
      </c>
      <c r="H104" s="664">
        <v>753</v>
      </c>
    </row>
    <row r="105" spans="1:8">
      <c r="A105" s="662" t="s">
        <v>82</v>
      </c>
      <c r="B105" s="663" t="s">
        <v>83</v>
      </c>
      <c r="C105" s="663" t="s">
        <v>264</v>
      </c>
      <c r="D105" s="664">
        <v>202</v>
      </c>
      <c r="E105" s="664">
        <v>216</v>
      </c>
      <c r="F105" s="664">
        <v>243</v>
      </c>
      <c r="G105" s="664">
        <v>217</v>
      </c>
      <c r="H105" s="664">
        <v>167</v>
      </c>
    </row>
    <row r="106" spans="1:8">
      <c r="A106" s="662" t="s">
        <v>88</v>
      </c>
      <c r="B106" s="663" t="s">
        <v>89</v>
      </c>
      <c r="C106" s="663" t="s">
        <v>267</v>
      </c>
      <c r="D106" s="664">
        <v>403</v>
      </c>
      <c r="E106" s="664">
        <v>407</v>
      </c>
      <c r="F106" s="664">
        <v>388</v>
      </c>
      <c r="G106" s="664">
        <v>367</v>
      </c>
      <c r="H106" s="664">
        <v>345</v>
      </c>
    </row>
    <row r="107" spans="1:8">
      <c r="A107" s="662" t="s">
        <v>90</v>
      </c>
      <c r="B107" s="663" t="s">
        <v>91</v>
      </c>
      <c r="C107" s="663" t="s">
        <v>268</v>
      </c>
      <c r="D107" s="664">
        <v>187</v>
      </c>
      <c r="E107" s="664">
        <v>155</v>
      </c>
      <c r="F107" s="664">
        <v>135</v>
      </c>
      <c r="G107" s="664">
        <v>114</v>
      </c>
      <c r="H107" s="664">
        <v>92</v>
      </c>
    </row>
    <row r="108" spans="1:8">
      <c r="A108" s="662" t="s">
        <v>106</v>
      </c>
      <c r="B108" s="663" t="s">
        <v>107</v>
      </c>
      <c r="C108" s="663" t="s">
        <v>264</v>
      </c>
      <c r="D108" s="664">
        <v>2236</v>
      </c>
      <c r="E108" s="664">
        <v>2346</v>
      </c>
      <c r="F108" s="664">
        <v>2323</v>
      </c>
      <c r="G108" s="664">
        <v>2190</v>
      </c>
      <c r="H108" s="664">
        <v>2005</v>
      </c>
    </row>
    <row r="109" spans="1:8">
      <c r="A109" s="662" t="s">
        <v>116</v>
      </c>
      <c r="B109" s="663" t="s">
        <v>117</v>
      </c>
      <c r="C109" s="663" t="s">
        <v>266</v>
      </c>
      <c r="D109" s="664">
        <v>614</v>
      </c>
      <c r="E109" s="664">
        <v>605</v>
      </c>
      <c r="F109" s="664">
        <v>549</v>
      </c>
      <c r="G109" s="664">
        <v>554</v>
      </c>
      <c r="H109" s="664">
        <v>517</v>
      </c>
    </row>
    <row r="110" spans="1:8">
      <c r="A110" s="662" t="s">
        <v>138</v>
      </c>
      <c r="B110" s="663" t="s">
        <v>139</v>
      </c>
      <c r="C110" s="663" t="s">
        <v>265</v>
      </c>
      <c r="D110" s="664">
        <v>1153</v>
      </c>
      <c r="E110" s="664">
        <v>1168</v>
      </c>
      <c r="F110" s="664">
        <v>1118</v>
      </c>
      <c r="G110" s="664">
        <v>999</v>
      </c>
      <c r="H110" s="664">
        <v>907</v>
      </c>
    </row>
    <row r="111" spans="1:8">
      <c r="A111" s="662" t="s">
        <v>142</v>
      </c>
      <c r="B111" s="663" t="s">
        <v>143</v>
      </c>
      <c r="C111" s="663" t="s">
        <v>267</v>
      </c>
      <c r="D111" s="664">
        <v>400</v>
      </c>
      <c r="E111" s="664">
        <v>414</v>
      </c>
      <c r="F111" s="664">
        <v>369</v>
      </c>
      <c r="G111" s="664">
        <v>291</v>
      </c>
      <c r="H111" s="664">
        <v>291</v>
      </c>
    </row>
    <row r="112" spans="1:8">
      <c r="A112" s="662" t="s">
        <v>144</v>
      </c>
      <c r="B112" s="663" t="s">
        <v>145</v>
      </c>
      <c r="C112" s="663" t="s">
        <v>267</v>
      </c>
      <c r="D112" s="664">
        <v>114</v>
      </c>
      <c r="E112" s="664">
        <v>82</v>
      </c>
      <c r="F112" s="664">
        <v>93</v>
      </c>
      <c r="G112" s="664">
        <v>85</v>
      </c>
      <c r="H112" s="664">
        <v>83</v>
      </c>
    </row>
    <row r="113" spans="1:8">
      <c r="A113" s="662" t="s">
        <v>158</v>
      </c>
      <c r="B113" s="663" t="s">
        <v>159</v>
      </c>
      <c r="C113" s="663" t="s">
        <v>264</v>
      </c>
      <c r="D113" s="664">
        <v>3296</v>
      </c>
      <c r="E113" s="664">
        <v>3418</v>
      </c>
      <c r="F113" s="664">
        <v>3322</v>
      </c>
      <c r="G113" s="664">
        <v>3168</v>
      </c>
      <c r="H113" s="664">
        <v>2800</v>
      </c>
    </row>
    <row r="114" spans="1:8">
      <c r="A114" s="662" t="s">
        <v>160</v>
      </c>
      <c r="B114" s="663" t="s">
        <v>161</v>
      </c>
      <c r="C114" s="663" t="s">
        <v>264</v>
      </c>
      <c r="D114" s="664">
        <v>4169</v>
      </c>
      <c r="E114" s="664">
        <v>4235</v>
      </c>
      <c r="F114" s="664">
        <v>4056</v>
      </c>
      <c r="G114" s="664">
        <v>3769</v>
      </c>
      <c r="H114" s="664">
        <v>3426</v>
      </c>
    </row>
    <row r="115" spans="1:8">
      <c r="A115" s="662" t="s">
        <v>166</v>
      </c>
      <c r="B115" s="663" t="s">
        <v>167</v>
      </c>
      <c r="C115" s="663" t="s">
        <v>268</v>
      </c>
      <c r="D115" s="664">
        <v>110</v>
      </c>
      <c r="E115" s="664">
        <v>98</v>
      </c>
      <c r="F115" s="664">
        <v>89</v>
      </c>
      <c r="G115" s="664">
        <v>87</v>
      </c>
      <c r="H115" s="664">
        <v>89</v>
      </c>
    </row>
    <row r="116" spans="1:8">
      <c r="A116" s="662" t="s">
        <v>176</v>
      </c>
      <c r="B116" s="663" t="s">
        <v>177</v>
      </c>
      <c r="C116" s="663" t="s">
        <v>266</v>
      </c>
      <c r="D116" s="664">
        <v>1116</v>
      </c>
      <c r="E116" s="664">
        <v>1117</v>
      </c>
      <c r="F116" s="664">
        <v>1004</v>
      </c>
      <c r="G116" s="664">
        <v>943</v>
      </c>
      <c r="H116" s="664">
        <v>878</v>
      </c>
    </row>
    <row r="117" spans="1:8">
      <c r="A117" s="662" t="s">
        <v>180</v>
      </c>
      <c r="B117" s="663" t="s">
        <v>181</v>
      </c>
      <c r="C117" s="663" t="s">
        <v>264</v>
      </c>
      <c r="D117" s="664">
        <v>2242</v>
      </c>
      <c r="E117" s="664">
        <v>2185</v>
      </c>
      <c r="F117" s="664">
        <v>2096</v>
      </c>
      <c r="G117" s="664">
        <v>1961</v>
      </c>
      <c r="H117" s="664">
        <v>1771</v>
      </c>
    </row>
    <row r="118" spans="1:8">
      <c r="A118" s="662" t="s">
        <v>192</v>
      </c>
      <c r="B118" s="663" t="s">
        <v>193</v>
      </c>
      <c r="C118" s="663" t="s">
        <v>268</v>
      </c>
      <c r="D118" s="664">
        <v>152</v>
      </c>
      <c r="E118" s="664">
        <v>151</v>
      </c>
      <c r="F118" s="664">
        <v>144</v>
      </c>
      <c r="G118" s="664">
        <v>140</v>
      </c>
      <c r="H118" s="664">
        <v>150</v>
      </c>
    </row>
    <row r="119" spans="1:8">
      <c r="A119" s="662" t="s">
        <v>196</v>
      </c>
      <c r="B119" s="663" t="s">
        <v>197</v>
      </c>
      <c r="C119" s="663" t="s">
        <v>266</v>
      </c>
      <c r="D119" s="664">
        <v>4869</v>
      </c>
      <c r="E119" s="664">
        <v>4996</v>
      </c>
      <c r="F119" s="664">
        <v>4720</v>
      </c>
      <c r="G119" s="664">
        <v>4362</v>
      </c>
      <c r="H119" s="664">
        <v>3909</v>
      </c>
    </row>
    <row r="120" spans="1:8">
      <c r="A120" s="662" t="s">
        <v>200</v>
      </c>
      <c r="B120" s="663" t="s">
        <v>201</v>
      </c>
      <c r="C120" s="663" t="s">
        <v>265</v>
      </c>
      <c r="D120" s="664">
        <v>2320</v>
      </c>
      <c r="E120" s="664">
        <v>2356</v>
      </c>
      <c r="F120" s="664">
        <v>2283</v>
      </c>
      <c r="G120" s="664">
        <v>2089</v>
      </c>
      <c r="H120" s="664">
        <v>1920</v>
      </c>
    </row>
    <row r="121" spans="1:8">
      <c r="A121" s="662" t="s">
        <v>222</v>
      </c>
      <c r="B121" s="663" t="s">
        <v>223</v>
      </c>
      <c r="C121" s="663" t="s">
        <v>264</v>
      </c>
      <c r="D121" s="664">
        <v>836</v>
      </c>
      <c r="E121" s="664">
        <v>819</v>
      </c>
      <c r="F121" s="664">
        <v>743</v>
      </c>
      <c r="G121" s="664">
        <v>723</v>
      </c>
      <c r="H121" s="664">
        <v>713</v>
      </c>
    </row>
    <row r="122" spans="1:8">
      <c r="A122" s="662" t="s">
        <v>230</v>
      </c>
      <c r="B122" s="663" t="s">
        <v>231</v>
      </c>
      <c r="C122" s="663" t="s">
        <v>264</v>
      </c>
      <c r="D122" s="664">
        <v>2301</v>
      </c>
      <c r="E122" s="664">
        <v>2317</v>
      </c>
      <c r="F122" s="664">
        <v>2203</v>
      </c>
      <c r="G122" s="664">
        <v>1980</v>
      </c>
      <c r="H122" s="664">
        <v>1766</v>
      </c>
    </row>
    <row r="123" spans="1:8">
      <c r="A123" s="662" t="s">
        <v>238</v>
      </c>
      <c r="B123" s="663" t="s">
        <v>239</v>
      </c>
      <c r="C123" s="663" t="s">
        <v>264</v>
      </c>
      <c r="D123" s="664">
        <v>83</v>
      </c>
      <c r="E123" s="664">
        <v>87</v>
      </c>
      <c r="F123" s="664">
        <v>93</v>
      </c>
      <c r="G123" s="664">
        <v>81</v>
      </c>
      <c r="H123" s="664">
        <v>71</v>
      </c>
    </row>
    <row r="124" spans="1:8">
      <c r="A124" s="581" t="s">
        <v>240</v>
      </c>
      <c r="B124" s="570" t="s">
        <v>241</v>
      </c>
      <c r="C124" s="570" t="s">
        <v>267</v>
      </c>
      <c r="D124" s="575">
        <v>300</v>
      </c>
      <c r="E124" s="575">
        <v>318</v>
      </c>
      <c r="F124" s="575">
        <v>290</v>
      </c>
      <c r="G124" s="575">
        <v>256</v>
      </c>
      <c r="H124" s="575">
        <v>206</v>
      </c>
    </row>
    <row r="126" spans="1:8" ht="31.5" customHeight="1">
      <c r="A126" s="1916" t="s">
        <v>941</v>
      </c>
      <c r="B126" s="1916"/>
      <c r="C126" s="1916"/>
      <c r="D126" s="1916"/>
      <c r="E126" s="1916"/>
      <c r="F126" s="1916"/>
      <c r="G126" s="1916"/>
      <c r="H126" s="1916"/>
    </row>
    <row r="128" spans="1:8" s="428" customFormat="1">
      <c r="A128" s="428" t="s">
        <v>248</v>
      </c>
    </row>
    <row r="129" spans="1:3" s="428" customFormat="1">
      <c r="A129" s="429" t="s">
        <v>249</v>
      </c>
      <c r="B129" s="430" t="s">
        <v>250</v>
      </c>
      <c r="C129" s="430"/>
    </row>
  </sheetData>
  <autoFilter ref="A3:C3"/>
  <sortState ref="A5:I124">
    <sortCondition ref="A5:A124"/>
  </sortState>
  <mergeCells count="1">
    <mergeCell ref="A126:H126"/>
  </mergeCells>
  <hyperlinks>
    <hyperlink ref="B129" r:id="rId1"/>
  </hyperlinks>
  <pageMargins left="0.7" right="0.7" top="0.75" bottom="0.75" header="0.3" footer="0.3"/>
</worksheet>
</file>

<file path=xl/worksheets/sheet25.xml><?xml version="1.0" encoding="utf-8"?>
<worksheet xmlns="http://schemas.openxmlformats.org/spreadsheetml/2006/main" xmlns:r="http://schemas.openxmlformats.org/officeDocument/2006/relationships">
  <dimension ref="A1:H129"/>
  <sheetViews>
    <sheetView workbookViewId="0">
      <selection activeCell="A5" sqref="A5:XFD124"/>
    </sheetView>
  </sheetViews>
  <sheetFormatPr defaultRowHeight="15.75"/>
  <cols>
    <col min="1" max="1" width="5.875" style="558" customWidth="1"/>
    <col min="2" max="2" width="30.25" style="558" customWidth="1"/>
    <col min="3" max="3" width="12.375" style="558" customWidth="1"/>
    <col min="4" max="8" width="10.875" style="558" customWidth="1"/>
    <col min="9" max="9" width="2.5" style="558" customWidth="1"/>
    <col min="10" max="16384" width="9" style="558"/>
  </cols>
  <sheetData>
    <row r="1" spans="1:8">
      <c r="A1" s="258" t="s">
        <v>940</v>
      </c>
    </row>
    <row r="3" spans="1:8">
      <c r="A3" s="667" t="s">
        <v>4</v>
      </c>
      <c r="B3" s="621" t="s">
        <v>5</v>
      </c>
      <c r="C3" s="621" t="s">
        <v>251</v>
      </c>
      <c r="D3" s="673">
        <v>2010</v>
      </c>
      <c r="E3" s="673">
        <v>2011</v>
      </c>
      <c r="F3" s="673">
        <v>2012</v>
      </c>
      <c r="G3" s="673">
        <v>2013</v>
      </c>
      <c r="H3" s="673">
        <v>2014</v>
      </c>
    </row>
    <row r="4" spans="1:8">
      <c r="A4" s="626">
        <v>999</v>
      </c>
      <c r="B4" s="660" t="s">
        <v>9</v>
      </c>
      <c r="C4" s="622"/>
      <c r="D4" s="585">
        <f>SUM(D5:D124)</f>
        <v>512847</v>
      </c>
      <c r="E4" s="585">
        <f t="shared" ref="E4:H4" si="0">SUM(E5:E124)</f>
        <v>572122</v>
      </c>
      <c r="F4" s="585">
        <f t="shared" si="0"/>
        <v>610095</v>
      </c>
      <c r="G4" s="585">
        <f t="shared" si="0"/>
        <v>635192</v>
      </c>
      <c r="H4" s="585">
        <f t="shared" si="0"/>
        <v>629853</v>
      </c>
    </row>
    <row r="5" spans="1:8">
      <c r="A5" s="577" t="s">
        <v>10</v>
      </c>
      <c r="B5" s="623" t="s">
        <v>11</v>
      </c>
      <c r="C5" s="623" t="s">
        <v>264</v>
      </c>
      <c r="D5" s="571">
        <v>3524</v>
      </c>
      <c r="E5" s="571">
        <v>3901</v>
      </c>
      <c r="F5" s="571">
        <v>4257</v>
      </c>
      <c r="G5" s="571">
        <v>4419</v>
      </c>
      <c r="H5" s="571">
        <v>4404</v>
      </c>
    </row>
    <row r="6" spans="1:8">
      <c r="A6" s="662" t="s">
        <v>12</v>
      </c>
      <c r="B6" s="663" t="s">
        <v>13</v>
      </c>
      <c r="C6" s="663" t="s">
        <v>265</v>
      </c>
      <c r="D6" s="664">
        <v>3792</v>
      </c>
      <c r="E6" s="664">
        <v>4360</v>
      </c>
      <c r="F6" s="664">
        <v>4624</v>
      </c>
      <c r="G6" s="664">
        <v>4746</v>
      </c>
      <c r="H6" s="664">
        <v>4656</v>
      </c>
    </row>
    <row r="7" spans="1:8">
      <c r="A7" s="662" t="s">
        <v>16</v>
      </c>
      <c r="B7" s="663" t="s">
        <v>297</v>
      </c>
      <c r="C7" s="663" t="s">
        <v>265</v>
      </c>
      <c r="D7" s="664">
        <v>2015</v>
      </c>
      <c r="E7" s="664">
        <v>2129</v>
      </c>
      <c r="F7" s="664">
        <v>2328</v>
      </c>
      <c r="G7" s="664">
        <v>2383</v>
      </c>
      <c r="H7" s="664">
        <v>2374</v>
      </c>
    </row>
    <row r="8" spans="1:8">
      <c r="A8" s="662" t="s">
        <v>18</v>
      </c>
      <c r="B8" s="663" t="s">
        <v>19</v>
      </c>
      <c r="C8" s="663" t="s">
        <v>266</v>
      </c>
      <c r="D8" s="664">
        <v>1184</v>
      </c>
      <c r="E8" s="664">
        <v>1311</v>
      </c>
      <c r="F8" s="664">
        <v>1373</v>
      </c>
      <c r="G8" s="664">
        <v>1367</v>
      </c>
      <c r="H8" s="664">
        <v>1318</v>
      </c>
    </row>
    <row r="9" spans="1:8">
      <c r="A9" s="662" t="s">
        <v>20</v>
      </c>
      <c r="B9" s="663" t="s">
        <v>21</v>
      </c>
      <c r="C9" s="663" t="s">
        <v>265</v>
      </c>
      <c r="D9" s="664">
        <v>2446</v>
      </c>
      <c r="E9" s="664">
        <v>2616</v>
      </c>
      <c r="F9" s="664">
        <v>2687</v>
      </c>
      <c r="G9" s="664">
        <v>2738</v>
      </c>
      <c r="H9" s="664">
        <v>2599</v>
      </c>
    </row>
    <row r="10" spans="1:8">
      <c r="A10" s="662" t="s">
        <v>22</v>
      </c>
      <c r="B10" s="663" t="s">
        <v>23</v>
      </c>
      <c r="C10" s="663" t="s">
        <v>265</v>
      </c>
      <c r="D10" s="664">
        <v>1380</v>
      </c>
      <c r="E10" s="664">
        <v>1514</v>
      </c>
      <c r="F10" s="664">
        <v>1624</v>
      </c>
      <c r="G10" s="664">
        <v>1678</v>
      </c>
      <c r="H10" s="664">
        <v>1680</v>
      </c>
    </row>
    <row r="11" spans="1:8">
      <c r="A11" s="662" t="s">
        <v>24</v>
      </c>
      <c r="B11" s="663" t="s">
        <v>25</v>
      </c>
      <c r="C11" s="663" t="s">
        <v>267</v>
      </c>
      <c r="D11" s="664">
        <v>4996</v>
      </c>
      <c r="E11" s="664">
        <v>5712</v>
      </c>
      <c r="F11" s="664">
        <v>6180</v>
      </c>
      <c r="G11" s="664">
        <v>6608</v>
      </c>
      <c r="H11" s="664">
        <v>6745</v>
      </c>
    </row>
    <row r="12" spans="1:8">
      <c r="A12" s="662" t="s">
        <v>26</v>
      </c>
      <c r="B12" s="663" t="s">
        <v>706</v>
      </c>
      <c r="C12" s="663" t="s">
        <v>265</v>
      </c>
      <c r="D12" s="664">
        <v>8589</v>
      </c>
      <c r="E12" s="664">
        <v>9796</v>
      </c>
      <c r="F12" s="664">
        <v>10423</v>
      </c>
      <c r="G12" s="664">
        <v>11300</v>
      </c>
      <c r="H12" s="664">
        <v>10452</v>
      </c>
    </row>
    <row r="13" spans="1:8">
      <c r="A13" s="662" t="s">
        <v>27</v>
      </c>
      <c r="B13" s="663" t="s">
        <v>28</v>
      </c>
      <c r="C13" s="663" t="s">
        <v>265</v>
      </c>
      <c r="D13" s="664">
        <v>252</v>
      </c>
      <c r="E13" s="664">
        <v>251</v>
      </c>
      <c r="F13" s="664">
        <v>291</v>
      </c>
      <c r="G13" s="664">
        <v>308</v>
      </c>
      <c r="H13" s="664">
        <v>279</v>
      </c>
    </row>
    <row r="14" spans="1:8">
      <c r="A14" s="662" t="s">
        <v>29</v>
      </c>
      <c r="B14" s="663" t="s">
        <v>1012</v>
      </c>
      <c r="C14" s="663" t="s">
        <v>265</v>
      </c>
      <c r="D14" s="664">
        <v>3967</v>
      </c>
      <c r="E14" s="664">
        <v>4436</v>
      </c>
      <c r="F14" s="664">
        <v>4623</v>
      </c>
      <c r="G14" s="664">
        <v>4705</v>
      </c>
      <c r="H14" s="664">
        <v>5028</v>
      </c>
    </row>
    <row r="15" spans="1:8">
      <c r="A15" s="662" t="s">
        <v>30</v>
      </c>
      <c r="B15" s="663" t="s">
        <v>31</v>
      </c>
      <c r="C15" s="663" t="s">
        <v>268</v>
      </c>
      <c r="D15" s="664">
        <v>377</v>
      </c>
      <c r="E15" s="664">
        <v>418</v>
      </c>
      <c r="F15" s="664">
        <v>424</v>
      </c>
      <c r="G15" s="664">
        <v>436</v>
      </c>
      <c r="H15" s="664">
        <v>422</v>
      </c>
    </row>
    <row r="16" spans="1:8">
      <c r="A16" s="662" t="s">
        <v>32</v>
      </c>
      <c r="B16" s="663" t="s">
        <v>33</v>
      </c>
      <c r="C16" s="663" t="s">
        <v>265</v>
      </c>
      <c r="D16" s="664">
        <v>1020</v>
      </c>
      <c r="E16" s="664">
        <v>1074</v>
      </c>
      <c r="F16" s="664">
        <v>1195</v>
      </c>
      <c r="G16" s="664">
        <v>1236</v>
      </c>
      <c r="H16" s="664">
        <v>1230</v>
      </c>
    </row>
    <row r="17" spans="1:8">
      <c r="A17" s="662" t="s">
        <v>36</v>
      </c>
      <c r="B17" s="663" t="s">
        <v>37</v>
      </c>
      <c r="C17" s="663" t="s">
        <v>264</v>
      </c>
      <c r="D17" s="664">
        <v>2390</v>
      </c>
      <c r="E17" s="664">
        <v>2565</v>
      </c>
      <c r="F17" s="664">
        <v>2653</v>
      </c>
      <c r="G17" s="664">
        <v>2699</v>
      </c>
      <c r="H17" s="664">
        <v>2712</v>
      </c>
    </row>
    <row r="18" spans="1:8">
      <c r="A18" s="662" t="s">
        <v>38</v>
      </c>
      <c r="B18" s="663" t="s">
        <v>39</v>
      </c>
      <c r="C18" s="663" t="s">
        <v>268</v>
      </c>
      <c r="D18" s="664">
        <v>2919</v>
      </c>
      <c r="E18" s="664">
        <v>2937</v>
      </c>
      <c r="F18" s="664">
        <v>3010</v>
      </c>
      <c r="G18" s="664">
        <v>3154</v>
      </c>
      <c r="H18" s="664">
        <v>3154</v>
      </c>
    </row>
    <row r="19" spans="1:8">
      <c r="A19" s="662" t="s">
        <v>40</v>
      </c>
      <c r="B19" s="663" t="s">
        <v>41</v>
      </c>
      <c r="C19" s="663" t="s">
        <v>266</v>
      </c>
      <c r="D19" s="664">
        <v>1907</v>
      </c>
      <c r="E19" s="664">
        <v>2125</v>
      </c>
      <c r="F19" s="664">
        <v>2280</v>
      </c>
      <c r="G19" s="664">
        <v>2301</v>
      </c>
      <c r="H19" s="664">
        <v>2190</v>
      </c>
    </row>
    <row r="20" spans="1:8">
      <c r="A20" s="662" t="s">
        <v>42</v>
      </c>
      <c r="B20" s="663" t="s">
        <v>43</v>
      </c>
      <c r="C20" s="663" t="s">
        <v>265</v>
      </c>
      <c r="D20" s="664">
        <v>4370</v>
      </c>
      <c r="E20" s="664">
        <v>4808</v>
      </c>
      <c r="F20" s="664">
        <v>5024</v>
      </c>
      <c r="G20" s="664">
        <v>5136</v>
      </c>
      <c r="H20" s="664">
        <v>5151</v>
      </c>
    </row>
    <row r="21" spans="1:8">
      <c r="A21" s="662" t="s">
        <v>44</v>
      </c>
      <c r="B21" s="663" t="s">
        <v>45</v>
      </c>
      <c r="C21" s="663" t="s">
        <v>266</v>
      </c>
      <c r="D21" s="664">
        <v>2757</v>
      </c>
      <c r="E21" s="664">
        <v>3010</v>
      </c>
      <c r="F21" s="664">
        <v>3234</v>
      </c>
      <c r="G21" s="664">
        <v>3337</v>
      </c>
      <c r="H21" s="664">
        <v>3257</v>
      </c>
    </row>
    <row r="22" spans="1:8">
      <c r="A22" s="662" t="s">
        <v>46</v>
      </c>
      <c r="B22" s="663" t="s">
        <v>47</v>
      </c>
      <c r="C22" s="663" t="s">
        <v>268</v>
      </c>
      <c r="D22" s="664">
        <v>3174</v>
      </c>
      <c r="E22" s="664">
        <v>3435</v>
      </c>
      <c r="F22" s="664">
        <v>3542</v>
      </c>
      <c r="G22" s="664">
        <v>3590</v>
      </c>
      <c r="H22" s="664">
        <v>3562</v>
      </c>
    </row>
    <row r="23" spans="1:8">
      <c r="A23" s="662" t="s">
        <v>48</v>
      </c>
      <c r="B23" s="663" t="s">
        <v>269</v>
      </c>
      <c r="C23" s="663" t="s">
        <v>266</v>
      </c>
      <c r="D23" s="664">
        <v>663</v>
      </c>
      <c r="E23" s="664">
        <v>691</v>
      </c>
      <c r="F23" s="664">
        <v>754</v>
      </c>
      <c r="G23" s="664">
        <v>798</v>
      </c>
      <c r="H23" s="664">
        <v>774</v>
      </c>
    </row>
    <row r="24" spans="1:8">
      <c r="A24" s="662" t="s">
        <v>50</v>
      </c>
      <c r="B24" s="663" t="s">
        <v>51</v>
      </c>
      <c r="C24" s="663" t="s">
        <v>265</v>
      </c>
      <c r="D24" s="664">
        <v>1445</v>
      </c>
      <c r="E24" s="664">
        <v>1503</v>
      </c>
      <c r="F24" s="664">
        <v>1587</v>
      </c>
      <c r="G24" s="664">
        <v>1576</v>
      </c>
      <c r="H24" s="664">
        <v>1504</v>
      </c>
    </row>
    <row r="25" spans="1:8">
      <c r="A25" s="662" t="s">
        <v>56</v>
      </c>
      <c r="B25" s="663" t="s">
        <v>295</v>
      </c>
      <c r="C25" s="663" t="s">
        <v>266</v>
      </c>
      <c r="D25" s="664">
        <v>16443</v>
      </c>
      <c r="E25" s="664">
        <v>18880</v>
      </c>
      <c r="F25" s="664">
        <v>20382</v>
      </c>
      <c r="G25" s="664">
        <v>21584</v>
      </c>
      <c r="H25" s="664">
        <v>21498</v>
      </c>
    </row>
    <row r="26" spans="1:8">
      <c r="A26" s="662" t="s">
        <v>58</v>
      </c>
      <c r="B26" s="663" t="s">
        <v>59</v>
      </c>
      <c r="C26" s="663" t="s">
        <v>267</v>
      </c>
      <c r="D26" s="664">
        <v>532</v>
      </c>
      <c r="E26" s="664">
        <v>618</v>
      </c>
      <c r="F26" s="664">
        <v>623</v>
      </c>
      <c r="G26" s="664">
        <v>600</v>
      </c>
      <c r="H26" s="664">
        <v>561</v>
      </c>
    </row>
    <row r="27" spans="1:8">
      <c r="A27" s="662" t="s">
        <v>60</v>
      </c>
      <c r="B27" s="663" t="s">
        <v>61</v>
      </c>
      <c r="C27" s="663" t="s">
        <v>265</v>
      </c>
      <c r="D27" s="664">
        <v>319</v>
      </c>
      <c r="E27" s="664">
        <v>340</v>
      </c>
      <c r="F27" s="664">
        <v>371</v>
      </c>
      <c r="G27" s="664">
        <v>381</v>
      </c>
      <c r="H27" s="664">
        <v>363</v>
      </c>
    </row>
    <row r="28" spans="1:8">
      <c r="A28" s="662" t="s">
        <v>62</v>
      </c>
      <c r="B28" s="663" t="s">
        <v>63</v>
      </c>
      <c r="C28" s="663" t="s">
        <v>267</v>
      </c>
      <c r="D28" s="664">
        <v>3108</v>
      </c>
      <c r="E28" s="664">
        <v>3414</v>
      </c>
      <c r="F28" s="664">
        <v>3535</v>
      </c>
      <c r="G28" s="664">
        <v>3723</v>
      </c>
      <c r="H28" s="664">
        <v>3603</v>
      </c>
    </row>
    <row r="29" spans="1:8">
      <c r="A29" s="662" t="s">
        <v>64</v>
      </c>
      <c r="B29" s="663" t="s">
        <v>65</v>
      </c>
      <c r="C29" s="663" t="s">
        <v>266</v>
      </c>
      <c r="D29" s="664">
        <v>1202</v>
      </c>
      <c r="E29" s="664">
        <v>1301</v>
      </c>
      <c r="F29" s="664">
        <v>1386</v>
      </c>
      <c r="G29" s="664">
        <v>1410</v>
      </c>
      <c r="H29" s="664">
        <v>1413</v>
      </c>
    </row>
    <row r="30" spans="1:8">
      <c r="A30" s="662" t="s">
        <v>68</v>
      </c>
      <c r="B30" s="663" t="s">
        <v>69</v>
      </c>
      <c r="C30" s="663" t="s">
        <v>268</v>
      </c>
      <c r="D30" s="664">
        <v>2015</v>
      </c>
      <c r="E30" s="664">
        <v>2080</v>
      </c>
      <c r="F30" s="664">
        <v>2150</v>
      </c>
      <c r="G30" s="664">
        <v>2226</v>
      </c>
      <c r="H30" s="664">
        <v>2211</v>
      </c>
    </row>
    <row r="31" spans="1:8">
      <c r="A31" s="662" t="s">
        <v>70</v>
      </c>
      <c r="B31" s="663" t="s">
        <v>71</v>
      </c>
      <c r="C31" s="663" t="s">
        <v>264</v>
      </c>
      <c r="D31" s="664">
        <v>2738</v>
      </c>
      <c r="E31" s="664">
        <v>2936</v>
      </c>
      <c r="F31" s="664">
        <v>3112</v>
      </c>
      <c r="G31" s="664">
        <v>3114</v>
      </c>
      <c r="H31" s="664">
        <v>3058</v>
      </c>
    </row>
    <row r="32" spans="1:8">
      <c r="A32" s="662" t="s">
        <v>72</v>
      </c>
      <c r="B32" s="663" t="s">
        <v>73</v>
      </c>
      <c r="C32" s="663" t="s">
        <v>266</v>
      </c>
      <c r="D32" s="664">
        <v>1244</v>
      </c>
      <c r="E32" s="664">
        <v>1365</v>
      </c>
      <c r="F32" s="664">
        <v>1503</v>
      </c>
      <c r="G32" s="664">
        <v>1541</v>
      </c>
      <c r="H32" s="664">
        <v>1498</v>
      </c>
    </row>
    <row r="33" spans="1:8">
      <c r="A33" s="662" t="s">
        <v>74</v>
      </c>
      <c r="B33" s="663" t="s">
        <v>296</v>
      </c>
      <c r="C33" s="663" t="s">
        <v>267</v>
      </c>
      <c r="D33" s="664">
        <v>25410</v>
      </c>
      <c r="E33" s="664">
        <v>29341</v>
      </c>
      <c r="F33" s="664">
        <v>32354</v>
      </c>
      <c r="G33" s="664">
        <v>34720</v>
      </c>
      <c r="H33" s="664">
        <v>34788</v>
      </c>
    </row>
    <row r="34" spans="1:8">
      <c r="A34" s="662" t="s">
        <v>76</v>
      </c>
      <c r="B34" s="663" t="s">
        <v>77</v>
      </c>
      <c r="C34" s="663" t="s">
        <v>267</v>
      </c>
      <c r="D34" s="664">
        <v>2526</v>
      </c>
      <c r="E34" s="664">
        <v>2780</v>
      </c>
      <c r="F34" s="664">
        <v>2956</v>
      </c>
      <c r="G34" s="664">
        <v>2999</v>
      </c>
      <c r="H34" s="664">
        <v>2906</v>
      </c>
    </row>
    <row r="35" spans="1:8">
      <c r="A35" s="662" t="s">
        <v>78</v>
      </c>
      <c r="B35" s="663" t="s">
        <v>79</v>
      </c>
      <c r="C35" s="663" t="s">
        <v>268</v>
      </c>
      <c r="D35" s="664">
        <v>1135</v>
      </c>
      <c r="E35" s="664">
        <v>1262</v>
      </c>
      <c r="F35" s="664">
        <v>1341</v>
      </c>
      <c r="G35" s="664">
        <v>1335</v>
      </c>
      <c r="H35" s="664">
        <v>1275</v>
      </c>
    </row>
    <row r="36" spans="1:8">
      <c r="A36" s="662" t="s">
        <v>80</v>
      </c>
      <c r="B36" s="663" t="s">
        <v>81</v>
      </c>
      <c r="C36" s="663" t="s">
        <v>266</v>
      </c>
      <c r="D36" s="664">
        <v>881</v>
      </c>
      <c r="E36" s="664">
        <v>1041</v>
      </c>
      <c r="F36" s="664">
        <v>1178</v>
      </c>
      <c r="G36" s="664">
        <v>1204</v>
      </c>
      <c r="H36" s="664">
        <v>1173</v>
      </c>
    </row>
    <row r="37" spans="1:8">
      <c r="A37" s="662" t="s">
        <v>84</v>
      </c>
      <c r="B37" s="663" t="s">
        <v>85</v>
      </c>
      <c r="C37" s="663" t="s">
        <v>265</v>
      </c>
      <c r="D37" s="664">
        <v>4567</v>
      </c>
      <c r="E37" s="664">
        <v>4924</v>
      </c>
      <c r="F37" s="664">
        <v>5105</v>
      </c>
      <c r="G37" s="664">
        <v>5156</v>
      </c>
      <c r="H37" s="664">
        <v>5106</v>
      </c>
    </row>
    <row r="38" spans="1:8">
      <c r="A38" s="662" t="s">
        <v>86</v>
      </c>
      <c r="B38" s="663" t="s">
        <v>87</v>
      </c>
      <c r="C38" s="663" t="s">
        <v>267</v>
      </c>
      <c r="D38" s="664">
        <v>3781</v>
      </c>
      <c r="E38" s="664">
        <v>4301</v>
      </c>
      <c r="F38" s="664">
        <v>4597</v>
      </c>
      <c r="G38" s="664">
        <v>4722</v>
      </c>
      <c r="H38" s="664">
        <v>4335</v>
      </c>
    </row>
    <row r="39" spans="1:8">
      <c r="A39" s="662" t="s">
        <v>92</v>
      </c>
      <c r="B39" s="663" t="s">
        <v>93</v>
      </c>
      <c r="C39" s="663" t="s">
        <v>268</v>
      </c>
      <c r="D39" s="664">
        <v>1491</v>
      </c>
      <c r="E39" s="664">
        <v>1628</v>
      </c>
      <c r="F39" s="664">
        <v>1598</v>
      </c>
      <c r="G39" s="664">
        <v>1599</v>
      </c>
      <c r="H39" s="664">
        <v>1662</v>
      </c>
    </row>
    <row r="40" spans="1:8">
      <c r="A40" s="662" t="s">
        <v>94</v>
      </c>
      <c r="B40" s="663" t="s">
        <v>95</v>
      </c>
      <c r="C40" s="663" t="s">
        <v>264</v>
      </c>
      <c r="D40" s="664">
        <v>2395</v>
      </c>
      <c r="E40" s="664">
        <v>2709</v>
      </c>
      <c r="F40" s="664">
        <v>2914</v>
      </c>
      <c r="G40" s="664">
        <v>2922</v>
      </c>
      <c r="H40" s="664">
        <v>2877</v>
      </c>
    </row>
    <row r="41" spans="1:8">
      <c r="A41" s="662" t="s">
        <v>96</v>
      </c>
      <c r="B41" s="663" t="s">
        <v>97</v>
      </c>
      <c r="C41" s="663" t="s">
        <v>266</v>
      </c>
      <c r="D41" s="664">
        <v>794</v>
      </c>
      <c r="E41" s="664">
        <v>902</v>
      </c>
      <c r="F41" s="664">
        <v>918</v>
      </c>
      <c r="G41" s="664">
        <v>950</v>
      </c>
      <c r="H41" s="664">
        <v>942</v>
      </c>
    </row>
    <row r="42" spans="1:8">
      <c r="A42" s="662" t="s">
        <v>98</v>
      </c>
      <c r="B42" s="663" t="s">
        <v>99</v>
      </c>
      <c r="C42" s="663" t="s">
        <v>268</v>
      </c>
      <c r="D42" s="664">
        <v>1672</v>
      </c>
      <c r="E42" s="664">
        <v>1798</v>
      </c>
      <c r="F42" s="664">
        <v>1830</v>
      </c>
      <c r="G42" s="664">
        <v>1903</v>
      </c>
      <c r="H42" s="664">
        <v>1845</v>
      </c>
    </row>
    <row r="43" spans="1:8">
      <c r="A43" s="662" t="s">
        <v>100</v>
      </c>
      <c r="B43" s="663" t="s">
        <v>101</v>
      </c>
      <c r="C43" s="663" t="s">
        <v>267</v>
      </c>
      <c r="D43" s="664">
        <v>1096</v>
      </c>
      <c r="E43" s="664">
        <v>1215</v>
      </c>
      <c r="F43" s="664">
        <v>1303</v>
      </c>
      <c r="G43" s="664">
        <v>1342</v>
      </c>
      <c r="H43" s="664">
        <v>1356</v>
      </c>
    </row>
    <row r="44" spans="1:8">
      <c r="A44" s="662" t="s">
        <v>102</v>
      </c>
      <c r="B44" s="663" t="s">
        <v>282</v>
      </c>
      <c r="C44" s="663" t="s">
        <v>264</v>
      </c>
      <c r="D44" s="664">
        <v>2397</v>
      </c>
      <c r="E44" s="664">
        <v>2657</v>
      </c>
      <c r="F44" s="664">
        <v>2795</v>
      </c>
      <c r="G44" s="664">
        <v>3050</v>
      </c>
      <c r="H44" s="664">
        <v>2914</v>
      </c>
    </row>
    <row r="45" spans="1:8">
      <c r="A45" s="662" t="s">
        <v>104</v>
      </c>
      <c r="B45" s="663" t="s">
        <v>105</v>
      </c>
      <c r="C45" s="663" t="s">
        <v>265</v>
      </c>
      <c r="D45" s="664">
        <v>4069</v>
      </c>
      <c r="E45" s="664">
        <v>4318</v>
      </c>
      <c r="F45" s="664">
        <v>4442</v>
      </c>
      <c r="G45" s="664">
        <v>4466</v>
      </c>
      <c r="H45" s="664">
        <v>4515</v>
      </c>
    </row>
    <row r="46" spans="1:8">
      <c r="A46" s="662" t="s">
        <v>108</v>
      </c>
      <c r="B46" s="663" t="s">
        <v>109</v>
      </c>
      <c r="C46" s="663" t="s">
        <v>266</v>
      </c>
      <c r="D46" s="664">
        <v>3249</v>
      </c>
      <c r="E46" s="664">
        <v>3702</v>
      </c>
      <c r="F46" s="664">
        <v>3999</v>
      </c>
      <c r="G46" s="664">
        <v>4064</v>
      </c>
      <c r="H46" s="664">
        <v>4029</v>
      </c>
    </row>
    <row r="47" spans="1:8">
      <c r="A47" s="662" t="s">
        <v>110</v>
      </c>
      <c r="B47" s="663" t="s">
        <v>111</v>
      </c>
      <c r="C47" s="663" t="s">
        <v>266</v>
      </c>
      <c r="D47" s="664">
        <v>17705</v>
      </c>
      <c r="E47" s="664">
        <v>20583</v>
      </c>
      <c r="F47" s="664">
        <v>22430</v>
      </c>
      <c r="G47" s="664">
        <v>23611</v>
      </c>
      <c r="H47" s="664">
        <v>23261</v>
      </c>
    </row>
    <row r="48" spans="1:8">
      <c r="A48" s="662" t="s">
        <v>112</v>
      </c>
      <c r="B48" s="663" t="s">
        <v>300</v>
      </c>
      <c r="C48" s="663" t="s">
        <v>265</v>
      </c>
      <c r="D48" s="664">
        <v>9882</v>
      </c>
      <c r="E48" s="664">
        <v>10439</v>
      </c>
      <c r="F48" s="664">
        <v>10999</v>
      </c>
      <c r="G48" s="664">
        <v>11352</v>
      </c>
      <c r="H48" s="664">
        <v>10899</v>
      </c>
    </row>
    <row r="49" spans="1:8">
      <c r="A49" s="662" t="s">
        <v>114</v>
      </c>
      <c r="B49" s="663" t="s">
        <v>115</v>
      </c>
      <c r="C49" s="663" t="s">
        <v>265</v>
      </c>
      <c r="D49" s="664">
        <v>101</v>
      </c>
      <c r="E49" s="664">
        <v>116</v>
      </c>
      <c r="F49" s="664">
        <v>121</v>
      </c>
      <c r="G49" s="664">
        <v>112</v>
      </c>
      <c r="H49" s="664">
        <v>110</v>
      </c>
    </row>
    <row r="50" spans="1:8">
      <c r="A50" s="662" t="s">
        <v>118</v>
      </c>
      <c r="B50" s="663" t="s">
        <v>270</v>
      </c>
      <c r="C50" s="663" t="s">
        <v>264</v>
      </c>
      <c r="D50" s="664">
        <v>2462</v>
      </c>
      <c r="E50" s="664">
        <v>2692</v>
      </c>
      <c r="F50" s="664">
        <v>2872</v>
      </c>
      <c r="G50" s="664">
        <v>2956</v>
      </c>
      <c r="H50" s="664">
        <v>2862</v>
      </c>
    </row>
    <row r="51" spans="1:8">
      <c r="A51" s="662" t="s">
        <v>120</v>
      </c>
      <c r="B51" s="663" t="s">
        <v>121</v>
      </c>
      <c r="C51" s="663" t="s">
        <v>264</v>
      </c>
      <c r="D51" s="664">
        <v>2476</v>
      </c>
      <c r="E51" s="664">
        <v>2852</v>
      </c>
      <c r="F51" s="664">
        <v>3074</v>
      </c>
      <c r="G51" s="664">
        <v>3252</v>
      </c>
      <c r="H51" s="664">
        <v>3210</v>
      </c>
    </row>
    <row r="52" spans="1:8">
      <c r="A52" s="662" t="s">
        <v>122</v>
      </c>
      <c r="B52" s="663" t="s">
        <v>287</v>
      </c>
      <c r="C52" s="663" t="s">
        <v>266</v>
      </c>
      <c r="D52" s="664">
        <v>609</v>
      </c>
      <c r="E52" s="664">
        <v>687</v>
      </c>
      <c r="F52" s="664">
        <v>754</v>
      </c>
      <c r="G52" s="664">
        <v>813</v>
      </c>
      <c r="H52" s="664">
        <v>806</v>
      </c>
    </row>
    <row r="53" spans="1:8">
      <c r="A53" s="662" t="s">
        <v>124</v>
      </c>
      <c r="B53" s="663" t="s">
        <v>125</v>
      </c>
      <c r="C53" s="663" t="s">
        <v>267</v>
      </c>
      <c r="D53" s="664">
        <v>1364</v>
      </c>
      <c r="E53" s="664">
        <v>1609</v>
      </c>
      <c r="F53" s="664">
        <v>1807</v>
      </c>
      <c r="G53" s="664">
        <v>1905</v>
      </c>
      <c r="H53" s="664">
        <v>1925</v>
      </c>
    </row>
    <row r="54" spans="1:8">
      <c r="A54" s="662" t="s">
        <v>126</v>
      </c>
      <c r="B54" s="663" t="s">
        <v>127</v>
      </c>
      <c r="C54" s="663" t="s">
        <v>266</v>
      </c>
      <c r="D54" s="664">
        <v>998</v>
      </c>
      <c r="E54" s="664">
        <v>1121</v>
      </c>
      <c r="F54" s="664">
        <v>1196</v>
      </c>
      <c r="G54" s="664">
        <v>1184</v>
      </c>
      <c r="H54" s="664">
        <v>1153</v>
      </c>
    </row>
    <row r="55" spans="1:8">
      <c r="A55" s="662" t="s">
        <v>128</v>
      </c>
      <c r="B55" s="663" t="s">
        <v>129</v>
      </c>
      <c r="C55" s="663" t="s">
        <v>266</v>
      </c>
      <c r="D55" s="664">
        <v>981</v>
      </c>
      <c r="E55" s="664">
        <v>1053</v>
      </c>
      <c r="F55" s="664">
        <v>1106</v>
      </c>
      <c r="G55" s="664">
        <v>1134</v>
      </c>
      <c r="H55" s="664">
        <v>1117</v>
      </c>
    </row>
    <row r="56" spans="1:8">
      <c r="A56" s="662" t="s">
        <v>130</v>
      </c>
      <c r="B56" s="663" t="s">
        <v>131</v>
      </c>
      <c r="C56" s="663" t="s">
        <v>268</v>
      </c>
      <c r="D56" s="664">
        <v>3568</v>
      </c>
      <c r="E56" s="664">
        <v>3828</v>
      </c>
      <c r="F56" s="664">
        <v>3936</v>
      </c>
      <c r="G56" s="664">
        <v>4034</v>
      </c>
      <c r="H56" s="664">
        <v>4087</v>
      </c>
    </row>
    <row r="57" spans="1:8">
      <c r="A57" s="662" t="s">
        <v>132</v>
      </c>
      <c r="B57" s="663" t="s">
        <v>133</v>
      </c>
      <c r="C57" s="663" t="s">
        <v>267</v>
      </c>
      <c r="D57" s="664">
        <v>4833</v>
      </c>
      <c r="E57" s="664">
        <v>5657</v>
      </c>
      <c r="F57" s="664">
        <v>6097</v>
      </c>
      <c r="G57" s="664">
        <v>6514</v>
      </c>
      <c r="H57" s="664">
        <v>6658</v>
      </c>
    </row>
    <row r="58" spans="1:8">
      <c r="A58" s="662" t="s">
        <v>134</v>
      </c>
      <c r="B58" s="663" t="s">
        <v>135</v>
      </c>
      <c r="C58" s="663" t="s">
        <v>267</v>
      </c>
      <c r="D58" s="664">
        <v>2311</v>
      </c>
      <c r="E58" s="664">
        <v>2693</v>
      </c>
      <c r="F58" s="664">
        <v>2828</v>
      </c>
      <c r="G58" s="664">
        <v>3016</v>
      </c>
      <c r="H58" s="664">
        <v>3047</v>
      </c>
    </row>
    <row r="59" spans="1:8">
      <c r="A59" s="662" t="s">
        <v>136</v>
      </c>
      <c r="B59" s="663" t="s">
        <v>137</v>
      </c>
      <c r="C59" s="663" t="s">
        <v>266</v>
      </c>
      <c r="D59" s="664">
        <v>1498</v>
      </c>
      <c r="E59" s="664">
        <v>1617</v>
      </c>
      <c r="F59" s="664">
        <v>1667</v>
      </c>
      <c r="G59" s="664">
        <v>1688</v>
      </c>
      <c r="H59" s="664">
        <v>1709</v>
      </c>
    </row>
    <row r="60" spans="1:8">
      <c r="A60" s="662" t="s">
        <v>140</v>
      </c>
      <c r="B60" s="663" t="s">
        <v>141</v>
      </c>
      <c r="C60" s="663" t="s">
        <v>267</v>
      </c>
      <c r="D60" s="664">
        <v>807</v>
      </c>
      <c r="E60" s="664">
        <v>893</v>
      </c>
      <c r="F60" s="664">
        <v>972</v>
      </c>
      <c r="G60" s="664">
        <v>1024</v>
      </c>
      <c r="H60" s="664">
        <v>1000</v>
      </c>
    </row>
    <row r="61" spans="1:8">
      <c r="A61" s="662" t="s">
        <v>146</v>
      </c>
      <c r="B61" s="663" t="s">
        <v>147</v>
      </c>
      <c r="C61" s="663" t="s">
        <v>264</v>
      </c>
      <c r="D61" s="664">
        <v>596</v>
      </c>
      <c r="E61" s="664">
        <v>671</v>
      </c>
      <c r="F61" s="664">
        <v>699</v>
      </c>
      <c r="G61" s="664">
        <v>710</v>
      </c>
      <c r="H61" s="664">
        <v>685</v>
      </c>
    </row>
    <row r="62" spans="1:8">
      <c r="A62" s="662" t="s">
        <v>148</v>
      </c>
      <c r="B62" s="663" t="s">
        <v>149</v>
      </c>
      <c r="C62" s="663" t="s">
        <v>265</v>
      </c>
      <c r="D62" s="664">
        <v>2922</v>
      </c>
      <c r="E62" s="664">
        <v>3158</v>
      </c>
      <c r="F62" s="664">
        <v>3319</v>
      </c>
      <c r="G62" s="664">
        <v>3505</v>
      </c>
      <c r="H62" s="664">
        <v>3511</v>
      </c>
    </row>
    <row r="63" spans="1:8">
      <c r="A63" s="662" t="s">
        <v>150</v>
      </c>
      <c r="B63" s="663" t="s">
        <v>151</v>
      </c>
      <c r="C63" s="663" t="s">
        <v>266</v>
      </c>
      <c r="D63" s="664">
        <v>890</v>
      </c>
      <c r="E63" s="664">
        <v>962</v>
      </c>
      <c r="F63" s="664">
        <v>1077</v>
      </c>
      <c r="G63" s="664">
        <v>1103</v>
      </c>
      <c r="H63" s="664">
        <v>1090</v>
      </c>
    </row>
    <row r="64" spans="1:8">
      <c r="A64" s="662" t="s">
        <v>152</v>
      </c>
      <c r="B64" s="663" t="s">
        <v>153</v>
      </c>
      <c r="C64" s="663" t="s">
        <v>268</v>
      </c>
      <c r="D64" s="664">
        <v>4513</v>
      </c>
      <c r="E64" s="664">
        <v>4979</v>
      </c>
      <c r="F64" s="664">
        <v>5197</v>
      </c>
      <c r="G64" s="664">
        <v>5332</v>
      </c>
      <c r="H64" s="664">
        <v>5205</v>
      </c>
    </row>
    <row r="65" spans="1:8">
      <c r="A65" s="662" t="s">
        <v>154</v>
      </c>
      <c r="B65" s="663" t="s">
        <v>155</v>
      </c>
      <c r="C65" s="663" t="s">
        <v>265</v>
      </c>
      <c r="D65" s="664">
        <v>1227</v>
      </c>
      <c r="E65" s="664">
        <v>1356</v>
      </c>
      <c r="F65" s="664">
        <v>1471</v>
      </c>
      <c r="G65" s="664">
        <v>1502</v>
      </c>
      <c r="H65" s="664">
        <v>1497</v>
      </c>
    </row>
    <row r="66" spans="1:8">
      <c r="A66" s="662" t="s">
        <v>156</v>
      </c>
      <c r="B66" s="663" t="s">
        <v>157</v>
      </c>
      <c r="C66" s="663" t="s">
        <v>266</v>
      </c>
      <c r="D66" s="664">
        <v>619</v>
      </c>
      <c r="E66" s="664">
        <v>732</v>
      </c>
      <c r="F66" s="664">
        <v>804</v>
      </c>
      <c r="G66" s="664">
        <v>839</v>
      </c>
      <c r="H66" s="664">
        <v>816</v>
      </c>
    </row>
    <row r="67" spans="1:8">
      <c r="A67" s="662" t="s">
        <v>162</v>
      </c>
      <c r="B67" s="663" t="s">
        <v>163</v>
      </c>
      <c r="C67" s="663" t="s">
        <v>264</v>
      </c>
      <c r="D67" s="664">
        <v>1784</v>
      </c>
      <c r="E67" s="664">
        <v>1952</v>
      </c>
      <c r="F67" s="664">
        <v>1990</v>
      </c>
      <c r="G67" s="664">
        <v>2018</v>
      </c>
      <c r="H67" s="664">
        <v>2015</v>
      </c>
    </row>
    <row r="68" spans="1:8">
      <c r="A68" s="662" t="s">
        <v>164</v>
      </c>
      <c r="B68" s="663" t="s">
        <v>165</v>
      </c>
      <c r="C68" s="663" t="s">
        <v>266</v>
      </c>
      <c r="D68" s="664">
        <v>941</v>
      </c>
      <c r="E68" s="664">
        <v>1031</v>
      </c>
      <c r="F68" s="664">
        <v>1101</v>
      </c>
      <c r="G68" s="664">
        <v>1179</v>
      </c>
      <c r="H68" s="664">
        <v>1201</v>
      </c>
    </row>
    <row r="69" spans="1:8">
      <c r="A69" s="662" t="s">
        <v>168</v>
      </c>
      <c r="B69" s="663" t="s">
        <v>169</v>
      </c>
      <c r="C69" s="663" t="s">
        <v>266</v>
      </c>
      <c r="D69" s="664">
        <v>1966</v>
      </c>
      <c r="E69" s="664">
        <v>2173</v>
      </c>
      <c r="F69" s="664">
        <v>2316</v>
      </c>
      <c r="G69" s="664">
        <v>2365</v>
      </c>
      <c r="H69" s="664">
        <v>2398</v>
      </c>
    </row>
    <row r="70" spans="1:8">
      <c r="A70" s="662" t="s">
        <v>170</v>
      </c>
      <c r="B70" s="663" t="s">
        <v>171</v>
      </c>
      <c r="C70" s="663" t="s">
        <v>267</v>
      </c>
      <c r="D70" s="664">
        <v>1868</v>
      </c>
      <c r="E70" s="664">
        <v>2074</v>
      </c>
      <c r="F70" s="664">
        <v>2200</v>
      </c>
      <c r="G70" s="664">
        <v>2260</v>
      </c>
      <c r="H70" s="664">
        <v>2270</v>
      </c>
    </row>
    <row r="71" spans="1:8">
      <c r="A71" s="662" t="s">
        <v>172</v>
      </c>
      <c r="B71" s="663" t="s">
        <v>173</v>
      </c>
      <c r="C71" s="663" t="s">
        <v>267</v>
      </c>
      <c r="D71" s="664">
        <v>2111</v>
      </c>
      <c r="E71" s="664">
        <v>2293</v>
      </c>
      <c r="F71" s="664">
        <v>2468</v>
      </c>
      <c r="G71" s="664">
        <v>2488</v>
      </c>
      <c r="H71" s="664">
        <v>2463</v>
      </c>
    </row>
    <row r="72" spans="1:8">
      <c r="A72" s="662" t="s">
        <v>174</v>
      </c>
      <c r="B72" s="663" t="s">
        <v>175</v>
      </c>
      <c r="C72" s="663" t="s">
        <v>268</v>
      </c>
      <c r="D72" s="664">
        <v>2136</v>
      </c>
      <c r="E72" s="664">
        <v>2269</v>
      </c>
      <c r="F72" s="664">
        <v>2300</v>
      </c>
      <c r="G72" s="664">
        <v>2239</v>
      </c>
      <c r="H72" s="664">
        <v>2169</v>
      </c>
    </row>
    <row r="73" spans="1:8">
      <c r="A73" s="662" t="s">
        <v>178</v>
      </c>
      <c r="B73" s="663" t="s">
        <v>179</v>
      </c>
      <c r="C73" s="663" t="s">
        <v>265</v>
      </c>
      <c r="D73" s="664">
        <v>6090</v>
      </c>
      <c r="E73" s="664">
        <v>6509</v>
      </c>
      <c r="F73" s="664">
        <v>6704</v>
      </c>
      <c r="G73" s="664">
        <v>6887</v>
      </c>
      <c r="H73" s="664">
        <v>6952</v>
      </c>
    </row>
    <row r="74" spans="1:8">
      <c r="A74" s="662" t="s">
        <v>182</v>
      </c>
      <c r="B74" s="663" t="s">
        <v>183</v>
      </c>
      <c r="C74" s="663" t="s">
        <v>266</v>
      </c>
      <c r="D74" s="664">
        <v>782</v>
      </c>
      <c r="E74" s="664">
        <v>908</v>
      </c>
      <c r="F74" s="664">
        <v>1027</v>
      </c>
      <c r="G74" s="664">
        <v>1038</v>
      </c>
      <c r="H74" s="664">
        <v>1006</v>
      </c>
    </row>
    <row r="75" spans="1:8">
      <c r="A75" s="662" t="s">
        <v>184</v>
      </c>
      <c r="B75" s="663" t="s">
        <v>185</v>
      </c>
      <c r="C75" s="663" t="s">
        <v>266</v>
      </c>
      <c r="D75" s="664">
        <v>2091</v>
      </c>
      <c r="E75" s="664">
        <v>2302</v>
      </c>
      <c r="F75" s="664">
        <v>2434</v>
      </c>
      <c r="G75" s="664">
        <v>2492</v>
      </c>
      <c r="H75" s="664">
        <v>2471</v>
      </c>
    </row>
    <row r="76" spans="1:8">
      <c r="A76" s="662" t="s">
        <v>186</v>
      </c>
      <c r="B76" s="663" t="s">
        <v>187</v>
      </c>
      <c r="C76" s="663" t="s">
        <v>264</v>
      </c>
      <c r="D76" s="664">
        <v>1500</v>
      </c>
      <c r="E76" s="664">
        <v>1689</v>
      </c>
      <c r="F76" s="664">
        <v>1888</v>
      </c>
      <c r="G76" s="664">
        <v>2029</v>
      </c>
      <c r="H76" s="664">
        <v>2082</v>
      </c>
    </row>
    <row r="77" spans="1:8">
      <c r="A77" s="662" t="s">
        <v>188</v>
      </c>
      <c r="B77" s="663" t="s">
        <v>189</v>
      </c>
      <c r="C77" s="663" t="s">
        <v>267</v>
      </c>
      <c r="D77" s="664">
        <v>14043</v>
      </c>
      <c r="E77" s="664">
        <v>16311</v>
      </c>
      <c r="F77" s="664">
        <v>17853</v>
      </c>
      <c r="G77" s="664">
        <v>18942</v>
      </c>
      <c r="H77" s="664">
        <v>18854</v>
      </c>
    </row>
    <row r="78" spans="1:8">
      <c r="A78" s="662" t="s">
        <v>190</v>
      </c>
      <c r="B78" s="663" t="s">
        <v>191</v>
      </c>
      <c r="C78" s="663" t="s">
        <v>268</v>
      </c>
      <c r="D78" s="664">
        <v>3867</v>
      </c>
      <c r="E78" s="664">
        <v>4106</v>
      </c>
      <c r="F78" s="664">
        <v>4116</v>
      </c>
      <c r="G78" s="664">
        <v>4240</v>
      </c>
      <c r="H78" s="664">
        <v>4232</v>
      </c>
    </row>
    <row r="79" spans="1:8">
      <c r="A79" s="662" t="s">
        <v>194</v>
      </c>
      <c r="B79" s="663" t="s">
        <v>195</v>
      </c>
      <c r="C79" s="663" t="s">
        <v>267</v>
      </c>
      <c r="D79" s="664">
        <v>289</v>
      </c>
      <c r="E79" s="664">
        <v>319</v>
      </c>
      <c r="F79" s="664">
        <v>352</v>
      </c>
      <c r="G79" s="664">
        <v>331</v>
      </c>
      <c r="H79" s="664">
        <v>314</v>
      </c>
    </row>
    <row r="80" spans="1:8">
      <c r="A80" s="662" t="s">
        <v>198</v>
      </c>
      <c r="B80" s="663" t="s">
        <v>272</v>
      </c>
      <c r="C80" s="663" t="s">
        <v>266</v>
      </c>
      <c r="D80" s="664">
        <v>832</v>
      </c>
      <c r="E80" s="664">
        <v>906</v>
      </c>
      <c r="F80" s="664">
        <v>991</v>
      </c>
      <c r="G80" s="664">
        <v>1046</v>
      </c>
      <c r="H80" s="664">
        <v>1045</v>
      </c>
    </row>
    <row r="81" spans="1:8">
      <c r="A81" s="662" t="s">
        <v>202</v>
      </c>
      <c r="B81" s="663" t="s">
        <v>301</v>
      </c>
      <c r="C81" s="663" t="s">
        <v>265</v>
      </c>
      <c r="D81" s="664">
        <v>4776</v>
      </c>
      <c r="E81" s="664">
        <v>5353</v>
      </c>
      <c r="F81" s="664">
        <v>5575</v>
      </c>
      <c r="G81" s="664">
        <v>5785</v>
      </c>
      <c r="H81" s="664">
        <v>5809</v>
      </c>
    </row>
    <row r="82" spans="1:8">
      <c r="A82" s="662" t="s">
        <v>204</v>
      </c>
      <c r="B82" s="663" t="s">
        <v>293</v>
      </c>
      <c r="C82" s="663" t="s">
        <v>265</v>
      </c>
      <c r="D82" s="664">
        <v>2296</v>
      </c>
      <c r="E82" s="664">
        <v>2530</v>
      </c>
      <c r="F82" s="664">
        <v>2639</v>
      </c>
      <c r="G82" s="664">
        <v>2825</v>
      </c>
      <c r="H82" s="664">
        <v>2734</v>
      </c>
    </row>
    <row r="83" spans="1:8">
      <c r="A83" s="662" t="s">
        <v>206</v>
      </c>
      <c r="B83" s="663" t="s">
        <v>294</v>
      </c>
      <c r="C83" s="663" t="s">
        <v>267</v>
      </c>
      <c r="D83" s="664">
        <v>6465</v>
      </c>
      <c r="E83" s="664">
        <v>7328</v>
      </c>
      <c r="F83" s="664">
        <v>7570</v>
      </c>
      <c r="G83" s="664">
        <v>8023</v>
      </c>
      <c r="H83" s="664">
        <v>7624</v>
      </c>
    </row>
    <row r="84" spans="1:8">
      <c r="A84" s="662" t="s">
        <v>208</v>
      </c>
      <c r="B84" s="663" t="s">
        <v>209</v>
      </c>
      <c r="C84" s="663" t="s">
        <v>268</v>
      </c>
      <c r="D84" s="664">
        <v>3463</v>
      </c>
      <c r="E84" s="664">
        <v>3622</v>
      </c>
      <c r="F84" s="664">
        <v>3630</v>
      </c>
      <c r="G84" s="664">
        <v>3728</v>
      </c>
      <c r="H84" s="664">
        <v>3879</v>
      </c>
    </row>
    <row r="85" spans="1:8">
      <c r="A85" s="662" t="s">
        <v>210</v>
      </c>
      <c r="B85" s="663" t="s">
        <v>211</v>
      </c>
      <c r="C85" s="663" t="s">
        <v>268</v>
      </c>
      <c r="D85" s="664">
        <v>2074</v>
      </c>
      <c r="E85" s="664">
        <v>2253</v>
      </c>
      <c r="F85" s="664">
        <v>2392</v>
      </c>
      <c r="G85" s="664">
        <v>2488</v>
      </c>
      <c r="H85" s="664">
        <v>2526</v>
      </c>
    </row>
    <row r="86" spans="1:8">
      <c r="A86" s="662" t="s">
        <v>212</v>
      </c>
      <c r="B86" s="663" t="s">
        <v>213</v>
      </c>
      <c r="C86" s="663" t="s">
        <v>267</v>
      </c>
      <c r="D86" s="664">
        <v>2807</v>
      </c>
      <c r="E86" s="664">
        <v>3056</v>
      </c>
      <c r="F86" s="664">
        <v>3339</v>
      </c>
      <c r="G86" s="664">
        <v>3472</v>
      </c>
      <c r="H86" s="664">
        <v>3427</v>
      </c>
    </row>
    <row r="87" spans="1:8">
      <c r="A87" s="662" t="s">
        <v>214</v>
      </c>
      <c r="B87" s="663" t="s">
        <v>215</v>
      </c>
      <c r="C87" s="663" t="s">
        <v>268</v>
      </c>
      <c r="D87" s="664">
        <v>3793</v>
      </c>
      <c r="E87" s="664">
        <v>4120</v>
      </c>
      <c r="F87" s="664">
        <v>4223</v>
      </c>
      <c r="G87" s="664">
        <v>4276</v>
      </c>
      <c r="H87" s="664">
        <v>4221</v>
      </c>
    </row>
    <row r="88" spans="1:8">
      <c r="A88" s="662" t="s">
        <v>216</v>
      </c>
      <c r="B88" s="663" t="s">
        <v>217</v>
      </c>
      <c r="C88" s="663" t="s">
        <v>264</v>
      </c>
      <c r="D88" s="664">
        <v>1764</v>
      </c>
      <c r="E88" s="664">
        <v>1898</v>
      </c>
      <c r="F88" s="664">
        <v>2019</v>
      </c>
      <c r="G88" s="664">
        <v>2066</v>
      </c>
      <c r="H88" s="664">
        <v>2052</v>
      </c>
    </row>
    <row r="89" spans="1:8">
      <c r="A89" s="662" t="s">
        <v>218</v>
      </c>
      <c r="B89" s="663" t="s">
        <v>219</v>
      </c>
      <c r="C89" s="663" t="s">
        <v>267</v>
      </c>
      <c r="D89" s="664">
        <v>5882</v>
      </c>
      <c r="E89" s="664">
        <v>6858</v>
      </c>
      <c r="F89" s="664">
        <v>7324</v>
      </c>
      <c r="G89" s="664">
        <v>7643</v>
      </c>
      <c r="H89" s="664">
        <v>7742</v>
      </c>
    </row>
    <row r="90" spans="1:8">
      <c r="A90" s="662" t="s">
        <v>220</v>
      </c>
      <c r="B90" s="663" t="s">
        <v>221</v>
      </c>
      <c r="C90" s="663" t="s">
        <v>267</v>
      </c>
      <c r="D90" s="664">
        <v>4769</v>
      </c>
      <c r="E90" s="664">
        <v>5372</v>
      </c>
      <c r="F90" s="664">
        <v>5754</v>
      </c>
      <c r="G90" s="664">
        <v>6135</v>
      </c>
      <c r="H90" s="664">
        <v>6209</v>
      </c>
    </row>
    <row r="91" spans="1:8">
      <c r="A91" s="662" t="s">
        <v>224</v>
      </c>
      <c r="B91" s="663" t="s">
        <v>225</v>
      </c>
      <c r="C91" s="663" t="s">
        <v>264</v>
      </c>
      <c r="D91" s="664">
        <v>624</v>
      </c>
      <c r="E91" s="664">
        <v>701</v>
      </c>
      <c r="F91" s="664">
        <v>713</v>
      </c>
      <c r="G91" s="664">
        <v>784</v>
      </c>
      <c r="H91" s="664">
        <v>759</v>
      </c>
    </row>
    <row r="92" spans="1:8">
      <c r="A92" s="662" t="s">
        <v>226</v>
      </c>
      <c r="B92" s="663" t="s">
        <v>227</v>
      </c>
      <c r="C92" s="663" t="s">
        <v>264</v>
      </c>
      <c r="D92" s="664">
        <v>1157</v>
      </c>
      <c r="E92" s="664">
        <v>1238</v>
      </c>
      <c r="F92" s="664">
        <v>1281</v>
      </c>
      <c r="G92" s="664">
        <v>1333</v>
      </c>
      <c r="H92" s="664">
        <v>1367</v>
      </c>
    </row>
    <row r="93" spans="1:8">
      <c r="A93" s="662" t="s">
        <v>228</v>
      </c>
      <c r="B93" s="663" t="s">
        <v>229</v>
      </c>
      <c r="C93" s="663" t="s">
        <v>268</v>
      </c>
      <c r="D93" s="664">
        <v>4507</v>
      </c>
      <c r="E93" s="664">
        <v>4753</v>
      </c>
      <c r="F93" s="664">
        <v>5009</v>
      </c>
      <c r="G93" s="664">
        <v>5487</v>
      </c>
      <c r="H93" s="664">
        <v>5723</v>
      </c>
    </row>
    <row r="94" spans="1:8">
      <c r="A94" s="662" t="s">
        <v>232</v>
      </c>
      <c r="B94" s="663" t="s">
        <v>233</v>
      </c>
      <c r="C94" s="663" t="s">
        <v>267</v>
      </c>
      <c r="D94" s="664">
        <v>2792</v>
      </c>
      <c r="E94" s="664">
        <v>3104</v>
      </c>
      <c r="F94" s="664">
        <v>3241</v>
      </c>
      <c r="G94" s="664">
        <v>3377</v>
      </c>
      <c r="H94" s="664">
        <v>3289</v>
      </c>
    </row>
    <row r="95" spans="1:8">
      <c r="A95" s="662" t="s">
        <v>234</v>
      </c>
      <c r="B95" s="663" t="s">
        <v>235</v>
      </c>
      <c r="C95" s="663" t="s">
        <v>268</v>
      </c>
      <c r="D95" s="664">
        <v>4261</v>
      </c>
      <c r="E95" s="664">
        <v>4638</v>
      </c>
      <c r="F95" s="664">
        <v>4819</v>
      </c>
      <c r="G95" s="664">
        <v>4965</v>
      </c>
      <c r="H95" s="664">
        <v>5039</v>
      </c>
    </row>
    <row r="96" spans="1:8">
      <c r="A96" s="662" t="s">
        <v>236</v>
      </c>
      <c r="B96" s="663" t="s">
        <v>237</v>
      </c>
      <c r="C96" s="663" t="s">
        <v>266</v>
      </c>
      <c r="D96" s="664">
        <v>1681</v>
      </c>
      <c r="E96" s="664">
        <v>1915</v>
      </c>
      <c r="F96" s="664">
        <v>2084</v>
      </c>
      <c r="G96" s="664">
        <v>2175</v>
      </c>
      <c r="H96" s="664">
        <v>2138</v>
      </c>
    </row>
    <row r="97" spans="1:8">
      <c r="A97" s="662" t="s">
        <v>242</v>
      </c>
      <c r="B97" s="663" t="s">
        <v>243</v>
      </c>
      <c r="C97" s="663" t="s">
        <v>268</v>
      </c>
      <c r="D97" s="664">
        <v>5105</v>
      </c>
      <c r="E97" s="664">
        <v>5342</v>
      </c>
      <c r="F97" s="664">
        <v>5541</v>
      </c>
      <c r="G97" s="664">
        <v>5751</v>
      </c>
      <c r="H97" s="664">
        <v>5907</v>
      </c>
    </row>
    <row r="98" spans="1:8">
      <c r="A98" s="662" t="s">
        <v>244</v>
      </c>
      <c r="B98" s="663" t="s">
        <v>245</v>
      </c>
      <c r="C98" s="663" t="s">
        <v>268</v>
      </c>
      <c r="D98" s="664">
        <v>2898</v>
      </c>
      <c r="E98" s="664">
        <v>3113</v>
      </c>
      <c r="F98" s="664">
        <v>3099</v>
      </c>
      <c r="G98" s="664">
        <v>3067</v>
      </c>
      <c r="H98" s="664">
        <v>3037</v>
      </c>
    </row>
    <row r="99" spans="1:8">
      <c r="A99" s="662" t="s">
        <v>246</v>
      </c>
      <c r="B99" s="663" t="s">
        <v>247</v>
      </c>
      <c r="C99" s="663" t="s">
        <v>264</v>
      </c>
      <c r="D99" s="664">
        <v>1734</v>
      </c>
      <c r="E99" s="664">
        <v>2112</v>
      </c>
      <c r="F99" s="664">
        <v>2299</v>
      </c>
      <c r="G99" s="664">
        <v>2378</v>
      </c>
      <c r="H99" s="664">
        <v>2449</v>
      </c>
    </row>
    <row r="100" spans="1:8">
      <c r="A100" s="662" t="s">
        <v>14</v>
      </c>
      <c r="B100" s="663" t="s">
        <v>15</v>
      </c>
      <c r="C100" s="663" t="s">
        <v>267</v>
      </c>
      <c r="D100" s="664">
        <v>5821</v>
      </c>
      <c r="E100" s="664">
        <v>6395</v>
      </c>
      <c r="F100" s="664">
        <v>6643</v>
      </c>
      <c r="G100" s="664">
        <v>6784</v>
      </c>
      <c r="H100" s="664">
        <v>6548</v>
      </c>
    </row>
    <row r="101" spans="1:8">
      <c r="A101" s="662" t="s">
        <v>34</v>
      </c>
      <c r="B101" s="663" t="s">
        <v>35</v>
      </c>
      <c r="C101" s="663" t="s">
        <v>268</v>
      </c>
      <c r="D101" s="664">
        <v>3110</v>
      </c>
      <c r="E101" s="664">
        <v>3251</v>
      </c>
      <c r="F101" s="664">
        <v>3366</v>
      </c>
      <c r="G101" s="664">
        <v>3489</v>
      </c>
      <c r="H101" s="664">
        <v>3393</v>
      </c>
    </row>
    <row r="102" spans="1:8">
      <c r="A102" s="662" t="s">
        <v>52</v>
      </c>
      <c r="B102" s="663" t="s">
        <v>53</v>
      </c>
      <c r="C102" s="663" t="s">
        <v>265</v>
      </c>
      <c r="D102" s="664">
        <v>4024</v>
      </c>
      <c r="E102" s="664">
        <v>4317</v>
      </c>
      <c r="F102" s="664">
        <v>4456</v>
      </c>
      <c r="G102" s="664">
        <v>4490</v>
      </c>
      <c r="H102" s="664">
        <v>4166</v>
      </c>
    </row>
    <row r="103" spans="1:8">
      <c r="A103" s="662" t="s">
        <v>54</v>
      </c>
      <c r="B103" s="663" t="s">
        <v>55</v>
      </c>
      <c r="C103" s="663" t="s">
        <v>264</v>
      </c>
      <c r="D103" s="664">
        <v>12332</v>
      </c>
      <c r="E103" s="664">
        <v>14069</v>
      </c>
      <c r="F103" s="664">
        <v>15247</v>
      </c>
      <c r="G103" s="664">
        <v>16025</v>
      </c>
      <c r="H103" s="664">
        <v>16298</v>
      </c>
    </row>
    <row r="104" spans="1:8">
      <c r="A104" s="662" t="s">
        <v>66</v>
      </c>
      <c r="B104" s="663" t="s">
        <v>67</v>
      </c>
      <c r="C104" s="663" t="s">
        <v>265</v>
      </c>
      <c r="D104" s="664">
        <v>8375</v>
      </c>
      <c r="E104" s="664">
        <v>8882</v>
      </c>
      <c r="F104" s="664">
        <v>9292</v>
      </c>
      <c r="G104" s="664">
        <v>9343</v>
      </c>
      <c r="H104" s="664">
        <v>9397</v>
      </c>
    </row>
    <row r="105" spans="1:8">
      <c r="A105" s="662" t="s">
        <v>82</v>
      </c>
      <c r="B105" s="663" t="s">
        <v>83</v>
      </c>
      <c r="C105" s="663" t="s">
        <v>264</v>
      </c>
      <c r="D105" s="664">
        <v>1529</v>
      </c>
      <c r="E105" s="664">
        <v>1710</v>
      </c>
      <c r="F105" s="664">
        <v>1800</v>
      </c>
      <c r="G105" s="664">
        <v>1838</v>
      </c>
      <c r="H105" s="664">
        <v>1794</v>
      </c>
    </row>
    <row r="106" spans="1:8">
      <c r="A106" s="662" t="s">
        <v>88</v>
      </c>
      <c r="B106" s="663" t="s">
        <v>89</v>
      </c>
      <c r="C106" s="663" t="s">
        <v>267</v>
      </c>
      <c r="D106" s="664">
        <v>2929</v>
      </c>
      <c r="E106" s="664">
        <v>3363</v>
      </c>
      <c r="F106" s="664">
        <v>3671</v>
      </c>
      <c r="G106" s="664">
        <v>3716</v>
      </c>
      <c r="H106" s="664">
        <v>3647</v>
      </c>
    </row>
    <row r="107" spans="1:8">
      <c r="A107" s="662" t="s">
        <v>90</v>
      </c>
      <c r="B107" s="663" t="s">
        <v>91</v>
      </c>
      <c r="C107" s="663" t="s">
        <v>268</v>
      </c>
      <c r="D107" s="664">
        <v>1292</v>
      </c>
      <c r="E107" s="664">
        <v>1330</v>
      </c>
      <c r="F107" s="664">
        <v>1374</v>
      </c>
      <c r="G107" s="664">
        <v>1383</v>
      </c>
      <c r="H107" s="664">
        <v>1406</v>
      </c>
    </row>
    <row r="108" spans="1:8">
      <c r="A108" s="662" t="s">
        <v>106</v>
      </c>
      <c r="B108" s="663" t="s">
        <v>107</v>
      </c>
      <c r="C108" s="663" t="s">
        <v>264</v>
      </c>
      <c r="D108" s="664">
        <v>11567</v>
      </c>
      <c r="E108" s="664">
        <v>13629</v>
      </c>
      <c r="F108" s="664">
        <v>15200</v>
      </c>
      <c r="G108" s="664">
        <v>16168</v>
      </c>
      <c r="H108" s="664">
        <v>16029</v>
      </c>
    </row>
    <row r="109" spans="1:8">
      <c r="A109" s="662" t="s">
        <v>116</v>
      </c>
      <c r="B109" s="663" t="s">
        <v>117</v>
      </c>
      <c r="C109" s="663" t="s">
        <v>266</v>
      </c>
      <c r="D109" s="664">
        <v>3873</v>
      </c>
      <c r="E109" s="664">
        <v>4261</v>
      </c>
      <c r="F109" s="664">
        <v>4463</v>
      </c>
      <c r="G109" s="664">
        <v>4585</v>
      </c>
      <c r="H109" s="664">
        <v>4620</v>
      </c>
    </row>
    <row r="110" spans="1:8">
      <c r="A110" s="662" t="s">
        <v>138</v>
      </c>
      <c r="B110" s="663" t="s">
        <v>139</v>
      </c>
      <c r="C110" s="663" t="s">
        <v>265</v>
      </c>
      <c r="D110" s="664">
        <v>7486</v>
      </c>
      <c r="E110" s="664">
        <v>8308</v>
      </c>
      <c r="F110" s="664">
        <v>9129</v>
      </c>
      <c r="G110" s="664">
        <v>9642</v>
      </c>
      <c r="H110" s="664">
        <v>9599</v>
      </c>
    </row>
    <row r="111" spans="1:8">
      <c r="A111" s="662" t="s">
        <v>142</v>
      </c>
      <c r="B111" s="663" t="s">
        <v>143</v>
      </c>
      <c r="C111" s="663" t="s">
        <v>267</v>
      </c>
      <c r="D111" s="664">
        <v>2281</v>
      </c>
      <c r="E111" s="664">
        <v>2544</v>
      </c>
      <c r="F111" s="664">
        <v>2632</v>
      </c>
      <c r="G111" s="664">
        <v>2721</v>
      </c>
      <c r="H111" s="664">
        <v>2730</v>
      </c>
    </row>
    <row r="112" spans="1:8">
      <c r="A112" s="662" t="s">
        <v>144</v>
      </c>
      <c r="B112" s="663" t="s">
        <v>145</v>
      </c>
      <c r="C112" s="663" t="s">
        <v>267</v>
      </c>
      <c r="D112" s="664">
        <v>785</v>
      </c>
      <c r="E112" s="664">
        <v>815</v>
      </c>
      <c r="F112" s="664">
        <v>804</v>
      </c>
      <c r="G112" s="664">
        <v>842</v>
      </c>
      <c r="H112" s="664">
        <v>806</v>
      </c>
    </row>
    <row r="113" spans="1:8">
      <c r="A113" s="662" t="s">
        <v>158</v>
      </c>
      <c r="B113" s="663" t="s">
        <v>159</v>
      </c>
      <c r="C113" s="663" t="s">
        <v>264</v>
      </c>
      <c r="D113" s="664">
        <v>20051</v>
      </c>
      <c r="E113" s="664">
        <v>22847</v>
      </c>
      <c r="F113" s="664">
        <v>24251</v>
      </c>
      <c r="G113" s="664">
        <v>25250</v>
      </c>
      <c r="H113" s="664">
        <v>25153</v>
      </c>
    </row>
    <row r="114" spans="1:8">
      <c r="A114" s="662" t="s">
        <v>160</v>
      </c>
      <c r="B114" s="663" t="s">
        <v>161</v>
      </c>
      <c r="C114" s="663" t="s">
        <v>264</v>
      </c>
      <c r="D114" s="664">
        <v>28751</v>
      </c>
      <c r="E114" s="664">
        <v>31649</v>
      </c>
      <c r="F114" s="664">
        <v>33699</v>
      </c>
      <c r="G114" s="664">
        <v>35035</v>
      </c>
      <c r="H114" s="664">
        <v>34612</v>
      </c>
    </row>
    <row r="115" spans="1:8">
      <c r="A115" s="662" t="s">
        <v>166</v>
      </c>
      <c r="B115" s="663" t="s">
        <v>167</v>
      </c>
      <c r="C115" s="663" t="s">
        <v>268</v>
      </c>
      <c r="D115" s="664">
        <v>711</v>
      </c>
      <c r="E115" s="664">
        <v>754</v>
      </c>
      <c r="F115" s="664">
        <v>800</v>
      </c>
      <c r="G115" s="664">
        <v>794</v>
      </c>
      <c r="H115" s="664">
        <v>802</v>
      </c>
    </row>
    <row r="116" spans="1:8">
      <c r="A116" s="662" t="s">
        <v>176</v>
      </c>
      <c r="B116" s="663" t="s">
        <v>177</v>
      </c>
      <c r="C116" s="663" t="s">
        <v>266</v>
      </c>
      <c r="D116" s="664">
        <v>7241</v>
      </c>
      <c r="E116" s="664">
        <v>7908</v>
      </c>
      <c r="F116" s="664">
        <v>8245</v>
      </c>
      <c r="G116" s="664">
        <v>8488</v>
      </c>
      <c r="H116" s="664">
        <v>8469</v>
      </c>
    </row>
    <row r="117" spans="1:8">
      <c r="A117" s="662" t="s">
        <v>180</v>
      </c>
      <c r="B117" s="663" t="s">
        <v>181</v>
      </c>
      <c r="C117" s="663" t="s">
        <v>264</v>
      </c>
      <c r="D117" s="664">
        <v>13061</v>
      </c>
      <c r="E117" s="664">
        <v>14589</v>
      </c>
      <c r="F117" s="664">
        <v>15729</v>
      </c>
      <c r="G117" s="664">
        <v>16464</v>
      </c>
      <c r="H117" s="664">
        <v>16155</v>
      </c>
    </row>
    <row r="118" spans="1:8">
      <c r="A118" s="662" t="s">
        <v>192</v>
      </c>
      <c r="B118" s="663" t="s">
        <v>193</v>
      </c>
      <c r="C118" s="663" t="s">
        <v>268</v>
      </c>
      <c r="D118" s="664">
        <v>1276</v>
      </c>
      <c r="E118" s="664">
        <v>1281</v>
      </c>
      <c r="F118" s="664">
        <v>1282</v>
      </c>
      <c r="G118" s="664">
        <v>1316</v>
      </c>
      <c r="H118" s="664">
        <v>1358</v>
      </c>
    </row>
    <row r="119" spans="1:8">
      <c r="A119" s="662" t="s">
        <v>196</v>
      </c>
      <c r="B119" s="663" t="s">
        <v>197</v>
      </c>
      <c r="C119" s="663" t="s">
        <v>266</v>
      </c>
      <c r="D119" s="664">
        <v>32825</v>
      </c>
      <c r="E119" s="664">
        <v>36583</v>
      </c>
      <c r="F119" s="664">
        <v>39255</v>
      </c>
      <c r="G119" s="664">
        <v>40591</v>
      </c>
      <c r="H119" s="664">
        <v>39268</v>
      </c>
    </row>
    <row r="120" spans="1:8">
      <c r="A120" s="662" t="s">
        <v>200</v>
      </c>
      <c r="B120" s="663" t="s">
        <v>201</v>
      </c>
      <c r="C120" s="663" t="s">
        <v>265</v>
      </c>
      <c r="D120" s="664">
        <v>14080</v>
      </c>
      <c r="E120" s="664">
        <v>15509</v>
      </c>
      <c r="F120" s="664">
        <v>16537</v>
      </c>
      <c r="G120" s="664">
        <v>17492</v>
      </c>
      <c r="H120" s="664">
        <v>17549</v>
      </c>
    </row>
    <row r="121" spans="1:8">
      <c r="A121" s="662" t="s">
        <v>222</v>
      </c>
      <c r="B121" s="663" t="s">
        <v>223</v>
      </c>
      <c r="C121" s="663" t="s">
        <v>264</v>
      </c>
      <c r="D121" s="664">
        <v>6885</v>
      </c>
      <c r="E121" s="664">
        <v>7888</v>
      </c>
      <c r="F121" s="664">
        <v>8513</v>
      </c>
      <c r="G121" s="664">
        <v>8902</v>
      </c>
      <c r="H121" s="664">
        <v>8972</v>
      </c>
    </row>
    <row r="122" spans="1:8">
      <c r="A122" s="662" t="s">
        <v>230</v>
      </c>
      <c r="B122" s="663" t="s">
        <v>231</v>
      </c>
      <c r="C122" s="663" t="s">
        <v>264</v>
      </c>
      <c r="D122" s="664">
        <v>19182</v>
      </c>
      <c r="E122" s="664">
        <v>22154</v>
      </c>
      <c r="F122" s="664">
        <v>24208</v>
      </c>
      <c r="G122" s="664">
        <v>25071</v>
      </c>
      <c r="H122" s="664">
        <v>25434</v>
      </c>
    </row>
    <row r="123" spans="1:8">
      <c r="A123" s="662" t="s">
        <v>238</v>
      </c>
      <c r="B123" s="663" t="s">
        <v>239</v>
      </c>
      <c r="C123" s="663" t="s">
        <v>264</v>
      </c>
      <c r="D123" s="664">
        <v>680</v>
      </c>
      <c r="E123" s="664">
        <v>828</v>
      </c>
      <c r="F123" s="664">
        <v>883</v>
      </c>
      <c r="G123" s="664">
        <v>947</v>
      </c>
      <c r="H123" s="664">
        <v>952</v>
      </c>
    </row>
    <row r="124" spans="1:8">
      <c r="A124" s="581" t="s">
        <v>240</v>
      </c>
      <c r="B124" s="570" t="s">
        <v>241</v>
      </c>
      <c r="C124" s="570" t="s">
        <v>267</v>
      </c>
      <c r="D124" s="575">
        <v>2959</v>
      </c>
      <c r="E124" s="575">
        <v>3308</v>
      </c>
      <c r="F124" s="575">
        <v>3394</v>
      </c>
      <c r="G124" s="575">
        <v>3392</v>
      </c>
      <c r="H124" s="575">
        <v>3226</v>
      </c>
    </row>
    <row r="126" spans="1:8" ht="31.5" customHeight="1">
      <c r="A126" s="1916" t="s">
        <v>1253</v>
      </c>
      <c r="B126" s="1916"/>
      <c r="C126" s="1916"/>
      <c r="D126" s="1916"/>
      <c r="E126" s="1916"/>
      <c r="F126" s="1916"/>
      <c r="G126" s="1916"/>
      <c r="H126" s="1916"/>
    </row>
    <row r="128" spans="1:8" s="428" customFormat="1">
      <c r="A128" s="428" t="s">
        <v>248</v>
      </c>
    </row>
    <row r="129" spans="1:3" s="428" customFormat="1">
      <c r="A129" s="429" t="s">
        <v>249</v>
      </c>
      <c r="B129" s="430" t="s">
        <v>250</v>
      </c>
      <c r="C129" s="430"/>
    </row>
  </sheetData>
  <autoFilter ref="A3:C3"/>
  <sortState ref="A5:I124">
    <sortCondition ref="A5:A124"/>
  </sortState>
  <mergeCells count="1">
    <mergeCell ref="A126:H126"/>
  </mergeCells>
  <hyperlinks>
    <hyperlink ref="B129" r:id="rId1"/>
  </hyperlinks>
  <pageMargins left="0.7" right="0.7" top="0.75" bottom="0.75" header="0.3" footer="0.3"/>
</worksheet>
</file>

<file path=xl/worksheets/sheet26.xml><?xml version="1.0" encoding="utf-8"?>
<worksheet xmlns="http://schemas.openxmlformats.org/spreadsheetml/2006/main" xmlns:r="http://schemas.openxmlformats.org/officeDocument/2006/relationships">
  <dimension ref="A1:H129"/>
  <sheetViews>
    <sheetView workbookViewId="0">
      <selection activeCell="A5" sqref="A5:XFD124"/>
    </sheetView>
  </sheetViews>
  <sheetFormatPr defaultRowHeight="15.75"/>
  <cols>
    <col min="1" max="1" width="5.875" style="558" customWidth="1"/>
    <col min="2" max="2" width="30.25" style="558" customWidth="1"/>
    <col min="3" max="3" width="12.375" style="558" customWidth="1"/>
    <col min="4" max="8" width="10.875" style="558" customWidth="1"/>
    <col min="9" max="9" width="2.5" style="558" customWidth="1"/>
    <col min="10" max="16384" width="9" style="558"/>
  </cols>
  <sheetData>
    <row r="1" spans="1:8">
      <c r="A1" s="258" t="s">
        <v>943</v>
      </c>
    </row>
    <row r="3" spans="1:8">
      <c r="A3" s="667" t="s">
        <v>4</v>
      </c>
      <c r="B3" s="621" t="s">
        <v>5</v>
      </c>
      <c r="C3" s="621" t="s">
        <v>251</v>
      </c>
      <c r="D3" s="673">
        <v>2010</v>
      </c>
      <c r="E3" s="673">
        <v>2011</v>
      </c>
      <c r="F3" s="673">
        <v>2012</v>
      </c>
      <c r="G3" s="673">
        <v>2013</v>
      </c>
      <c r="H3" s="673">
        <v>2014</v>
      </c>
    </row>
    <row r="4" spans="1:8">
      <c r="A4" s="626">
        <v>999</v>
      </c>
      <c r="B4" s="660" t="s">
        <v>9</v>
      </c>
      <c r="C4" s="622"/>
      <c r="D4" s="585">
        <v>645469</v>
      </c>
      <c r="E4" s="585">
        <v>677720</v>
      </c>
      <c r="F4" s="585">
        <v>705578</v>
      </c>
      <c r="G4" s="585">
        <v>726306</v>
      </c>
      <c r="H4" s="585">
        <v>735695</v>
      </c>
    </row>
    <row r="5" spans="1:8">
      <c r="A5" s="577" t="s">
        <v>10</v>
      </c>
      <c r="B5" s="623" t="s">
        <v>11</v>
      </c>
      <c r="C5" s="623" t="s">
        <v>264</v>
      </c>
      <c r="D5" s="571">
        <v>5061</v>
      </c>
      <c r="E5" s="571">
        <v>5183</v>
      </c>
      <c r="F5" s="571">
        <v>5235</v>
      </c>
      <c r="G5" s="571">
        <v>5244</v>
      </c>
      <c r="H5" s="571">
        <v>5279</v>
      </c>
    </row>
    <row r="6" spans="1:8">
      <c r="A6" s="662" t="s">
        <v>12</v>
      </c>
      <c r="B6" s="663" t="s">
        <v>13</v>
      </c>
      <c r="C6" s="663" t="s">
        <v>265</v>
      </c>
      <c r="D6" s="664">
        <v>5366</v>
      </c>
      <c r="E6" s="664">
        <v>5735</v>
      </c>
      <c r="F6" s="664">
        <v>6020</v>
      </c>
      <c r="G6" s="664">
        <v>6123</v>
      </c>
      <c r="H6" s="664">
        <v>6234</v>
      </c>
    </row>
    <row r="7" spans="1:8">
      <c r="A7" s="662" t="s">
        <v>16</v>
      </c>
      <c r="B7" s="663" t="s">
        <v>297</v>
      </c>
      <c r="C7" s="663" t="s">
        <v>265</v>
      </c>
      <c r="D7" s="664">
        <v>3311</v>
      </c>
      <c r="E7" s="664">
        <v>3403</v>
      </c>
      <c r="F7" s="664">
        <v>3519</v>
      </c>
      <c r="G7" s="664">
        <v>3415</v>
      </c>
      <c r="H7" s="664">
        <v>3414</v>
      </c>
    </row>
    <row r="8" spans="1:8">
      <c r="A8" s="662" t="s">
        <v>18</v>
      </c>
      <c r="B8" s="663" t="s">
        <v>19</v>
      </c>
      <c r="C8" s="663" t="s">
        <v>266</v>
      </c>
      <c r="D8" s="664">
        <v>1461</v>
      </c>
      <c r="E8" s="664">
        <v>1548</v>
      </c>
      <c r="F8" s="664">
        <v>1622</v>
      </c>
      <c r="G8" s="664">
        <v>1587</v>
      </c>
      <c r="H8" s="664">
        <v>1543</v>
      </c>
    </row>
    <row r="9" spans="1:8">
      <c r="A9" s="662" t="s">
        <v>20</v>
      </c>
      <c r="B9" s="663" t="s">
        <v>21</v>
      </c>
      <c r="C9" s="663" t="s">
        <v>265</v>
      </c>
      <c r="D9" s="664">
        <v>3559</v>
      </c>
      <c r="E9" s="664">
        <v>3682</v>
      </c>
      <c r="F9" s="664">
        <v>3750</v>
      </c>
      <c r="G9" s="664">
        <v>3808</v>
      </c>
      <c r="H9" s="664">
        <v>3819</v>
      </c>
    </row>
    <row r="10" spans="1:8">
      <c r="A10" s="662" t="s">
        <v>22</v>
      </c>
      <c r="B10" s="663" t="s">
        <v>23</v>
      </c>
      <c r="C10" s="663" t="s">
        <v>265</v>
      </c>
      <c r="D10" s="664">
        <v>2016</v>
      </c>
      <c r="E10" s="664">
        <v>2077</v>
      </c>
      <c r="F10" s="664">
        <v>2191</v>
      </c>
      <c r="G10" s="664">
        <v>2241</v>
      </c>
      <c r="H10" s="664">
        <v>2218</v>
      </c>
    </row>
    <row r="11" spans="1:8">
      <c r="A11" s="662" t="s">
        <v>24</v>
      </c>
      <c r="B11" s="663" t="s">
        <v>25</v>
      </c>
      <c r="C11" s="663" t="s">
        <v>267</v>
      </c>
      <c r="D11" s="664">
        <v>8872</v>
      </c>
      <c r="E11" s="664">
        <v>9157</v>
      </c>
      <c r="F11" s="664">
        <v>9543</v>
      </c>
      <c r="G11" s="664">
        <v>9787</v>
      </c>
      <c r="H11" s="664">
        <v>10106</v>
      </c>
    </row>
    <row r="12" spans="1:8">
      <c r="A12" s="662" t="s">
        <v>26</v>
      </c>
      <c r="B12" s="663" t="s">
        <v>706</v>
      </c>
      <c r="C12" s="663" t="s">
        <v>265</v>
      </c>
      <c r="D12" s="664">
        <v>11889</v>
      </c>
      <c r="E12" s="664">
        <v>12478</v>
      </c>
      <c r="F12" s="664">
        <v>13194</v>
      </c>
      <c r="G12" s="664">
        <v>13710</v>
      </c>
      <c r="H12" s="664">
        <v>13708</v>
      </c>
    </row>
    <row r="13" spans="1:8">
      <c r="A13" s="662" t="s">
        <v>27</v>
      </c>
      <c r="B13" s="663" t="s">
        <v>28</v>
      </c>
      <c r="C13" s="663" t="s">
        <v>265</v>
      </c>
      <c r="D13" s="664">
        <v>447</v>
      </c>
      <c r="E13" s="664">
        <v>479</v>
      </c>
      <c r="F13" s="664">
        <v>490</v>
      </c>
      <c r="G13" s="664">
        <v>503</v>
      </c>
      <c r="H13" s="664">
        <v>473</v>
      </c>
    </row>
    <row r="14" spans="1:8">
      <c r="A14" s="662" t="s">
        <v>29</v>
      </c>
      <c r="B14" s="663" t="s">
        <v>1012</v>
      </c>
      <c r="C14" s="663" t="s">
        <v>265</v>
      </c>
      <c r="D14" s="664">
        <v>6139</v>
      </c>
      <c r="E14" s="664">
        <v>6385</v>
      </c>
      <c r="F14" s="664">
        <v>6684</v>
      </c>
      <c r="G14" s="664">
        <v>6766</v>
      </c>
      <c r="H14" s="664">
        <v>7434</v>
      </c>
    </row>
    <row r="15" spans="1:8">
      <c r="A15" s="662" t="s">
        <v>30</v>
      </c>
      <c r="B15" s="663" t="s">
        <v>31</v>
      </c>
      <c r="C15" s="663" t="s">
        <v>268</v>
      </c>
      <c r="D15" s="664">
        <v>710</v>
      </c>
      <c r="E15" s="664">
        <v>707</v>
      </c>
      <c r="F15" s="664">
        <v>730</v>
      </c>
      <c r="G15" s="664">
        <v>733</v>
      </c>
      <c r="H15" s="664">
        <v>699</v>
      </c>
    </row>
    <row r="16" spans="1:8">
      <c r="A16" s="662" t="s">
        <v>32</v>
      </c>
      <c r="B16" s="663" t="s">
        <v>33</v>
      </c>
      <c r="C16" s="663" t="s">
        <v>265</v>
      </c>
      <c r="D16" s="664">
        <v>1819</v>
      </c>
      <c r="E16" s="664">
        <v>1860</v>
      </c>
      <c r="F16" s="664">
        <v>1954</v>
      </c>
      <c r="G16" s="664">
        <v>2007</v>
      </c>
      <c r="H16" s="664">
        <v>2064</v>
      </c>
    </row>
    <row r="17" spans="1:8">
      <c r="A17" s="662" t="s">
        <v>36</v>
      </c>
      <c r="B17" s="663" t="s">
        <v>37</v>
      </c>
      <c r="C17" s="663" t="s">
        <v>264</v>
      </c>
      <c r="D17" s="664">
        <v>2805</v>
      </c>
      <c r="E17" s="664">
        <v>2867</v>
      </c>
      <c r="F17" s="664">
        <v>2874</v>
      </c>
      <c r="G17" s="664">
        <v>2919</v>
      </c>
      <c r="H17" s="664">
        <v>2983</v>
      </c>
    </row>
    <row r="18" spans="1:8">
      <c r="A18" s="662" t="s">
        <v>38</v>
      </c>
      <c r="B18" s="663" t="s">
        <v>39</v>
      </c>
      <c r="C18" s="663" t="s">
        <v>268</v>
      </c>
      <c r="D18" s="664">
        <v>4594</v>
      </c>
      <c r="E18" s="664">
        <v>4570</v>
      </c>
      <c r="F18" s="664">
        <v>4595</v>
      </c>
      <c r="G18" s="664">
        <v>4573</v>
      </c>
      <c r="H18" s="664">
        <v>4545</v>
      </c>
    </row>
    <row r="19" spans="1:8">
      <c r="A19" s="662" t="s">
        <v>40</v>
      </c>
      <c r="B19" s="663" t="s">
        <v>41</v>
      </c>
      <c r="C19" s="663" t="s">
        <v>266</v>
      </c>
      <c r="D19" s="664">
        <v>2133</v>
      </c>
      <c r="E19" s="664">
        <v>2213</v>
      </c>
      <c r="F19" s="664">
        <v>2296</v>
      </c>
      <c r="G19" s="664">
        <v>2345</v>
      </c>
      <c r="H19" s="664">
        <v>2345</v>
      </c>
    </row>
    <row r="20" spans="1:8">
      <c r="A20" s="662" t="s">
        <v>42</v>
      </c>
      <c r="B20" s="663" t="s">
        <v>43</v>
      </c>
      <c r="C20" s="663" t="s">
        <v>265</v>
      </c>
      <c r="D20" s="664">
        <v>6296</v>
      </c>
      <c r="E20" s="664">
        <v>6639</v>
      </c>
      <c r="F20" s="664">
        <v>6934</v>
      </c>
      <c r="G20" s="664">
        <v>7065</v>
      </c>
      <c r="H20" s="664">
        <v>7079</v>
      </c>
    </row>
    <row r="21" spans="1:8">
      <c r="A21" s="662" t="s">
        <v>44</v>
      </c>
      <c r="B21" s="663" t="s">
        <v>45</v>
      </c>
      <c r="C21" s="663" t="s">
        <v>266</v>
      </c>
      <c r="D21" s="664">
        <v>3016</v>
      </c>
      <c r="E21" s="664">
        <v>3120</v>
      </c>
      <c r="F21" s="664">
        <v>3260</v>
      </c>
      <c r="G21" s="664">
        <v>3298</v>
      </c>
      <c r="H21" s="664">
        <v>3282</v>
      </c>
    </row>
    <row r="22" spans="1:8">
      <c r="A22" s="662" t="s">
        <v>46</v>
      </c>
      <c r="B22" s="663" t="s">
        <v>47</v>
      </c>
      <c r="C22" s="663" t="s">
        <v>268</v>
      </c>
      <c r="D22" s="664">
        <v>4308</v>
      </c>
      <c r="E22" s="664">
        <v>4482</v>
      </c>
      <c r="F22" s="664">
        <v>4678</v>
      </c>
      <c r="G22" s="664">
        <v>4624</v>
      </c>
      <c r="H22" s="664">
        <v>4587</v>
      </c>
    </row>
    <row r="23" spans="1:8">
      <c r="A23" s="662" t="s">
        <v>48</v>
      </c>
      <c r="B23" s="663" t="s">
        <v>269</v>
      </c>
      <c r="C23" s="663" t="s">
        <v>266</v>
      </c>
      <c r="D23" s="664">
        <v>762</v>
      </c>
      <c r="E23" s="664">
        <v>786</v>
      </c>
      <c r="F23" s="664">
        <v>814</v>
      </c>
      <c r="G23" s="664">
        <v>811</v>
      </c>
      <c r="H23" s="664">
        <v>791</v>
      </c>
    </row>
    <row r="24" spans="1:8">
      <c r="A24" s="662" t="s">
        <v>50</v>
      </c>
      <c r="B24" s="663" t="s">
        <v>51</v>
      </c>
      <c r="C24" s="663" t="s">
        <v>265</v>
      </c>
      <c r="D24" s="664">
        <v>2057</v>
      </c>
      <c r="E24" s="664">
        <v>2117</v>
      </c>
      <c r="F24" s="664">
        <v>2185</v>
      </c>
      <c r="G24" s="664">
        <v>2115</v>
      </c>
      <c r="H24" s="664">
        <v>2103</v>
      </c>
    </row>
    <row r="25" spans="1:8">
      <c r="A25" s="662" t="s">
        <v>56</v>
      </c>
      <c r="B25" s="663" t="s">
        <v>295</v>
      </c>
      <c r="C25" s="663" t="s">
        <v>266</v>
      </c>
      <c r="D25" s="664">
        <v>22393</v>
      </c>
      <c r="E25" s="664">
        <v>23970</v>
      </c>
      <c r="F25" s="664">
        <v>25145</v>
      </c>
      <c r="G25" s="664">
        <v>26132</v>
      </c>
      <c r="H25" s="664">
        <v>26942</v>
      </c>
    </row>
    <row r="26" spans="1:8">
      <c r="A26" s="662" t="s">
        <v>58</v>
      </c>
      <c r="B26" s="663" t="s">
        <v>59</v>
      </c>
      <c r="C26" s="663" t="s">
        <v>267</v>
      </c>
      <c r="D26" s="664">
        <v>776</v>
      </c>
      <c r="E26" s="664">
        <v>794</v>
      </c>
      <c r="F26" s="664">
        <v>812</v>
      </c>
      <c r="G26" s="664">
        <v>816</v>
      </c>
      <c r="H26" s="664">
        <v>830</v>
      </c>
    </row>
    <row r="27" spans="1:8">
      <c r="A27" s="662" t="s">
        <v>60</v>
      </c>
      <c r="B27" s="663" t="s">
        <v>61</v>
      </c>
      <c r="C27" s="663" t="s">
        <v>265</v>
      </c>
      <c r="D27" s="664">
        <v>564</v>
      </c>
      <c r="E27" s="664">
        <v>596</v>
      </c>
      <c r="F27" s="664">
        <v>608</v>
      </c>
      <c r="G27" s="664">
        <v>633</v>
      </c>
      <c r="H27" s="664">
        <v>617</v>
      </c>
    </row>
    <row r="28" spans="1:8">
      <c r="A28" s="662" t="s">
        <v>62</v>
      </c>
      <c r="B28" s="663" t="s">
        <v>63</v>
      </c>
      <c r="C28" s="663" t="s">
        <v>267</v>
      </c>
      <c r="D28" s="664">
        <v>4087</v>
      </c>
      <c r="E28" s="664">
        <v>4350</v>
      </c>
      <c r="F28" s="664">
        <v>4572</v>
      </c>
      <c r="G28" s="664">
        <v>4697</v>
      </c>
      <c r="H28" s="664">
        <v>4719</v>
      </c>
    </row>
    <row r="29" spans="1:8">
      <c r="A29" s="662" t="s">
        <v>64</v>
      </c>
      <c r="B29" s="663" t="s">
        <v>65</v>
      </c>
      <c r="C29" s="663" t="s">
        <v>266</v>
      </c>
      <c r="D29" s="664">
        <v>1442</v>
      </c>
      <c r="E29" s="664">
        <v>1484</v>
      </c>
      <c r="F29" s="664">
        <v>1558</v>
      </c>
      <c r="G29" s="664">
        <v>1564</v>
      </c>
      <c r="H29" s="664">
        <v>1600</v>
      </c>
    </row>
    <row r="30" spans="1:8">
      <c r="A30" s="662" t="s">
        <v>68</v>
      </c>
      <c r="B30" s="663" t="s">
        <v>69</v>
      </c>
      <c r="C30" s="663" t="s">
        <v>268</v>
      </c>
      <c r="D30" s="664">
        <v>3383</v>
      </c>
      <c r="E30" s="664">
        <v>3421</v>
      </c>
      <c r="F30" s="664">
        <v>3437</v>
      </c>
      <c r="G30" s="664">
        <v>3502</v>
      </c>
      <c r="H30" s="664">
        <v>3472</v>
      </c>
    </row>
    <row r="31" spans="1:8">
      <c r="A31" s="662" t="s">
        <v>70</v>
      </c>
      <c r="B31" s="663" t="s">
        <v>71</v>
      </c>
      <c r="C31" s="663" t="s">
        <v>264</v>
      </c>
      <c r="D31" s="664">
        <v>3074</v>
      </c>
      <c r="E31" s="664">
        <v>3227</v>
      </c>
      <c r="F31" s="664">
        <v>3367</v>
      </c>
      <c r="G31" s="664">
        <v>3421</v>
      </c>
      <c r="H31" s="664">
        <v>3397</v>
      </c>
    </row>
    <row r="32" spans="1:8">
      <c r="A32" s="662" t="s">
        <v>72</v>
      </c>
      <c r="B32" s="663" t="s">
        <v>73</v>
      </c>
      <c r="C32" s="663" t="s">
        <v>266</v>
      </c>
      <c r="D32" s="664">
        <v>1413</v>
      </c>
      <c r="E32" s="664">
        <v>1497</v>
      </c>
      <c r="F32" s="664">
        <v>1592</v>
      </c>
      <c r="G32" s="664">
        <v>1611</v>
      </c>
      <c r="H32" s="664">
        <v>1598</v>
      </c>
    </row>
    <row r="33" spans="1:8">
      <c r="A33" s="662" t="s">
        <v>74</v>
      </c>
      <c r="B33" s="663" t="s">
        <v>296</v>
      </c>
      <c r="C33" s="663" t="s">
        <v>267</v>
      </c>
      <c r="D33" s="664">
        <v>54170</v>
      </c>
      <c r="E33" s="664">
        <v>58384</v>
      </c>
      <c r="F33" s="664">
        <v>58298</v>
      </c>
      <c r="G33" s="664">
        <v>59707</v>
      </c>
      <c r="H33" s="664">
        <v>60817</v>
      </c>
    </row>
    <row r="34" spans="1:8">
      <c r="A34" s="662" t="s">
        <v>76</v>
      </c>
      <c r="B34" s="663" t="s">
        <v>77</v>
      </c>
      <c r="C34" s="663" t="s">
        <v>267</v>
      </c>
      <c r="D34" s="664">
        <v>3751</v>
      </c>
      <c r="E34" s="664">
        <v>3797</v>
      </c>
      <c r="F34" s="664">
        <v>4014</v>
      </c>
      <c r="G34" s="664">
        <v>4051</v>
      </c>
      <c r="H34" s="664">
        <v>4068</v>
      </c>
    </row>
    <row r="35" spans="1:8">
      <c r="A35" s="662" t="s">
        <v>78</v>
      </c>
      <c r="B35" s="663" t="s">
        <v>79</v>
      </c>
      <c r="C35" s="663" t="s">
        <v>268</v>
      </c>
      <c r="D35" s="664">
        <v>1606</v>
      </c>
      <c r="E35" s="664">
        <v>1688</v>
      </c>
      <c r="F35" s="664">
        <v>1791</v>
      </c>
      <c r="G35" s="664">
        <v>1828</v>
      </c>
      <c r="H35" s="664">
        <v>1833</v>
      </c>
    </row>
    <row r="36" spans="1:8">
      <c r="A36" s="662" t="s">
        <v>80</v>
      </c>
      <c r="B36" s="663" t="s">
        <v>81</v>
      </c>
      <c r="C36" s="663" t="s">
        <v>266</v>
      </c>
      <c r="D36" s="664">
        <v>1510</v>
      </c>
      <c r="E36" s="664">
        <v>1587</v>
      </c>
      <c r="F36" s="664">
        <v>1644</v>
      </c>
      <c r="G36" s="664">
        <v>1719</v>
      </c>
      <c r="H36" s="664">
        <v>1731</v>
      </c>
    </row>
    <row r="37" spans="1:8">
      <c r="A37" s="662" t="s">
        <v>84</v>
      </c>
      <c r="B37" s="663" t="s">
        <v>85</v>
      </c>
      <c r="C37" s="663" t="s">
        <v>265</v>
      </c>
      <c r="D37" s="664">
        <v>5842</v>
      </c>
      <c r="E37" s="664">
        <v>6077</v>
      </c>
      <c r="F37" s="664">
        <v>6505</v>
      </c>
      <c r="G37" s="664">
        <v>6489</v>
      </c>
      <c r="H37" s="664">
        <v>6409</v>
      </c>
    </row>
    <row r="38" spans="1:8">
      <c r="A38" s="662" t="s">
        <v>86</v>
      </c>
      <c r="B38" s="663" t="s">
        <v>87</v>
      </c>
      <c r="C38" s="663" t="s">
        <v>267</v>
      </c>
      <c r="D38" s="664">
        <v>5125</v>
      </c>
      <c r="E38" s="664">
        <v>5611</v>
      </c>
      <c r="F38" s="664">
        <v>5942</v>
      </c>
      <c r="G38" s="664">
        <v>6190</v>
      </c>
      <c r="H38" s="664">
        <v>6271</v>
      </c>
    </row>
    <row r="39" spans="1:8">
      <c r="A39" s="662" t="s">
        <v>92</v>
      </c>
      <c r="B39" s="663" t="s">
        <v>93</v>
      </c>
      <c r="C39" s="663" t="s">
        <v>268</v>
      </c>
      <c r="D39" s="664">
        <v>2209</v>
      </c>
      <c r="E39" s="664">
        <v>2338</v>
      </c>
      <c r="F39" s="664">
        <v>2378</v>
      </c>
      <c r="G39" s="664">
        <v>2274</v>
      </c>
      <c r="H39" s="664">
        <v>2319</v>
      </c>
    </row>
    <row r="40" spans="1:8">
      <c r="A40" s="662" t="s">
        <v>94</v>
      </c>
      <c r="B40" s="663" t="s">
        <v>95</v>
      </c>
      <c r="C40" s="663" t="s">
        <v>264</v>
      </c>
      <c r="D40" s="664">
        <v>2887</v>
      </c>
      <c r="E40" s="664">
        <v>2992</v>
      </c>
      <c r="F40" s="664">
        <v>3182</v>
      </c>
      <c r="G40" s="664">
        <v>3243</v>
      </c>
      <c r="H40" s="664">
        <v>3337</v>
      </c>
    </row>
    <row r="41" spans="1:8">
      <c r="A41" s="662" t="s">
        <v>96</v>
      </c>
      <c r="B41" s="663" t="s">
        <v>97</v>
      </c>
      <c r="C41" s="663" t="s">
        <v>266</v>
      </c>
      <c r="D41" s="664">
        <v>1101</v>
      </c>
      <c r="E41" s="664">
        <v>1166</v>
      </c>
      <c r="F41" s="664">
        <v>1154</v>
      </c>
      <c r="G41" s="664">
        <v>1186</v>
      </c>
      <c r="H41" s="664">
        <v>1211</v>
      </c>
    </row>
    <row r="42" spans="1:8">
      <c r="A42" s="662" t="s">
        <v>98</v>
      </c>
      <c r="B42" s="663" t="s">
        <v>99</v>
      </c>
      <c r="C42" s="663" t="s">
        <v>268</v>
      </c>
      <c r="D42" s="664">
        <v>2421</v>
      </c>
      <c r="E42" s="664">
        <v>2523</v>
      </c>
      <c r="F42" s="664">
        <v>2596</v>
      </c>
      <c r="G42" s="664">
        <v>2611</v>
      </c>
      <c r="H42" s="664">
        <v>2582</v>
      </c>
    </row>
    <row r="43" spans="1:8">
      <c r="A43" s="662" t="s">
        <v>100</v>
      </c>
      <c r="B43" s="663" t="s">
        <v>101</v>
      </c>
      <c r="C43" s="663" t="s">
        <v>267</v>
      </c>
      <c r="D43" s="664">
        <v>1527</v>
      </c>
      <c r="E43" s="664">
        <v>1585</v>
      </c>
      <c r="F43" s="664">
        <v>1671</v>
      </c>
      <c r="G43" s="664">
        <v>1729</v>
      </c>
      <c r="H43" s="664">
        <v>1801</v>
      </c>
    </row>
    <row r="44" spans="1:8">
      <c r="A44" s="662" t="s">
        <v>102</v>
      </c>
      <c r="B44" s="663" t="s">
        <v>282</v>
      </c>
      <c r="C44" s="663" t="s">
        <v>264</v>
      </c>
      <c r="D44" s="664">
        <v>2936</v>
      </c>
      <c r="E44" s="664">
        <v>3078</v>
      </c>
      <c r="F44" s="664">
        <v>3213</v>
      </c>
      <c r="G44" s="664">
        <v>3268</v>
      </c>
      <c r="H44" s="664">
        <v>3249</v>
      </c>
    </row>
    <row r="45" spans="1:8">
      <c r="A45" s="662" t="s">
        <v>104</v>
      </c>
      <c r="B45" s="663" t="s">
        <v>105</v>
      </c>
      <c r="C45" s="663" t="s">
        <v>265</v>
      </c>
      <c r="D45" s="664">
        <v>6002</v>
      </c>
      <c r="E45" s="664">
        <v>6226</v>
      </c>
      <c r="F45" s="664">
        <v>6414</v>
      </c>
      <c r="G45" s="664">
        <v>6377</v>
      </c>
      <c r="H45" s="664">
        <v>6416</v>
      </c>
    </row>
    <row r="46" spans="1:8">
      <c r="A46" s="662" t="s">
        <v>108</v>
      </c>
      <c r="B46" s="663" t="s">
        <v>109</v>
      </c>
      <c r="C46" s="663" t="s">
        <v>266</v>
      </c>
      <c r="D46" s="664">
        <v>4638</v>
      </c>
      <c r="E46" s="664">
        <v>4917</v>
      </c>
      <c r="F46" s="664">
        <v>5158</v>
      </c>
      <c r="G46" s="664">
        <v>5228</v>
      </c>
      <c r="H46" s="664">
        <v>5354</v>
      </c>
    </row>
    <row r="47" spans="1:8">
      <c r="A47" s="662" t="s">
        <v>110</v>
      </c>
      <c r="B47" s="663" t="s">
        <v>111</v>
      </c>
      <c r="C47" s="663" t="s">
        <v>266</v>
      </c>
      <c r="D47" s="664">
        <v>23197</v>
      </c>
      <c r="E47" s="664">
        <v>24646</v>
      </c>
      <c r="F47" s="664">
        <v>26257</v>
      </c>
      <c r="G47" s="664">
        <v>27064</v>
      </c>
      <c r="H47" s="664">
        <v>27773</v>
      </c>
    </row>
    <row r="48" spans="1:8">
      <c r="A48" s="662" t="s">
        <v>112</v>
      </c>
      <c r="B48" s="663" t="s">
        <v>300</v>
      </c>
      <c r="C48" s="663" t="s">
        <v>265</v>
      </c>
      <c r="D48" s="664">
        <v>11091</v>
      </c>
      <c r="E48" s="664">
        <v>11532</v>
      </c>
      <c r="F48" s="664">
        <v>12321</v>
      </c>
      <c r="G48" s="664">
        <v>12567</v>
      </c>
      <c r="H48" s="664">
        <v>12648</v>
      </c>
    </row>
    <row r="49" spans="1:8">
      <c r="A49" s="662" t="s">
        <v>114</v>
      </c>
      <c r="B49" s="663" t="s">
        <v>115</v>
      </c>
      <c r="C49" s="663" t="s">
        <v>265</v>
      </c>
      <c r="D49" s="664">
        <v>186</v>
      </c>
      <c r="E49" s="664">
        <v>203</v>
      </c>
      <c r="F49" s="664">
        <v>213</v>
      </c>
      <c r="G49" s="664">
        <v>186</v>
      </c>
      <c r="H49" s="664">
        <v>243</v>
      </c>
    </row>
    <row r="50" spans="1:8">
      <c r="A50" s="662" t="s">
        <v>118</v>
      </c>
      <c r="B50" s="663" t="s">
        <v>270</v>
      </c>
      <c r="C50" s="663" t="s">
        <v>264</v>
      </c>
      <c r="D50" s="664">
        <v>2959</v>
      </c>
      <c r="E50" s="664">
        <v>3091</v>
      </c>
      <c r="F50" s="664">
        <v>3176</v>
      </c>
      <c r="G50" s="664">
        <v>3218</v>
      </c>
      <c r="H50" s="664">
        <v>3151</v>
      </c>
    </row>
    <row r="51" spans="1:8">
      <c r="A51" s="662" t="s">
        <v>120</v>
      </c>
      <c r="B51" s="663" t="s">
        <v>121</v>
      </c>
      <c r="C51" s="663" t="s">
        <v>264</v>
      </c>
      <c r="D51" s="664">
        <v>3388</v>
      </c>
      <c r="E51" s="664">
        <v>3575</v>
      </c>
      <c r="F51" s="664">
        <v>3773</v>
      </c>
      <c r="G51" s="664">
        <v>3922</v>
      </c>
      <c r="H51" s="664">
        <v>3979</v>
      </c>
    </row>
    <row r="52" spans="1:8">
      <c r="A52" s="662" t="s">
        <v>122</v>
      </c>
      <c r="B52" s="663" t="s">
        <v>287</v>
      </c>
      <c r="C52" s="663" t="s">
        <v>266</v>
      </c>
      <c r="D52" s="664">
        <v>915</v>
      </c>
      <c r="E52" s="664">
        <v>965</v>
      </c>
      <c r="F52" s="664">
        <v>965</v>
      </c>
      <c r="G52" s="664">
        <v>974</v>
      </c>
      <c r="H52" s="664">
        <v>1017</v>
      </c>
    </row>
    <row r="53" spans="1:8">
      <c r="A53" s="662" t="s">
        <v>124</v>
      </c>
      <c r="B53" s="663" t="s">
        <v>125</v>
      </c>
      <c r="C53" s="663" t="s">
        <v>267</v>
      </c>
      <c r="D53" s="664">
        <v>1540</v>
      </c>
      <c r="E53" s="664">
        <v>1699</v>
      </c>
      <c r="F53" s="664">
        <v>1866</v>
      </c>
      <c r="G53" s="664">
        <v>1907</v>
      </c>
      <c r="H53" s="664">
        <v>1908</v>
      </c>
    </row>
    <row r="54" spans="1:8">
      <c r="A54" s="662" t="s">
        <v>126</v>
      </c>
      <c r="B54" s="663" t="s">
        <v>127</v>
      </c>
      <c r="C54" s="663" t="s">
        <v>266</v>
      </c>
      <c r="D54" s="664">
        <v>1319</v>
      </c>
      <c r="E54" s="664">
        <v>1400</v>
      </c>
      <c r="F54" s="664">
        <v>1493</v>
      </c>
      <c r="G54" s="664">
        <v>1489</v>
      </c>
      <c r="H54" s="664">
        <v>1506</v>
      </c>
    </row>
    <row r="55" spans="1:8">
      <c r="A55" s="662" t="s">
        <v>128</v>
      </c>
      <c r="B55" s="663" t="s">
        <v>129</v>
      </c>
      <c r="C55" s="663" t="s">
        <v>266</v>
      </c>
      <c r="D55" s="664">
        <v>1246</v>
      </c>
      <c r="E55" s="664">
        <v>1294</v>
      </c>
      <c r="F55" s="664">
        <v>1341</v>
      </c>
      <c r="G55" s="664">
        <v>1371</v>
      </c>
      <c r="H55" s="664">
        <v>1368</v>
      </c>
    </row>
    <row r="56" spans="1:8">
      <c r="A56" s="662" t="s">
        <v>130</v>
      </c>
      <c r="B56" s="663" t="s">
        <v>131</v>
      </c>
      <c r="C56" s="663" t="s">
        <v>268</v>
      </c>
      <c r="D56" s="664">
        <v>5449</v>
      </c>
      <c r="E56" s="664">
        <v>5478</v>
      </c>
      <c r="F56" s="664">
        <v>5636</v>
      </c>
      <c r="G56" s="664">
        <v>5578</v>
      </c>
      <c r="H56" s="664">
        <v>5575</v>
      </c>
    </row>
    <row r="57" spans="1:8">
      <c r="A57" s="662" t="s">
        <v>132</v>
      </c>
      <c r="B57" s="663" t="s">
        <v>133</v>
      </c>
      <c r="C57" s="663" t="s">
        <v>267</v>
      </c>
      <c r="D57" s="664">
        <v>9252</v>
      </c>
      <c r="E57" s="664">
        <v>10223</v>
      </c>
      <c r="F57" s="664">
        <v>11119</v>
      </c>
      <c r="G57" s="664">
        <v>11769</v>
      </c>
      <c r="H57" s="664">
        <v>12165</v>
      </c>
    </row>
    <row r="58" spans="1:8">
      <c r="A58" s="662" t="s">
        <v>134</v>
      </c>
      <c r="B58" s="663" t="s">
        <v>135</v>
      </c>
      <c r="C58" s="663" t="s">
        <v>267</v>
      </c>
      <c r="D58" s="664">
        <v>3085</v>
      </c>
      <c r="E58" s="664">
        <v>3288</v>
      </c>
      <c r="F58" s="664">
        <v>3457</v>
      </c>
      <c r="G58" s="664">
        <v>3513</v>
      </c>
      <c r="H58" s="664">
        <v>3631</v>
      </c>
    </row>
    <row r="59" spans="1:8">
      <c r="A59" s="662" t="s">
        <v>136</v>
      </c>
      <c r="B59" s="663" t="s">
        <v>137</v>
      </c>
      <c r="C59" s="663" t="s">
        <v>266</v>
      </c>
      <c r="D59" s="664">
        <v>1954</v>
      </c>
      <c r="E59" s="664">
        <v>2038</v>
      </c>
      <c r="F59" s="664">
        <v>1988</v>
      </c>
      <c r="G59" s="664">
        <v>1965</v>
      </c>
      <c r="H59" s="664">
        <v>1983</v>
      </c>
    </row>
    <row r="60" spans="1:8">
      <c r="A60" s="662" t="s">
        <v>140</v>
      </c>
      <c r="B60" s="663" t="s">
        <v>141</v>
      </c>
      <c r="C60" s="663" t="s">
        <v>267</v>
      </c>
      <c r="D60" s="664">
        <v>1218</v>
      </c>
      <c r="E60" s="664">
        <v>1258</v>
      </c>
      <c r="F60" s="664">
        <v>1336</v>
      </c>
      <c r="G60" s="664">
        <v>1381</v>
      </c>
      <c r="H60" s="664">
        <v>1411</v>
      </c>
    </row>
    <row r="61" spans="1:8">
      <c r="A61" s="662" t="s">
        <v>146</v>
      </c>
      <c r="B61" s="663" t="s">
        <v>147</v>
      </c>
      <c r="C61" s="663" t="s">
        <v>264</v>
      </c>
      <c r="D61" s="664">
        <v>782</v>
      </c>
      <c r="E61" s="664">
        <v>777</v>
      </c>
      <c r="F61" s="664">
        <v>806</v>
      </c>
      <c r="G61" s="664">
        <v>805</v>
      </c>
      <c r="H61" s="664">
        <v>826</v>
      </c>
    </row>
    <row r="62" spans="1:8">
      <c r="A62" s="662" t="s">
        <v>148</v>
      </c>
      <c r="B62" s="663" t="s">
        <v>149</v>
      </c>
      <c r="C62" s="663" t="s">
        <v>265</v>
      </c>
      <c r="D62" s="664">
        <v>4728</v>
      </c>
      <c r="E62" s="664">
        <v>4901</v>
      </c>
      <c r="F62" s="664">
        <v>5089</v>
      </c>
      <c r="G62" s="664">
        <v>5094</v>
      </c>
      <c r="H62" s="664">
        <v>5111</v>
      </c>
    </row>
    <row r="63" spans="1:8">
      <c r="A63" s="662" t="s">
        <v>150</v>
      </c>
      <c r="B63" s="663" t="s">
        <v>151</v>
      </c>
      <c r="C63" s="663" t="s">
        <v>266</v>
      </c>
      <c r="D63" s="664">
        <v>1036</v>
      </c>
      <c r="E63" s="664">
        <v>1100</v>
      </c>
      <c r="F63" s="664">
        <v>1207</v>
      </c>
      <c r="G63" s="664">
        <v>1248</v>
      </c>
      <c r="H63" s="664">
        <v>1242</v>
      </c>
    </row>
    <row r="64" spans="1:8">
      <c r="A64" s="662" t="s">
        <v>152</v>
      </c>
      <c r="B64" s="663" t="s">
        <v>153</v>
      </c>
      <c r="C64" s="663" t="s">
        <v>268</v>
      </c>
      <c r="D64" s="664">
        <v>6206</v>
      </c>
      <c r="E64" s="664">
        <v>6377</v>
      </c>
      <c r="F64" s="664">
        <v>6590</v>
      </c>
      <c r="G64" s="664">
        <v>6641</v>
      </c>
      <c r="H64" s="664">
        <v>6657</v>
      </c>
    </row>
    <row r="65" spans="1:8">
      <c r="A65" s="662" t="s">
        <v>154</v>
      </c>
      <c r="B65" s="663" t="s">
        <v>155</v>
      </c>
      <c r="C65" s="663" t="s">
        <v>265</v>
      </c>
      <c r="D65" s="664">
        <v>1780</v>
      </c>
      <c r="E65" s="664">
        <v>1857</v>
      </c>
      <c r="F65" s="664">
        <v>1926</v>
      </c>
      <c r="G65" s="664">
        <v>1898</v>
      </c>
      <c r="H65" s="664">
        <v>1914</v>
      </c>
    </row>
    <row r="66" spans="1:8">
      <c r="A66" s="662" t="s">
        <v>156</v>
      </c>
      <c r="B66" s="663" t="s">
        <v>157</v>
      </c>
      <c r="C66" s="663" t="s">
        <v>266</v>
      </c>
      <c r="D66" s="664">
        <v>945</v>
      </c>
      <c r="E66" s="664">
        <v>972</v>
      </c>
      <c r="F66" s="664">
        <v>1039</v>
      </c>
      <c r="G66" s="664">
        <v>1073</v>
      </c>
      <c r="H66" s="664">
        <v>1089</v>
      </c>
    </row>
    <row r="67" spans="1:8">
      <c r="A67" s="662" t="s">
        <v>162</v>
      </c>
      <c r="B67" s="663" t="s">
        <v>163</v>
      </c>
      <c r="C67" s="663" t="s">
        <v>264</v>
      </c>
      <c r="D67" s="664">
        <v>2313</v>
      </c>
      <c r="E67" s="664">
        <v>2369</v>
      </c>
      <c r="F67" s="664">
        <v>2443</v>
      </c>
      <c r="G67" s="664">
        <v>2435</v>
      </c>
      <c r="H67" s="664">
        <v>2450</v>
      </c>
    </row>
    <row r="68" spans="1:8">
      <c r="A68" s="662" t="s">
        <v>164</v>
      </c>
      <c r="B68" s="663" t="s">
        <v>165</v>
      </c>
      <c r="C68" s="663" t="s">
        <v>266</v>
      </c>
      <c r="D68" s="664">
        <v>1300</v>
      </c>
      <c r="E68" s="664">
        <v>1332</v>
      </c>
      <c r="F68" s="664">
        <v>1409</v>
      </c>
      <c r="G68" s="664">
        <v>1464</v>
      </c>
      <c r="H68" s="664">
        <v>1451</v>
      </c>
    </row>
    <row r="69" spans="1:8">
      <c r="A69" s="662" t="s">
        <v>168</v>
      </c>
      <c r="B69" s="663" t="s">
        <v>169</v>
      </c>
      <c r="C69" s="663" t="s">
        <v>266</v>
      </c>
      <c r="D69" s="664">
        <v>2301</v>
      </c>
      <c r="E69" s="664">
        <v>2387</v>
      </c>
      <c r="F69" s="664">
        <v>2497</v>
      </c>
      <c r="G69" s="664">
        <v>2544</v>
      </c>
      <c r="H69" s="664">
        <v>2544</v>
      </c>
    </row>
    <row r="70" spans="1:8">
      <c r="A70" s="662" t="s">
        <v>170</v>
      </c>
      <c r="B70" s="663" t="s">
        <v>171</v>
      </c>
      <c r="C70" s="663" t="s">
        <v>267</v>
      </c>
      <c r="D70" s="664">
        <v>2741</v>
      </c>
      <c r="E70" s="664">
        <v>2880</v>
      </c>
      <c r="F70" s="664">
        <v>3035</v>
      </c>
      <c r="G70" s="664">
        <v>3145</v>
      </c>
      <c r="H70" s="664">
        <v>3300</v>
      </c>
    </row>
    <row r="71" spans="1:8">
      <c r="A71" s="662" t="s">
        <v>172</v>
      </c>
      <c r="B71" s="663" t="s">
        <v>173</v>
      </c>
      <c r="C71" s="663" t="s">
        <v>267</v>
      </c>
      <c r="D71" s="664">
        <v>3024</v>
      </c>
      <c r="E71" s="664">
        <v>3123</v>
      </c>
      <c r="F71" s="664">
        <v>3313</v>
      </c>
      <c r="G71" s="664">
        <v>3330</v>
      </c>
      <c r="H71" s="664">
        <v>3258</v>
      </c>
    </row>
    <row r="72" spans="1:8">
      <c r="A72" s="662" t="s">
        <v>174</v>
      </c>
      <c r="B72" s="663" t="s">
        <v>175</v>
      </c>
      <c r="C72" s="663" t="s">
        <v>268</v>
      </c>
      <c r="D72" s="664">
        <v>2746</v>
      </c>
      <c r="E72" s="664">
        <v>2818</v>
      </c>
      <c r="F72" s="664">
        <v>2961</v>
      </c>
      <c r="G72" s="664">
        <v>2989</v>
      </c>
      <c r="H72" s="664">
        <v>2966</v>
      </c>
    </row>
    <row r="73" spans="1:8">
      <c r="A73" s="662" t="s">
        <v>178</v>
      </c>
      <c r="B73" s="663" t="s">
        <v>179</v>
      </c>
      <c r="C73" s="663" t="s">
        <v>265</v>
      </c>
      <c r="D73" s="664">
        <v>8254</v>
      </c>
      <c r="E73" s="664">
        <v>8598</v>
      </c>
      <c r="F73" s="664">
        <v>8782</v>
      </c>
      <c r="G73" s="664">
        <v>8823</v>
      </c>
      <c r="H73" s="664">
        <v>9030</v>
      </c>
    </row>
    <row r="74" spans="1:8">
      <c r="A74" s="662" t="s">
        <v>182</v>
      </c>
      <c r="B74" s="663" t="s">
        <v>183</v>
      </c>
      <c r="C74" s="663" t="s">
        <v>266</v>
      </c>
      <c r="D74" s="664">
        <v>1185</v>
      </c>
      <c r="E74" s="664">
        <v>1284</v>
      </c>
      <c r="F74" s="664">
        <v>1393</v>
      </c>
      <c r="G74" s="664">
        <v>1402</v>
      </c>
      <c r="H74" s="664">
        <v>1391</v>
      </c>
    </row>
    <row r="75" spans="1:8">
      <c r="A75" s="662" t="s">
        <v>184</v>
      </c>
      <c r="B75" s="663" t="s">
        <v>185</v>
      </c>
      <c r="C75" s="663" t="s">
        <v>266</v>
      </c>
      <c r="D75" s="664">
        <v>2691</v>
      </c>
      <c r="E75" s="664">
        <v>2842</v>
      </c>
      <c r="F75" s="664">
        <v>2929</v>
      </c>
      <c r="G75" s="664">
        <v>2926</v>
      </c>
      <c r="H75" s="664">
        <v>3028</v>
      </c>
    </row>
    <row r="76" spans="1:8">
      <c r="A76" s="662" t="s">
        <v>186</v>
      </c>
      <c r="B76" s="663" t="s">
        <v>187</v>
      </c>
      <c r="C76" s="663" t="s">
        <v>264</v>
      </c>
      <c r="D76" s="664">
        <v>2063</v>
      </c>
      <c r="E76" s="664">
        <v>2200</v>
      </c>
      <c r="F76" s="664">
        <v>2322</v>
      </c>
      <c r="G76" s="664">
        <v>2383</v>
      </c>
      <c r="H76" s="664">
        <v>2518</v>
      </c>
    </row>
    <row r="77" spans="1:8">
      <c r="A77" s="662" t="s">
        <v>188</v>
      </c>
      <c r="B77" s="663" t="s">
        <v>189</v>
      </c>
      <c r="C77" s="663" t="s">
        <v>267</v>
      </c>
      <c r="D77" s="664">
        <v>24322</v>
      </c>
      <c r="E77" s="664">
        <v>26415</v>
      </c>
      <c r="F77" s="664">
        <v>28234</v>
      </c>
      <c r="G77" s="664">
        <v>29694</v>
      </c>
      <c r="H77" s="664">
        <v>29589</v>
      </c>
    </row>
    <row r="78" spans="1:8">
      <c r="A78" s="662" t="s">
        <v>190</v>
      </c>
      <c r="B78" s="663" t="s">
        <v>191</v>
      </c>
      <c r="C78" s="663" t="s">
        <v>268</v>
      </c>
      <c r="D78" s="664">
        <v>4634</v>
      </c>
      <c r="E78" s="664">
        <v>4854</v>
      </c>
      <c r="F78" s="664">
        <v>5070</v>
      </c>
      <c r="G78" s="664">
        <v>5275</v>
      </c>
      <c r="H78" s="664">
        <v>5242</v>
      </c>
    </row>
    <row r="79" spans="1:8">
      <c r="A79" s="662" t="s">
        <v>194</v>
      </c>
      <c r="B79" s="663" t="s">
        <v>195</v>
      </c>
      <c r="C79" s="663" t="s">
        <v>267</v>
      </c>
      <c r="D79" s="664">
        <v>496</v>
      </c>
      <c r="E79" s="664">
        <v>547</v>
      </c>
      <c r="F79" s="664">
        <v>603</v>
      </c>
      <c r="G79" s="664">
        <v>605</v>
      </c>
      <c r="H79" s="664">
        <v>582</v>
      </c>
    </row>
    <row r="80" spans="1:8">
      <c r="A80" s="662" t="s">
        <v>198</v>
      </c>
      <c r="B80" s="663" t="s">
        <v>272</v>
      </c>
      <c r="C80" s="663" t="s">
        <v>266</v>
      </c>
      <c r="D80" s="664">
        <v>1053</v>
      </c>
      <c r="E80" s="664">
        <v>1105</v>
      </c>
      <c r="F80" s="664">
        <v>1127</v>
      </c>
      <c r="G80" s="664">
        <v>1162</v>
      </c>
      <c r="H80" s="664">
        <v>1186</v>
      </c>
    </row>
    <row r="81" spans="1:8">
      <c r="A81" s="662" t="s">
        <v>202</v>
      </c>
      <c r="B81" s="663" t="s">
        <v>301</v>
      </c>
      <c r="C81" s="663" t="s">
        <v>265</v>
      </c>
      <c r="D81" s="664">
        <v>7505</v>
      </c>
      <c r="E81" s="664">
        <v>7998</v>
      </c>
      <c r="F81" s="664">
        <v>8375</v>
      </c>
      <c r="G81" s="664">
        <v>8691</v>
      </c>
      <c r="H81" s="664">
        <v>8688</v>
      </c>
    </row>
    <row r="82" spans="1:8">
      <c r="A82" s="662" t="s">
        <v>204</v>
      </c>
      <c r="B82" s="663" t="s">
        <v>293</v>
      </c>
      <c r="C82" s="663" t="s">
        <v>265</v>
      </c>
      <c r="D82" s="664">
        <v>3552</v>
      </c>
      <c r="E82" s="664">
        <v>3688</v>
      </c>
      <c r="F82" s="664">
        <v>3857</v>
      </c>
      <c r="G82" s="664">
        <v>3950</v>
      </c>
      <c r="H82" s="664">
        <v>4011</v>
      </c>
    </row>
    <row r="83" spans="1:8">
      <c r="A83" s="662" t="s">
        <v>206</v>
      </c>
      <c r="B83" s="663" t="s">
        <v>294</v>
      </c>
      <c r="C83" s="663" t="s">
        <v>267</v>
      </c>
      <c r="D83" s="664">
        <v>9549</v>
      </c>
      <c r="E83" s="664">
        <v>9950</v>
      </c>
      <c r="F83" s="664">
        <v>10400</v>
      </c>
      <c r="G83" s="664">
        <v>10836</v>
      </c>
      <c r="H83" s="664">
        <v>10695</v>
      </c>
    </row>
    <row r="84" spans="1:8">
      <c r="A84" s="662" t="s">
        <v>208</v>
      </c>
      <c r="B84" s="663" t="s">
        <v>209</v>
      </c>
      <c r="C84" s="663" t="s">
        <v>268</v>
      </c>
      <c r="D84" s="664">
        <v>5194</v>
      </c>
      <c r="E84" s="664">
        <v>5231</v>
      </c>
      <c r="F84" s="664">
        <v>5221</v>
      </c>
      <c r="G84" s="664">
        <v>5260</v>
      </c>
      <c r="H84" s="664">
        <v>5299</v>
      </c>
    </row>
    <row r="85" spans="1:8">
      <c r="A85" s="662" t="s">
        <v>210</v>
      </c>
      <c r="B85" s="663" t="s">
        <v>211</v>
      </c>
      <c r="C85" s="663" t="s">
        <v>268</v>
      </c>
      <c r="D85" s="664">
        <v>3783</v>
      </c>
      <c r="E85" s="664">
        <v>3903</v>
      </c>
      <c r="F85" s="664">
        <v>4008</v>
      </c>
      <c r="G85" s="664">
        <v>4087</v>
      </c>
      <c r="H85" s="664">
        <v>4056</v>
      </c>
    </row>
    <row r="86" spans="1:8">
      <c r="A86" s="662" t="s">
        <v>212</v>
      </c>
      <c r="B86" s="663" t="s">
        <v>213</v>
      </c>
      <c r="C86" s="663" t="s">
        <v>267</v>
      </c>
      <c r="D86" s="664">
        <v>3754</v>
      </c>
      <c r="E86" s="664">
        <v>3980</v>
      </c>
      <c r="F86" s="664">
        <v>4237</v>
      </c>
      <c r="G86" s="664">
        <v>4430</v>
      </c>
      <c r="H86" s="664">
        <v>4394</v>
      </c>
    </row>
    <row r="87" spans="1:8">
      <c r="A87" s="662" t="s">
        <v>214</v>
      </c>
      <c r="B87" s="663" t="s">
        <v>215</v>
      </c>
      <c r="C87" s="663" t="s">
        <v>268</v>
      </c>
      <c r="D87" s="664">
        <v>5150</v>
      </c>
      <c r="E87" s="664">
        <v>5368</v>
      </c>
      <c r="F87" s="664">
        <v>5554</v>
      </c>
      <c r="G87" s="664">
        <v>5745</v>
      </c>
      <c r="H87" s="664">
        <v>5555</v>
      </c>
    </row>
    <row r="88" spans="1:8">
      <c r="A88" s="662" t="s">
        <v>216</v>
      </c>
      <c r="B88" s="663" t="s">
        <v>217</v>
      </c>
      <c r="C88" s="663" t="s">
        <v>264</v>
      </c>
      <c r="D88" s="664">
        <v>2217</v>
      </c>
      <c r="E88" s="664">
        <v>2257</v>
      </c>
      <c r="F88" s="664">
        <v>2332</v>
      </c>
      <c r="G88" s="664">
        <v>2358</v>
      </c>
      <c r="H88" s="664">
        <v>2358</v>
      </c>
    </row>
    <row r="89" spans="1:8">
      <c r="A89" s="662" t="s">
        <v>218</v>
      </c>
      <c r="B89" s="663" t="s">
        <v>219</v>
      </c>
      <c r="C89" s="663" t="s">
        <v>267</v>
      </c>
      <c r="D89" s="664">
        <v>7987</v>
      </c>
      <c r="E89" s="664">
        <v>8714</v>
      </c>
      <c r="F89" s="664">
        <v>9101</v>
      </c>
      <c r="G89" s="664">
        <v>9774</v>
      </c>
      <c r="H89" s="664">
        <v>10047</v>
      </c>
    </row>
    <row r="90" spans="1:8">
      <c r="A90" s="662" t="s">
        <v>220</v>
      </c>
      <c r="B90" s="663" t="s">
        <v>221</v>
      </c>
      <c r="C90" s="663" t="s">
        <v>267</v>
      </c>
      <c r="D90" s="664">
        <v>6610</v>
      </c>
      <c r="E90" s="664">
        <v>7061</v>
      </c>
      <c r="F90" s="664">
        <v>7544</v>
      </c>
      <c r="G90" s="664">
        <v>7902</v>
      </c>
      <c r="H90" s="664">
        <v>8063</v>
      </c>
    </row>
    <row r="91" spans="1:8">
      <c r="A91" s="662" t="s">
        <v>224</v>
      </c>
      <c r="B91" s="663" t="s">
        <v>225</v>
      </c>
      <c r="C91" s="663" t="s">
        <v>264</v>
      </c>
      <c r="D91" s="664">
        <v>792</v>
      </c>
      <c r="E91" s="664">
        <v>814</v>
      </c>
      <c r="F91" s="664">
        <v>823</v>
      </c>
      <c r="G91" s="664">
        <v>858</v>
      </c>
      <c r="H91" s="664">
        <v>864</v>
      </c>
    </row>
    <row r="92" spans="1:8">
      <c r="A92" s="662" t="s">
        <v>226</v>
      </c>
      <c r="B92" s="663" t="s">
        <v>227</v>
      </c>
      <c r="C92" s="663" t="s">
        <v>264</v>
      </c>
      <c r="D92" s="664">
        <v>1492</v>
      </c>
      <c r="E92" s="664">
        <v>1481</v>
      </c>
      <c r="F92" s="664">
        <v>1529</v>
      </c>
      <c r="G92" s="664">
        <v>1590</v>
      </c>
      <c r="H92" s="664">
        <v>1580</v>
      </c>
    </row>
    <row r="93" spans="1:8">
      <c r="A93" s="662" t="s">
        <v>228</v>
      </c>
      <c r="B93" s="663" t="s">
        <v>229</v>
      </c>
      <c r="C93" s="663" t="s">
        <v>268</v>
      </c>
      <c r="D93" s="664">
        <v>7185</v>
      </c>
      <c r="E93" s="664">
        <v>7265</v>
      </c>
      <c r="F93" s="664">
        <v>7354</v>
      </c>
      <c r="G93" s="664">
        <v>7538</v>
      </c>
      <c r="H93" s="664">
        <v>7460</v>
      </c>
    </row>
    <row r="94" spans="1:8">
      <c r="A94" s="662" t="s">
        <v>232</v>
      </c>
      <c r="B94" s="663" t="s">
        <v>233</v>
      </c>
      <c r="C94" s="663" t="s">
        <v>267</v>
      </c>
      <c r="D94" s="664">
        <v>3307</v>
      </c>
      <c r="E94" s="664">
        <v>3552</v>
      </c>
      <c r="F94" s="664">
        <v>3749</v>
      </c>
      <c r="G94" s="664">
        <v>3974</v>
      </c>
      <c r="H94" s="664">
        <v>4010</v>
      </c>
    </row>
    <row r="95" spans="1:8">
      <c r="A95" s="662" t="s">
        <v>234</v>
      </c>
      <c r="B95" s="663" t="s">
        <v>235</v>
      </c>
      <c r="C95" s="663" t="s">
        <v>268</v>
      </c>
      <c r="D95" s="664">
        <v>6570</v>
      </c>
      <c r="E95" s="664">
        <v>6762</v>
      </c>
      <c r="F95" s="664">
        <v>7025</v>
      </c>
      <c r="G95" s="664">
        <v>7350</v>
      </c>
      <c r="H95" s="664">
        <v>7409</v>
      </c>
    </row>
    <row r="96" spans="1:8">
      <c r="A96" s="662" t="s">
        <v>236</v>
      </c>
      <c r="B96" s="663" t="s">
        <v>237</v>
      </c>
      <c r="C96" s="663" t="s">
        <v>266</v>
      </c>
      <c r="D96" s="664">
        <v>2231</v>
      </c>
      <c r="E96" s="664">
        <v>2372</v>
      </c>
      <c r="F96" s="664">
        <v>2447</v>
      </c>
      <c r="G96" s="664">
        <v>2509</v>
      </c>
      <c r="H96" s="664">
        <v>2476</v>
      </c>
    </row>
    <row r="97" spans="1:8">
      <c r="A97" s="662" t="s">
        <v>242</v>
      </c>
      <c r="B97" s="663" t="s">
        <v>243</v>
      </c>
      <c r="C97" s="663" t="s">
        <v>268</v>
      </c>
      <c r="D97" s="664">
        <v>7743</v>
      </c>
      <c r="E97" s="664">
        <v>7822</v>
      </c>
      <c r="F97" s="664">
        <v>8027</v>
      </c>
      <c r="G97" s="664">
        <v>8285</v>
      </c>
      <c r="H97" s="664">
        <v>8240</v>
      </c>
    </row>
    <row r="98" spans="1:8">
      <c r="A98" s="662" t="s">
        <v>244</v>
      </c>
      <c r="B98" s="663" t="s">
        <v>245</v>
      </c>
      <c r="C98" s="663" t="s">
        <v>268</v>
      </c>
      <c r="D98" s="664">
        <v>4009</v>
      </c>
      <c r="E98" s="664">
        <v>4170</v>
      </c>
      <c r="F98" s="664">
        <v>4360</v>
      </c>
      <c r="G98" s="664">
        <v>4454</v>
      </c>
      <c r="H98" s="664">
        <v>4375</v>
      </c>
    </row>
    <row r="99" spans="1:8">
      <c r="A99" s="662" t="s">
        <v>246</v>
      </c>
      <c r="B99" s="663" t="s">
        <v>247</v>
      </c>
      <c r="C99" s="663" t="s">
        <v>264</v>
      </c>
      <c r="D99" s="664">
        <v>2659</v>
      </c>
      <c r="E99" s="664">
        <v>2963</v>
      </c>
      <c r="F99" s="664">
        <v>3166</v>
      </c>
      <c r="G99" s="664">
        <v>3265</v>
      </c>
      <c r="H99" s="664">
        <v>3276</v>
      </c>
    </row>
    <row r="100" spans="1:8">
      <c r="A100" s="662" t="s">
        <v>14</v>
      </c>
      <c r="B100" s="663" t="s">
        <v>15</v>
      </c>
      <c r="C100" s="663" t="s">
        <v>267</v>
      </c>
      <c r="D100" s="664">
        <v>9020</v>
      </c>
      <c r="E100" s="664">
        <v>9366</v>
      </c>
      <c r="F100" s="664">
        <v>9571</v>
      </c>
      <c r="G100" s="664">
        <v>10035</v>
      </c>
      <c r="H100" s="664">
        <v>10060</v>
      </c>
    </row>
    <row r="101" spans="1:8">
      <c r="A101" s="662" t="s">
        <v>34</v>
      </c>
      <c r="B101" s="663" t="s">
        <v>35</v>
      </c>
      <c r="C101" s="663" t="s">
        <v>268</v>
      </c>
      <c r="D101" s="664">
        <v>3384</v>
      </c>
      <c r="E101" s="664">
        <v>3518</v>
      </c>
      <c r="F101" s="664">
        <v>3655</v>
      </c>
      <c r="G101" s="664">
        <v>3873</v>
      </c>
      <c r="H101" s="664">
        <v>3680</v>
      </c>
    </row>
    <row r="102" spans="1:8">
      <c r="A102" s="662" t="s">
        <v>52</v>
      </c>
      <c r="B102" s="663" t="s">
        <v>53</v>
      </c>
      <c r="C102" s="663" t="s">
        <v>265</v>
      </c>
      <c r="D102" s="664">
        <v>4421</v>
      </c>
      <c r="E102" s="664">
        <v>4478</v>
      </c>
      <c r="F102" s="664">
        <v>4625</v>
      </c>
      <c r="G102" s="664">
        <v>4740</v>
      </c>
      <c r="H102" s="664">
        <v>4491</v>
      </c>
    </row>
    <row r="103" spans="1:8">
      <c r="A103" s="662" t="s">
        <v>54</v>
      </c>
      <c r="B103" s="663" t="s">
        <v>55</v>
      </c>
      <c r="C103" s="663" t="s">
        <v>264</v>
      </c>
      <c r="D103" s="664">
        <v>16177</v>
      </c>
      <c r="E103" s="664">
        <v>16927</v>
      </c>
      <c r="F103" s="664">
        <v>17786</v>
      </c>
      <c r="G103" s="664">
        <v>18620</v>
      </c>
      <c r="H103" s="664">
        <v>18933</v>
      </c>
    </row>
    <row r="104" spans="1:8">
      <c r="A104" s="662" t="s">
        <v>66</v>
      </c>
      <c r="B104" s="663" t="s">
        <v>67</v>
      </c>
      <c r="C104" s="663" t="s">
        <v>265</v>
      </c>
      <c r="D104" s="664">
        <v>8553</v>
      </c>
      <c r="E104" s="664">
        <v>8802</v>
      </c>
      <c r="F104" s="664">
        <v>9147</v>
      </c>
      <c r="G104" s="664">
        <v>9438</v>
      </c>
      <c r="H104" s="664">
        <v>9537</v>
      </c>
    </row>
    <row r="105" spans="1:8">
      <c r="A105" s="662" t="s">
        <v>82</v>
      </c>
      <c r="B105" s="663" t="s">
        <v>83</v>
      </c>
      <c r="C105" s="663" t="s">
        <v>264</v>
      </c>
      <c r="D105" s="664">
        <v>1645</v>
      </c>
      <c r="E105" s="664">
        <v>1766</v>
      </c>
      <c r="F105" s="664">
        <v>1877</v>
      </c>
      <c r="G105" s="664">
        <v>1935</v>
      </c>
      <c r="H105" s="664">
        <v>1919</v>
      </c>
    </row>
    <row r="106" spans="1:8">
      <c r="A106" s="662" t="s">
        <v>88</v>
      </c>
      <c r="B106" s="663" t="s">
        <v>89</v>
      </c>
      <c r="C106" s="663" t="s">
        <v>267</v>
      </c>
      <c r="D106" s="664">
        <v>2940</v>
      </c>
      <c r="E106" s="664">
        <v>3139</v>
      </c>
      <c r="F106" s="664">
        <v>3394</v>
      </c>
      <c r="G106" s="664">
        <v>3542</v>
      </c>
      <c r="H106" s="664">
        <v>3643</v>
      </c>
    </row>
    <row r="107" spans="1:8">
      <c r="A107" s="662" t="s">
        <v>90</v>
      </c>
      <c r="B107" s="663" t="s">
        <v>91</v>
      </c>
      <c r="C107" s="663" t="s">
        <v>268</v>
      </c>
      <c r="D107" s="664">
        <v>1624</v>
      </c>
      <c r="E107" s="664">
        <v>1595</v>
      </c>
      <c r="F107" s="664">
        <v>1605</v>
      </c>
      <c r="G107" s="664">
        <v>1607</v>
      </c>
      <c r="H107" s="664">
        <v>1648</v>
      </c>
    </row>
    <row r="108" spans="1:8">
      <c r="A108" s="662" t="s">
        <v>106</v>
      </c>
      <c r="B108" s="663" t="s">
        <v>107</v>
      </c>
      <c r="C108" s="663" t="s">
        <v>264</v>
      </c>
      <c r="D108" s="664">
        <v>13848</v>
      </c>
      <c r="E108" s="664">
        <v>14776</v>
      </c>
      <c r="F108" s="664">
        <v>15610</v>
      </c>
      <c r="G108" s="664">
        <v>16414</v>
      </c>
      <c r="H108" s="664">
        <v>16811</v>
      </c>
    </row>
    <row r="109" spans="1:8">
      <c r="A109" s="662" t="s">
        <v>116</v>
      </c>
      <c r="B109" s="663" t="s">
        <v>117</v>
      </c>
      <c r="C109" s="663" t="s">
        <v>266</v>
      </c>
      <c r="D109" s="664">
        <v>3784</v>
      </c>
      <c r="E109" s="664">
        <v>3948</v>
      </c>
      <c r="F109" s="664">
        <v>4156</v>
      </c>
      <c r="G109" s="664">
        <v>4351</v>
      </c>
      <c r="H109" s="664">
        <v>4447</v>
      </c>
    </row>
    <row r="110" spans="1:8">
      <c r="A110" s="662" t="s">
        <v>138</v>
      </c>
      <c r="B110" s="663" t="s">
        <v>139</v>
      </c>
      <c r="C110" s="663" t="s">
        <v>265</v>
      </c>
      <c r="D110" s="664">
        <v>9414</v>
      </c>
      <c r="E110" s="664">
        <v>9878</v>
      </c>
      <c r="F110" s="664">
        <v>10536</v>
      </c>
      <c r="G110" s="664">
        <v>10929</v>
      </c>
      <c r="H110" s="664">
        <v>11083</v>
      </c>
    </row>
    <row r="111" spans="1:8">
      <c r="A111" s="662" t="s">
        <v>142</v>
      </c>
      <c r="B111" s="663" t="s">
        <v>143</v>
      </c>
      <c r="C111" s="663" t="s">
        <v>267</v>
      </c>
      <c r="D111" s="664">
        <v>3609</v>
      </c>
      <c r="E111" s="664">
        <v>3750</v>
      </c>
      <c r="F111" s="664">
        <v>3878</v>
      </c>
      <c r="G111" s="664">
        <v>4054</v>
      </c>
      <c r="H111" s="664">
        <v>4215</v>
      </c>
    </row>
    <row r="112" spans="1:8">
      <c r="A112" s="662" t="s">
        <v>144</v>
      </c>
      <c r="B112" s="663" t="s">
        <v>145</v>
      </c>
      <c r="C112" s="663" t="s">
        <v>267</v>
      </c>
      <c r="D112" s="664">
        <v>1268</v>
      </c>
      <c r="E112" s="664">
        <v>1326</v>
      </c>
      <c r="F112" s="664">
        <v>1330</v>
      </c>
      <c r="G112" s="664">
        <v>1483</v>
      </c>
      <c r="H112" s="664">
        <v>1463</v>
      </c>
    </row>
    <row r="113" spans="1:8">
      <c r="A113" s="662" t="s">
        <v>158</v>
      </c>
      <c r="B113" s="663" t="s">
        <v>159</v>
      </c>
      <c r="C113" s="663" t="s">
        <v>264</v>
      </c>
      <c r="D113" s="664">
        <v>21664</v>
      </c>
      <c r="E113" s="664">
        <v>23031</v>
      </c>
      <c r="F113" s="664">
        <v>23970</v>
      </c>
      <c r="G113" s="664">
        <v>24797</v>
      </c>
      <c r="H113" s="664">
        <v>24423</v>
      </c>
    </row>
    <row r="114" spans="1:8">
      <c r="A114" s="662" t="s">
        <v>160</v>
      </c>
      <c r="B114" s="663" t="s">
        <v>161</v>
      </c>
      <c r="C114" s="663" t="s">
        <v>264</v>
      </c>
      <c r="D114" s="664">
        <v>28272</v>
      </c>
      <c r="E114" s="664">
        <v>29302</v>
      </c>
      <c r="F114" s="664">
        <v>30780</v>
      </c>
      <c r="G114" s="664">
        <v>31908</v>
      </c>
      <c r="H114" s="664">
        <v>32317</v>
      </c>
    </row>
    <row r="115" spans="1:8">
      <c r="A115" s="662" t="s">
        <v>166</v>
      </c>
      <c r="B115" s="663" t="s">
        <v>167</v>
      </c>
      <c r="C115" s="663" t="s">
        <v>268</v>
      </c>
      <c r="D115" s="664">
        <v>920</v>
      </c>
      <c r="E115" s="664">
        <v>930</v>
      </c>
      <c r="F115" s="664">
        <v>990</v>
      </c>
      <c r="G115" s="664">
        <v>989</v>
      </c>
      <c r="H115" s="664">
        <v>959</v>
      </c>
    </row>
    <row r="116" spans="1:8">
      <c r="A116" s="662" t="s">
        <v>176</v>
      </c>
      <c r="B116" s="663" t="s">
        <v>177</v>
      </c>
      <c r="C116" s="663" t="s">
        <v>266</v>
      </c>
      <c r="D116" s="664">
        <v>7052</v>
      </c>
      <c r="E116" s="664">
        <v>7353</v>
      </c>
      <c r="F116" s="664">
        <v>7468</v>
      </c>
      <c r="G116" s="664">
        <v>7618</v>
      </c>
      <c r="H116" s="664">
        <v>7653</v>
      </c>
    </row>
    <row r="117" spans="1:8">
      <c r="A117" s="662" t="s">
        <v>180</v>
      </c>
      <c r="B117" s="663" t="s">
        <v>181</v>
      </c>
      <c r="C117" s="663" t="s">
        <v>264</v>
      </c>
      <c r="D117" s="664">
        <v>14305</v>
      </c>
      <c r="E117" s="664">
        <v>14946</v>
      </c>
      <c r="F117" s="664">
        <v>15807</v>
      </c>
      <c r="G117" s="664">
        <v>16198</v>
      </c>
      <c r="H117" s="664">
        <v>16466</v>
      </c>
    </row>
    <row r="118" spans="1:8">
      <c r="A118" s="662" t="s">
        <v>192</v>
      </c>
      <c r="B118" s="663" t="s">
        <v>193</v>
      </c>
      <c r="C118" s="663" t="s">
        <v>268</v>
      </c>
      <c r="D118" s="664">
        <v>1267</v>
      </c>
      <c r="E118" s="664">
        <v>1325</v>
      </c>
      <c r="F118" s="664">
        <v>1359</v>
      </c>
      <c r="G118" s="664">
        <v>1411</v>
      </c>
      <c r="H118" s="664">
        <v>1458</v>
      </c>
    </row>
    <row r="119" spans="1:8">
      <c r="A119" s="662" t="s">
        <v>196</v>
      </c>
      <c r="B119" s="663" t="s">
        <v>197</v>
      </c>
      <c r="C119" s="663" t="s">
        <v>266</v>
      </c>
      <c r="D119" s="664">
        <v>31339</v>
      </c>
      <c r="E119" s="664">
        <v>31886</v>
      </c>
      <c r="F119" s="664">
        <v>32304</v>
      </c>
      <c r="G119" s="664">
        <v>33203</v>
      </c>
      <c r="H119" s="664">
        <v>33286</v>
      </c>
    </row>
    <row r="120" spans="1:8">
      <c r="A120" s="662" t="s">
        <v>200</v>
      </c>
      <c r="B120" s="663" t="s">
        <v>201</v>
      </c>
      <c r="C120" s="663" t="s">
        <v>265</v>
      </c>
      <c r="D120" s="664">
        <v>16223</v>
      </c>
      <c r="E120" s="664">
        <v>16514</v>
      </c>
      <c r="F120" s="664">
        <v>17289</v>
      </c>
      <c r="G120" s="664">
        <v>17806</v>
      </c>
      <c r="H120" s="664">
        <v>17679</v>
      </c>
    </row>
    <row r="121" spans="1:8">
      <c r="A121" s="662" t="s">
        <v>222</v>
      </c>
      <c r="B121" s="663" t="s">
        <v>223</v>
      </c>
      <c r="C121" s="663" t="s">
        <v>264</v>
      </c>
      <c r="D121" s="664">
        <v>8833</v>
      </c>
      <c r="E121" s="664">
        <v>9349</v>
      </c>
      <c r="F121" s="664">
        <v>9674</v>
      </c>
      <c r="G121" s="664">
        <v>10010</v>
      </c>
      <c r="H121" s="664">
        <v>10010</v>
      </c>
    </row>
    <row r="122" spans="1:8">
      <c r="A122" s="662" t="s">
        <v>230</v>
      </c>
      <c r="B122" s="663" t="s">
        <v>231</v>
      </c>
      <c r="C122" s="663" t="s">
        <v>264</v>
      </c>
      <c r="D122" s="664">
        <v>26658</v>
      </c>
      <c r="E122" s="664">
        <v>27926</v>
      </c>
      <c r="F122" s="664">
        <v>29255</v>
      </c>
      <c r="G122" s="664">
        <v>30056</v>
      </c>
      <c r="H122" s="664">
        <v>29923</v>
      </c>
    </row>
    <row r="123" spans="1:8">
      <c r="A123" s="662" t="s">
        <v>238</v>
      </c>
      <c r="B123" s="663" t="s">
        <v>239</v>
      </c>
      <c r="C123" s="663" t="s">
        <v>264</v>
      </c>
      <c r="D123" s="664">
        <v>722</v>
      </c>
      <c r="E123" s="664">
        <v>821</v>
      </c>
      <c r="F123" s="664">
        <v>877</v>
      </c>
      <c r="G123" s="664">
        <v>924</v>
      </c>
      <c r="H123" s="664">
        <v>939</v>
      </c>
    </row>
    <row r="124" spans="1:8">
      <c r="A124" s="581" t="s">
        <v>240</v>
      </c>
      <c r="B124" s="570" t="s">
        <v>241</v>
      </c>
      <c r="C124" s="570" t="s">
        <v>267</v>
      </c>
      <c r="D124" s="575">
        <v>3223</v>
      </c>
      <c r="E124" s="575">
        <v>3498</v>
      </c>
      <c r="F124" s="575">
        <v>3581</v>
      </c>
      <c r="G124" s="575">
        <v>3737</v>
      </c>
      <c r="H124" s="575">
        <v>3747</v>
      </c>
    </row>
    <row r="126" spans="1:8" ht="33.75" customHeight="1">
      <c r="A126" s="1916" t="s">
        <v>944</v>
      </c>
      <c r="B126" s="1916"/>
      <c r="C126" s="1916"/>
      <c r="D126" s="1916"/>
      <c r="E126" s="1916"/>
      <c r="F126" s="1916"/>
      <c r="G126" s="1916"/>
      <c r="H126" s="1916"/>
    </row>
    <row r="128" spans="1:8" s="428" customFormat="1">
      <c r="A128" s="428" t="s">
        <v>248</v>
      </c>
    </row>
    <row r="129" spans="1:3" s="428" customFormat="1">
      <c r="A129" s="429" t="s">
        <v>249</v>
      </c>
      <c r="B129" s="430" t="s">
        <v>250</v>
      </c>
      <c r="C129" s="430"/>
    </row>
  </sheetData>
  <autoFilter ref="A3:C3"/>
  <sortState ref="A5:I124">
    <sortCondition ref="A5:A124"/>
  </sortState>
  <mergeCells count="1">
    <mergeCell ref="A126:H126"/>
  </mergeCells>
  <hyperlinks>
    <hyperlink ref="B129" r:id="rId1"/>
  </hyperlinks>
  <pageMargins left="0.7" right="0.7" top="0.75" bottom="0.75" header="0.3" footer="0.3"/>
</worksheet>
</file>

<file path=xl/worksheets/sheet27.xml><?xml version="1.0" encoding="utf-8"?>
<worksheet xmlns="http://schemas.openxmlformats.org/spreadsheetml/2006/main" xmlns:r="http://schemas.openxmlformats.org/officeDocument/2006/relationships">
  <dimension ref="A1:I130"/>
  <sheetViews>
    <sheetView workbookViewId="0">
      <pane xSplit="3" ySplit="5" topLeftCell="D6" activePane="bottomRight" state="frozen"/>
      <selection pane="topRight" activeCell="D1" sqref="D1"/>
      <selection pane="bottomLeft" activeCell="A6" sqref="A6"/>
      <selection pane="bottomRight" activeCell="C15" sqref="C15"/>
    </sheetView>
  </sheetViews>
  <sheetFormatPr defaultRowHeight="12.75" customHeight="1"/>
  <cols>
    <col min="1" max="1" width="9" style="558"/>
    <col min="2" max="2" width="33.375" style="558" customWidth="1"/>
    <col min="3" max="3" width="16.75" style="558" customWidth="1"/>
    <col min="4" max="9" width="8.875" style="558" customWidth="1"/>
    <col min="10" max="16384" width="9" style="558"/>
  </cols>
  <sheetData>
    <row r="1" spans="1:9" ht="12.75" customHeight="1">
      <c r="A1" s="258" t="s">
        <v>933</v>
      </c>
    </row>
    <row r="3" spans="1:9" ht="12.75" customHeight="1">
      <c r="D3" s="1918" t="s">
        <v>901</v>
      </c>
      <c r="E3" s="1919"/>
      <c r="F3" s="1918" t="s">
        <v>902</v>
      </c>
      <c r="G3" s="1919"/>
      <c r="H3" s="1918" t="s">
        <v>903</v>
      </c>
      <c r="I3" s="1919"/>
    </row>
    <row r="4" spans="1:9" ht="15.75">
      <c r="A4" s="563" t="s">
        <v>4</v>
      </c>
      <c r="B4" s="621" t="s">
        <v>5</v>
      </c>
      <c r="C4" s="1346" t="s">
        <v>251</v>
      </c>
      <c r="D4" s="1351">
        <v>2013</v>
      </c>
      <c r="E4" s="1352">
        <v>2014</v>
      </c>
      <c r="F4" s="1351">
        <v>2013</v>
      </c>
      <c r="G4" s="1352">
        <v>2014</v>
      </c>
      <c r="H4" s="1351">
        <v>2013</v>
      </c>
      <c r="I4" s="1352">
        <v>2014</v>
      </c>
    </row>
    <row r="5" spans="1:9" ht="15.75">
      <c r="A5" s="659">
        <v>999</v>
      </c>
      <c r="B5" s="660" t="s">
        <v>9</v>
      </c>
      <c r="C5" s="1347"/>
      <c r="D5" s="1353">
        <f t="shared" ref="D5:E5" si="0">SUM(D6:D125)</f>
        <v>138038</v>
      </c>
      <c r="E5" s="1357">
        <f t="shared" si="0"/>
        <v>126002</v>
      </c>
      <c r="F5" s="1353">
        <f t="shared" ref="F5:G5" si="1">SUM(F6:F125)</f>
        <v>67179</v>
      </c>
      <c r="G5" s="1357">
        <f t="shared" si="1"/>
        <v>65969</v>
      </c>
      <c r="H5" s="1353">
        <f t="shared" ref="H5:I5" si="2">SUM(H6:H125)</f>
        <v>23112</v>
      </c>
      <c r="I5" s="1357">
        <f t="shared" si="2"/>
        <v>24305</v>
      </c>
    </row>
    <row r="6" spans="1:9" ht="15.75">
      <c r="A6" s="565" t="s">
        <v>10</v>
      </c>
      <c r="B6" s="623" t="s">
        <v>11</v>
      </c>
      <c r="C6" s="1348" t="s">
        <v>264</v>
      </c>
      <c r="D6" s="1354">
        <v>1949</v>
      </c>
      <c r="E6" s="1056">
        <v>1818</v>
      </c>
      <c r="F6" s="1354">
        <v>593</v>
      </c>
      <c r="G6" s="1056">
        <v>659</v>
      </c>
      <c r="H6" s="1354">
        <v>831</v>
      </c>
      <c r="I6" s="1056">
        <v>883</v>
      </c>
    </row>
    <row r="7" spans="1:9" ht="15.75">
      <c r="A7" s="566" t="s">
        <v>12</v>
      </c>
      <c r="B7" s="663" t="s">
        <v>13</v>
      </c>
      <c r="C7" s="1349" t="s">
        <v>265</v>
      </c>
      <c r="D7" s="1354">
        <v>1072</v>
      </c>
      <c r="E7" s="1056">
        <v>893</v>
      </c>
      <c r="F7" s="1354">
        <v>522</v>
      </c>
      <c r="G7" s="1056">
        <v>434</v>
      </c>
      <c r="H7" s="1354">
        <v>136</v>
      </c>
      <c r="I7" s="1056">
        <v>159</v>
      </c>
    </row>
    <row r="8" spans="1:9" ht="15.75">
      <c r="A8" s="566" t="s">
        <v>16</v>
      </c>
      <c r="B8" s="663" t="s">
        <v>297</v>
      </c>
      <c r="C8" s="1349" t="s">
        <v>265</v>
      </c>
      <c r="D8" s="1354">
        <v>1078</v>
      </c>
      <c r="E8" s="1056">
        <v>990</v>
      </c>
      <c r="F8" s="1354">
        <v>534</v>
      </c>
      <c r="G8" s="1056">
        <v>597</v>
      </c>
      <c r="H8" s="1354">
        <v>106</v>
      </c>
      <c r="I8" s="1056">
        <v>128</v>
      </c>
    </row>
    <row r="9" spans="1:9" ht="15.75">
      <c r="A9" s="566" t="s">
        <v>18</v>
      </c>
      <c r="B9" s="663" t="s">
        <v>19</v>
      </c>
      <c r="C9" s="1349" t="s">
        <v>266</v>
      </c>
      <c r="D9" s="1354">
        <v>362</v>
      </c>
      <c r="E9" s="1056">
        <v>318</v>
      </c>
      <c r="F9" s="1354">
        <v>137</v>
      </c>
      <c r="G9" s="1056">
        <v>133</v>
      </c>
      <c r="H9" s="1354">
        <v>74</v>
      </c>
      <c r="I9" s="1056">
        <v>97</v>
      </c>
    </row>
    <row r="10" spans="1:9" ht="15.75">
      <c r="A10" s="566" t="s">
        <v>20</v>
      </c>
      <c r="B10" s="663" t="s">
        <v>21</v>
      </c>
      <c r="C10" s="1349" t="s">
        <v>265</v>
      </c>
      <c r="D10" s="1354">
        <v>987</v>
      </c>
      <c r="E10" s="1056">
        <v>860</v>
      </c>
      <c r="F10" s="1354">
        <v>509</v>
      </c>
      <c r="G10" s="1056">
        <v>469</v>
      </c>
      <c r="H10" s="1354">
        <v>231</v>
      </c>
      <c r="I10" s="1056">
        <v>235</v>
      </c>
    </row>
    <row r="11" spans="1:9" ht="15.75">
      <c r="A11" s="566" t="s">
        <v>22</v>
      </c>
      <c r="B11" s="663" t="s">
        <v>23</v>
      </c>
      <c r="C11" s="1349" t="s">
        <v>265</v>
      </c>
      <c r="D11" s="1354">
        <v>629</v>
      </c>
      <c r="E11" s="1056">
        <v>586</v>
      </c>
      <c r="F11" s="1354">
        <v>319</v>
      </c>
      <c r="G11" s="1056">
        <v>322</v>
      </c>
      <c r="H11" s="1354">
        <v>165</v>
      </c>
      <c r="I11" s="1056">
        <v>164</v>
      </c>
    </row>
    <row r="12" spans="1:9" ht="15.75">
      <c r="A12" s="566" t="s">
        <v>24</v>
      </c>
      <c r="B12" s="663" t="s">
        <v>25</v>
      </c>
      <c r="C12" s="1349" t="s">
        <v>267</v>
      </c>
      <c r="D12" s="1354">
        <v>667</v>
      </c>
      <c r="E12" s="1056">
        <v>644</v>
      </c>
      <c r="F12" s="1354">
        <v>623</v>
      </c>
      <c r="G12" s="1056">
        <v>621</v>
      </c>
      <c r="H12" s="1354">
        <v>15</v>
      </c>
      <c r="I12" s="1056">
        <v>50</v>
      </c>
    </row>
    <row r="13" spans="1:9" ht="15.75">
      <c r="A13" s="566" t="s">
        <v>26</v>
      </c>
      <c r="B13" s="663" t="s">
        <v>706</v>
      </c>
      <c r="C13" s="1349" t="s">
        <v>265</v>
      </c>
      <c r="D13" s="1354">
        <v>2705</v>
      </c>
      <c r="E13" s="1056">
        <v>2411</v>
      </c>
      <c r="F13" s="1354">
        <v>1287</v>
      </c>
      <c r="G13" s="1056">
        <v>1280</v>
      </c>
      <c r="H13" s="1354">
        <v>386</v>
      </c>
      <c r="I13" s="1056">
        <v>375</v>
      </c>
    </row>
    <row r="14" spans="1:9" ht="15.75">
      <c r="A14" s="566" t="s">
        <v>27</v>
      </c>
      <c r="B14" s="663" t="s">
        <v>28</v>
      </c>
      <c r="C14" s="1349" t="s">
        <v>265</v>
      </c>
      <c r="D14" s="1354">
        <v>143</v>
      </c>
      <c r="E14" s="1056">
        <v>137</v>
      </c>
      <c r="F14" s="1354">
        <v>46</v>
      </c>
      <c r="G14" s="1056">
        <v>41</v>
      </c>
      <c r="H14" s="1354">
        <v>9</v>
      </c>
      <c r="I14" s="1056">
        <v>12</v>
      </c>
    </row>
    <row r="15" spans="1:9" ht="15.75">
      <c r="A15" s="566" t="s">
        <v>29</v>
      </c>
      <c r="B15" s="663" t="s">
        <v>1012</v>
      </c>
      <c r="C15" s="1349" t="s">
        <v>265</v>
      </c>
      <c r="D15" s="1354">
        <v>1279</v>
      </c>
      <c r="E15" s="1056">
        <v>1156</v>
      </c>
      <c r="F15" s="1354">
        <v>494</v>
      </c>
      <c r="G15" s="1056">
        <v>505</v>
      </c>
      <c r="H15" s="1354">
        <v>179</v>
      </c>
      <c r="I15" s="1056">
        <v>186</v>
      </c>
    </row>
    <row r="16" spans="1:9" ht="15.75">
      <c r="A16" s="566" t="s">
        <v>30</v>
      </c>
      <c r="B16" s="663" t="s">
        <v>31</v>
      </c>
      <c r="C16" s="1349" t="s">
        <v>268</v>
      </c>
      <c r="D16" s="1354">
        <v>193</v>
      </c>
      <c r="E16" s="1056">
        <v>194</v>
      </c>
      <c r="F16" s="1354">
        <v>82</v>
      </c>
      <c r="G16" s="1056">
        <v>64</v>
      </c>
      <c r="H16" s="1354">
        <v>42</v>
      </c>
      <c r="I16" s="1056">
        <v>41</v>
      </c>
    </row>
    <row r="17" spans="1:9" ht="15.75">
      <c r="A17" s="566" t="s">
        <v>32</v>
      </c>
      <c r="B17" s="663" t="s">
        <v>33</v>
      </c>
      <c r="C17" s="1349" t="s">
        <v>265</v>
      </c>
      <c r="D17" s="1354">
        <v>314</v>
      </c>
      <c r="E17" s="1056">
        <v>308</v>
      </c>
      <c r="F17" s="1354">
        <v>116</v>
      </c>
      <c r="G17" s="1056">
        <v>114</v>
      </c>
      <c r="H17" s="1354">
        <v>71</v>
      </c>
      <c r="I17" s="1056">
        <v>84</v>
      </c>
    </row>
    <row r="18" spans="1:9" ht="15.75">
      <c r="A18" s="566" t="s">
        <v>36</v>
      </c>
      <c r="B18" s="663" t="s">
        <v>37</v>
      </c>
      <c r="C18" s="1349" t="s">
        <v>264</v>
      </c>
      <c r="D18" s="1354">
        <v>1178</v>
      </c>
      <c r="E18" s="1056">
        <v>1128</v>
      </c>
      <c r="F18" s="1354">
        <v>591</v>
      </c>
      <c r="G18" s="1056">
        <v>591</v>
      </c>
      <c r="H18" s="1354">
        <v>316</v>
      </c>
      <c r="I18" s="1056">
        <v>294</v>
      </c>
    </row>
    <row r="19" spans="1:9" ht="15.75">
      <c r="A19" s="566" t="s">
        <v>38</v>
      </c>
      <c r="B19" s="663" t="s">
        <v>39</v>
      </c>
      <c r="C19" s="1349" t="s">
        <v>268</v>
      </c>
      <c r="D19" s="1354">
        <v>1929</v>
      </c>
      <c r="E19" s="1056">
        <v>1895</v>
      </c>
      <c r="F19" s="1354">
        <v>959</v>
      </c>
      <c r="G19" s="1056">
        <v>955</v>
      </c>
      <c r="H19" s="1354">
        <v>545</v>
      </c>
      <c r="I19" s="1056">
        <v>541</v>
      </c>
    </row>
    <row r="20" spans="1:9" ht="15.75">
      <c r="A20" s="566" t="s">
        <v>40</v>
      </c>
      <c r="B20" s="663" t="s">
        <v>41</v>
      </c>
      <c r="C20" s="1349" t="s">
        <v>266</v>
      </c>
      <c r="D20" s="1354">
        <v>830</v>
      </c>
      <c r="E20" s="1056">
        <v>740</v>
      </c>
      <c r="F20" s="1354">
        <v>378</v>
      </c>
      <c r="G20" s="1056">
        <v>337</v>
      </c>
      <c r="H20" s="1354">
        <v>150</v>
      </c>
      <c r="I20" s="1056">
        <v>157</v>
      </c>
    </row>
    <row r="21" spans="1:9" ht="15.75">
      <c r="A21" s="566" t="s">
        <v>42</v>
      </c>
      <c r="B21" s="663" t="s">
        <v>43</v>
      </c>
      <c r="C21" s="1349" t="s">
        <v>265</v>
      </c>
      <c r="D21" s="1354">
        <v>1841</v>
      </c>
      <c r="E21" s="1056">
        <v>1684</v>
      </c>
      <c r="F21" s="1354">
        <v>882</v>
      </c>
      <c r="G21" s="1056">
        <v>864</v>
      </c>
      <c r="H21" s="1354">
        <v>516</v>
      </c>
      <c r="I21" s="1056">
        <v>521</v>
      </c>
    </row>
    <row r="22" spans="1:9" ht="15.75">
      <c r="A22" s="566" t="s">
        <v>44</v>
      </c>
      <c r="B22" s="663" t="s">
        <v>45</v>
      </c>
      <c r="C22" s="1349" t="s">
        <v>266</v>
      </c>
      <c r="D22" s="1354">
        <v>513</v>
      </c>
      <c r="E22" s="1056">
        <v>500</v>
      </c>
      <c r="F22" s="1354">
        <v>117</v>
      </c>
      <c r="G22" s="1056">
        <v>134</v>
      </c>
      <c r="H22" s="1354">
        <v>131</v>
      </c>
      <c r="I22" s="1056">
        <v>129</v>
      </c>
    </row>
    <row r="23" spans="1:9" ht="15.75">
      <c r="A23" s="566" t="s">
        <v>46</v>
      </c>
      <c r="B23" s="663" t="s">
        <v>47</v>
      </c>
      <c r="C23" s="1349" t="s">
        <v>268</v>
      </c>
      <c r="D23" s="1354">
        <v>1797</v>
      </c>
      <c r="E23" s="1056">
        <v>1694</v>
      </c>
      <c r="F23" s="1354">
        <v>685</v>
      </c>
      <c r="G23" s="1056">
        <v>666</v>
      </c>
      <c r="H23" s="1354">
        <v>229</v>
      </c>
      <c r="I23" s="1056">
        <v>198</v>
      </c>
    </row>
    <row r="24" spans="1:9" ht="15.75">
      <c r="A24" s="566" t="s">
        <v>48</v>
      </c>
      <c r="B24" s="663" t="s">
        <v>269</v>
      </c>
      <c r="C24" s="1349" t="s">
        <v>266</v>
      </c>
      <c r="D24" s="1354">
        <v>246</v>
      </c>
      <c r="E24" s="1056">
        <v>212</v>
      </c>
      <c r="F24" s="1354">
        <v>71</v>
      </c>
      <c r="G24" s="1056">
        <v>87</v>
      </c>
      <c r="H24" s="1354">
        <v>36</v>
      </c>
      <c r="I24" s="1056">
        <v>70</v>
      </c>
    </row>
    <row r="25" spans="1:9" ht="15.75">
      <c r="A25" s="566" t="s">
        <v>50</v>
      </c>
      <c r="B25" s="663" t="s">
        <v>51</v>
      </c>
      <c r="C25" s="1349" t="s">
        <v>265</v>
      </c>
      <c r="D25" s="1354">
        <v>710</v>
      </c>
      <c r="E25" s="1056">
        <v>652</v>
      </c>
      <c r="F25" s="1354">
        <v>331</v>
      </c>
      <c r="G25" s="1056">
        <v>346</v>
      </c>
      <c r="H25" s="1354">
        <v>117</v>
      </c>
      <c r="I25" s="1056">
        <v>153</v>
      </c>
    </row>
    <row r="26" spans="1:9" ht="15.75">
      <c r="A26" s="566" t="s">
        <v>56</v>
      </c>
      <c r="B26" s="663" t="s">
        <v>295</v>
      </c>
      <c r="C26" s="1349" t="s">
        <v>266</v>
      </c>
      <c r="D26" s="1354">
        <v>2554</v>
      </c>
      <c r="E26" s="1056">
        <v>2275</v>
      </c>
      <c r="F26" s="1354">
        <v>1352</v>
      </c>
      <c r="G26" s="1056">
        <v>1176</v>
      </c>
      <c r="H26" s="1354">
        <v>327</v>
      </c>
      <c r="I26" s="1056">
        <v>232</v>
      </c>
    </row>
    <row r="27" spans="1:9" ht="15.75">
      <c r="A27" s="566" t="s">
        <v>58</v>
      </c>
      <c r="B27" s="663" t="s">
        <v>59</v>
      </c>
      <c r="C27" s="1349" t="s">
        <v>267</v>
      </c>
      <c r="D27" s="1354">
        <v>104</v>
      </c>
      <c r="E27" s="1056">
        <v>101</v>
      </c>
      <c r="F27" s="1354">
        <v>52</v>
      </c>
      <c r="G27" s="1056">
        <v>43</v>
      </c>
      <c r="H27" s="1354">
        <v>11</v>
      </c>
      <c r="I27" s="1056">
        <v>15</v>
      </c>
    </row>
    <row r="28" spans="1:9" ht="15.75">
      <c r="A28" s="566" t="s">
        <v>60</v>
      </c>
      <c r="B28" s="663" t="s">
        <v>61</v>
      </c>
      <c r="C28" s="1349" t="s">
        <v>265</v>
      </c>
      <c r="D28" s="1354">
        <v>207</v>
      </c>
      <c r="E28" s="1056">
        <v>175</v>
      </c>
      <c r="F28" s="1354">
        <v>106</v>
      </c>
      <c r="G28" s="1056">
        <v>100</v>
      </c>
      <c r="H28" s="1354">
        <v>41</v>
      </c>
      <c r="I28" s="1056">
        <v>30</v>
      </c>
    </row>
    <row r="29" spans="1:9" ht="15.75">
      <c r="A29" s="566" t="s">
        <v>62</v>
      </c>
      <c r="B29" s="663" t="s">
        <v>63</v>
      </c>
      <c r="C29" s="1349" t="s">
        <v>267</v>
      </c>
      <c r="D29" s="1354">
        <v>687</v>
      </c>
      <c r="E29" s="1056">
        <v>600</v>
      </c>
      <c r="F29" s="1354">
        <v>357</v>
      </c>
      <c r="G29" s="1056">
        <v>324</v>
      </c>
      <c r="H29" s="1354">
        <v>134</v>
      </c>
      <c r="I29" s="1056">
        <v>122</v>
      </c>
    </row>
    <row r="30" spans="1:9" ht="15.75">
      <c r="A30" s="566" t="s">
        <v>64</v>
      </c>
      <c r="B30" s="663" t="s">
        <v>65</v>
      </c>
      <c r="C30" s="1349" t="s">
        <v>266</v>
      </c>
      <c r="D30" s="1354">
        <v>460</v>
      </c>
      <c r="E30" s="1056">
        <v>416</v>
      </c>
      <c r="F30" s="1354">
        <v>203</v>
      </c>
      <c r="G30" s="1056">
        <v>166</v>
      </c>
      <c r="H30" s="1354">
        <v>79</v>
      </c>
      <c r="I30" s="1056">
        <v>72</v>
      </c>
    </row>
    <row r="31" spans="1:9" ht="15.75">
      <c r="A31" s="566" t="s">
        <v>68</v>
      </c>
      <c r="B31" s="663" t="s">
        <v>69</v>
      </c>
      <c r="C31" s="1349" t="s">
        <v>268</v>
      </c>
      <c r="D31" s="1354">
        <v>1205</v>
      </c>
      <c r="E31" s="1056">
        <v>1195</v>
      </c>
      <c r="F31" s="1354">
        <v>650</v>
      </c>
      <c r="G31" s="1056">
        <v>668</v>
      </c>
      <c r="H31" s="1354">
        <v>306</v>
      </c>
      <c r="I31" s="1056">
        <v>317</v>
      </c>
    </row>
    <row r="32" spans="1:9" ht="15.75">
      <c r="A32" s="566" t="s">
        <v>70</v>
      </c>
      <c r="B32" s="663" t="s">
        <v>71</v>
      </c>
      <c r="C32" s="1349" t="s">
        <v>264</v>
      </c>
      <c r="D32" s="1354">
        <v>867</v>
      </c>
      <c r="E32" s="1056">
        <v>775</v>
      </c>
      <c r="F32" s="1354">
        <v>392</v>
      </c>
      <c r="G32" s="1056">
        <v>396</v>
      </c>
      <c r="H32" s="1354">
        <v>213</v>
      </c>
      <c r="I32" s="1056">
        <v>214</v>
      </c>
    </row>
    <row r="33" spans="1:9" ht="15.75">
      <c r="A33" s="566" t="s">
        <v>72</v>
      </c>
      <c r="B33" s="663" t="s">
        <v>73</v>
      </c>
      <c r="C33" s="1349" t="s">
        <v>266</v>
      </c>
      <c r="D33" s="1354">
        <v>507</v>
      </c>
      <c r="E33" s="1056">
        <v>466</v>
      </c>
      <c r="F33" s="1354">
        <v>215</v>
      </c>
      <c r="G33" s="1056">
        <v>193</v>
      </c>
      <c r="H33" s="1354">
        <v>52</v>
      </c>
      <c r="I33" s="1056">
        <v>80</v>
      </c>
    </row>
    <row r="34" spans="1:9" ht="15.75">
      <c r="A34" s="566" t="s">
        <v>74</v>
      </c>
      <c r="B34" s="663" t="s">
        <v>296</v>
      </c>
      <c r="C34" s="1349" t="s">
        <v>267</v>
      </c>
      <c r="D34" s="1354">
        <v>1532</v>
      </c>
      <c r="E34" s="1056">
        <v>1500</v>
      </c>
      <c r="F34" s="1354">
        <v>916</v>
      </c>
      <c r="G34" s="1056">
        <v>913</v>
      </c>
      <c r="H34" s="1354">
        <v>77</v>
      </c>
      <c r="I34" s="1056">
        <v>133</v>
      </c>
    </row>
    <row r="35" spans="1:9" ht="15.75">
      <c r="A35" s="566" t="s">
        <v>76</v>
      </c>
      <c r="B35" s="663" t="s">
        <v>77</v>
      </c>
      <c r="C35" s="1349" t="s">
        <v>267</v>
      </c>
      <c r="D35" s="1354">
        <v>377</v>
      </c>
      <c r="E35" s="1056">
        <v>327</v>
      </c>
      <c r="F35" s="1354">
        <v>148</v>
      </c>
      <c r="G35" s="1056">
        <v>112</v>
      </c>
      <c r="H35" s="1354">
        <v>70</v>
      </c>
      <c r="I35" s="1056">
        <v>74</v>
      </c>
    </row>
    <row r="36" spans="1:9" ht="15.75">
      <c r="A36" s="566" t="s">
        <v>78</v>
      </c>
      <c r="B36" s="663" t="s">
        <v>79</v>
      </c>
      <c r="C36" s="1349" t="s">
        <v>268</v>
      </c>
      <c r="D36" s="1354">
        <v>527</v>
      </c>
      <c r="E36" s="1056">
        <v>499</v>
      </c>
      <c r="F36" s="1354">
        <v>191</v>
      </c>
      <c r="G36" s="1056">
        <v>182</v>
      </c>
      <c r="H36" s="1354">
        <v>94</v>
      </c>
      <c r="I36" s="1056">
        <v>104</v>
      </c>
    </row>
    <row r="37" spans="1:9" ht="15.75">
      <c r="A37" s="566" t="s">
        <v>80</v>
      </c>
      <c r="B37" s="663" t="s">
        <v>81</v>
      </c>
      <c r="C37" s="1349" t="s">
        <v>266</v>
      </c>
      <c r="D37" s="1354">
        <v>315</v>
      </c>
      <c r="E37" s="1056">
        <v>296</v>
      </c>
      <c r="F37" s="1354">
        <v>128</v>
      </c>
      <c r="G37" s="1056">
        <v>139</v>
      </c>
      <c r="H37" s="1354">
        <v>68</v>
      </c>
      <c r="I37" s="1056">
        <v>75</v>
      </c>
    </row>
    <row r="38" spans="1:9" ht="15.75">
      <c r="A38" s="566" t="s">
        <v>84</v>
      </c>
      <c r="B38" s="663" t="s">
        <v>85</v>
      </c>
      <c r="C38" s="1349" t="s">
        <v>265</v>
      </c>
      <c r="D38" s="1354">
        <v>1830</v>
      </c>
      <c r="E38" s="1056">
        <v>1548</v>
      </c>
      <c r="F38" s="1354">
        <v>808</v>
      </c>
      <c r="G38" s="1056">
        <v>781</v>
      </c>
      <c r="H38" s="1354">
        <v>375</v>
      </c>
      <c r="I38" s="1056">
        <v>422</v>
      </c>
    </row>
    <row r="39" spans="1:9" ht="15.75">
      <c r="A39" s="566" t="s">
        <v>86</v>
      </c>
      <c r="B39" s="663" t="s">
        <v>87</v>
      </c>
      <c r="C39" s="1349" t="s">
        <v>267</v>
      </c>
      <c r="D39" s="1354">
        <v>733</v>
      </c>
      <c r="E39" s="1056">
        <v>596</v>
      </c>
      <c r="F39" s="1354">
        <v>228</v>
      </c>
      <c r="G39" s="1056">
        <v>195</v>
      </c>
      <c r="H39" s="1354">
        <v>89</v>
      </c>
      <c r="I39" s="1056">
        <v>101</v>
      </c>
    </row>
    <row r="40" spans="1:9" ht="15.75">
      <c r="A40" s="566" t="s">
        <v>92</v>
      </c>
      <c r="B40" s="663" t="s">
        <v>93</v>
      </c>
      <c r="C40" s="1349" t="s">
        <v>268</v>
      </c>
      <c r="D40" s="1354">
        <v>683</v>
      </c>
      <c r="E40" s="1056">
        <v>650</v>
      </c>
      <c r="F40" s="1354">
        <v>262</v>
      </c>
      <c r="G40" s="1056">
        <v>324</v>
      </c>
      <c r="H40" s="1354">
        <v>146</v>
      </c>
      <c r="I40" s="1056">
        <v>176</v>
      </c>
    </row>
    <row r="41" spans="1:9" ht="15.75">
      <c r="A41" s="566" t="s">
        <v>94</v>
      </c>
      <c r="B41" s="663" t="s">
        <v>95</v>
      </c>
      <c r="C41" s="1349" t="s">
        <v>264</v>
      </c>
      <c r="D41" s="1354">
        <v>651</v>
      </c>
      <c r="E41" s="1056">
        <v>575</v>
      </c>
      <c r="F41" s="1354">
        <v>327</v>
      </c>
      <c r="G41" s="1056">
        <v>325</v>
      </c>
      <c r="H41" s="1354">
        <v>130</v>
      </c>
      <c r="I41" s="1056">
        <v>151</v>
      </c>
    </row>
    <row r="42" spans="1:9" ht="15.75">
      <c r="A42" s="566" t="s">
        <v>96</v>
      </c>
      <c r="B42" s="663" t="s">
        <v>97</v>
      </c>
      <c r="C42" s="1349" t="s">
        <v>266</v>
      </c>
      <c r="D42" s="1354">
        <v>280</v>
      </c>
      <c r="E42" s="1056">
        <v>248</v>
      </c>
      <c r="F42" s="1354">
        <v>83</v>
      </c>
      <c r="G42" s="1056">
        <v>88</v>
      </c>
      <c r="H42" s="1354">
        <v>47</v>
      </c>
      <c r="I42" s="1056">
        <v>28</v>
      </c>
    </row>
    <row r="43" spans="1:9" ht="15.75">
      <c r="A43" s="566" t="s">
        <v>98</v>
      </c>
      <c r="B43" s="663" t="s">
        <v>99</v>
      </c>
      <c r="C43" s="1349" t="s">
        <v>268</v>
      </c>
      <c r="D43" s="1354">
        <v>1130</v>
      </c>
      <c r="E43" s="1056">
        <v>1059</v>
      </c>
      <c r="F43" s="1354">
        <v>470</v>
      </c>
      <c r="G43" s="1056">
        <v>455</v>
      </c>
      <c r="H43" s="1354">
        <v>163</v>
      </c>
      <c r="I43" s="1056">
        <v>169</v>
      </c>
    </row>
    <row r="44" spans="1:9" ht="15.75">
      <c r="A44" s="566" t="s">
        <v>100</v>
      </c>
      <c r="B44" s="663" t="s">
        <v>101</v>
      </c>
      <c r="C44" s="1349" t="s">
        <v>267</v>
      </c>
      <c r="D44" s="1354">
        <v>325</v>
      </c>
      <c r="E44" s="1056">
        <v>255</v>
      </c>
      <c r="F44" s="1354">
        <v>127</v>
      </c>
      <c r="G44" s="1056">
        <v>145</v>
      </c>
      <c r="H44" s="1354">
        <v>57</v>
      </c>
      <c r="I44" s="1056">
        <v>82</v>
      </c>
    </row>
    <row r="45" spans="1:9" ht="15.75">
      <c r="A45" s="566" t="s">
        <v>102</v>
      </c>
      <c r="B45" s="663" t="s">
        <v>282</v>
      </c>
      <c r="C45" s="1349" t="s">
        <v>264</v>
      </c>
      <c r="D45" s="1354">
        <v>948</v>
      </c>
      <c r="E45" s="1056">
        <v>866</v>
      </c>
      <c r="F45" s="1354">
        <v>485</v>
      </c>
      <c r="G45" s="1056">
        <v>521</v>
      </c>
      <c r="H45" s="1354">
        <v>110</v>
      </c>
      <c r="I45" s="1056">
        <v>123</v>
      </c>
    </row>
    <row r="46" spans="1:9" ht="15.75">
      <c r="A46" s="566" t="s">
        <v>104</v>
      </c>
      <c r="B46" s="663" t="s">
        <v>105</v>
      </c>
      <c r="C46" s="1349" t="s">
        <v>265</v>
      </c>
      <c r="D46" s="1354">
        <v>2381</v>
      </c>
      <c r="E46" s="1056">
        <v>2229</v>
      </c>
      <c r="F46" s="1354">
        <v>1037</v>
      </c>
      <c r="G46" s="1056">
        <v>1086</v>
      </c>
      <c r="H46" s="1354">
        <v>484</v>
      </c>
      <c r="I46" s="1056">
        <v>447</v>
      </c>
    </row>
    <row r="47" spans="1:9" ht="15.75">
      <c r="A47" s="566" t="s">
        <v>108</v>
      </c>
      <c r="B47" s="663" t="s">
        <v>109</v>
      </c>
      <c r="C47" s="1349" t="s">
        <v>266</v>
      </c>
      <c r="D47" s="1354">
        <v>783</v>
      </c>
      <c r="E47" s="1056">
        <v>660</v>
      </c>
      <c r="F47" s="1354">
        <v>313</v>
      </c>
      <c r="G47" s="1056">
        <v>315</v>
      </c>
      <c r="H47" s="1354">
        <v>127</v>
      </c>
      <c r="I47" s="1056">
        <v>98</v>
      </c>
    </row>
    <row r="48" spans="1:9" ht="15.75">
      <c r="A48" s="566" t="s">
        <v>110</v>
      </c>
      <c r="B48" s="663" t="s">
        <v>111</v>
      </c>
      <c r="C48" s="1349" t="s">
        <v>266</v>
      </c>
      <c r="D48" s="1354">
        <v>3983</v>
      </c>
      <c r="E48" s="1056">
        <v>3456</v>
      </c>
      <c r="F48" s="1354">
        <v>2239</v>
      </c>
      <c r="G48" s="1056">
        <v>1956</v>
      </c>
      <c r="H48" s="1354">
        <v>309</v>
      </c>
      <c r="I48" s="1056">
        <v>317</v>
      </c>
    </row>
    <row r="49" spans="1:9" ht="15.75">
      <c r="A49" s="566" t="s">
        <v>112</v>
      </c>
      <c r="B49" s="663" t="s">
        <v>300</v>
      </c>
      <c r="C49" s="1349" t="s">
        <v>265</v>
      </c>
      <c r="D49" s="1354">
        <v>3798</v>
      </c>
      <c r="E49" s="1056">
        <v>3460</v>
      </c>
      <c r="F49" s="1354">
        <v>1630</v>
      </c>
      <c r="G49" s="1056">
        <v>1705</v>
      </c>
      <c r="H49" s="1354">
        <v>707</v>
      </c>
      <c r="I49" s="1056">
        <v>699</v>
      </c>
    </row>
    <row r="50" spans="1:9" ht="15.75">
      <c r="A50" s="566" t="s">
        <v>114</v>
      </c>
      <c r="B50" s="663" t="s">
        <v>115</v>
      </c>
      <c r="C50" s="1349" t="s">
        <v>265</v>
      </c>
      <c r="D50" s="1354">
        <v>50</v>
      </c>
      <c r="E50" s="1056">
        <v>51</v>
      </c>
      <c r="F50" s="1354">
        <v>20</v>
      </c>
      <c r="G50" s="1056">
        <v>12</v>
      </c>
      <c r="H50" s="1354">
        <v>4</v>
      </c>
      <c r="I50" s="1056">
        <v>7</v>
      </c>
    </row>
    <row r="51" spans="1:9" ht="15.75">
      <c r="A51" s="566" t="s">
        <v>118</v>
      </c>
      <c r="B51" s="663" t="s">
        <v>270</v>
      </c>
      <c r="C51" s="1349" t="s">
        <v>264</v>
      </c>
      <c r="D51" s="1354">
        <v>774</v>
      </c>
      <c r="E51" s="1056">
        <v>644</v>
      </c>
      <c r="F51" s="1354">
        <v>275</v>
      </c>
      <c r="G51" s="1056">
        <v>278</v>
      </c>
      <c r="H51" s="1354">
        <v>67</v>
      </c>
      <c r="I51" s="1056">
        <v>78</v>
      </c>
    </row>
    <row r="52" spans="1:9" ht="15.75">
      <c r="A52" s="566" t="s">
        <v>120</v>
      </c>
      <c r="B52" s="663" t="s">
        <v>121</v>
      </c>
      <c r="C52" s="1349" t="s">
        <v>264</v>
      </c>
      <c r="D52" s="1354">
        <v>622</v>
      </c>
      <c r="E52" s="1056">
        <v>544</v>
      </c>
      <c r="F52" s="1354">
        <v>322</v>
      </c>
      <c r="G52" s="1056">
        <v>292</v>
      </c>
      <c r="H52" s="1354">
        <v>121</v>
      </c>
      <c r="I52" s="1056">
        <v>109</v>
      </c>
    </row>
    <row r="53" spans="1:9" ht="15.75">
      <c r="A53" s="566" t="s">
        <v>122</v>
      </c>
      <c r="B53" s="663" t="s">
        <v>287</v>
      </c>
      <c r="C53" s="1349" t="s">
        <v>266</v>
      </c>
      <c r="D53" s="1354">
        <v>258</v>
      </c>
      <c r="E53" s="1056">
        <v>230</v>
      </c>
      <c r="F53" s="1354">
        <v>68</v>
      </c>
      <c r="G53" s="1056">
        <v>78</v>
      </c>
      <c r="H53" s="1354">
        <v>56</v>
      </c>
      <c r="I53" s="1056">
        <v>65</v>
      </c>
    </row>
    <row r="54" spans="1:9" ht="15.75">
      <c r="A54" s="566" t="s">
        <v>124</v>
      </c>
      <c r="B54" s="663" t="s">
        <v>125</v>
      </c>
      <c r="C54" s="1349" t="s">
        <v>267</v>
      </c>
      <c r="D54" s="1354">
        <v>383</v>
      </c>
      <c r="E54" s="1056">
        <v>353</v>
      </c>
      <c r="F54" s="1354">
        <v>150</v>
      </c>
      <c r="G54" s="1056">
        <v>163</v>
      </c>
      <c r="H54" s="1354">
        <v>129</v>
      </c>
      <c r="I54" s="1056">
        <v>131</v>
      </c>
    </row>
    <row r="55" spans="1:9" ht="15.75">
      <c r="A55" s="566" t="s">
        <v>126</v>
      </c>
      <c r="B55" s="663" t="s">
        <v>127</v>
      </c>
      <c r="C55" s="1349" t="s">
        <v>266</v>
      </c>
      <c r="D55" s="1354">
        <v>282</v>
      </c>
      <c r="E55" s="1056">
        <v>270</v>
      </c>
      <c r="F55" s="1354">
        <v>104</v>
      </c>
      <c r="G55" s="1056">
        <v>104</v>
      </c>
      <c r="H55" s="1354">
        <v>64</v>
      </c>
      <c r="I55" s="1056">
        <v>43</v>
      </c>
    </row>
    <row r="56" spans="1:9" ht="15.75">
      <c r="A56" s="566" t="s">
        <v>128</v>
      </c>
      <c r="B56" s="663" t="s">
        <v>129</v>
      </c>
      <c r="C56" s="1349" t="s">
        <v>266</v>
      </c>
      <c r="D56" s="1354">
        <v>477</v>
      </c>
      <c r="E56" s="1056">
        <v>411</v>
      </c>
      <c r="F56" s="1354">
        <v>177</v>
      </c>
      <c r="G56" s="1056">
        <v>181</v>
      </c>
      <c r="H56" s="1354">
        <v>138</v>
      </c>
      <c r="I56" s="1056">
        <v>155</v>
      </c>
    </row>
    <row r="57" spans="1:9" ht="15.75">
      <c r="A57" s="566" t="s">
        <v>130</v>
      </c>
      <c r="B57" s="663" t="s">
        <v>131</v>
      </c>
      <c r="C57" s="1349" t="s">
        <v>268</v>
      </c>
      <c r="D57" s="1354">
        <v>2312</v>
      </c>
      <c r="E57" s="1056">
        <v>2170</v>
      </c>
      <c r="F57" s="1354">
        <v>1170</v>
      </c>
      <c r="G57" s="1056">
        <v>1296</v>
      </c>
      <c r="H57" s="1354">
        <v>641</v>
      </c>
      <c r="I57" s="1056">
        <v>767</v>
      </c>
    </row>
    <row r="58" spans="1:9" ht="15.75">
      <c r="A58" s="566" t="s">
        <v>132</v>
      </c>
      <c r="B58" s="663" t="s">
        <v>133</v>
      </c>
      <c r="C58" s="1349" t="s">
        <v>267</v>
      </c>
      <c r="D58" s="1354">
        <v>282</v>
      </c>
      <c r="E58" s="1056">
        <v>273</v>
      </c>
      <c r="F58" s="1354">
        <v>131</v>
      </c>
      <c r="G58" s="1056">
        <v>116</v>
      </c>
      <c r="H58" s="1354">
        <v>13</v>
      </c>
      <c r="I58" s="1056">
        <v>8</v>
      </c>
    </row>
    <row r="59" spans="1:9" ht="15.75">
      <c r="A59" s="566" t="s">
        <v>134</v>
      </c>
      <c r="B59" s="663" t="s">
        <v>135</v>
      </c>
      <c r="C59" s="1349" t="s">
        <v>267</v>
      </c>
      <c r="D59" s="1354">
        <v>934</v>
      </c>
      <c r="E59" s="1056">
        <v>878</v>
      </c>
      <c r="F59" s="1354">
        <v>466</v>
      </c>
      <c r="G59" s="1056">
        <v>458</v>
      </c>
      <c r="H59" s="1354">
        <v>214</v>
      </c>
      <c r="I59" s="1056">
        <v>273</v>
      </c>
    </row>
    <row r="60" spans="1:9" ht="15.75">
      <c r="A60" s="566" t="s">
        <v>136</v>
      </c>
      <c r="B60" s="663" t="s">
        <v>137</v>
      </c>
      <c r="C60" s="1349" t="s">
        <v>266</v>
      </c>
      <c r="D60" s="1354">
        <v>760</v>
      </c>
      <c r="E60" s="1056">
        <v>702</v>
      </c>
      <c r="F60" s="1354">
        <v>380</v>
      </c>
      <c r="G60" s="1056">
        <v>435</v>
      </c>
      <c r="H60" s="1354">
        <v>217</v>
      </c>
      <c r="I60" s="1056">
        <v>213</v>
      </c>
    </row>
    <row r="61" spans="1:9" ht="15.75">
      <c r="A61" s="566" t="s">
        <v>140</v>
      </c>
      <c r="B61" s="663" t="s">
        <v>141</v>
      </c>
      <c r="C61" s="1349" t="s">
        <v>267</v>
      </c>
      <c r="D61" s="1354">
        <v>264</v>
      </c>
      <c r="E61" s="1056">
        <v>240</v>
      </c>
      <c r="F61" s="1354">
        <v>101</v>
      </c>
      <c r="G61" s="1056">
        <v>110</v>
      </c>
      <c r="H61" s="1354">
        <v>50</v>
      </c>
      <c r="I61" s="1056">
        <v>69</v>
      </c>
    </row>
    <row r="62" spans="1:9" ht="15.75">
      <c r="A62" s="566" t="s">
        <v>146</v>
      </c>
      <c r="B62" s="663" t="s">
        <v>147</v>
      </c>
      <c r="C62" s="1349" t="s">
        <v>264</v>
      </c>
      <c r="D62" s="1354">
        <v>198</v>
      </c>
      <c r="E62" s="1056">
        <v>200</v>
      </c>
      <c r="F62" s="1354">
        <v>97</v>
      </c>
      <c r="G62" s="1056">
        <v>115</v>
      </c>
      <c r="H62" s="1354">
        <v>39</v>
      </c>
      <c r="I62" s="1056">
        <v>54</v>
      </c>
    </row>
    <row r="63" spans="1:9" ht="15.75">
      <c r="A63" s="566" t="s">
        <v>148</v>
      </c>
      <c r="B63" s="663" t="s">
        <v>149</v>
      </c>
      <c r="C63" s="1349" t="s">
        <v>265</v>
      </c>
      <c r="D63" s="1354">
        <v>1718</v>
      </c>
      <c r="E63" s="1056">
        <v>1589</v>
      </c>
      <c r="F63" s="1354">
        <v>778</v>
      </c>
      <c r="G63" s="1056">
        <v>796</v>
      </c>
      <c r="H63" s="1354">
        <v>384</v>
      </c>
      <c r="I63" s="1056">
        <v>371</v>
      </c>
    </row>
    <row r="64" spans="1:9" ht="15.75">
      <c r="A64" s="566" t="s">
        <v>150</v>
      </c>
      <c r="B64" s="663" t="s">
        <v>151</v>
      </c>
      <c r="C64" s="1349" t="s">
        <v>266</v>
      </c>
      <c r="D64" s="1354">
        <v>327</v>
      </c>
      <c r="E64" s="1056">
        <v>301</v>
      </c>
      <c r="F64" s="1354">
        <v>122</v>
      </c>
      <c r="G64" s="1056">
        <v>158</v>
      </c>
      <c r="H64" s="1354">
        <v>79</v>
      </c>
      <c r="I64" s="1056">
        <v>104</v>
      </c>
    </row>
    <row r="65" spans="1:9" ht="15.75">
      <c r="A65" s="566" t="s">
        <v>152</v>
      </c>
      <c r="B65" s="663" t="s">
        <v>153</v>
      </c>
      <c r="C65" s="1349" t="s">
        <v>268</v>
      </c>
      <c r="D65" s="1354">
        <v>1688</v>
      </c>
      <c r="E65" s="1056">
        <v>1559</v>
      </c>
      <c r="F65" s="1354">
        <v>825</v>
      </c>
      <c r="G65" s="1056">
        <v>791</v>
      </c>
      <c r="H65" s="1354">
        <v>320</v>
      </c>
      <c r="I65" s="1056">
        <v>314</v>
      </c>
    </row>
    <row r="66" spans="1:9" ht="15.75">
      <c r="A66" s="566" t="s">
        <v>154</v>
      </c>
      <c r="B66" s="663" t="s">
        <v>155</v>
      </c>
      <c r="C66" s="1349" t="s">
        <v>265</v>
      </c>
      <c r="D66" s="1354">
        <v>619</v>
      </c>
      <c r="E66" s="1056">
        <v>606</v>
      </c>
      <c r="F66" s="1354">
        <v>310</v>
      </c>
      <c r="G66" s="1056">
        <v>303</v>
      </c>
      <c r="H66" s="1354">
        <v>177</v>
      </c>
      <c r="I66" s="1056">
        <v>190</v>
      </c>
    </row>
    <row r="67" spans="1:9" ht="15.75">
      <c r="A67" s="566" t="s">
        <v>156</v>
      </c>
      <c r="B67" s="663" t="s">
        <v>157</v>
      </c>
      <c r="C67" s="1349" t="s">
        <v>266</v>
      </c>
      <c r="D67" s="1354">
        <v>127</v>
      </c>
      <c r="E67" s="1056">
        <v>109</v>
      </c>
      <c r="F67" s="1354">
        <v>38</v>
      </c>
      <c r="G67" s="1056">
        <v>50</v>
      </c>
      <c r="H67" s="1354">
        <v>33</v>
      </c>
      <c r="I67" s="1056">
        <v>43</v>
      </c>
    </row>
    <row r="68" spans="1:9" ht="15.75">
      <c r="A68" s="566" t="s">
        <v>162</v>
      </c>
      <c r="B68" s="663" t="s">
        <v>163</v>
      </c>
      <c r="C68" s="1349" t="s">
        <v>264</v>
      </c>
      <c r="D68" s="1354">
        <v>975</v>
      </c>
      <c r="E68" s="1056">
        <v>898</v>
      </c>
      <c r="F68" s="1354">
        <v>476</v>
      </c>
      <c r="G68" s="1056">
        <v>483</v>
      </c>
      <c r="H68" s="1354">
        <v>291</v>
      </c>
      <c r="I68" s="1056">
        <v>345</v>
      </c>
    </row>
    <row r="69" spans="1:9" ht="15.75">
      <c r="A69" s="566" t="s">
        <v>164</v>
      </c>
      <c r="B69" s="663" t="s">
        <v>165</v>
      </c>
      <c r="C69" s="1349" t="s">
        <v>266</v>
      </c>
      <c r="D69" s="1354">
        <v>444</v>
      </c>
      <c r="E69" s="1056">
        <v>427</v>
      </c>
      <c r="F69" s="1354">
        <v>183</v>
      </c>
      <c r="G69" s="1056">
        <v>188</v>
      </c>
      <c r="H69" s="1354">
        <v>179</v>
      </c>
      <c r="I69" s="1056">
        <v>219</v>
      </c>
    </row>
    <row r="70" spans="1:9" ht="15.75">
      <c r="A70" s="566" t="s">
        <v>168</v>
      </c>
      <c r="B70" s="663" t="s">
        <v>169</v>
      </c>
      <c r="C70" s="1349" t="s">
        <v>266</v>
      </c>
      <c r="D70" s="1354">
        <v>826</v>
      </c>
      <c r="E70" s="1056">
        <v>770</v>
      </c>
      <c r="F70" s="1354">
        <v>354</v>
      </c>
      <c r="G70" s="1056">
        <v>362</v>
      </c>
      <c r="H70" s="1354">
        <v>179</v>
      </c>
      <c r="I70" s="1056">
        <v>160</v>
      </c>
    </row>
    <row r="71" spans="1:9" ht="15.75">
      <c r="A71" s="566" t="s">
        <v>170</v>
      </c>
      <c r="B71" s="663" t="s">
        <v>171</v>
      </c>
      <c r="C71" s="1349" t="s">
        <v>267</v>
      </c>
      <c r="D71" s="1354">
        <v>595</v>
      </c>
      <c r="E71" s="1056">
        <v>558</v>
      </c>
      <c r="F71" s="1354">
        <v>242</v>
      </c>
      <c r="G71" s="1056">
        <v>276</v>
      </c>
      <c r="H71" s="1354">
        <v>72</v>
      </c>
      <c r="I71" s="1056">
        <v>87</v>
      </c>
    </row>
    <row r="72" spans="1:9" ht="15.75">
      <c r="A72" s="566" t="s">
        <v>172</v>
      </c>
      <c r="B72" s="663" t="s">
        <v>173</v>
      </c>
      <c r="C72" s="1349" t="s">
        <v>267</v>
      </c>
      <c r="D72" s="1354">
        <v>959</v>
      </c>
      <c r="E72" s="1056">
        <v>895</v>
      </c>
      <c r="F72" s="1354">
        <v>328</v>
      </c>
      <c r="G72" s="1056">
        <v>318</v>
      </c>
      <c r="H72" s="1354">
        <v>106</v>
      </c>
      <c r="I72" s="1056">
        <v>137</v>
      </c>
    </row>
    <row r="73" spans="1:9" ht="15.75">
      <c r="A73" s="566" t="s">
        <v>174</v>
      </c>
      <c r="B73" s="663" t="s">
        <v>175</v>
      </c>
      <c r="C73" s="1349" t="s">
        <v>268</v>
      </c>
      <c r="D73" s="1354">
        <v>1003</v>
      </c>
      <c r="E73" s="1056">
        <v>946</v>
      </c>
      <c r="F73" s="1354">
        <v>483</v>
      </c>
      <c r="G73" s="1056">
        <v>487</v>
      </c>
      <c r="H73" s="1354">
        <v>265</v>
      </c>
      <c r="I73" s="1056">
        <v>214</v>
      </c>
    </row>
    <row r="74" spans="1:9" ht="15.75">
      <c r="A74" s="566" t="s">
        <v>178</v>
      </c>
      <c r="B74" s="663" t="s">
        <v>179</v>
      </c>
      <c r="C74" s="1349" t="s">
        <v>265</v>
      </c>
      <c r="D74" s="1354">
        <v>2618</v>
      </c>
      <c r="E74" s="1056">
        <v>2340</v>
      </c>
      <c r="F74" s="1354">
        <v>1087</v>
      </c>
      <c r="G74" s="1056">
        <v>1090</v>
      </c>
      <c r="H74" s="1354">
        <v>549</v>
      </c>
      <c r="I74" s="1056">
        <v>570</v>
      </c>
    </row>
    <row r="75" spans="1:9" ht="15.75">
      <c r="A75" s="566" t="s">
        <v>182</v>
      </c>
      <c r="B75" s="663" t="s">
        <v>183</v>
      </c>
      <c r="C75" s="1349" t="s">
        <v>266</v>
      </c>
      <c r="D75" s="1354">
        <v>206</v>
      </c>
      <c r="E75" s="1056">
        <v>190</v>
      </c>
      <c r="F75" s="1354">
        <v>74</v>
      </c>
      <c r="G75" s="1056">
        <v>54</v>
      </c>
      <c r="H75" s="1354">
        <v>35</v>
      </c>
      <c r="I75" s="1056">
        <v>16</v>
      </c>
    </row>
    <row r="76" spans="1:9" ht="15.75">
      <c r="A76" s="566" t="s">
        <v>184</v>
      </c>
      <c r="B76" s="663" t="s">
        <v>185</v>
      </c>
      <c r="C76" s="1349" t="s">
        <v>266</v>
      </c>
      <c r="D76" s="1354">
        <v>893</v>
      </c>
      <c r="E76" s="1056">
        <v>834</v>
      </c>
      <c r="F76" s="1354">
        <v>447</v>
      </c>
      <c r="G76" s="1056">
        <v>430</v>
      </c>
      <c r="H76" s="1354">
        <v>119</v>
      </c>
      <c r="I76" s="1056">
        <v>136</v>
      </c>
    </row>
    <row r="77" spans="1:9" ht="15.75">
      <c r="A77" s="566" t="s">
        <v>186</v>
      </c>
      <c r="B77" s="663" t="s">
        <v>187</v>
      </c>
      <c r="C77" s="1349" t="s">
        <v>264</v>
      </c>
      <c r="D77" s="1354">
        <v>332</v>
      </c>
      <c r="E77" s="1056">
        <v>273</v>
      </c>
      <c r="F77" s="1354">
        <v>126</v>
      </c>
      <c r="G77" s="1056">
        <v>133</v>
      </c>
      <c r="H77" s="1354">
        <v>47</v>
      </c>
      <c r="I77" s="1056">
        <v>54</v>
      </c>
    </row>
    <row r="78" spans="1:9" ht="15.75">
      <c r="A78" s="566" t="s">
        <v>188</v>
      </c>
      <c r="B78" s="663" t="s">
        <v>189</v>
      </c>
      <c r="C78" s="1349" t="s">
        <v>267</v>
      </c>
      <c r="D78" s="1354">
        <v>903</v>
      </c>
      <c r="E78" s="1056">
        <v>853</v>
      </c>
      <c r="F78" s="1354">
        <v>449</v>
      </c>
      <c r="G78" s="1056">
        <v>426</v>
      </c>
      <c r="H78" s="1354">
        <v>192</v>
      </c>
      <c r="I78" s="1056">
        <v>176</v>
      </c>
    </row>
    <row r="79" spans="1:9" ht="15.75">
      <c r="A79" s="566" t="s">
        <v>190</v>
      </c>
      <c r="B79" s="663" t="s">
        <v>191</v>
      </c>
      <c r="C79" s="1349" t="s">
        <v>268</v>
      </c>
      <c r="D79" s="1354">
        <v>1684</v>
      </c>
      <c r="E79" s="1056">
        <v>1559</v>
      </c>
      <c r="F79" s="1354">
        <v>887</v>
      </c>
      <c r="G79" s="1056">
        <v>849</v>
      </c>
      <c r="H79" s="1354">
        <v>480</v>
      </c>
      <c r="I79" s="1056">
        <v>450</v>
      </c>
    </row>
    <row r="80" spans="1:9" ht="15.75">
      <c r="A80" s="566" t="s">
        <v>194</v>
      </c>
      <c r="B80" s="663" t="s">
        <v>195</v>
      </c>
      <c r="C80" s="1349" t="s">
        <v>267</v>
      </c>
      <c r="D80" s="1354">
        <v>92</v>
      </c>
      <c r="E80" s="1056">
        <v>79</v>
      </c>
      <c r="F80" s="1354">
        <v>38</v>
      </c>
      <c r="G80" s="1056">
        <v>31</v>
      </c>
      <c r="H80" s="1354">
        <v>19</v>
      </c>
      <c r="I80" s="1056">
        <v>15</v>
      </c>
    </row>
    <row r="81" spans="1:9" ht="15.75">
      <c r="A81" s="566" t="s">
        <v>198</v>
      </c>
      <c r="B81" s="663" t="s">
        <v>272</v>
      </c>
      <c r="C81" s="1349" t="s">
        <v>266</v>
      </c>
      <c r="D81" s="1354">
        <v>376</v>
      </c>
      <c r="E81" s="1056">
        <v>347</v>
      </c>
      <c r="F81" s="1354">
        <v>154</v>
      </c>
      <c r="G81" s="1056">
        <v>139</v>
      </c>
      <c r="H81" s="1354">
        <v>107</v>
      </c>
      <c r="I81" s="1056">
        <v>118</v>
      </c>
    </row>
    <row r="82" spans="1:9" ht="15.75">
      <c r="A82" s="566" t="s">
        <v>202</v>
      </c>
      <c r="B82" s="663" t="s">
        <v>301</v>
      </c>
      <c r="C82" s="1349" t="s">
        <v>265</v>
      </c>
      <c r="D82" s="1354">
        <v>1128</v>
      </c>
      <c r="E82" s="1056">
        <v>1084</v>
      </c>
      <c r="F82" s="1354">
        <v>664</v>
      </c>
      <c r="G82" s="1056">
        <v>656</v>
      </c>
      <c r="H82" s="1354">
        <v>156</v>
      </c>
      <c r="I82" s="1056">
        <v>227</v>
      </c>
    </row>
    <row r="83" spans="1:9" ht="15.75">
      <c r="A83" s="566" t="s">
        <v>204</v>
      </c>
      <c r="B83" s="663" t="s">
        <v>293</v>
      </c>
      <c r="C83" s="1349" t="s">
        <v>265</v>
      </c>
      <c r="D83" s="1354">
        <v>1212</v>
      </c>
      <c r="E83" s="1056">
        <v>1131</v>
      </c>
      <c r="F83" s="1354">
        <v>704</v>
      </c>
      <c r="G83" s="1056">
        <v>665</v>
      </c>
      <c r="H83" s="1354">
        <v>261</v>
      </c>
      <c r="I83" s="1056">
        <v>289</v>
      </c>
    </row>
    <row r="84" spans="1:9" ht="15.75">
      <c r="A84" s="566" t="s">
        <v>206</v>
      </c>
      <c r="B84" s="663" t="s">
        <v>294</v>
      </c>
      <c r="C84" s="1349" t="s">
        <v>267</v>
      </c>
      <c r="D84" s="1354">
        <v>1893</v>
      </c>
      <c r="E84" s="1056">
        <v>1866</v>
      </c>
      <c r="F84" s="1354">
        <v>811</v>
      </c>
      <c r="G84" s="1056">
        <v>806</v>
      </c>
      <c r="H84" s="1354">
        <v>238</v>
      </c>
      <c r="I84" s="1056">
        <v>260</v>
      </c>
    </row>
    <row r="85" spans="1:9" ht="15.75">
      <c r="A85" s="566" t="s">
        <v>208</v>
      </c>
      <c r="B85" s="663" t="s">
        <v>209</v>
      </c>
      <c r="C85" s="1349" t="s">
        <v>268</v>
      </c>
      <c r="D85" s="1354">
        <v>1992</v>
      </c>
      <c r="E85" s="1056">
        <v>1914</v>
      </c>
      <c r="F85" s="1354">
        <v>1107</v>
      </c>
      <c r="G85" s="1056">
        <v>1117</v>
      </c>
      <c r="H85" s="1354">
        <v>446</v>
      </c>
      <c r="I85" s="1056">
        <v>569</v>
      </c>
    </row>
    <row r="86" spans="1:9" ht="15.75">
      <c r="A86" s="566" t="s">
        <v>210</v>
      </c>
      <c r="B86" s="663" t="s">
        <v>211</v>
      </c>
      <c r="C86" s="1349" t="s">
        <v>268</v>
      </c>
      <c r="D86" s="1354">
        <v>1442</v>
      </c>
      <c r="E86" s="1056">
        <v>1350</v>
      </c>
      <c r="F86" s="1354">
        <v>599</v>
      </c>
      <c r="G86" s="1056">
        <v>623</v>
      </c>
      <c r="H86" s="1354">
        <v>251</v>
      </c>
      <c r="I86" s="1056">
        <v>303</v>
      </c>
    </row>
    <row r="87" spans="1:9" ht="15.75">
      <c r="A87" s="566" t="s">
        <v>212</v>
      </c>
      <c r="B87" s="663" t="s">
        <v>213</v>
      </c>
      <c r="C87" s="1349" t="s">
        <v>267</v>
      </c>
      <c r="D87" s="1354">
        <v>1003</v>
      </c>
      <c r="E87" s="1056">
        <v>937</v>
      </c>
      <c r="F87" s="1354">
        <v>493</v>
      </c>
      <c r="G87" s="1056">
        <v>463</v>
      </c>
      <c r="H87" s="1354">
        <v>170</v>
      </c>
      <c r="I87" s="1056">
        <v>256</v>
      </c>
    </row>
    <row r="88" spans="1:9" ht="15.75">
      <c r="A88" s="566" t="s">
        <v>214</v>
      </c>
      <c r="B88" s="663" t="s">
        <v>215</v>
      </c>
      <c r="C88" s="1349" t="s">
        <v>268</v>
      </c>
      <c r="D88" s="1354">
        <v>1909</v>
      </c>
      <c r="E88" s="1056">
        <v>1793</v>
      </c>
      <c r="F88" s="1354">
        <v>762</v>
      </c>
      <c r="G88" s="1056">
        <v>785</v>
      </c>
      <c r="H88" s="1354">
        <v>504</v>
      </c>
      <c r="I88" s="1056">
        <v>555</v>
      </c>
    </row>
    <row r="89" spans="1:9" ht="15.75">
      <c r="A89" s="566" t="s">
        <v>216</v>
      </c>
      <c r="B89" s="663" t="s">
        <v>217</v>
      </c>
      <c r="C89" s="1349" t="s">
        <v>264</v>
      </c>
      <c r="D89" s="1354">
        <v>684</v>
      </c>
      <c r="E89" s="1056">
        <v>624</v>
      </c>
      <c r="F89" s="1354">
        <v>338</v>
      </c>
      <c r="G89" s="1056">
        <v>334</v>
      </c>
      <c r="H89" s="1354">
        <v>155</v>
      </c>
      <c r="I89" s="1056">
        <v>148</v>
      </c>
    </row>
    <row r="90" spans="1:9" ht="15.75">
      <c r="A90" s="566" t="s">
        <v>218</v>
      </c>
      <c r="B90" s="663" t="s">
        <v>219</v>
      </c>
      <c r="C90" s="1349" t="s">
        <v>267</v>
      </c>
      <c r="D90" s="1354">
        <v>829</v>
      </c>
      <c r="E90" s="1056">
        <v>738</v>
      </c>
      <c r="F90" s="1354">
        <v>274</v>
      </c>
      <c r="G90" s="1056">
        <v>260</v>
      </c>
      <c r="H90" s="1354">
        <v>146</v>
      </c>
      <c r="I90" s="1056">
        <v>175</v>
      </c>
    </row>
    <row r="91" spans="1:9" ht="15.75">
      <c r="A91" s="566" t="s">
        <v>220</v>
      </c>
      <c r="B91" s="663" t="s">
        <v>221</v>
      </c>
      <c r="C91" s="1349" t="s">
        <v>267</v>
      </c>
      <c r="D91" s="1354">
        <v>472</v>
      </c>
      <c r="E91" s="1056">
        <v>422</v>
      </c>
      <c r="F91" s="1354">
        <v>140</v>
      </c>
      <c r="G91" s="1056">
        <v>152</v>
      </c>
      <c r="H91" s="1354">
        <v>108</v>
      </c>
      <c r="I91" s="1056">
        <v>103</v>
      </c>
    </row>
    <row r="92" spans="1:9" ht="15.75">
      <c r="A92" s="566" t="s">
        <v>224</v>
      </c>
      <c r="B92" s="663" t="s">
        <v>225</v>
      </c>
      <c r="C92" s="1349" t="s">
        <v>264</v>
      </c>
      <c r="D92" s="1354">
        <v>228</v>
      </c>
      <c r="E92" s="1056">
        <v>216</v>
      </c>
      <c r="F92" s="1354">
        <v>97</v>
      </c>
      <c r="G92" s="1056">
        <v>109</v>
      </c>
      <c r="H92" s="1354">
        <v>22</v>
      </c>
      <c r="I92" s="1056">
        <v>44</v>
      </c>
    </row>
    <row r="93" spans="1:9" ht="15.75">
      <c r="A93" s="566" t="s">
        <v>226</v>
      </c>
      <c r="B93" s="663" t="s">
        <v>227</v>
      </c>
      <c r="C93" s="1349" t="s">
        <v>264</v>
      </c>
      <c r="D93" s="1354">
        <v>487</v>
      </c>
      <c r="E93" s="1056">
        <v>460</v>
      </c>
      <c r="F93" s="1354">
        <v>207</v>
      </c>
      <c r="G93" s="1056">
        <v>184</v>
      </c>
      <c r="H93" s="1354">
        <v>52</v>
      </c>
      <c r="I93" s="1056">
        <v>63</v>
      </c>
    </row>
    <row r="94" spans="1:9" ht="15.75">
      <c r="A94" s="566" t="s">
        <v>228</v>
      </c>
      <c r="B94" s="663" t="s">
        <v>229</v>
      </c>
      <c r="C94" s="1349" t="s">
        <v>268</v>
      </c>
      <c r="D94" s="1354">
        <v>2431</v>
      </c>
      <c r="E94" s="1056">
        <v>2299</v>
      </c>
      <c r="F94" s="1354">
        <v>1090</v>
      </c>
      <c r="G94" s="1056">
        <v>1088</v>
      </c>
      <c r="H94" s="1354">
        <v>662</v>
      </c>
      <c r="I94" s="1056">
        <v>683</v>
      </c>
    </row>
    <row r="95" spans="1:9" ht="15.75">
      <c r="A95" s="566" t="s">
        <v>232</v>
      </c>
      <c r="B95" s="663" t="s">
        <v>233</v>
      </c>
      <c r="C95" s="1349" t="s">
        <v>267</v>
      </c>
      <c r="D95" s="1354">
        <v>661</v>
      </c>
      <c r="E95" s="1056">
        <v>584</v>
      </c>
      <c r="F95" s="1354">
        <v>275</v>
      </c>
      <c r="G95" s="1056">
        <v>248</v>
      </c>
      <c r="H95" s="1354">
        <v>106</v>
      </c>
      <c r="I95" s="1056">
        <v>119</v>
      </c>
    </row>
    <row r="96" spans="1:9" ht="15.75">
      <c r="A96" s="566" t="s">
        <v>234</v>
      </c>
      <c r="B96" s="663" t="s">
        <v>235</v>
      </c>
      <c r="C96" s="1349" t="s">
        <v>268</v>
      </c>
      <c r="D96" s="1354">
        <v>2048</v>
      </c>
      <c r="E96" s="1056">
        <v>1930</v>
      </c>
      <c r="F96" s="1354">
        <v>773</v>
      </c>
      <c r="G96" s="1056">
        <v>753</v>
      </c>
      <c r="H96" s="1354">
        <v>290</v>
      </c>
      <c r="I96" s="1056">
        <v>265</v>
      </c>
    </row>
    <row r="97" spans="1:9" ht="15.75">
      <c r="A97" s="566" t="s">
        <v>236</v>
      </c>
      <c r="B97" s="663" t="s">
        <v>237</v>
      </c>
      <c r="C97" s="1349" t="s">
        <v>266</v>
      </c>
      <c r="D97" s="1354">
        <v>773</v>
      </c>
      <c r="E97" s="1056">
        <v>698</v>
      </c>
      <c r="F97" s="1354">
        <v>288</v>
      </c>
      <c r="G97" s="1056">
        <v>297</v>
      </c>
      <c r="H97" s="1354">
        <v>237</v>
      </c>
      <c r="I97" s="1056">
        <v>256</v>
      </c>
    </row>
    <row r="98" spans="1:9" ht="15.75">
      <c r="A98" s="566" t="s">
        <v>242</v>
      </c>
      <c r="B98" s="663" t="s">
        <v>243</v>
      </c>
      <c r="C98" s="1349" t="s">
        <v>268</v>
      </c>
      <c r="D98" s="1354">
        <v>2535</v>
      </c>
      <c r="E98" s="1056">
        <v>2428</v>
      </c>
      <c r="F98" s="1354">
        <v>1227</v>
      </c>
      <c r="G98" s="1056">
        <v>1212</v>
      </c>
      <c r="H98" s="1354">
        <v>403</v>
      </c>
      <c r="I98" s="1056">
        <v>503</v>
      </c>
    </row>
    <row r="99" spans="1:9" ht="15.75">
      <c r="A99" s="566" t="s">
        <v>244</v>
      </c>
      <c r="B99" s="663" t="s">
        <v>245</v>
      </c>
      <c r="C99" s="1349" t="s">
        <v>268</v>
      </c>
      <c r="D99" s="1354">
        <v>1256</v>
      </c>
      <c r="E99" s="1056">
        <v>1190</v>
      </c>
      <c r="F99" s="1354">
        <v>468</v>
      </c>
      <c r="G99" s="1056">
        <v>461</v>
      </c>
      <c r="H99" s="1354">
        <v>237</v>
      </c>
      <c r="I99" s="1056">
        <v>224</v>
      </c>
    </row>
    <row r="100" spans="1:9" ht="15.75">
      <c r="A100" s="566" t="s">
        <v>246</v>
      </c>
      <c r="B100" s="663" t="s">
        <v>247</v>
      </c>
      <c r="C100" s="1349" t="s">
        <v>264</v>
      </c>
      <c r="D100" s="1354">
        <v>339</v>
      </c>
      <c r="E100" s="1056">
        <v>310</v>
      </c>
      <c r="F100" s="1354">
        <v>153</v>
      </c>
      <c r="G100" s="1056">
        <v>147</v>
      </c>
      <c r="H100" s="1354">
        <v>45</v>
      </c>
      <c r="I100" s="1056">
        <v>47</v>
      </c>
    </row>
    <row r="101" spans="1:9" ht="15.75">
      <c r="A101" s="566" t="s">
        <v>14</v>
      </c>
      <c r="B101" s="663" t="s">
        <v>15</v>
      </c>
      <c r="C101" s="1349" t="s">
        <v>267</v>
      </c>
      <c r="D101" s="1354">
        <v>732</v>
      </c>
      <c r="E101" s="1056">
        <v>607</v>
      </c>
      <c r="F101" s="1354">
        <v>367</v>
      </c>
      <c r="G101" s="1056">
        <v>384</v>
      </c>
      <c r="H101" s="1354">
        <v>30</v>
      </c>
      <c r="I101" s="1056">
        <v>49</v>
      </c>
    </row>
    <row r="102" spans="1:9" ht="15.75">
      <c r="A102" s="566" t="s">
        <v>34</v>
      </c>
      <c r="B102" s="663" t="s">
        <v>35</v>
      </c>
      <c r="C102" s="1349" t="s">
        <v>268</v>
      </c>
      <c r="D102" s="1354">
        <v>722</v>
      </c>
      <c r="E102" s="1056">
        <v>649</v>
      </c>
      <c r="F102" s="1354">
        <v>322</v>
      </c>
      <c r="G102" s="1056">
        <v>325</v>
      </c>
      <c r="H102" s="1354">
        <v>12</v>
      </c>
      <c r="I102" s="1056">
        <v>21</v>
      </c>
    </row>
    <row r="103" spans="1:9" ht="15.75">
      <c r="A103" s="566" t="s">
        <v>52</v>
      </c>
      <c r="B103" s="663" t="s">
        <v>53</v>
      </c>
      <c r="C103" s="1349" t="s">
        <v>265</v>
      </c>
      <c r="D103" s="1354">
        <v>761</v>
      </c>
      <c r="E103" s="1056">
        <v>657</v>
      </c>
      <c r="F103" s="1354">
        <v>436</v>
      </c>
      <c r="G103" s="1056">
        <v>404</v>
      </c>
      <c r="H103" s="1354">
        <v>33</v>
      </c>
      <c r="I103" s="1056">
        <v>45</v>
      </c>
    </row>
    <row r="104" spans="1:9" ht="15.75">
      <c r="A104" s="566" t="s">
        <v>54</v>
      </c>
      <c r="B104" s="663" t="s">
        <v>55</v>
      </c>
      <c r="C104" s="1349" t="s">
        <v>264</v>
      </c>
      <c r="D104" s="1354">
        <v>2313</v>
      </c>
      <c r="E104" s="1056">
        <v>1989</v>
      </c>
      <c r="F104" s="1354">
        <v>1326</v>
      </c>
      <c r="G104" s="1056">
        <v>1181</v>
      </c>
      <c r="H104" s="1354">
        <v>198</v>
      </c>
      <c r="I104" s="1056">
        <v>196</v>
      </c>
    </row>
    <row r="105" spans="1:9" ht="15.75">
      <c r="A105" s="566" t="s">
        <v>66</v>
      </c>
      <c r="B105" s="663" t="s">
        <v>67</v>
      </c>
      <c r="C105" s="1349" t="s">
        <v>265</v>
      </c>
      <c r="D105" s="1354">
        <v>2862</v>
      </c>
      <c r="E105" s="1056">
        <v>2656</v>
      </c>
      <c r="F105" s="1354">
        <v>1605</v>
      </c>
      <c r="G105" s="1056">
        <v>1791</v>
      </c>
      <c r="H105" s="1354">
        <v>231</v>
      </c>
      <c r="I105" s="1056">
        <v>198</v>
      </c>
    </row>
    <row r="106" spans="1:9" ht="15.75">
      <c r="A106" s="566" t="s">
        <v>82</v>
      </c>
      <c r="B106" s="663" t="s">
        <v>83</v>
      </c>
      <c r="C106" s="1349" t="s">
        <v>264</v>
      </c>
      <c r="D106" s="1354">
        <v>602</v>
      </c>
      <c r="E106" s="1056">
        <v>543</v>
      </c>
      <c r="F106" s="1354">
        <v>337</v>
      </c>
      <c r="G106" s="1056">
        <v>357</v>
      </c>
      <c r="H106" s="1354">
        <v>159</v>
      </c>
      <c r="I106" s="1056">
        <v>201</v>
      </c>
    </row>
    <row r="107" spans="1:9" ht="15.75">
      <c r="A107" s="566" t="s">
        <v>88</v>
      </c>
      <c r="B107" s="663" t="s">
        <v>89</v>
      </c>
      <c r="C107" s="1349" t="s">
        <v>267</v>
      </c>
      <c r="D107" s="1354">
        <v>490</v>
      </c>
      <c r="E107" s="1056">
        <v>461</v>
      </c>
      <c r="F107" s="1354">
        <v>285</v>
      </c>
      <c r="G107" s="1056">
        <v>262</v>
      </c>
      <c r="H107" s="1354">
        <v>53</v>
      </c>
      <c r="I107" s="1056">
        <v>51</v>
      </c>
    </row>
    <row r="108" spans="1:9" ht="15.75">
      <c r="A108" s="566" t="s">
        <v>90</v>
      </c>
      <c r="B108" s="663" t="s">
        <v>91</v>
      </c>
      <c r="C108" s="1349" t="s">
        <v>268</v>
      </c>
      <c r="D108" s="1354">
        <v>633</v>
      </c>
      <c r="E108" s="1056">
        <v>604</v>
      </c>
      <c r="F108" s="1354">
        <v>338</v>
      </c>
      <c r="G108" s="1056">
        <v>350</v>
      </c>
      <c r="H108" s="1354">
        <v>105</v>
      </c>
      <c r="I108" s="1056">
        <v>109</v>
      </c>
    </row>
    <row r="109" spans="1:9" ht="15.75">
      <c r="A109" s="566" t="s">
        <v>106</v>
      </c>
      <c r="B109" s="663" t="s">
        <v>107</v>
      </c>
      <c r="C109" s="1349" t="s">
        <v>264</v>
      </c>
      <c r="D109" s="1354">
        <v>2352</v>
      </c>
      <c r="E109" s="1056">
        <v>2044</v>
      </c>
      <c r="F109" s="1354">
        <v>1265</v>
      </c>
      <c r="G109" s="1056">
        <v>1117</v>
      </c>
      <c r="H109" s="1354">
        <v>205</v>
      </c>
      <c r="I109" s="1056">
        <v>207</v>
      </c>
    </row>
    <row r="110" spans="1:9" ht="15.75">
      <c r="A110" s="566" t="s">
        <v>116</v>
      </c>
      <c r="B110" s="663" t="s">
        <v>117</v>
      </c>
      <c r="C110" s="1349" t="s">
        <v>266</v>
      </c>
      <c r="D110" s="1354">
        <v>741</v>
      </c>
      <c r="E110" s="1056">
        <v>699</v>
      </c>
      <c r="F110" s="1354">
        <v>478</v>
      </c>
      <c r="G110" s="1056">
        <v>492</v>
      </c>
      <c r="H110" s="1354">
        <v>95</v>
      </c>
      <c r="I110" s="1056">
        <v>125</v>
      </c>
    </row>
    <row r="111" spans="1:9" ht="15.75">
      <c r="A111" s="566" t="s">
        <v>138</v>
      </c>
      <c r="B111" s="663" t="s">
        <v>139</v>
      </c>
      <c r="C111" s="1349" t="s">
        <v>265</v>
      </c>
      <c r="D111" s="1354">
        <v>2914</v>
      </c>
      <c r="E111" s="1056">
        <v>2711</v>
      </c>
      <c r="F111" s="1354">
        <v>1703</v>
      </c>
      <c r="G111" s="1056">
        <v>1672</v>
      </c>
      <c r="H111" s="1354">
        <v>859</v>
      </c>
      <c r="I111" s="1056">
        <v>814</v>
      </c>
    </row>
    <row r="112" spans="1:9" ht="15.75">
      <c r="A112" s="566" t="s">
        <v>142</v>
      </c>
      <c r="B112" s="663" t="s">
        <v>143</v>
      </c>
      <c r="C112" s="1349" t="s">
        <v>267</v>
      </c>
      <c r="D112" s="1354">
        <v>111</v>
      </c>
      <c r="E112" s="1056">
        <v>118</v>
      </c>
      <c r="F112" s="1354">
        <v>64</v>
      </c>
      <c r="G112" s="1056">
        <v>43</v>
      </c>
      <c r="H112" s="1354">
        <v>10</v>
      </c>
      <c r="I112" s="1056">
        <v>16</v>
      </c>
    </row>
    <row r="113" spans="1:9" ht="15.75">
      <c r="A113" s="566" t="s">
        <v>144</v>
      </c>
      <c r="B113" s="663" t="s">
        <v>145</v>
      </c>
      <c r="C113" s="1349" t="s">
        <v>267</v>
      </c>
      <c r="D113" s="1354">
        <v>50</v>
      </c>
      <c r="E113" s="1056">
        <v>38</v>
      </c>
      <c r="F113" s="1354">
        <v>22</v>
      </c>
      <c r="G113" s="1056">
        <v>25</v>
      </c>
      <c r="H113" s="1354">
        <v>8</v>
      </c>
      <c r="I113" s="1056">
        <v>10</v>
      </c>
    </row>
    <row r="114" spans="1:9" ht="15.75">
      <c r="A114" s="566" t="s">
        <v>158</v>
      </c>
      <c r="B114" s="663" t="s">
        <v>159</v>
      </c>
      <c r="C114" s="1349" t="s">
        <v>264</v>
      </c>
      <c r="D114" s="1354">
        <v>4034</v>
      </c>
      <c r="E114" s="1056">
        <v>3548</v>
      </c>
      <c r="F114" s="1354">
        <v>2020</v>
      </c>
      <c r="G114" s="1056">
        <v>1950</v>
      </c>
      <c r="H114" s="1354">
        <v>247</v>
      </c>
      <c r="I114" s="1056">
        <v>309</v>
      </c>
    </row>
    <row r="115" spans="1:9" ht="15.75">
      <c r="A115" s="566" t="s">
        <v>160</v>
      </c>
      <c r="B115" s="663" t="s">
        <v>161</v>
      </c>
      <c r="C115" s="1349" t="s">
        <v>264</v>
      </c>
      <c r="D115" s="1354">
        <v>5020</v>
      </c>
      <c r="E115" s="1056">
        <v>4442</v>
      </c>
      <c r="F115" s="1354">
        <v>2862</v>
      </c>
      <c r="G115" s="1056">
        <v>2668</v>
      </c>
      <c r="H115" s="1354">
        <v>268</v>
      </c>
      <c r="I115" s="1056">
        <v>310</v>
      </c>
    </row>
    <row r="116" spans="1:9" ht="15.75">
      <c r="A116" s="566" t="s">
        <v>166</v>
      </c>
      <c r="B116" s="663" t="s">
        <v>167</v>
      </c>
      <c r="C116" s="1349" t="s">
        <v>268</v>
      </c>
      <c r="D116" s="1354">
        <v>374</v>
      </c>
      <c r="E116" s="1056">
        <v>338</v>
      </c>
      <c r="F116" s="1354">
        <v>218</v>
      </c>
      <c r="G116" s="1056">
        <v>230</v>
      </c>
      <c r="H116" s="1354">
        <v>34</v>
      </c>
      <c r="I116" s="1056">
        <v>41</v>
      </c>
    </row>
    <row r="117" spans="1:9" ht="15.75">
      <c r="A117" s="566" t="s">
        <v>176</v>
      </c>
      <c r="B117" s="663" t="s">
        <v>177</v>
      </c>
      <c r="C117" s="1349" t="s">
        <v>266</v>
      </c>
      <c r="D117" s="1354">
        <v>1812</v>
      </c>
      <c r="E117" s="1056">
        <v>1516</v>
      </c>
      <c r="F117" s="1354">
        <v>851</v>
      </c>
      <c r="G117" s="1056">
        <v>892</v>
      </c>
      <c r="H117" s="1354">
        <v>210</v>
      </c>
      <c r="I117" s="1056">
        <v>217</v>
      </c>
    </row>
    <row r="118" spans="1:9" ht="15.75">
      <c r="A118" s="566" t="s">
        <v>180</v>
      </c>
      <c r="B118" s="663" t="s">
        <v>181</v>
      </c>
      <c r="C118" s="1349" t="s">
        <v>264</v>
      </c>
      <c r="D118" s="1354">
        <v>2045</v>
      </c>
      <c r="E118" s="1056">
        <v>1847</v>
      </c>
      <c r="F118" s="1354">
        <v>1390</v>
      </c>
      <c r="G118" s="1056">
        <v>1238</v>
      </c>
      <c r="H118" s="1354">
        <v>290</v>
      </c>
      <c r="I118" s="1056">
        <v>190</v>
      </c>
    </row>
    <row r="119" spans="1:9" ht="15.75">
      <c r="A119" s="566" t="s">
        <v>192</v>
      </c>
      <c r="B119" s="663" t="s">
        <v>193</v>
      </c>
      <c r="C119" s="1349" t="s">
        <v>268</v>
      </c>
      <c r="D119" s="1354">
        <v>378</v>
      </c>
      <c r="E119" s="1056">
        <v>353</v>
      </c>
      <c r="F119" s="1354">
        <v>301</v>
      </c>
      <c r="G119" s="1056">
        <v>232</v>
      </c>
      <c r="H119" s="1354">
        <v>117</v>
      </c>
      <c r="I119" s="1056">
        <v>69</v>
      </c>
    </row>
    <row r="120" spans="1:9" ht="15.75">
      <c r="A120" s="566" t="s">
        <v>196</v>
      </c>
      <c r="B120" s="663" t="s">
        <v>197</v>
      </c>
      <c r="C120" s="1349" t="s">
        <v>266</v>
      </c>
      <c r="D120" s="1354">
        <v>5720</v>
      </c>
      <c r="E120" s="1056">
        <v>5262</v>
      </c>
      <c r="F120" s="1354">
        <v>3288</v>
      </c>
      <c r="G120" s="1056">
        <v>3177</v>
      </c>
      <c r="H120" s="1354">
        <v>508</v>
      </c>
      <c r="I120" s="1056">
        <v>493</v>
      </c>
    </row>
    <row r="121" spans="1:9" ht="15.75">
      <c r="A121" s="566" t="s">
        <v>200</v>
      </c>
      <c r="B121" s="663" t="s">
        <v>201</v>
      </c>
      <c r="C121" s="1349" t="s">
        <v>265</v>
      </c>
      <c r="D121" s="1354">
        <v>3412</v>
      </c>
      <c r="E121" s="1056">
        <v>3160</v>
      </c>
      <c r="F121" s="1354">
        <v>1804</v>
      </c>
      <c r="G121" s="1056">
        <v>1823</v>
      </c>
      <c r="H121" s="1354">
        <v>441</v>
      </c>
      <c r="I121" s="1056">
        <v>486</v>
      </c>
    </row>
    <row r="122" spans="1:9" ht="15.75">
      <c r="A122" s="566" t="s">
        <v>222</v>
      </c>
      <c r="B122" s="663" t="s">
        <v>223</v>
      </c>
      <c r="C122" s="1349" t="s">
        <v>264</v>
      </c>
      <c r="D122" s="1354">
        <v>2075</v>
      </c>
      <c r="E122" s="1056">
        <v>1790</v>
      </c>
      <c r="F122" s="1354">
        <v>1046</v>
      </c>
      <c r="G122" s="1056">
        <v>1017</v>
      </c>
      <c r="H122" s="1354">
        <v>262</v>
      </c>
      <c r="I122" s="1056">
        <v>236</v>
      </c>
    </row>
    <row r="123" spans="1:9" ht="15.75">
      <c r="A123" s="566" t="s">
        <v>230</v>
      </c>
      <c r="B123" s="663" t="s">
        <v>231</v>
      </c>
      <c r="C123" s="1349" t="s">
        <v>264</v>
      </c>
      <c r="D123" s="1354">
        <v>2782</v>
      </c>
      <c r="E123" s="1056">
        <v>2413</v>
      </c>
      <c r="F123" s="1354">
        <v>1280</v>
      </c>
      <c r="G123" s="1056">
        <v>1237</v>
      </c>
      <c r="H123" s="1354">
        <v>275</v>
      </c>
      <c r="I123" s="1056">
        <v>293</v>
      </c>
    </row>
    <row r="124" spans="1:9" ht="15.75">
      <c r="A124" s="566" t="s">
        <v>238</v>
      </c>
      <c r="B124" s="663" t="s">
        <v>239</v>
      </c>
      <c r="C124" s="1349" t="s">
        <v>264</v>
      </c>
      <c r="D124" s="1354">
        <v>55</v>
      </c>
      <c r="E124" s="1056">
        <v>42</v>
      </c>
      <c r="F124" s="1354">
        <v>24</v>
      </c>
      <c r="G124" s="1056">
        <v>22</v>
      </c>
      <c r="H124" s="1354">
        <v>5</v>
      </c>
      <c r="I124" s="1056">
        <v>4</v>
      </c>
    </row>
    <row r="125" spans="1:9" ht="15.75">
      <c r="A125" s="567" t="s">
        <v>240</v>
      </c>
      <c r="B125" s="570" t="s">
        <v>241</v>
      </c>
      <c r="C125" s="1350" t="s">
        <v>267</v>
      </c>
      <c r="D125" s="1355">
        <v>456</v>
      </c>
      <c r="E125" s="1356">
        <v>395</v>
      </c>
      <c r="F125" s="1355">
        <v>220</v>
      </c>
      <c r="G125" s="1356">
        <v>191</v>
      </c>
      <c r="H125" s="1355">
        <v>81</v>
      </c>
      <c r="I125" s="1356">
        <v>77</v>
      </c>
    </row>
    <row r="127" spans="1:9" ht="15.75">
      <c r="A127" s="1916" t="s">
        <v>934</v>
      </c>
      <c r="B127" s="1916"/>
      <c r="C127" s="1916"/>
      <c r="D127" s="1916"/>
      <c r="E127" s="1319"/>
      <c r="G127" s="1319"/>
      <c r="I127" s="1319"/>
    </row>
    <row r="129" spans="1:3" s="428" customFormat="1" ht="15.75">
      <c r="A129" s="428" t="s">
        <v>248</v>
      </c>
    </row>
    <row r="130" spans="1:3" s="428" customFormat="1" ht="15.75">
      <c r="A130" s="429" t="s">
        <v>249</v>
      </c>
      <c r="B130" s="430" t="s">
        <v>250</v>
      </c>
      <c r="C130" s="430"/>
    </row>
  </sheetData>
  <autoFilter ref="A4:C4"/>
  <sortState ref="A5:S124">
    <sortCondition ref="A5:A124"/>
  </sortState>
  <mergeCells count="4">
    <mergeCell ref="A127:D127"/>
    <mergeCell ref="D3:E3"/>
    <mergeCell ref="F3:G3"/>
    <mergeCell ref="H3:I3"/>
  </mergeCells>
  <hyperlinks>
    <hyperlink ref="B130" r:id="rId1"/>
  </hyperlinks>
  <pageMargins left="0.7" right="0.7" top="0.75" bottom="0.75" header="0.3" footer="0.3"/>
</worksheet>
</file>

<file path=xl/worksheets/sheet28.xml><?xml version="1.0" encoding="utf-8"?>
<worksheet xmlns="http://schemas.openxmlformats.org/spreadsheetml/2006/main" xmlns:r="http://schemas.openxmlformats.org/officeDocument/2006/relationships">
  <dimension ref="A1:E131"/>
  <sheetViews>
    <sheetView workbookViewId="0">
      <selection sqref="A1:XFD1048576"/>
    </sheetView>
  </sheetViews>
  <sheetFormatPr defaultRowHeight="15.75"/>
  <cols>
    <col min="1" max="1" width="5.875" style="558" customWidth="1"/>
    <col min="2" max="2" width="29.5" style="558" customWidth="1"/>
    <col min="3" max="3" width="16.25" style="558" customWidth="1"/>
    <col min="4" max="4" width="11.375" style="558" customWidth="1"/>
    <col min="5" max="5" width="3.875" style="558" customWidth="1"/>
    <col min="6" max="16384" width="9" style="558"/>
  </cols>
  <sheetData>
    <row r="1" spans="1:4">
      <c r="A1" s="258" t="s">
        <v>1209</v>
      </c>
    </row>
    <row r="3" spans="1:4">
      <c r="A3" s="667" t="s">
        <v>4</v>
      </c>
      <c r="B3" s="621" t="s">
        <v>5</v>
      </c>
      <c r="C3" s="621" t="s">
        <v>251</v>
      </c>
      <c r="D3" s="673" t="s">
        <v>912</v>
      </c>
    </row>
    <row r="4" spans="1:4">
      <c r="A4" s="670">
        <v>999</v>
      </c>
      <c r="B4" s="671" t="s">
        <v>819</v>
      </c>
      <c r="C4" s="671"/>
      <c r="D4" s="1014">
        <f>SUM(D5:D124)</f>
        <v>26081</v>
      </c>
    </row>
    <row r="5" spans="1:4" s="666" customFormat="1">
      <c r="A5" s="662" t="s">
        <v>10</v>
      </c>
      <c r="B5" s="663" t="s">
        <v>11</v>
      </c>
      <c r="C5" s="663" t="s">
        <v>264</v>
      </c>
      <c r="D5" s="1015">
        <v>62</v>
      </c>
    </row>
    <row r="6" spans="1:4" s="666" customFormat="1">
      <c r="A6" s="662" t="s">
        <v>12</v>
      </c>
      <c r="B6" s="663" t="s">
        <v>13</v>
      </c>
      <c r="C6" s="663" t="s">
        <v>265</v>
      </c>
      <c r="D6" s="1015">
        <v>196</v>
      </c>
    </row>
    <row r="7" spans="1:4" s="666" customFormat="1">
      <c r="A7" s="662" t="s">
        <v>16</v>
      </c>
      <c r="B7" s="663" t="s">
        <v>297</v>
      </c>
      <c r="C7" s="663" t="s">
        <v>265</v>
      </c>
      <c r="D7" s="1015">
        <v>56</v>
      </c>
    </row>
    <row r="8" spans="1:4" s="666" customFormat="1">
      <c r="A8" s="662" t="s">
        <v>18</v>
      </c>
      <c r="B8" s="663" t="s">
        <v>19</v>
      </c>
      <c r="C8" s="663" t="s">
        <v>266</v>
      </c>
      <c r="D8" s="1015">
        <v>31</v>
      </c>
    </row>
    <row r="9" spans="1:4" s="666" customFormat="1">
      <c r="A9" s="662" t="s">
        <v>20</v>
      </c>
      <c r="B9" s="663" t="s">
        <v>21</v>
      </c>
      <c r="C9" s="663" t="s">
        <v>265</v>
      </c>
      <c r="D9" s="1015">
        <v>108</v>
      </c>
    </row>
    <row r="10" spans="1:4" s="666" customFormat="1">
      <c r="A10" s="662" t="s">
        <v>22</v>
      </c>
      <c r="B10" s="663" t="s">
        <v>23</v>
      </c>
      <c r="C10" s="663" t="s">
        <v>265</v>
      </c>
      <c r="D10" s="1015">
        <v>34</v>
      </c>
    </row>
    <row r="11" spans="1:4" s="666" customFormat="1">
      <c r="A11" s="662" t="s">
        <v>24</v>
      </c>
      <c r="B11" s="663" t="s">
        <v>25</v>
      </c>
      <c r="C11" s="663" t="s">
        <v>267</v>
      </c>
      <c r="D11" s="1015">
        <v>384</v>
      </c>
    </row>
    <row r="12" spans="1:4" s="666" customFormat="1">
      <c r="A12" s="662" t="s">
        <v>26</v>
      </c>
      <c r="B12" s="663" t="s">
        <v>706</v>
      </c>
      <c r="C12" s="663" t="s">
        <v>265</v>
      </c>
      <c r="D12" s="1015">
        <v>392</v>
      </c>
    </row>
    <row r="13" spans="1:4" s="666" customFormat="1">
      <c r="A13" s="662" t="s">
        <v>27</v>
      </c>
      <c r="B13" s="663" t="s">
        <v>28</v>
      </c>
      <c r="C13" s="663" t="s">
        <v>265</v>
      </c>
      <c r="D13" s="1015">
        <v>1</v>
      </c>
    </row>
    <row r="14" spans="1:4" s="666" customFormat="1">
      <c r="A14" s="662" t="s">
        <v>29</v>
      </c>
      <c r="B14" s="663" t="s">
        <v>1012</v>
      </c>
      <c r="C14" s="663" t="s">
        <v>265</v>
      </c>
      <c r="D14" s="1015">
        <v>142</v>
      </c>
    </row>
    <row r="15" spans="1:4" s="666" customFormat="1">
      <c r="A15" s="662" t="s">
        <v>30</v>
      </c>
      <c r="B15" s="663" t="s">
        <v>31</v>
      </c>
      <c r="C15" s="663" t="s">
        <v>268</v>
      </c>
      <c r="D15" s="1015">
        <v>6</v>
      </c>
    </row>
    <row r="16" spans="1:4" s="666" customFormat="1">
      <c r="A16" s="662" t="s">
        <v>32</v>
      </c>
      <c r="B16" s="663" t="s">
        <v>33</v>
      </c>
      <c r="C16" s="663" t="s">
        <v>265</v>
      </c>
      <c r="D16" s="1015">
        <v>57</v>
      </c>
    </row>
    <row r="17" spans="1:4" s="666" customFormat="1">
      <c r="A17" s="662" t="s">
        <v>36</v>
      </c>
      <c r="B17" s="663" t="s">
        <v>37</v>
      </c>
      <c r="C17" s="663" t="s">
        <v>264</v>
      </c>
      <c r="D17" s="1015">
        <v>38</v>
      </c>
    </row>
    <row r="18" spans="1:4" s="666" customFormat="1">
      <c r="A18" s="662" t="s">
        <v>38</v>
      </c>
      <c r="B18" s="663" t="s">
        <v>39</v>
      </c>
      <c r="C18" s="663" t="s">
        <v>268</v>
      </c>
      <c r="D18" s="1015">
        <v>6</v>
      </c>
    </row>
    <row r="19" spans="1:4" s="666" customFormat="1">
      <c r="A19" s="662" t="s">
        <v>40</v>
      </c>
      <c r="B19" s="663" t="s">
        <v>41</v>
      </c>
      <c r="C19" s="663" t="s">
        <v>266</v>
      </c>
      <c r="D19" s="1015">
        <v>26</v>
      </c>
    </row>
    <row r="20" spans="1:4" s="666" customFormat="1">
      <c r="A20" s="662" t="s">
        <v>42</v>
      </c>
      <c r="B20" s="663" t="s">
        <v>43</v>
      </c>
      <c r="C20" s="663" t="s">
        <v>265</v>
      </c>
      <c r="D20" s="1015">
        <v>164</v>
      </c>
    </row>
    <row r="21" spans="1:4" s="666" customFormat="1">
      <c r="A21" s="662" t="s">
        <v>44</v>
      </c>
      <c r="B21" s="663" t="s">
        <v>45</v>
      </c>
      <c r="C21" s="663" t="s">
        <v>266</v>
      </c>
      <c r="D21" s="1015">
        <v>89</v>
      </c>
    </row>
    <row r="22" spans="1:4" s="666" customFormat="1">
      <c r="A22" s="662" t="s">
        <v>46</v>
      </c>
      <c r="B22" s="663" t="s">
        <v>47</v>
      </c>
      <c r="C22" s="663" t="s">
        <v>268</v>
      </c>
      <c r="D22" s="1015">
        <v>106</v>
      </c>
    </row>
    <row r="23" spans="1:4" s="666" customFormat="1">
      <c r="A23" s="662" t="s">
        <v>48</v>
      </c>
      <c r="B23" s="663" t="s">
        <v>269</v>
      </c>
      <c r="C23" s="663" t="s">
        <v>266</v>
      </c>
      <c r="D23" s="1015">
        <v>25</v>
      </c>
    </row>
    <row r="24" spans="1:4" s="666" customFormat="1">
      <c r="A24" s="662" t="s">
        <v>50</v>
      </c>
      <c r="B24" s="663" t="s">
        <v>51</v>
      </c>
      <c r="C24" s="663" t="s">
        <v>265</v>
      </c>
      <c r="D24" s="1015">
        <v>15</v>
      </c>
    </row>
    <row r="25" spans="1:4" s="666" customFormat="1">
      <c r="A25" s="662" t="s">
        <v>56</v>
      </c>
      <c r="B25" s="663" t="s">
        <v>295</v>
      </c>
      <c r="C25" s="663" t="s">
        <v>266</v>
      </c>
      <c r="D25" s="1015">
        <v>576</v>
      </c>
    </row>
    <row r="26" spans="1:4" s="666" customFormat="1">
      <c r="A26" s="662" t="s">
        <v>58</v>
      </c>
      <c r="B26" s="663" t="s">
        <v>59</v>
      </c>
      <c r="C26" s="663" t="s">
        <v>267</v>
      </c>
      <c r="D26" s="1015">
        <v>29</v>
      </c>
    </row>
    <row r="27" spans="1:4" s="666" customFormat="1">
      <c r="A27" s="662" t="s">
        <v>60</v>
      </c>
      <c r="B27" s="663" t="s">
        <v>61</v>
      </c>
      <c r="C27" s="663" t="s">
        <v>265</v>
      </c>
      <c r="D27" s="1015">
        <v>16</v>
      </c>
    </row>
    <row r="28" spans="1:4" s="666" customFormat="1">
      <c r="A28" s="662" t="s">
        <v>62</v>
      </c>
      <c r="B28" s="663" t="s">
        <v>63</v>
      </c>
      <c r="C28" s="663" t="s">
        <v>267</v>
      </c>
      <c r="D28" s="1015">
        <v>262</v>
      </c>
    </row>
    <row r="29" spans="1:4" s="666" customFormat="1">
      <c r="A29" s="662" t="s">
        <v>64</v>
      </c>
      <c r="B29" s="663" t="s">
        <v>65</v>
      </c>
      <c r="C29" s="663" t="s">
        <v>266</v>
      </c>
      <c r="D29" s="1015">
        <v>24</v>
      </c>
    </row>
    <row r="30" spans="1:4" s="666" customFormat="1">
      <c r="A30" s="662" t="s">
        <v>68</v>
      </c>
      <c r="B30" s="663" t="s">
        <v>69</v>
      </c>
      <c r="C30" s="663" t="s">
        <v>268</v>
      </c>
      <c r="D30" s="1015">
        <v>19</v>
      </c>
    </row>
    <row r="31" spans="1:4" s="666" customFormat="1">
      <c r="A31" s="662" t="s">
        <v>70</v>
      </c>
      <c r="B31" s="663" t="s">
        <v>71</v>
      </c>
      <c r="C31" s="663" t="s">
        <v>264</v>
      </c>
      <c r="D31" s="1015">
        <v>72</v>
      </c>
    </row>
    <row r="32" spans="1:4" s="666" customFormat="1">
      <c r="A32" s="662" t="s">
        <v>72</v>
      </c>
      <c r="B32" s="663" t="s">
        <v>73</v>
      </c>
      <c r="C32" s="663" t="s">
        <v>266</v>
      </c>
      <c r="D32" s="1015">
        <v>97</v>
      </c>
    </row>
    <row r="33" spans="1:4" s="666" customFormat="1">
      <c r="A33" s="662" t="s">
        <v>74</v>
      </c>
      <c r="B33" s="663" t="s">
        <v>296</v>
      </c>
      <c r="C33" s="663" t="s">
        <v>267</v>
      </c>
      <c r="D33" s="1015">
        <v>2566</v>
      </c>
    </row>
    <row r="34" spans="1:4" s="666" customFormat="1">
      <c r="A34" s="662" t="s">
        <v>76</v>
      </c>
      <c r="B34" s="663" t="s">
        <v>77</v>
      </c>
      <c r="C34" s="663" t="s">
        <v>267</v>
      </c>
      <c r="D34" s="1015">
        <v>177</v>
      </c>
    </row>
    <row r="35" spans="1:4" s="666" customFormat="1">
      <c r="A35" s="662" t="s">
        <v>78</v>
      </c>
      <c r="B35" s="663" t="s">
        <v>79</v>
      </c>
      <c r="C35" s="663" t="s">
        <v>268</v>
      </c>
      <c r="D35" s="1015">
        <v>17</v>
      </c>
    </row>
    <row r="36" spans="1:4" s="666" customFormat="1">
      <c r="A36" s="662" t="s">
        <v>80</v>
      </c>
      <c r="B36" s="663" t="s">
        <v>81</v>
      </c>
      <c r="C36" s="663" t="s">
        <v>266</v>
      </c>
      <c r="D36" s="1015">
        <v>55</v>
      </c>
    </row>
    <row r="37" spans="1:4" s="666" customFormat="1">
      <c r="A37" s="662" t="s">
        <v>84</v>
      </c>
      <c r="B37" s="663" t="s">
        <v>85</v>
      </c>
      <c r="C37" s="663" t="s">
        <v>265</v>
      </c>
      <c r="D37" s="1015">
        <v>143</v>
      </c>
    </row>
    <row r="38" spans="1:4" s="666" customFormat="1">
      <c r="A38" s="662" t="s">
        <v>86</v>
      </c>
      <c r="B38" s="663" t="s">
        <v>87</v>
      </c>
      <c r="C38" s="663" t="s">
        <v>267</v>
      </c>
      <c r="D38" s="1015">
        <v>158</v>
      </c>
    </row>
    <row r="39" spans="1:4" s="666" customFormat="1">
      <c r="A39" s="662" t="s">
        <v>92</v>
      </c>
      <c r="B39" s="663" t="s">
        <v>93</v>
      </c>
      <c r="C39" s="663" t="s">
        <v>268</v>
      </c>
      <c r="D39" s="1015">
        <v>41</v>
      </c>
    </row>
    <row r="40" spans="1:4" s="666" customFormat="1">
      <c r="A40" s="662" t="s">
        <v>94</v>
      </c>
      <c r="B40" s="663" t="s">
        <v>95</v>
      </c>
      <c r="C40" s="663" t="s">
        <v>264</v>
      </c>
      <c r="D40" s="1015">
        <v>100</v>
      </c>
    </row>
    <row r="41" spans="1:4" s="666" customFormat="1">
      <c r="A41" s="662" t="s">
        <v>96</v>
      </c>
      <c r="B41" s="663" t="s">
        <v>97</v>
      </c>
      <c r="C41" s="663" t="s">
        <v>266</v>
      </c>
      <c r="D41" s="1015">
        <v>46</v>
      </c>
    </row>
    <row r="42" spans="1:4" s="666" customFormat="1">
      <c r="A42" s="662" t="s">
        <v>98</v>
      </c>
      <c r="B42" s="663" t="s">
        <v>99</v>
      </c>
      <c r="C42" s="663" t="s">
        <v>268</v>
      </c>
      <c r="D42" s="1015">
        <v>18</v>
      </c>
    </row>
    <row r="43" spans="1:4" s="666" customFormat="1">
      <c r="A43" s="662" t="s">
        <v>100</v>
      </c>
      <c r="B43" s="663" t="s">
        <v>101</v>
      </c>
      <c r="C43" s="663" t="s">
        <v>267</v>
      </c>
      <c r="D43" s="1015">
        <v>28</v>
      </c>
    </row>
    <row r="44" spans="1:4" s="666" customFormat="1">
      <c r="A44" s="662" t="s">
        <v>102</v>
      </c>
      <c r="B44" s="663" t="s">
        <v>282</v>
      </c>
      <c r="C44" s="663" t="s">
        <v>264</v>
      </c>
      <c r="D44" s="1015">
        <v>103</v>
      </c>
    </row>
    <row r="45" spans="1:4" s="666" customFormat="1">
      <c r="A45" s="662" t="s">
        <v>104</v>
      </c>
      <c r="B45" s="663" t="s">
        <v>105</v>
      </c>
      <c r="C45" s="663" t="s">
        <v>265</v>
      </c>
      <c r="D45" s="1015">
        <v>38</v>
      </c>
    </row>
    <row r="46" spans="1:4" s="666" customFormat="1">
      <c r="A46" s="662" t="s">
        <v>108</v>
      </c>
      <c r="B46" s="663" t="s">
        <v>109</v>
      </c>
      <c r="C46" s="663" t="s">
        <v>266</v>
      </c>
      <c r="D46" s="1015">
        <v>154</v>
      </c>
    </row>
    <row r="47" spans="1:4" s="666" customFormat="1">
      <c r="A47" s="662" t="s">
        <v>110</v>
      </c>
      <c r="B47" s="663" t="s">
        <v>111</v>
      </c>
      <c r="C47" s="663" t="s">
        <v>266</v>
      </c>
      <c r="D47" s="1015">
        <v>1135</v>
      </c>
    </row>
    <row r="48" spans="1:4" s="666" customFormat="1">
      <c r="A48" s="662" t="s">
        <v>112</v>
      </c>
      <c r="B48" s="663" t="s">
        <v>300</v>
      </c>
      <c r="C48" s="663" t="s">
        <v>265</v>
      </c>
      <c r="D48" s="1015">
        <v>325</v>
      </c>
    </row>
    <row r="49" spans="1:4" s="666" customFormat="1">
      <c r="A49" s="662" t="s">
        <v>114</v>
      </c>
      <c r="B49" s="663" t="s">
        <v>115</v>
      </c>
      <c r="C49" s="663" t="s">
        <v>265</v>
      </c>
      <c r="D49" s="1015">
        <v>0</v>
      </c>
    </row>
    <row r="50" spans="1:4" s="666" customFormat="1">
      <c r="A50" s="662" t="s">
        <v>118</v>
      </c>
      <c r="B50" s="663" t="s">
        <v>270</v>
      </c>
      <c r="C50" s="663" t="s">
        <v>264</v>
      </c>
      <c r="D50" s="1015">
        <v>60</v>
      </c>
    </row>
    <row r="51" spans="1:4" s="666" customFormat="1">
      <c r="A51" s="662" t="s">
        <v>120</v>
      </c>
      <c r="B51" s="663" t="s">
        <v>121</v>
      </c>
      <c r="C51" s="663" t="s">
        <v>264</v>
      </c>
      <c r="D51" s="1015">
        <v>191</v>
      </c>
    </row>
    <row r="52" spans="1:4" s="666" customFormat="1">
      <c r="A52" s="662" t="s">
        <v>122</v>
      </c>
      <c r="B52" s="663" t="s">
        <v>287</v>
      </c>
      <c r="C52" s="663" t="s">
        <v>266</v>
      </c>
      <c r="D52" s="1015">
        <v>19</v>
      </c>
    </row>
    <row r="53" spans="1:4" s="666" customFormat="1">
      <c r="A53" s="662" t="s">
        <v>124</v>
      </c>
      <c r="B53" s="663" t="s">
        <v>125</v>
      </c>
      <c r="C53" s="663" t="s">
        <v>267</v>
      </c>
      <c r="D53" s="1015">
        <v>82</v>
      </c>
    </row>
    <row r="54" spans="1:4" s="666" customFormat="1">
      <c r="A54" s="662" t="s">
        <v>126</v>
      </c>
      <c r="B54" s="663" t="s">
        <v>127</v>
      </c>
      <c r="C54" s="663" t="s">
        <v>266</v>
      </c>
      <c r="D54" s="1015">
        <v>63</v>
      </c>
    </row>
    <row r="55" spans="1:4" s="666" customFormat="1">
      <c r="A55" s="662" t="s">
        <v>128</v>
      </c>
      <c r="B55" s="663" t="s">
        <v>129</v>
      </c>
      <c r="C55" s="663" t="s">
        <v>266</v>
      </c>
      <c r="D55" s="1015">
        <v>20</v>
      </c>
    </row>
    <row r="56" spans="1:4" s="666" customFormat="1">
      <c r="A56" s="662" t="s">
        <v>130</v>
      </c>
      <c r="B56" s="663" t="s">
        <v>131</v>
      </c>
      <c r="C56" s="663" t="s">
        <v>268</v>
      </c>
      <c r="D56" s="1015">
        <v>30</v>
      </c>
    </row>
    <row r="57" spans="1:4" s="666" customFormat="1">
      <c r="A57" s="662" t="s">
        <v>132</v>
      </c>
      <c r="B57" s="663" t="s">
        <v>133</v>
      </c>
      <c r="C57" s="663" t="s">
        <v>267</v>
      </c>
      <c r="D57" s="1015">
        <v>398</v>
      </c>
    </row>
    <row r="58" spans="1:4" s="666" customFormat="1">
      <c r="A58" s="662" t="s">
        <v>134</v>
      </c>
      <c r="B58" s="663" t="s">
        <v>135</v>
      </c>
      <c r="C58" s="663" t="s">
        <v>267</v>
      </c>
      <c r="D58" s="1015">
        <v>54</v>
      </c>
    </row>
    <row r="59" spans="1:4" s="666" customFormat="1">
      <c r="A59" s="662" t="s">
        <v>136</v>
      </c>
      <c r="B59" s="663" t="s">
        <v>137</v>
      </c>
      <c r="C59" s="663" t="s">
        <v>266</v>
      </c>
      <c r="D59" s="1015">
        <v>10</v>
      </c>
    </row>
    <row r="60" spans="1:4" s="666" customFormat="1">
      <c r="A60" s="662" t="s">
        <v>140</v>
      </c>
      <c r="B60" s="663" t="s">
        <v>141</v>
      </c>
      <c r="C60" s="663" t="s">
        <v>267</v>
      </c>
      <c r="D60" s="1015">
        <v>7</v>
      </c>
    </row>
    <row r="61" spans="1:4" s="666" customFormat="1">
      <c r="A61" s="662" t="s">
        <v>146</v>
      </c>
      <c r="B61" s="663" t="s">
        <v>147</v>
      </c>
      <c r="C61" s="663" t="s">
        <v>264</v>
      </c>
      <c r="D61" s="1015">
        <v>23</v>
      </c>
    </row>
    <row r="62" spans="1:4" s="666" customFormat="1">
      <c r="A62" s="662" t="s">
        <v>148</v>
      </c>
      <c r="B62" s="663" t="s">
        <v>149</v>
      </c>
      <c r="C62" s="663" t="s">
        <v>265</v>
      </c>
      <c r="D62" s="1015">
        <v>63</v>
      </c>
    </row>
    <row r="63" spans="1:4" s="666" customFormat="1">
      <c r="A63" s="662" t="s">
        <v>150</v>
      </c>
      <c r="B63" s="663" t="s">
        <v>151</v>
      </c>
      <c r="C63" s="663" t="s">
        <v>266</v>
      </c>
      <c r="D63" s="1015">
        <v>45</v>
      </c>
    </row>
    <row r="64" spans="1:4" s="666" customFormat="1">
      <c r="A64" s="662" t="s">
        <v>152</v>
      </c>
      <c r="B64" s="663" t="s">
        <v>153</v>
      </c>
      <c r="C64" s="663" t="s">
        <v>268</v>
      </c>
      <c r="D64" s="1015">
        <v>242</v>
      </c>
    </row>
    <row r="65" spans="1:4" s="666" customFormat="1">
      <c r="A65" s="662" t="s">
        <v>154</v>
      </c>
      <c r="B65" s="663" t="s">
        <v>155</v>
      </c>
      <c r="C65" s="663" t="s">
        <v>265</v>
      </c>
      <c r="D65" s="1015">
        <v>19</v>
      </c>
    </row>
    <row r="66" spans="1:4" s="666" customFormat="1">
      <c r="A66" s="662" t="s">
        <v>156</v>
      </c>
      <c r="B66" s="663" t="s">
        <v>157</v>
      </c>
      <c r="C66" s="663" t="s">
        <v>266</v>
      </c>
      <c r="D66" s="1015">
        <v>43</v>
      </c>
    </row>
    <row r="67" spans="1:4" s="666" customFormat="1">
      <c r="A67" s="662" t="s">
        <v>162</v>
      </c>
      <c r="B67" s="663" t="s">
        <v>163</v>
      </c>
      <c r="C67" s="663" t="s">
        <v>264</v>
      </c>
      <c r="D67" s="1015">
        <v>83</v>
      </c>
    </row>
    <row r="68" spans="1:4" s="666" customFormat="1">
      <c r="A68" s="662" t="s">
        <v>164</v>
      </c>
      <c r="B68" s="663" t="s">
        <v>165</v>
      </c>
      <c r="C68" s="663" t="s">
        <v>266</v>
      </c>
      <c r="D68" s="1015">
        <v>23</v>
      </c>
    </row>
    <row r="69" spans="1:4" s="666" customFormat="1">
      <c r="A69" s="662" t="s">
        <v>168</v>
      </c>
      <c r="B69" s="663" t="s">
        <v>169</v>
      </c>
      <c r="C69" s="663" t="s">
        <v>266</v>
      </c>
      <c r="D69" s="1015">
        <v>50</v>
      </c>
    </row>
    <row r="70" spans="1:4" s="666" customFormat="1">
      <c r="A70" s="662" t="s">
        <v>170</v>
      </c>
      <c r="B70" s="663" t="s">
        <v>171</v>
      </c>
      <c r="C70" s="663" t="s">
        <v>267</v>
      </c>
      <c r="D70" s="1015">
        <v>97</v>
      </c>
    </row>
    <row r="71" spans="1:4" s="666" customFormat="1">
      <c r="A71" s="662" t="s">
        <v>172</v>
      </c>
      <c r="B71" s="663" t="s">
        <v>173</v>
      </c>
      <c r="C71" s="663" t="s">
        <v>267</v>
      </c>
      <c r="D71" s="1015">
        <v>40</v>
      </c>
    </row>
    <row r="72" spans="1:4" s="666" customFormat="1">
      <c r="A72" s="662" t="s">
        <v>174</v>
      </c>
      <c r="B72" s="663" t="s">
        <v>175</v>
      </c>
      <c r="C72" s="663" t="s">
        <v>268</v>
      </c>
      <c r="D72" s="1015">
        <v>46</v>
      </c>
    </row>
    <row r="73" spans="1:4" s="666" customFormat="1">
      <c r="A73" s="662" t="s">
        <v>178</v>
      </c>
      <c r="B73" s="663" t="s">
        <v>179</v>
      </c>
      <c r="C73" s="663" t="s">
        <v>265</v>
      </c>
      <c r="D73" s="1015">
        <v>145</v>
      </c>
    </row>
    <row r="74" spans="1:4" s="666" customFormat="1">
      <c r="A74" s="662" t="s">
        <v>182</v>
      </c>
      <c r="B74" s="663" t="s">
        <v>183</v>
      </c>
      <c r="C74" s="663" t="s">
        <v>266</v>
      </c>
      <c r="D74" s="1015">
        <v>44</v>
      </c>
    </row>
    <row r="75" spans="1:4" s="666" customFormat="1">
      <c r="A75" s="662" t="s">
        <v>184</v>
      </c>
      <c r="B75" s="663" t="s">
        <v>185</v>
      </c>
      <c r="C75" s="663" t="s">
        <v>266</v>
      </c>
      <c r="D75" s="1015">
        <v>62</v>
      </c>
    </row>
    <row r="76" spans="1:4" s="666" customFormat="1">
      <c r="A76" s="662" t="s">
        <v>186</v>
      </c>
      <c r="B76" s="663" t="s">
        <v>187</v>
      </c>
      <c r="C76" s="663" t="s">
        <v>264</v>
      </c>
      <c r="D76" s="1015">
        <v>35</v>
      </c>
    </row>
    <row r="77" spans="1:4" s="666" customFormat="1">
      <c r="A77" s="662" t="s">
        <v>188</v>
      </c>
      <c r="B77" s="663" t="s">
        <v>189</v>
      </c>
      <c r="C77" s="663" t="s">
        <v>267</v>
      </c>
      <c r="D77" s="1015">
        <v>983</v>
      </c>
    </row>
    <row r="78" spans="1:4" s="666" customFormat="1">
      <c r="A78" s="662" t="s">
        <v>190</v>
      </c>
      <c r="B78" s="663" t="s">
        <v>191</v>
      </c>
      <c r="C78" s="663" t="s">
        <v>268</v>
      </c>
      <c r="D78" s="1015">
        <v>100</v>
      </c>
    </row>
    <row r="79" spans="1:4" s="666" customFormat="1">
      <c r="A79" s="662" t="s">
        <v>194</v>
      </c>
      <c r="B79" s="663" t="s">
        <v>195</v>
      </c>
      <c r="C79" s="663" t="s">
        <v>267</v>
      </c>
      <c r="D79" s="1015">
        <v>17</v>
      </c>
    </row>
    <row r="80" spans="1:4" s="666" customFormat="1">
      <c r="A80" s="662" t="s">
        <v>198</v>
      </c>
      <c r="B80" s="663" t="s">
        <v>272</v>
      </c>
      <c r="C80" s="663" t="s">
        <v>266</v>
      </c>
      <c r="D80" s="1015">
        <v>21</v>
      </c>
    </row>
    <row r="81" spans="1:4" s="666" customFormat="1">
      <c r="A81" s="662" t="s">
        <v>202</v>
      </c>
      <c r="B81" s="663" t="s">
        <v>301</v>
      </c>
      <c r="C81" s="663" t="s">
        <v>265</v>
      </c>
      <c r="D81" s="1015">
        <v>350</v>
      </c>
    </row>
    <row r="82" spans="1:4" s="666" customFormat="1">
      <c r="A82" s="662" t="s">
        <v>204</v>
      </c>
      <c r="B82" s="663" t="s">
        <v>293</v>
      </c>
      <c r="C82" s="663" t="s">
        <v>265</v>
      </c>
      <c r="D82" s="1015">
        <v>46</v>
      </c>
    </row>
    <row r="83" spans="1:4" s="666" customFormat="1">
      <c r="A83" s="662" t="s">
        <v>206</v>
      </c>
      <c r="B83" s="663" t="s">
        <v>294</v>
      </c>
      <c r="C83" s="663" t="s">
        <v>267</v>
      </c>
      <c r="D83" s="1015">
        <v>273</v>
      </c>
    </row>
    <row r="84" spans="1:4" s="666" customFormat="1">
      <c r="A84" s="662" t="s">
        <v>208</v>
      </c>
      <c r="B84" s="663" t="s">
        <v>209</v>
      </c>
      <c r="C84" s="663" t="s">
        <v>268</v>
      </c>
      <c r="D84" s="1015">
        <v>30</v>
      </c>
    </row>
    <row r="85" spans="1:4" s="666" customFormat="1">
      <c r="A85" s="662" t="s">
        <v>210</v>
      </c>
      <c r="B85" s="663" t="s">
        <v>211</v>
      </c>
      <c r="C85" s="663" t="s">
        <v>268</v>
      </c>
      <c r="D85" s="1015">
        <v>14</v>
      </c>
    </row>
    <row r="86" spans="1:4" s="666" customFormat="1">
      <c r="A86" s="662" t="s">
        <v>212</v>
      </c>
      <c r="B86" s="663" t="s">
        <v>213</v>
      </c>
      <c r="C86" s="663" t="s">
        <v>267</v>
      </c>
      <c r="D86" s="1015">
        <v>93</v>
      </c>
    </row>
    <row r="87" spans="1:4" s="666" customFormat="1">
      <c r="A87" s="662" t="s">
        <v>214</v>
      </c>
      <c r="B87" s="663" t="s">
        <v>215</v>
      </c>
      <c r="C87" s="663" t="s">
        <v>268</v>
      </c>
      <c r="D87" s="1015">
        <v>76</v>
      </c>
    </row>
    <row r="88" spans="1:4" s="666" customFormat="1">
      <c r="A88" s="662" t="s">
        <v>216</v>
      </c>
      <c r="B88" s="663" t="s">
        <v>217</v>
      </c>
      <c r="C88" s="663" t="s">
        <v>264</v>
      </c>
      <c r="D88" s="1015">
        <v>31</v>
      </c>
    </row>
    <row r="89" spans="1:4" s="666" customFormat="1">
      <c r="A89" s="662" t="s">
        <v>218</v>
      </c>
      <c r="B89" s="663" t="s">
        <v>219</v>
      </c>
      <c r="C89" s="663" t="s">
        <v>267</v>
      </c>
      <c r="D89" s="1015">
        <v>260</v>
      </c>
    </row>
    <row r="90" spans="1:4" s="666" customFormat="1">
      <c r="A90" s="662" t="s">
        <v>220</v>
      </c>
      <c r="B90" s="663" t="s">
        <v>221</v>
      </c>
      <c r="C90" s="663" t="s">
        <v>267</v>
      </c>
      <c r="D90" s="1015">
        <v>267</v>
      </c>
    </row>
    <row r="91" spans="1:4" s="666" customFormat="1">
      <c r="A91" s="662" t="s">
        <v>224</v>
      </c>
      <c r="B91" s="663" t="s">
        <v>225</v>
      </c>
      <c r="C91" s="663" t="s">
        <v>264</v>
      </c>
      <c r="D91" s="1015">
        <v>35</v>
      </c>
    </row>
    <row r="92" spans="1:4" s="666" customFormat="1">
      <c r="A92" s="662" t="s">
        <v>226</v>
      </c>
      <c r="B92" s="663" t="s">
        <v>227</v>
      </c>
      <c r="C92" s="663" t="s">
        <v>264</v>
      </c>
      <c r="D92" s="1015">
        <v>47</v>
      </c>
    </row>
    <row r="93" spans="1:4" s="666" customFormat="1">
      <c r="A93" s="662" t="s">
        <v>228</v>
      </c>
      <c r="B93" s="663" t="s">
        <v>229</v>
      </c>
      <c r="C93" s="663" t="s">
        <v>268</v>
      </c>
      <c r="D93" s="1015">
        <v>113</v>
      </c>
    </row>
    <row r="94" spans="1:4" s="666" customFormat="1">
      <c r="A94" s="662" t="s">
        <v>232</v>
      </c>
      <c r="B94" s="663" t="s">
        <v>233</v>
      </c>
      <c r="C94" s="663" t="s">
        <v>267</v>
      </c>
      <c r="D94" s="1015">
        <v>136</v>
      </c>
    </row>
    <row r="95" spans="1:4" s="666" customFormat="1">
      <c r="A95" s="662" t="s">
        <v>234</v>
      </c>
      <c r="B95" s="663" t="s">
        <v>235</v>
      </c>
      <c r="C95" s="663" t="s">
        <v>268</v>
      </c>
      <c r="D95" s="1015">
        <v>65</v>
      </c>
    </row>
    <row r="96" spans="1:4" s="666" customFormat="1">
      <c r="A96" s="662" t="s">
        <v>236</v>
      </c>
      <c r="B96" s="663" t="s">
        <v>237</v>
      </c>
      <c r="C96" s="663" t="s">
        <v>266</v>
      </c>
      <c r="D96" s="1015">
        <v>48</v>
      </c>
    </row>
    <row r="97" spans="1:4" s="666" customFormat="1">
      <c r="A97" s="662" t="s">
        <v>242</v>
      </c>
      <c r="B97" s="663" t="s">
        <v>243</v>
      </c>
      <c r="C97" s="663" t="s">
        <v>268</v>
      </c>
      <c r="D97" s="1015">
        <v>67</v>
      </c>
    </row>
    <row r="98" spans="1:4" s="666" customFormat="1">
      <c r="A98" s="662" t="s">
        <v>244</v>
      </c>
      <c r="B98" s="663" t="s">
        <v>245</v>
      </c>
      <c r="C98" s="663" t="s">
        <v>268</v>
      </c>
      <c r="D98" s="1015">
        <v>104</v>
      </c>
    </row>
    <row r="99" spans="1:4" s="666" customFormat="1">
      <c r="A99" s="662" t="s">
        <v>246</v>
      </c>
      <c r="B99" s="663" t="s">
        <v>247</v>
      </c>
      <c r="C99" s="663" t="s">
        <v>264</v>
      </c>
      <c r="D99" s="1015">
        <v>150</v>
      </c>
    </row>
    <row r="100" spans="1:4" s="666" customFormat="1">
      <c r="A100" s="662" t="s">
        <v>14</v>
      </c>
      <c r="B100" s="663" t="s">
        <v>15</v>
      </c>
      <c r="C100" s="663" t="s">
        <v>267</v>
      </c>
      <c r="D100" s="1015">
        <v>502</v>
      </c>
    </row>
    <row r="101" spans="1:4" s="666" customFormat="1">
      <c r="A101" s="662" t="s">
        <v>34</v>
      </c>
      <c r="B101" s="663" t="s">
        <v>35</v>
      </c>
      <c r="C101" s="663" t="s">
        <v>268</v>
      </c>
      <c r="D101" s="1015">
        <v>203</v>
      </c>
    </row>
    <row r="102" spans="1:4" s="666" customFormat="1">
      <c r="A102" s="662" t="s">
        <v>52</v>
      </c>
      <c r="B102" s="663" t="s">
        <v>53</v>
      </c>
      <c r="C102" s="663" t="s">
        <v>265</v>
      </c>
      <c r="D102" s="1015">
        <v>272</v>
      </c>
    </row>
    <row r="103" spans="1:4" s="666" customFormat="1">
      <c r="A103" s="662" t="s">
        <v>54</v>
      </c>
      <c r="B103" s="663" t="s">
        <v>55</v>
      </c>
      <c r="C103" s="663" t="s">
        <v>264</v>
      </c>
      <c r="D103" s="1015">
        <v>930</v>
      </c>
    </row>
    <row r="104" spans="1:4" s="666" customFormat="1">
      <c r="A104" s="662" t="s">
        <v>66</v>
      </c>
      <c r="B104" s="663" t="s">
        <v>67</v>
      </c>
      <c r="C104" s="663" t="s">
        <v>265</v>
      </c>
      <c r="D104" s="1015">
        <v>315</v>
      </c>
    </row>
    <row r="105" spans="1:4" s="666" customFormat="1">
      <c r="A105" s="662" t="s">
        <v>82</v>
      </c>
      <c r="B105" s="663" t="s">
        <v>83</v>
      </c>
      <c r="C105" s="663" t="s">
        <v>264</v>
      </c>
      <c r="D105" s="1015">
        <v>46</v>
      </c>
    </row>
    <row r="106" spans="1:4" s="666" customFormat="1">
      <c r="A106" s="662" t="s">
        <v>88</v>
      </c>
      <c r="B106" s="663" t="s">
        <v>89</v>
      </c>
      <c r="C106" s="663" t="s">
        <v>267</v>
      </c>
      <c r="D106" s="1015">
        <v>183</v>
      </c>
    </row>
    <row r="107" spans="1:4" s="666" customFormat="1">
      <c r="A107" s="662" t="s">
        <v>90</v>
      </c>
      <c r="B107" s="663" t="s">
        <v>91</v>
      </c>
      <c r="C107" s="663" t="s">
        <v>268</v>
      </c>
      <c r="D107" s="1015">
        <v>45</v>
      </c>
    </row>
    <row r="108" spans="1:4" s="666" customFormat="1">
      <c r="A108" s="662" t="s">
        <v>106</v>
      </c>
      <c r="B108" s="663" t="s">
        <v>107</v>
      </c>
      <c r="C108" s="663" t="s">
        <v>264</v>
      </c>
      <c r="D108" s="1015">
        <v>719</v>
      </c>
    </row>
    <row r="109" spans="1:4" s="666" customFormat="1">
      <c r="A109" s="662" t="s">
        <v>116</v>
      </c>
      <c r="B109" s="663" t="s">
        <v>117</v>
      </c>
      <c r="C109" s="663" t="s">
        <v>266</v>
      </c>
      <c r="D109" s="1015">
        <v>160</v>
      </c>
    </row>
    <row r="110" spans="1:4" s="666" customFormat="1">
      <c r="A110" s="662" t="s">
        <v>138</v>
      </c>
      <c r="B110" s="663" t="s">
        <v>139</v>
      </c>
      <c r="C110" s="663" t="s">
        <v>265</v>
      </c>
      <c r="D110" s="1015">
        <v>393</v>
      </c>
    </row>
    <row r="111" spans="1:4" s="666" customFormat="1">
      <c r="A111" s="662" t="s">
        <v>142</v>
      </c>
      <c r="B111" s="663" t="s">
        <v>143</v>
      </c>
      <c r="C111" s="663" t="s">
        <v>267</v>
      </c>
      <c r="D111" s="1015">
        <v>182</v>
      </c>
    </row>
    <row r="112" spans="1:4" s="666" customFormat="1">
      <c r="A112" s="662" t="s">
        <v>144</v>
      </c>
      <c r="B112" s="663" t="s">
        <v>145</v>
      </c>
      <c r="C112" s="663" t="s">
        <v>267</v>
      </c>
      <c r="D112" s="1015">
        <v>34</v>
      </c>
    </row>
    <row r="113" spans="1:5" s="666" customFormat="1">
      <c r="A113" s="662" t="s">
        <v>158</v>
      </c>
      <c r="B113" s="663" t="s">
        <v>159</v>
      </c>
      <c r="C113" s="663" t="s">
        <v>264</v>
      </c>
      <c r="D113" s="1015">
        <v>1336</v>
      </c>
    </row>
    <row r="114" spans="1:5" s="666" customFormat="1">
      <c r="A114" s="662" t="s">
        <v>160</v>
      </c>
      <c r="B114" s="663" t="s">
        <v>161</v>
      </c>
      <c r="C114" s="663" t="s">
        <v>264</v>
      </c>
      <c r="D114" s="1015">
        <v>1767</v>
      </c>
    </row>
    <row r="115" spans="1:5" s="666" customFormat="1">
      <c r="A115" s="662" t="s">
        <v>166</v>
      </c>
      <c r="B115" s="663" t="s">
        <v>167</v>
      </c>
      <c r="C115" s="663" t="s">
        <v>268</v>
      </c>
      <c r="D115" s="1015">
        <v>16</v>
      </c>
    </row>
    <row r="116" spans="1:5" s="666" customFormat="1">
      <c r="A116" s="662" t="s">
        <v>176</v>
      </c>
      <c r="B116" s="663" t="s">
        <v>177</v>
      </c>
      <c r="C116" s="663" t="s">
        <v>266</v>
      </c>
      <c r="D116" s="1015">
        <v>410</v>
      </c>
    </row>
    <row r="117" spans="1:5" s="666" customFormat="1">
      <c r="A117" s="662" t="s">
        <v>180</v>
      </c>
      <c r="B117" s="663" t="s">
        <v>181</v>
      </c>
      <c r="C117" s="663" t="s">
        <v>264</v>
      </c>
      <c r="D117" s="1015">
        <v>591</v>
      </c>
    </row>
    <row r="118" spans="1:5" s="666" customFormat="1">
      <c r="A118" s="662" t="s">
        <v>192</v>
      </c>
      <c r="B118" s="663" t="s">
        <v>193</v>
      </c>
      <c r="C118" s="663" t="s">
        <v>268</v>
      </c>
      <c r="D118" s="1015">
        <v>43</v>
      </c>
    </row>
    <row r="119" spans="1:5" s="666" customFormat="1">
      <c r="A119" s="662" t="s">
        <v>196</v>
      </c>
      <c r="B119" s="663" t="s">
        <v>197</v>
      </c>
      <c r="C119" s="663" t="s">
        <v>266</v>
      </c>
      <c r="D119" s="1015">
        <v>1780</v>
      </c>
    </row>
    <row r="120" spans="1:5" s="666" customFormat="1">
      <c r="A120" s="662" t="s">
        <v>200</v>
      </c>
      <c r="B120" s="663" t="s">
        <v>201</v>
      </c>
      <c r="C120" s="663" t="s">
        <v>265</v>
      </c>
      <c r="D120" s="1015">
        <v>775</v>
      </c>
    </row>
    <row r="121" spans="1:5" s="666" customFormat="1">
      <c r="A121" s="662" t="s">
        <v>222</v>
      </c>
      <c r="B121" s="663" t="s">
        <v>223</v>
      </c>
      <c r="C121" s="663" t="s">
        <v>264</v>
      </c>
      <c r="D121" s="1015">
        <v>268</v>
      </c>
    </row>
    <row r="122" spans="1:5" s="666" customFormat="1">
      <c r="A122" s="662" t="s">
        <v>230</v>
      </c>
      <c r="B122" s="663" t="s">
        <v>231</v>
      </c>
      <c r="C122" s="663" t="s">
        <v>264</v>
      </c>
      <c r="D122" s="1015">
        <v>1496</v>
      </c>
    </row>
    <row r="123" spans="1:5" s="666" customFormat="1">
      <c r="A123" s="662" t="s">
        <v>238</v>
      </c>
      <c r="B123" s="663" t="s">
        <v>239</v>
      </c>
      <c r="C123" s="663" t="s">
        <v>264</v>
      </c>
      <c r="D123" s="1015">
        <v>43</v>
      </c>
    </row>
    <row r="124" spans="1:5" s="666" customFormat="1">
      <c r="A124" s="662" t="s">
        <v>240</v>
      </c>
      <c r="B124" s="663" t="s">
        <v>241</v>
      </c>
      <c r="C124" s="663" t="s">
        <v>267</v>
      </c>
      <c r="D124" s="1015">
        <v>115</v>
      </c>
    </row>
    <row r="126" spans="1:5" ht="12.75" customHeight="1">
      <c r="A126" s="1916" t="s">
        <v>1210</v>
      </c>
      <c r="B126" s="1917"/>
      <c r="C126" s="1917"/>
      <c r="D126" s="1917"/>
      <c r="E126" s="1917"/>
    </row>
    <row r="127" spans="1:5">
      <c r="A127" s="1917"/>
      <c r="B127" s="1917"/>
      <c r="C127" s="1917"/>
      <c r="D127" s="1917"/>
      <c r="E127" s="1917"/>
    </row>
    <row r="128" spans="1:5" ht="18" customHeight="1">
      <c r="A128" s="1917"/>
      <c r="B128" s="1917"/>
      <c r="C128" s="1917"/>
      <c r="D128" s="1917"/>
      <c r="E128" s="1917"/>
    </row>
    <row r="129" spans="1:5">
      <c r="A129" s="1576"/>
      <c r="B129" s="1576"/>
      <c r="C129" s="1576"/>
      <c r="D129" s="1576"/>
      <c r="E129" s="1576"/>
    </row>
    <row r="130" spans="1:5" s="428" customFormat="1">
      <c r="A130" s="428" t="s">
        <v>248</v>
      </c>
    </row>
    <row r="131" spans="1:5" s="428" customFormat="1">
      <c r="A131" s="429" t="s">
        <v>249</v>
      </c>
      <c r="B131" s="430" t="s">
        <v>250</v>
      </c>
      <c r="C131" s="430"/>
    </row>
  </sheetData>
  <mergeCells count="1">
    <mergeCell ref="A126:E128"/>
  </mergeCells>
  <hyperlinks>
    <hyperlink ref="B131" r:id="rId1"/>
  </hyperlinks>
  <pageMargins left="0.7" right="0.7" top="0.75" bottom="0.75" header="0.3" footer="0.3"/>
</worksheet>
</file>

<file path=xl/worksheets/sheet29.xml><?xml version="1.0" encoding="utf-8"?>
<worksheet xmlns="http://schemas.openxmlformats.org/spreadsheetml/2006/main" xmlns:r="http://schemas.openxmlformats.org/officeDocument/2006/relationships">
  <dimension ref="A1:M131"/>
  <sheetViews>
    <sheetView workbookViewId="0">
      <pane xSplit="3" ySplit="5" topLeftCell="D6" activePane="bottomRight" state="frozen"/>
      <selection pane="topRight" activeCell="D1" sqref="D1"/>
      <selection pane="bottomLeft" activeCell="A6" sqref="A6"/>
      <selection pane="bottomRight" activeCell="A6" sqref="A6:XFD125"/>
    </sheetView>
  </sheetViews>
  <sheetFormatPr defaultColWidth="14.375" defaultRowHeight="15.75"/>
  <cols>
    <col min="1" max="1" width="14.375" style="524"/>
    <col min="2" max="2" width="32.25" style="524" customWidth="1"/>
    <col min="3" max="3" width="14.5" style="524" customWidth="1"/>
    <col min="4" max="4" width="11.875" style="524" customWidth="1"/>
    <col min="5" max="5" width="11.125" style="524" customWidth="1"/>
    <col min="6" max="6" width="14.5" style="524" customWidth="1"/>
    <col min="7" max="8" width="9.625" style="524" customWidth="1"/>
    <col min="9" max="12" width="12.125" style="524" customWidth="1"/>
    <col min="13" max="16384" width="14.375" style="524"/>
  </cols>
  <sheetData>
    <row r="1" spans="1:13">
      <c r="A1" s="257" t="s">
        <v>996</v>
      </c>
    </row>
    <row r="2" spans="1:13">
      <c r="B2" s="525"/>
      <c r="C2" s="525"/>
      <c r="D2" s="525"/>
      <c r="E2" s="525"/>
      <c r="F2" s="525"/>
      <c r="G2" s="525"/>
      <c r="H2" s="525"/>
    </row>
    <row r="3" spans="1:13" ht="23.25" customHeight="1">
      <c r="A3" s="526"/>
      <c r="B3" s="527"/>
      <c r="C3" s="631"/>
      <c r="D3" s="1920" t="s">
        <v>924</v>
      </c>
      <c r="E3" s="1920"/>
      <c r="F3" s="1920"/>
      <c r="G3" s="1920" t="s">
        <v>917</v>
      </c>
      <c r="H3" s="1920"/>
      <c r="I3" s="1920" t="s">
        <v>798</v>
      </c>
      <c r="J3" s="1920"/>
      <c r="K3" s="1920"/>
      <c r="L3" s="1025"/>
      <c r="M3" s="528" t="s">
        <v>867</v>
      </c>
    </row>
    <row r="4" spans="1:13" ht="35.25" customHeight="1">
      <c r="A4" s="528" t="s">
        <v>4</v>
      </c>
      <c r="B4" s="527" t="s">
        <v>5</v>
      </c>
      <c r="C4" s="631" t="s">
        <v>251</v>
      </c>
      <c r="D4" s="1317" t="s">
        <v>628</v>
      </c>
      <c r="E4" s="1317" t="s">
        <v>740</v>
      </c>
      <c r="F4" s="1317" t="s">
        <v>813</v>
      </c>
      <c r="G4" s="1317" t="s">
        <v>554</v>
      </c>
      <c r="H4" s="1317" t="s">
        <v>553</v>
      </c>
      <c r="I4" s="631" t="s">
        <v>2</v>
      </c>
      <c r="J4" s="631" t="s">
        <v>450</v>
      </c>
      <c r="K4" s="631" t="s">
        <v>868</v>
      </c>
      <c r="L4" s="1317" t="s">
        <v>281</v>
      </c>
      <c r="M4" s="528" t="s">
        <v>556</v>
      </c>
    </row>
    <row r="5" spans="1:13">
      <c r="A5" s="1339" t="s">
        <v>8</v>
      </c>
      <c r="B5" s="1340" t="s">
        <v>9</v>
      </c>
      <c r="C5" s="1341"/>
      <c r="D5" s="1342">
        <f>SUM(D6:D125)</f>
        <v>551541</v>
      </c>
      <c r="E5" s="1342">
        <f t="shared" ref="E5:F5" si="0">SUM(E6:E125)</f>
        <v>742744</v>
      </c>
      <c r="F5" s="1342">
        <f t="shared" si="0"/>
        <v>65053</v>
      </c>
      <c r="G5" s="1342">
        <f t="shared" ref="G5" si="1">SUM(G6:G125)</f>
        <v>765634</v>
      </c>
      <c r="H5" s="1342">
        <f t="shared" ref="H5:L5" si="2">SUM(H6:H125)</f>
        <v>593732</v>
      </c>
      <c r="I5" s="1343">
        <f t="shared" si="2"/>
        <v>591623</v>
      </c>
      <c r="J5" s="1343">
        <f t="shared" si="2"/>
        <v>529083</v>
      </c>
      <c r="K5" s="1343">
        <f t="shared" si="2"/>
        <v>75000</v>
      </c>
      <c r="L5" s="1343">
        <f t="shared" si="2"/>
        <v>1359367</v>
      </c>
      <c r="M5" s="1343">
        <f t="shared" ref="M5" si="3">SUM(M6:M125)</f>
        <v>154486</v>
      </c>
    </row>
    <row r="6" spans="1:13" s="630" customFormat="1">
      <c r="A6" s="632" t="s">
        <v>10</v>
      </c>
      <c r="B6" s="628" t="s">
        <v>11</v>
      </c>
      <c r="C6" s="627" t="s">
        <v>264</v>
      </c>
      <c r="D6" s="1016">
        <v>4180</v>
      </c>
      <c r="E6" s="1016">
        <v>5420</v>
      </c>
      <c r="F6" s="1016">
        <v>487</v>
      </c>
      <c r="G6" s="1016">
        <v>5527</v>
      </c>
      <c r="H6" s="1016">
        <v>4561</v>
      </c>
      <c r="I6" s="629">
        <v>5125</v>
      </c>
      <c r="J6" s="629">
        <v>4557</v>
      </c>
      <c r="K6" s="629">
        <v>139</v>
      </c>
      <c r="L6" s="629">
        <v>10088</v>
      </c>
      <c r="M6" s="629">
        <v>1938</v>
      </c>
    </row>
    <row r="7" spans="1:13" s="630" customFormat="1">
      <c r="A7" s="632" t="s">
        <v>12</v>
      </c>
      <c r="B7" s="628" t="s">
        <v>13</v>
      </c>
      <c r="C7" s="627" t="s">
        <v>265</v>
      </c>
      <c r="D7" s="1016">
        <v>4237</v>
      </c>
      <c r="E7" s="1016">
        <v>5719</v>
      </c>
      <c r="F7" s="1016">
        <v>447</v>
      </c>
      <c r="G7" s="1016">
        <v>5831</v>
      </c>
      <c r="H7" s="1016">
        <v>4572</v>
      </c>
      <c r="I7" s="629">
        <v>4968</v>
      </c>
      <c r="J7" s="629">
        <v>2653</v>
      </c>
      <c r="K7" s="629">
        <v>828</v>
      </c>
      <c r="L7" s="629">
        <v>10403</v>
      </c>
      <c r="M7" s="629">
        <v>1561</v>
      </c>
    </row>
    <row r="8" spans="1:13" s="630" customFormat="1">
      <c r="A8" s="632" t="s">
        <v>16</v>
      </c>
      <c r="B8" s="628" t="s">
        <v>297</v>
      </c>
      <c r="C8" s="627" t="s">
        <v>265</v>
      </c>
      <c r="D8" s="1016">
        <v>1983</v>
      </c>
      <c r="E8" s="1016">
        <v>3029</v>
      </c>
      <c r="F8" s="1016">
        <v>266</v>
      </c>
      <c r="G8" s="1016">
        <v>2880</v>
      </c>
      <c r="H8" s="1016">
        <v>2398</v>
      </c>
      <c r="I8" s="629">
        <v>4220</v>
      </c>
      <c r="J8" s="629">
        <v>485</v>
      </c>
      <c r="K8" s="629">
        <v>267</v>
      </c>
      <c r="L8" s="629">
        <v>5278</v>
      </c>
      <c r="M8" s="629">
        <v>166</v>
      </c>
    </row>
    <row r="9" spans="1:13" s="630" customFormat="1">
      <c r="A9" s="632" t="s">
        <v>18</v>
      </c>
      <c r="B9" s="628" t="s">
        <v>19</v>
      </c>
      <c r="C9" s="627" t="s">
        <v>266</v>
      </c>
      <c r="D9" s="1016">
        <v>1042</v>
      </c>
      <c r="E9" s="1016">
        <v>1600</v>
      </c>
      <c r="F9" s="1016">
        <v>161</v>
      </c>
      <c r="G9" s="1016">
        <v>1538</v>
      </c>
      <c r="H9" s="1016">
        <v>1265</v>
      </c>
      <c r="I9" s="629">
        <v>1667</v>
      </c>
      <c r="J9" s="629">
        <v>972</v>
      </c>
      <c r="K9" s="629">
        <v>107</v>
      </c>
      <c r="L9" s="629">
        <v>2803</v>
      </c>
      <c r="M9" s="629">
        <v>131</v>
      </c>
    </row>
    <row r="10" spans="1:13" s="630" customFormat="1">
      <c r="A10" s="632" t="s">
        <v>20</v>
      </c>
      <c r="B10" s="628" t="s">
        <v>21</v>
      </c>
      <c r="C10" s="627" t="s">
        <v>265</v>
      </c>
      <c r="D10" s="1016">
        <v>2363</v>
      </c>
      <c r="E10" s="1016">
        <v>3201</v>
      </c>
      <c r="F10" s="1016">
        <v>284</v>
      </c>
      <c r="G10" s="1016">
        <v>3273</v>
      </c>
      <c r="H10" s="1016">
        <v>2575</v>
      </c>
      <c r="I10" s="629">
        <v>3524</v>
      </c>
      <c r="J10" s="629">
        <v>1501</v>
      </c>
      <c r="K10" s="629">
        <v>220</v>
      </c>
      <c r="L10" s="629">
        <v>5848</v>
      </c>
      <c r="M10" s="629">
        <v>214</v>
      </c>
    </row>
    <row r="11" spans="1:13" s="630" customFormat="1">
      <c r="A11" s="632" t="s">
        <v>22</v>
      </c>
      <c r="B11" s="628" t="s">
        <v>23</v>
      </c>
      <c r="C11" s="627" t="s">
        <v>265</v>
      </c>
      <c r="D11" s="1016">
        <v>1373</v>
      </c>
      <c r="E11" s="1016">
        <v>2095</v>
      </c>
      <c r="F11" s="1016">
        <v>199</v>
      </c>
      <c r="G11" s="1016">
        <v>2012</v>
      </c>
      <c r="H11" s="1016">
        <v>1655</v>
      </c>
      <c r="I11" s="629">
        <v>2177</v>
      </c>
      <c r="J11" s="629">
        <v>1343</v>
      </c>
      <c r="K11" s="629">
        <v>94</v>
      </c>
      <c r="L11" s="629">
        <v>3667</v>
      </c>
      <c r="M11" s="629">
        <v>43</v>
      </c>
    </row>
    <row r="12" spans="1:13" s="630" customFormat="1">
      <c r="A12" s="632" t="s">
        <v>24</v>
      </c>
      <c r="B12" s="628" t="s">
        <v>25</v>
      </c>
      <c r="C12" s="627" t="s">
        <v>267</v>
      </c>
      <c r="D12" s="1016">
        <v>5212</v>
      </c>
      <c r="E12" s="1016">
        <v>7081</v>
      </c>
      <c r="F12" s="1016">
        <v>1547</v>
      </c>
      <c r="G12" s="1016">
        <v>7805</v>
      </c>
      <c r="H12" s="1016">
        <v>6035</v>
      </c>
      <c r="I12" s="629">
        <v>6266</v>
      </c>
      <c r="J12" s="629">
        <v>3526</v>
      </c>
      <c r="K12" s="629">
        <v>1711</v>
      </c>
      <c r="L12" s="629">
        <v>13840</v>
      </c>
      <c r="M12" s="629">
        <v>6072</v>
      </c>
    </row>
    <row r="13" spans="1:13" s="630" customFormat="1">
      <c r="A13" s="632" t="s">
        <v>26</v>
      </c>
      <c r="B13" s="628" t="s">
        <v>706</v>
      </c>
      <c r="C13" s="627" t="s">
        <v>265</v>
      </c>
      <c r="D13" s="1016">
        <v>8783</v>
      </c>
      <c r="E13" s="1016">
        <v>12889</v>
      </c>
      <c r="F13" s="1016">
        <v>968</v>
      </c>
      <c r="G13" s="1016">
        <v>12608</v>
      </c>
      <c r="H13" s="1016">
        <v>10032</v>
      </c>
      <c r="I13" s="629">
        <v>16749</v>
      </c>
      <c r="J13" s="629">
        <v>3215</v>
      </c>
      <c r="K13" s="629">
        <v>556</v>
      </c>
      <c r="L13" s="629">
        <v>22640</v>
      </c>
      <c r="M13" s="629">
        <v>1200</v>
      </c>
    </row>
    <row r="14" spans="1:13" s="630" customFormat="1">
      <c r="A14" s="632" t="s">
        <v>27</v>
      </c>
      <c r="B14" s="628" t="s">
        <v>28</v>
      </c>
      <c r="C14" s="627" t="s">
        <v>265</v>
      </c>
      <c r="D14" s="1016">
        <v>255</v>
      </c>
      <c r="E14" s="1016">
        <v>345</v>
      </c>
      <c r="F14" s="1016">
        <v>65</v>
      </c>
      <c r="G14" s="1016">
        <v>372</v>
      </c>
      <c r="H14" s="1016">
        <v>293</v>
      </c>
      <c r="I14" s="629">
        <v>606</v>
      </c>
      <c r="J14" s="629">
        <v>32</v>
      </c>
      <c r="K14" s="629">
        <v>22</v>
      </c>
      <c r="L14" s="629">
        <v>665</v>
      </c>
      <c r="M14" s="629">
        <v>12</v>
      </c>
    </row>
    <row r="15" spans="1:13" s="630" customFormat="1">
      <c r="A15" s="632" t="s">
        <v>29</v>
      </c>
      <c r="B15" s="628" t="s">
        <v>1012</v>
      </c>
      <c r="C15" s="627" t="s">
        <v>265</v>
      </c>
      <c r="D15" s="1016">
        <v>4569</v>
      </c>
      <c r="E15" s="1016">
        <v>6341</v>
      </c>
      <c r="F15" s="1016">
        <v>477</v>
      </c>
      <c r="G15" s="1016">
        <v>6278</v>
      </c>
      <c r="H15" s="1016">
        <v>5109</v>
      </c>
      <c r="I15" s="629">
        <v>8261</v>
      </c>
      <c r="J15" s="629">
        <v>1889</v>
      </c>
      <c r="K15" s="629">
        <v>235</v>
      </c>
      <c r="L15" s="629">
        <v>11387</v>
      </c>
      <c r="M15" s="629">
        <v>418</v>
      </c>
    </row>
    <row r="16" spans="1:13" s="630" customFormat="1">
      <c r="A16" s="632" t="s">
        <v>30</v>
      </c>
      <c r="B16" s="628" t="s">
        <v>31</v>
      </c>
      <c r="C16" s="627" t="s">
        <v>268</v>
      </c>
      <c r="D16" s="1016">
        <v>316</v>
      </c>
      <c r="E16" s="1016">
        <v>539</v>
      </c>
      <c r="F16" s="1016">
        <v>68</v>
      </c>
      <c r="G16" s="1016">
        <v>513</v>
      </c>
      <c r="H16" s="1016">
        <v>410</v>
      </c>
      <c r="I16" s="629">
        <v>806</v>
      </c>
      <c r="J16" s="629">
        <v>16</v>
      </c>
      <c r="K16" s="629">
        <v>7</v>
      </c>
      <c r="L16" s="629">
        <v>923</v>
      </c>
      <c r="M16" s="629">
        <v>11</v>
      </c>
    </row>
    <row r="17" spans="1:13" s="630" customFormat="1">
      <c r="A17" s="632" t="s">
        <v>32</v>
      </c>
      <c r="B17" s="628" t="s">
        <v>33</v>
      </c>
      <c r="C17" s="627" t="s">
        <v>265</v>
      </c>
      <c r="D17" s="1016">
        <v>1122</v>
      </c>
      <c r="E17" s="1016">
        <v>1552</v>
      </c>
      <c r="F17" s="1016">
        <v>118</v>
      </c>
      <c r="G17" s="1016">
        <v>1520</v>
      </c>
      <c r="H17" s="1016">
        <v>1274</v>
      </c>
      <c r="I17" s="629">
        <v>2445</v>
      </c>
      <c r="J17" s="629">
        <v>118</v>
      </c>
      <c r="K17" s="629">
        <v>144</v>
      </c>
      <c r="L17" s="629">
        <v>2794</v>
      </c>
      <c r="M17" s="629">
        <v>160</v>
      </c>
    </row>
    <row r="18" spans="1:13" s="630" customFormat="1">
      <c r="A18" s="632" t="s">
        <v>36</v>
      </c>
      <c r="B18" s="628" t="s">
        <v>37</v>
      </c>
      <c r="C18" s="627" t="s">
        <v>264</v>
      </c>
      <c r="D18" s="1016">
        <v>1834</v>
      </c>
      <c r="E18" s="1016">
        <v>2847</v>
      </c>
      <c r="F18" s="1016">
        <v>455</v>
      </c>
      <c r="G18" s="1016">
        <v>2846</v>
      </c>
      <c r="H18" s="1016">
        <v>2290</v>
      </c>
      <c r="I18" s="629">
        <v>1191</v>
      </c>
      <c r="J18" s="629">
        <v>3719</v>
      </c>
      <c r="K18" s="629">
        <v>103</v>
      </c>
      <c r="L18" s="629">
        <v>5136</v>
      </c>
      <c r="M18" s="629">
        <v>116</v>
      </c>
    </row>
    <row r="19" spans="1:13" s="630" customFormat="1">
      <c r="A19" s="632" t="s">
        <v>38</v>
      </c>
      <c r="B19" s="628" t="s">
        <v>39</v>
      </c>
      <c r="C19" s="627" t="s">
        <v>268</v>
      </c>
      <c r="D19" s="1016">
        <v>2112</v>
      </c>
      <c r="E19" s="1016">
        <v>3953</v>
      </c>
      <c r="F19" s="1016">
        <v>302</v>
      </c>
      <c r="G19" s="1016">
        <v>3485</v>
      </c>
      <c r="H19" s="1016">
        <v>2882</v>
      </c>
      <c r="I19" s="629">
        <v>6135</v>
      </c>
      <c r="J19" s="629">
        <v>14</v>
      </c>
      <c r="K19" s="629">
        <v>21</v>
      </c>
      <c r="L19" s="629">
        <v>6367</v>
      </c>
      <c r="M19" s="629">
        <v>50</v>
      </c>
    </row>
    <row r="20" spans="1:13" s="630" customFormat="1">
      <c r="A20" s="632" t="s">
        <v>40</v>
      </c>
      <c r="B20" s="628" t="s">
        <v>41</v>
      </c>
      <c r="C20" s="627" t="s">
        <v>266</v>
      </c>
      <c r="D20" s="1016">
        <v>1608</v>
      </c>
      <c r="E20" s="1016">
        <v>2583</v>
      </c>
      <c r="F20" s="1016">
        <v>279</v>
      </c>
      <c r="G20" s="1016">
        <v>2442</v>
      </c>
      <c r="H20" s="1016">
        <v>2028</v>
      </c>
      <c r="I20" s="629">
        <v>2114</v>
      </c>
      <c r="J20" s="629">
        <v>1990</v>
      </c>
      <c r="K20" s="629">
        <v>108</v>
      </c>
      <c r="L20" s="629">
        <v>4470</v>
      </c>
      <c r="M20" s="629">
        <v>109</v>
      </c>
    </row>
    <row r="21" spans="1:13" s="630" customFormat="1">
      <c r="A21" s="632" t="s">
        <v>42</v>
      </c>
      <c r="B21" s="628" t="s">
        <v>43</v>
      </c>
      <c r="C21" s="627" t="s">
        <v>265</v>
      </c>
      <c r="D21" s="1016">
        <v>4251</v>
      </c>
      <c r="E21" s="1016">
        <v>6415</v>
      </c>
      <c r="F21" s="1016">
        <v>540</v>
      </c>
      <c r="G21" s="1016">
        <v>6288</v>
      </c>
      <c r="H21" s="1016">
        <v>4918</v>
      </c>
      <c r="I21" s="629">
        <v>7158</v>
      </c>
      <c r="J21" s="629">
        <v>2757</v>
      </c>
      <c r="K21" s="629">
        <v>260</v>
      </c>
      <c r="L21" s="629">
        <v>11206</v>
      </c>
      <c r="M21" s="629">
        <v>313</v>
      </c>
    </row>
    <row r="22" spans="1:13" s="630" customFormat="1">
      <c r="A22" s="632" t="s">
        <v>44</v>
      </c>
      <c r="B22" s="628" t="s">
        <v>45</v>
      </c>
      <c r="C22" s="627" t="s">
        <v>266</v>
      </c>
      <c r="D22" s="1016">
        <v>2889</v>
      </c>
      <c r="E22" s="1016">
        <v>3867</v>
      </c>
      <c r="F22" s="1016">
        <v>306</v>
      </c>
      <c r="G22" s="1016">
        <v>3918</v>
      </c>
      <c r="H22" s="1016">
        <v>3144</v>
      </c>
      <c r="I22" s="629">
        <v>3436</v>
      </c>
      <c r="J22" s="629">
        <v>2475</v>
      </c>
      <c r="K22" s="629">
        <v>186</v>
      </c>
      <c r="L22" s="629">
        <v>7062</v>
      </c>
      <c r="M22" s="629">
        <v>293</v>
      </c>
    </row>
    <row r="23" spans="1:13" s="630" customFormat="1">
      <c r="A23" s="632" t="s">
        <v>46</v>
      </c>
      <c r="B23" s="628" t="s">
        <v>47</v>
      </c>
      <c r="C23" s="627" t="s">
        <v>268</v>
      </c>
      <c r="D23" s="1016">
        <v>2719</v>
      </c>
      <c r="E23" s="1016">
        <v>4432</v>
      </c>
      <c r="F23" s="1016">
        <v>535</v>
      </c>
      <c r="G23" s="1016">
        <v>4105</v>
      </c>
      <c r="H23" s="1016">
        <v>3582</v>
      </c>
      <c r="I23" s="629">
        <v>6605</v>
      </c>
      <c r="J23" s="629">
        <v>120</v>
      </c>
      <c r="K23" s="629">
        <v>144</v>
      </c>
      <c r="L23" s="629">
        <v>7687</v>
      </c>
      <c r="M23" s="629">
        <v>358</v>
      </c>
    </row>
    <row r="24" spans="1:13" s="630" customFormat="1">
      <c r="A24" s="632" t="s">
        <v>48</v>
      </c>
      <c r="B24" s="628" t="s">
        <v>269</v>
      </c>
      <c r="C24" s="627" t="s">
        <v>266</v>
      </c>
      <c r="D24" s="1016">
        <v>493</v>
      </c>
      <c r="E24" s="1016">
        <v>889</v>
      </c>
      <c r="F24" s="1016">
        <v>76</v>
      </c>
      <c r="G24" s="1016">
        <v>793</v>
      </c>
      <c r="H24" s="1016">
        <v>665</v>
      </c>
      <c r="I24" s="629">
        <v>432</v>
      </c>
      <c r="J24" s="629">
        <v>800</v>
      </c>
      <c r="K24" s="629">
        <v>59</v>
      </c>
      <c r="L24" s="629">
        <v>1458</v>
      </c>
      <c r="M24" s="629">
        <v>16</v>
      </c>
    </row>
    <row r="25" spans="1:13" s="630" customFormat="1">
      <c r="A25" s="632" t="s">
        <v>50</v>
      </c>
      <c r="B25" s="628" t="s">
        <v>51</v>
      </c>
      <c r="C25" s="627" t="s">
        <v>265</v>
      </c>
      <c r="D25" s="1016">
        <v>1202</v>
      </c>
      <c r="E25" s="1016">
        <v>1753</v>
      </c>
      <c r="F25" s="1016">
        <v>256</v>
      </c>
      <c r="G25" s="1016">
        <v>1789</v>
      </c>
      <c r="H25" s="1016">
        <v>1422</v>
      </c>
      <c r="I25" s="629">
        <v>1476</v>
      </c>
      <c r="J25" s="629">
        <v>1526</v>
      </c>
      <c r="K25" s="629">
        <v>103</v>
      </c>
      <c r="L25" s="629">
        <v>3211</v>
      </c>
      <c r="M25" s="629">
        <v>124</v>
      </c>
    </row>
    <row r="26" spans="1:13" s="630" customFormat="1">
      <c r="A26" s="632" t="s">
        <v>56</v>
      </c>
      <c r="B26" s="628" t="s">
        <v>295</v>
      </c>
      <c r="C26" s="627" t="s">
        <v>266</v>
      </c>
      <c r="D26" s="1016">
        <v>22693</v>
      </c>
      <c r="E26" s="1016">
        <v>26769</v>
      </c>
      <c r="F26" s="1016">
        <v>1432</v>
      </c>
      <c r="G26" s="1016">
        <v>29425</v>
      </c>
      <c r="H26" s="1016">
        <v>21470</v>
      </c>
      <c r="I26" s="629">
        <v>21916</v>
      </c>
      <c r="J26" s="629">
        <v>17760</v>
      </c>
      <c r="K26" s="629">
        <v>2990</v>
      </c>
      <c r="L26" s="629">
        <v>50895</v>
      </c>
      <c r="M26" s="629">
        <v>7079</v>
      </c>
    </row>
    <row r="27" spans="1:13" s="630" customFormat="1">
      <c r="A27" s="632" t="s">
        <v>58</v>
      </c>
      <c r="B27" s="628" t="s">
        <v>59</v>
      </c>
      <c r="C27" s="627" t="s">
        <v>267</v>
      </c>
      <c r="D27" s="1016">
        <v>476</v>
      </c>
      <c r="E27" s="1016">
        <v>658</v>
      </c>
      <c r="F27" s="1016">
        <v>85</v>
      </c>
      <c r="G27" s="1016">
        <v>671</v>
      </c>
      <c r="H27" s="1016">
        <v>548</v>
      </c>
      <c r="I27" s="629">
        <v>932</v>
      </c>
      <c r="J27" s="629">
        <v>151</v>
      </c>
      <c r="K27" s="629">
        <v>33</v>
      </c>
      <c r="L27" s="629">
        <v>1219</v>
      </c>
      <c r="M27" s="629">
        <v>107</v>
      </c>
    </row>
    <row r="28" spans="1:13" s="630" customFormat="1">
      <c r="A28" s="632" t="s">
        <v>60</v>
      </c>
      <c r="B28" s="628" t="s">
        <v>61</v>
      </c>
      <c r="C28" s="627" t="s">
        <v>265</v>
      </c>
      <c r="D28" s="1016">
        <v>333</v>
      </c>
      <c r="E28" s="1016">
        <v>453</v>
      </c>
      <c r="F28" s="1016">
        <v>65</v>
      </c>
      <c r="G28" s="1016">
        <v>468</v>
      </c>
      <c r="H28" s="1016">
        <v>383</v>
      </c>
      <c r="I28" s="629">
        <v>829</v>
      </c>
      <c r="J28" s="629">
        <v>4</v>
      </c>
      <c r="K28" s="629">
        <v>1</v>
      </c>
      <c r="L28" s="629">
        <v>851</v>
      </c>
      <c r="M28" s="629">
        <v>8</v>
      </c>
    </row>
    <row r="29" spans="1:13" s="630" customFormat="1">
      <c r="A29" s="632" t="s">
        <v>62</v>
      </c>
      <c r="B29" s="628" t="s">
        <v>63</v>
      </c>
      <c r="C29" s="627" t="s">
        <v>267</v>
      </c>
      <c r="D29" s="1016">
        <v>3706</v>
      </c>
      <c r="E29" s="1016">
        <v>4541</v>
      </c>
      <c r="F29" s="1016">
        <v>376</v>
      </c>
      <c r="G29" s="1016">
        <v>4882</v>
      </c>
      <c r="H29" s="1016">
        <v>3741</v>
      </c>
      <c r="I29" s="629">
        <v>4374</v>
      </c>
      <c r="J29" s="629">
        <v>2537</v>
      </c>
      <c r="K29" s="629">
        <v>721</v>
      </c>
      <c r="L29" s="629">
        <v>8623</v>
      </c>
      <c r="M29" s="629">
        <v>954</v>
      </c>
    </row>
    <row r="30" spans="1:13" s="630" customFormat="1">
      <c r="A30" s="632" t="s">
        <v>64</v>
      </c>
      <c r="B30" s="628" t="s">
        <v>65</v>
      </c>
      <c r="C30" s="627" t="s">
        <v>266</v>
      </c>
      <c r="D30" s="1016">
        <v>1189</v>
      </c>
      <c r="E30" s="1016">
        <v>1762</v>
      </c>
      <c r="F30" s="1016">
        <v>191</v>
      </c>
      <c r="G30" s="1016">
        <v>1709</v>
      </c>
      <c r="H30" s="1016">
        <v>1433</v>
      </c>
      <c r="I30" s="629">
        <v>1485</v>
      </c>
      <c r="J30" s="629">
        <v>1430</v>
      </c>
      <c r="K30" s="629">
        <v>111</v>
      </c>
      <c r="L30" s="629">
        <v>3142</v>
      </c>
      <c r="M30" s="629">
        <v>106</v>
      </c>
    </row>
    <row r="31" spans="1:13" s="630" customFormat="1">
      <c r="A31" s="632" t="s">
        <v>68</v>
      </c>
      <c r="B31" s="628" t="s">
        <v>69</v>
      </c>
      <c r="C31" s="627" t="s">
        <v>268</v>
      </c>
      <c r="D31" s="1016">
        <v>1574</v>
      </c>
      <c r="E31" s="1016">
        <v>2822</v>
      </c>
      <c r="F31" s="1016">
        <v>202</v>
      </c>
      <c r="G31" s="1016">
        <v>2478</v>
      </c>
      <c r="H31" s="1016">
        <v>2120</v>
      </c>
      <c r="I31" s="629">
        <v>4338</v>
      </c>
      <c r="J31" s="629">
        <v>43</v>
      </c>
      <c r="K31" s="629">
        <v>3</v>
      </c>
      <c r="L31" s="629">
        <v>4598</v>
      </c>
      <c r="M31" s="629">
        <v>41</v>
      </c>
    </row>
    <row r="32" spans="1:13" s="630" customFormat="1">
      <c r="A32" s="632" t="s">
        <v>70</v>
      </c>
      <c r="B32" s="628" t="s">
        <v>71</v>
      </c>
      <c r="C32" s="627" t="s">
        <v>264</v>
      </c>
      <c r="D32" s="1016">
        <v>2576</v>
      </c>
      <c r="E32" s="1016">
        <v>3627</v>
      </c>
      <c r="F32" s="1016">
        <v>297</v>
      </c>
      <c r="G32" s="1016">
        <v>3693</v>
      </c>
      <c r="H32" s="1016">
        <v>2807</v>
      </c>
      <c r="I32" s="629">
        <v>3196</v>
      </c>
      <c r="J32" s="629">
        <v>2405</v>
      </c>
      <c r="K32" s="629">
        <v>126</v>
      </c>
      <c r="L32" s="629">
        <v>6500</v>
      </c>
      <c r="M32" s="629">
        <v>326</v>
      </c>
    </row>
    <row r="33" spans="1:13" s="630" customFormat="1">
      <c r="A33" s="632" t="s">
        <v>72</v>
      </c>
      <c r="B33" s="628" t="s">
        <v>73</v>
      </c>
      <c r="C33" s="627" t="s">
        <v>266</v>
      </c>
      <c r="D33" s="1016">
        <v>1337</v>
      </c>
      <c r="E33" s="1016">
        <v>1888</v>
      </c>
      <c r="F33" s="1016">
        <v>133</v>
      </c>
      <c r="G33" s="1016">
        <v>1913</v>
      </c>
      <c r="H33" s="1016">
        <v>1445</v>
      </c>
      <c r="I33" s="629">
        <v>827</v>
      </c>
      <c r="J33" s="629">
        <v>1757</v>
      </c>
      <c r="K33" s="629">
        <v>60</v>
      </c>
      <c r="L33" s="629">
        <v>3358</v>
      </c>
      <c r="M33" s="629">
        <v>107</v>
      </c>
    </row>
    <row r="34" spans="1:13" s="630" customFormat="1">
      <c r="A34" s="632" t="s">
        <v>74</v>
      </c>
      <c r="B34" s="628" t="s">
        <v>296</v>
      </c>
      <c r="C34" s="627" t="s">
        <v>267</v>
      </c>
      <c r="D34" s="1016">
        <v>36759</v>
      </c>
      <c r="E34" s="1016">
        <v>40261</v>
      </c>
      <c r="F34" s="1016">
        <v>8301</v>
      </c>
      <c r="G34" s="1016">
        <v>48709</v>
      </c>
      <c r="H34" s="1016">
        <v>36614</v>
      </c>
      <c r="I34" s="629">
        <v>36549</v>
      </c>
      <c r="J34" s="629">
        <v>16448</v>
      </c>
      <c r="K34" s="629">
        <v>16740</v>
      </c>
      <c r="L34" s="629">
        <v>85323</v>
      </c>
      <c r="M34" s="629">
        <v>35886</v>
      </c>
    </row>
    <row r="35" spans="1:13" s="630" customFormat="1">
      <c r="A35" s="632" t="s">
        <v>76</v>
      </c>
      <c r="B35" s="628" t="s">
        <v>77</v>
      </c>
      <c r="C35" s="627" t="s">
        <v>267</v>
      </c>
      <c r="D35" s="1016">
        <v>2736</v>
      </c>
      <c r="E35" s="1016">
        <v>3525</v>
      </c>
      <c r="F35" s="1016">
        <v>292</v>
      </c>
      <c r="G35" s="1016">
        <v>3639</v>
      </c>
      <c r="H35" s="1016">
        <v>2914</v>
      </c>
      <c r="I35" s="629">
        <v>3870</v>
      </c>
      <c r="J35" s="629">
        <v>1530</v>
      </c>
      <c r="K35" s="629">
        <v>454</v>
      </c>
      <c r="L35" s="629">
        <v>6553</v>
      </c>
      <c r="M35" s="629">
        <v>820</v>
      </c>
    </row>
    <row r="36" spans="1:13" s="630" customFormat="1">
      <c r="A36" s="632" t="s">
        <v>78</v>
      </c>
      <c r="B36" s="628" t="s">
        <v>79</v>
      </c>
      <c r="C36" s="627" t="s">
        <v>268</v>
      </c>
      <c r="D36" s="1016">
        <v>1105</v>
      </c>
      <c r="E36" s="1016">
        <v>1608</v>
      </c>
      <c r="F36" s="1016">
        <v>166</v>
      </c>
      <c r="G36" s="1016">
        <v>1514</v>
      </c>
      <c r="H36" s="1016">
        <v>1365</v>
      </c>
      <c r="I36" s="629">
        <v>2470</v>
      </c>
      <c r="J36" s="629">
        <v>106</v>
      </c>
      <c r="K36" s="629">
        <v>141</v>
      </c>
      <c r="L36" s="629">
        <v>2879</v>
      </c>
      <c r="M36" s="629">
        <v>187</v>
      </c>
    </row>
    <row r="37" spans="1:13" s="630" customFormat="1">
      <c r="A37" s="632" t="s">
        <v>80</v>
      </c>
      <c r="B37" s="628" t="s">
        <v>81</v>
      </c>
      <c r="C37" s="627" t="s">
        <v>266</v>
      </c>
      <c r="D37" s="1016">
        <v>1162</v>
      </c>
      <c r="E37" s="1016">
        <v>1482</v>
      </c>
      <c r="F37" s="1016">
        <v>123</v>
      </c>
      <c r="G37" s="1016">
        <v>1574</v>
      </c>
      <c r="H37" s="1016">
        <v>1193</v>
      </c>
      <c r="I37" s="629">
        <v>1596</v>
      </c>
      <c r="J37" s="629">
        <v>849</v>
      </c>
      <c r="K37" s="629">
        <v>94</v>
      </c>
      <c r="L37" s="629">
        <v>2767</v>
      </c>
      <c r="M37" s="629">
        <v>146</v>
      </c>
    </row>
    <row r="38" spans="1:13" s="630" customFormat="1">
      <c r="A38" s="632" t="s">
        <v>84</v>
      </c>
      <c r="B38" s="628" t="s">
        <v>85</v>
      </c>
      <c r="C38" s="627" t="s">
        <v>265</v>
      </c>
      <c r="D38" s="1016">
        <v>4423</v>
      </c>
      <c r="E38" s="1016">
        <v>6499</v>
      </c>
      <c r="F38" s="1016">
        <v>507</v>
      </c>
      <c r="G38" s="1016">
        <v>6218</v>
      </c>
      <c r="H38" s="1016">
        <v>5212</v>
      </c>
      <c r="I38" s="629">
        <v>8241</v>
      </c>
      <c r="J38" s="629">
        <v>1561</v>
      </c>
      <c r="K38" s="629">
        <v>310</v>
      </c>
      <c r="L38" s="629">
        <v>11430</v>
      </c>
      <c r="M38" s="629">
        <v>508</v>
      </c>
    </row>
    <row r="39" spans="1:13" s="630" customFormat="1">
      <c r="A39" s="632" t="s">
        <v>86</v>
      </c>
      <c r="B39" s="628" t="s">
        <v>87</v>
      </c>
      <c r="C39" s="627" t="s">
        <v>267</v>
      </c>
      <c r="D39" s="1016">
        <v>4594</v>
      </c>
      <c r="E39" s="1016">
        <v>5578</v>
      </c>
      <c r="F39" s="1016">
        <v>418</v>
      </c>
      <c r="G39" s="1016">
        <v>5866</v>
      </c>
      <c r="H39" s="1016">
        <v>4724</v>
      </c>
      <c r="I39" s="629">
        <v>8168</v>
      </c>
      <c r="J39" s="629">
        <v>857</v>
      </c>
      <c r="K39" s="629">
        <v>345</v>
      </c>
      <c r="L39" s="629">
        <v>10590</v>
      </c>
      <c r="M39" s="629">
        <v>1536</v>
      </c>
    </row>
    <row r="40" spans="1:13" s="630" customFormat="1">
      <c r="A40" s="632" t="s">
        <v>92</v>
      </c>
      <c r="B40" s="628" t="s">
        <v>93</v>
      </c>
      <c r="C40" s="627" t="s">
        <v>268</v>
      </c>
      <c r="D40" s="1016">
        <v>1259</v>
      </c>
      <c r="E40" s="1016">
        <v>2049</v>
      </c>
      <c r="F40" s="1016">
        <v>199</v>
      </c>
      <c r="G40" s="1016">
        <v>1940</v>
      </c>
      <c r="H40" s="1016">
        <v>1567</v>
      </c>
      <c r="I40" s="629">
        <v>3307</v>
      </c>
      <c r="J40" s="629">
        <v>53</v>
      </c>
      <c r="K40" s="629">
        <v>24</v>
      </c>
      <c r="L40" s="629">
        <v>3507</v>
      </c>
      <c r="M40" s="629">
        <v>79</v>
      </c>
    </row>
    <row r="41" spans="1:13" s="630" customFormat="1">
      <c r="A41" s="632" t="s">
        <v>94</v>
      </c>
      <c r="B41" s="628" t="s">
        <v>95</v>
      </c>
      <c r="C41" s="627" t="s">
        <v>264</v>
      </c>
      <c r="D41" s="1016">
        <v>2365</v>
      </c>
      <c r="E41" s="1016">
        <v>3624</v>
      </c>
      <c r="F41" s="1016">
        <v>262</v>
      </c>
      <c r="G41" s="1016">
        <v>3441</v>
      </c>
      <c r="H41" s="1016">
        <v>2810</v>
      </c>
      <c r="I41" s="629">
        <v>4847</v>
      </c>
      <c r="J41" s="629">
        <v>877</v>
      </c>
      <c r="K41" s="629">
        <v>132</v>
      </c>
      <c r="L41" s="629">
        <v>6251</v>
      </c>
      <c r="M41" s="629">
        <v>202</v>
      </c>
    </row>
    <row r="42" spans="1:13" s="630" customFormat="1">
      <c r="A42" s="632" t="s">
        <v>96</v>
      </c>
      <c r="B42" s="628" t="s">
        <v>97</v>
      </c>
      <c r="C42" s="627" t="s">
        <v>266</v>
      </c>
      <c r="D42" s="1016">
        <v>727</v>
      </c>
      <c r="E42" s="1016">
        <v>1117</v>
      </c>
      <c r="F42" s="1016">
        <v>115</v>
      </c>
      <c r="G42" s="1016">
        <v>1092</v>
      </c>
      <c r="H42" s="1016">
        <v>867</v>
      </c>
      <c r="I42" s="629">
        <v>915</v>
      </c>
      <c r="J42" s="629">
        <v>799</v>
      </c>
      <c r="K42" s="629">
        <v>63</v>
      </c>
      <c r="L42" s="629">
        <v>1959</v>
      </c>
      <c r="M42" s="629">
        <v>155</v>
      </c>
    </row>
    <row r="43" spans="1:13" s="630" customFormat="1">
      <c r="A43" s="632" t="s">
        <v>98</v>
      </c>
      <c r="B43" s="628" t="s">
        <v>99</v>
      </c>
      <c r="C43" s="627" t="s">
        <v>268</v>
      </c>
      <c r="D43" s="1016">
        <v>1437</v>
      </c>
      <c r="E43" s="1016">
        <v>2271</v>
      </c>
      <c r="F43" s="1016">
        <v>319</v>
      </c>
      <c r="G43" s="1016">
        <v>2215</v>
      </c>
      <c r="H43" s="1016">
        <v>1812</v>
      </c>
      <c r="I43" s="629">
        <v>3571</v>
      </c>
      <c r="J43" s="629">
        <v>176</v>
      </c>
      <c r="K43" s="629">
        <v>69</v>
      </c>
      <c r="L43" s="629">
        <v>4027</v>
      </c>
      <c r="M43" s="629">
        <v>236</v>
      </c>
    </row>
    <row r="44" spans="1:13" s="630" customFormat="1">
      <c r="A44" s="632" t="s">
        <v>100</v>
      </c>
      <c r="B44" s="628" t="s">
        <v>101</v>
      </c>
      <c r="C44" s="627" t="s">
        <v>267</v>
      </c>
      <c r="D44" s="1016">
        <v>1321</v>
      </c>
      <c r="E44" s="1016">
        <v>1716</v>
      </c>
      <c r="F44" s="1016">
        <v>123</v>
      </c>
      <c r="G44" s="1016">
        <v>1738</v>
      </c>
      <c r="H44" s="1016">
        <v>1422</v>
      </c>
      <c r="I44" s="629">
        <v>2227</v>
      </c>
      <c r="J44" s="629">
        <v>514</v>
      </c>
      <c r="K44" s="629">
        <v>166</v>
      </c>
      <c r="L44" s="629">
        <v>3160</v>
      </c>
      <c r="M44" s="629">
        <v>202</v>
      </c>
    </row>
    <row r="45" spans="1:13" s="630" customFormat="1">
      <c r="A45" s="632" t="s">
        <v>102</v>
      </c>
      <c r="B45" s="628" t="s">
        <v>282</v>
      </c>
      <c r="C45" s="627" t="s">
        <v>264</v>
      </c>
      <c r="D45" s="1016">
        <v>2284</v>
      </c>
      <c r="E45" s="1016">
        <v>3216</v>
      </c>
      <c r="F45" s="1016">
        <v>333</v>
      </c>
      <c r="G45" s="1016">
        <v>3258</v>
      </c>
      <c r="H45" s="1016">
        <v>2575</v>
      </c>
      <c r="I45" s="629">
        <v>771</v>
      </c>
      <c r="J45" s="629">
        <v>4631</v>
      </c>
      <c r="K45" s="629">
        <v>135</v>
      </c>
      <c r="L45" s="629">
        <v>5833</v>
      </c>
      <c r="M45" s="629">
        <v>208</v>
      </c>
    </row>
    <row r="46" spans="1:13" s="630" customFormat="1">
      <c r="A46" s="632" t="s">
        <v>104</v>
      </c>
      <c r="B46" s="628" t="s">
        <v>105</v>
      </c>
      <c r="C46" s="627" t="s">
        <v>265</v>
      </c>
      <c r="D46" s="1016">
        <v>3460</v>
      </c>
      <c r="E46" s="1016">
        <v>5092</v>
      </c>
      <c r="F46" s="1016">
        <v>736</v>
      </c>
      <c r="G46" s="1016">
        <v>5259</v>
      </c>
      <c r="H46" s="1016">
        <v>4029</v>
      </c>
      <c r="I46" s="629">
        <v>3167</v>
      </c>
      <c r="J46" s="629">
        <v>5066</v>
      </c>
      <c r="K46" s="629">
        <v>180</v>
      </c>
      <c r="L46" s="629">
        <v>9288</v>
      </c>
      <c r="M46" s="629">
        <v>271</v>
      </c>
    </row>
    <row r="47" spans="1:13" s="630" customFormat="1">
      <c r="A47" s="632" t="s">
        <v>108</v>
      </c>
      <c r="B47" s="628" t="s">
        <v>109</v>
      </c>
      <c r="C47" s="627" t="s">
        <v>266</v>
      </c>
      <c r="D47" s="1016">
        <v>3562</v>
      </c>
      <c r="E47" s="1016">
        <v>4819</v>
      </c>
      <c r="F47" s="1016">
        <v>382</v>
      </c>
      <c r="G47" s="1016">
        <v>4922</v>
      </c>
      <c r="H47" s="1016">
        <v>3841</v>
      </c>
      <c r="I47" s="629">
        <v>5097</v>
      </c>
      <c r="J47" s="629">
        <v>2063</v>
      </c>
      <c r="K47" s="629">
        <v>306</v>
      </c>
      <c r="L47" s="629">
        <v>8763</v>
      </c>
      <c r="M47" s="629">
        <v>587</v>
      </c>
    </row>
    <row r="48" spans="1:13" s="630" customFormat="1">
      <c r="A48" s="632" t="s">
        <v>110</v>
      </c>
      <c r="B48" s="628" t="s">
        <v>111</v>
      </c>
      <c r="C48" s="627" t="s">
        <v>266</v>
      </c>
      <c r="D48" s="1016">
        <v>21677</v>
      </c>
      <c r="E48" s="1016">
        <v>27035</v>
      </c>
      <c r="F48" s="1016">
        <v>2087</v>
      </c>
      <c r="G48" s="1016">
        <v>29296</v>
      </c>
      <c r="H48" s="1016">
        <v>21503</v>
      </c>
      <c r="I48" s="629">
        <v>11995</v>
      </c>
      <c r="J48" s="629">
        <v>26698</v>
      </c>
      <c r="K48" s="629">
        <v>3075</v>
      </c>
      <c r="L48" s="629">
        <v>50799</v>
      </c>
      <c r="M48" s="629">
        <v>3726</v>
      </c>
    </row>
    <row r="49" spans="1:13" s="630" customFormat="1">
      <c r="A49" s="632" t="s">
        <v>112</v>
      </c>
      <c r="B49" s="628" t="s">
        <v>300</v>
      </c>
      <c r="C49" s="627" t="s">
        <v>265</v>
      </c>
      <c r="D49" s="1016">
        <v>8363</v>
      </c>
      <c r="E49" s="1016">
        <v>13198</v>
      </c>
      <c r="F49" s="1016">
        <v>1100</v>
      </c>
      <c r="G49" s="1016">
        <v>12440</v>
      </c>
      <c r="H49" s="1016">
        <v>10221</v>
      </c>
      <c r="I49" s="629">
        <v>11030</v>
      </c>
      <c r="J49" s="629">
        <v>8001</v>
      </c>
      <c r="K49" s="629">
        <v>290</v>
      </c>
      <c r="L49" s="629">
        <v>22661</v>
      </c>
      <c r="M49" s="629">
        <v>2076</v>
      </c>
    </row>
    <row r="50" spans="1:13" s="630" customFormat="1">
      <c r="A50" s="632" t="s">
        <v>114</v>
      </c>
      <c r="B50" s="628" t="s">
        <v>115</v>
      </c>
      <c r="C50" s="627" t="s">
        <v>265</v>
      </c>
      <c r="D50" s="1016">
        <v>82</v>
      </c>
      <c r="E50" s="1016">
        <v>144</v>
      </c>
      <c r="F50" s="1016">
        <v>18</v>
      </c>
      <c r="G50" s="1016">
        <v>140</v>
      </c>
      <c r="H50" s="1016">
        <v>104</v>
      </c>
      <c r="I50" s="629">
        <v>192</v>
      </c>
      <c r="J50" s="629">
        <v>0</v>
      </c>
      <c r="K50" s="629">
        <v>0</v>
      </c>
      <c r="L50" s="629">
        <v>244</v>
      </c>
      <c r="M50" s="629">
        <v>0</v>
      </c>
    </row>
    <row r="51" spans="1:13" s="630" customFormat="1">
      <c r="A51" s="632" t="s">
        <v>118</v>
      </c>
      <c r="B51" s="628" t="s">
        <v>270</v>
      </c>
      <c r="C51" s="627" t="s">
        <v>264</v>
      </c>
      <c r="D51" s="1016">
        <v>2218</v>
      </c>
      <c r="E51" s="1016">
        <v>3190</v>
      </c>
      <c r="F51" s="1016">
        <v>319</v>
      </c>
      <c r="G51" s="1016">
        <v>3235</v>
      </c>
      <c r="H51" s="1016">
        <v>2492</v>
      </c>
      <c r="I51" s="629">
        <v>2309</v>
      </c>
      <c r="J51" s="629">
        <v>2682</v>
      </c>
      <c r="K51" s="629">
        <v>129</v>
      </c>
      <c r="L51" s="629">
        <v>5727</v>
      </c>
      <c r="M51" s="629">
        <v>169</v>
      </c>
    </row>
    <row r="52" spans="1:13" s="630" customFormat="1">
      <c r="A52" s="632" t="s">
        <v>120</v>
      </c>
      <c r="B52" s="628" t="s">
        <v>121</v>
      </c>
      <c r="C52" s="627" t="s">
        <v>264</v>
      </c>
      <c r="D52" s="1016">
        <v>3191</v>
      </c>
      <c r="E52" s="1016">
        <v>3911</v>
      </c>
      <c r="F52" s="1016">
        <v>266</v>
      </c>
      <c r="G52" s="1016">
        <v>4239</v>
      </c>
      <c r="H52" s="1016">
        <v>3129</v>
      </c>
      <c r="I52" s="629">
        <v>3249</v>
      </c>
      <c r="J52" s="629">
        <v>2832</v>
      </c>
      <c r="K52" s="629">
        <v>382</v>
      </c>
      <c r="L52" s="629">
        <v>7368</v>
      </c>
      <c r="M52" s="629">
        <v>748</v>
      </c>
    </row>
    <row r="53" spans="1:13" s="630" customFormat="1">
      <c r="A53" s="632" t="s">
        <v>122</v>
      </c>
      <c r="B53" s="628" t="s">
        <v>287</v>
      </c>
      <c r="C53" s="627" t="s">
        <v>266</v>
      </c>
      <c r="D53" s="1016">
        <v>699</v>
      </c>
      <c r="E53" s="1016">
        <v>979</v>
      </c>
      <c r="F53" s="1016">
        <v>112</v>
      </c>
      <c r="G53" s="1016">
        <v>1004</v>
      </c>
      <c r="H53" s="1016">
        <v>786</v>
      </c>
      <c r="I53" s="629">
        <v>840</v>
      </c>
      <c r="J53" s="629">
        <v>731</v>
      </c>
      <c r="K53" s="629">
        <v>81</v>
      </c>
      <c r="L53" s="629">
        <v>1790</v>
      </c>
      <c r="M53" s="629">
        <v>68</v>
      </c>
    </row>
    <row r="54" spans="1:13" s="630" customFormat="1">
      <c r="A54" s="632" t="s">
        <v>124</v>
      </c>
      <c r="B54" s="628" t="s">
        <v>125</v>
      </c>
      <c r="C54" s="627" t="s">
        <v>267</v>
      </c>
      <c r="D54" s="1016">
        <v>1922</v>
      </c>
      <c r="E54" s="1016">
        <v>2355</v>
      </c>
      <c r="F54" s="1016">
        <v>140</v>
      </c>
      <c r="G54" s="1016">
        <v>2440</v>
      </c>
      <c r="H54" s="1016">
        <v>1977</v>
      </c>
      <c r="I54" s="629">
        <v>2245</v>
      </c>
      <c r="J54" s="629">
        <v>1607</v>
      </c>
      <c r="K54" s="629">
        <v>196</v>
      </c>
      <c r="L54" s="629">
        <v>4417</v>
      </c>
      <c r="M54" s="629">
        <v>185</v>
      </c>
    </row>
    <row r="55" spans="1:13" s="630" customFormat="1">
      <c r="A55" s="632" t="s">
        <v>126</v>
      </c>
      <c r="B55" s="628" t="s">
        <v>127</v>
      </c>
      <c r="C55" s="627" t="s">
        <v>266</v>
      </c>
      <c r="D55" s="1016">
        <v>1120</v>
      </c>
      <c r="E55" s="1016">
        <v>1413</v>
      </c>
      <c r="F55" s="1016">
        <v>139</v>
      </c>
      <c r="G55" s="1016">
        <v>1521</v>
      </c>
      <c r="H55" s="1016">
        <v>1151</v>
      </c>
      <c r="I55" s="629">
        <v>1315</v>
      </c>
      <c r="J55" s="629">
        <v>993</v>
      </c>
      <c r="K55" s="629">
        <v>85</v>
      </c>
      <c r="L55" s="629">
        <v>2672</v>
      </c>
      <c r="M55" s="629">
        <v>107</v>
      </c>
    </row>
    <row r="56" spans="1:13" s="630" customFormat="1">
      <c r="A56" s="632" t="s">
        <v>128</v>
      </c>
      <c r="B56" s="628" t="s">
        <v>129</v>
      </c>
      <c r="C56" s="627" t="s">
        <v>266</v>
      </c>
      <c r="D56" s="1016">
        <v>912</v>
      </c>
      <c r="E56" s="1016">
        <v>1275</v>
      </c>
      <c r="F56" s="1016">
        <v>175</v>
      </c>
      <c r="G56" s="1016">
        <v>1316</v>
      </c>
      <c r="H56" s="1016">
        <v>1046</v>
      </c>
      <c r="I56" s="629">
        <v>723</v>
      </c>
      <c r="J56" s="629">
        <v>1543</v>
      </c>
      <c r="K56" s="629">
        <v>63</v>
      </c>
      <c r="L56" s="629">
        <v>2362</v>
      </c>
      <c r="M56" s="629">
        <v>18</v>
      </c>
    </row>
    <row r="57" spans="1:13" s="630" customFormat="1">
      <c r="A57" s="632" t="s">
        <v>130</v>
      </c>
      <c r="B57" s="628" t="s">
        <v>131</v>
      </c>
      <c r="C57" s="627" t="s">
        <v>268</v>
      </c>
      <c r="D57" s="1016">
        <v>2674</v>
      </c>
      <c r="E57" s="1016">
        <v>4964</v>
      </c>
      <c r="F57" s="1016">
        <v>584</v>
      </c>
      <c r="G57" s="1016">
        <v>4393</v>
      </c>
      <c r="H57" s="1016">
        <v>3829</v>
      </c>
      <c r="I57" s="629">
        <v>7802</v>
      </c>
      <c r="J57" s="629">
        <v>42</v>
      </c>
      <c r="K57" s="629">
        <v>36</v>
      </c>
      <c r="L57" s="629">
        <v>8222</v>
      </c>
      <c r="M57" s="629">
        <v>162</v>
      </c>
    </row>
    <row r="58" spans="1:13" s="630" customFormat="1">
      <c r="A58" s="632" t="s">
        <v>132</v>
      </c>
      <c r="B58" s="628" t="s">
        <v>133</v>
      </c>
      <c r="C58" s="627" t="s">
        <v>267</v>
      </c>
      <c r="D58" s="1016">
        <v>7372</v>
      </c>
      <c r="E58" s="1016">
        <v>7837</v>
      </c>
      <c r="F58" s="1016">
        <v>1418</v>
      </c>
      <c r="G58" s="1016">
        <v>9562</v>
      </c>
      <c r="H58" s="1016">
        <v>7066</v>
      </c>
      <c r="I58" s="629">
        <v>7363</v>
      </c>
      <c r="J58" s="629">
        <v>2768</v>
      </c>
      <c r="K58" s="629">
        <v>3048</v>
      </c>
      <c r="L58" s="629">
        <v>16628</v>
      </c>
      <c r="M58" s="629">
        <v>6080</v>
      </c>
    </row>
    <row r="59" spans="1:13" s="630" customFormat="1">
      <c r="A59" s="632" t="s">
        <v>134</v>
      </c>
      <c r="B59" s="628" t="s">
        <v>135</v>
      </c>
      <c r="C59" s="627" t="s">
        <v>267</v>
      </c>
      <c r="D59" s="1016">
        <v>2589</v>
      </c>
      <c r="E59" s="1016">
        <v>3744</v>
      </c>
      <c r="F59" s="1016">
        <v>363</v>
      </c>
      <c r="G59" s="1016">
        <v>3654</v>
      </c>
      <c r="H59" s="1016">
        <v>3042</v>
      </c>
      <c r="I59" s="629">
        <v>3893</v>
      </c>
      <c r="J59" s="629">
        <v>1756</v>
      </c>
      <c r="K59" s="629">
        <v>147</v>
      </c>
      <c r="L59" s="629">
        <v>6696</v>
      </c>
      <c r="M59" s="629">
        <v>197</v>
      </c>
    </row>
    <row r="60" spans="1:13" s="630" customFormat="1">
      <c r="A60" s="632" t="s">
        <v>136</v>
      </c>
      <c r="B60" s="628" t="s">
        <v>137</v>
      </c>
      <c r="C60" s="627" t="s">
        <v>266</v>
      </c>
      <c r="D60" s="1016">
        <v>1330</v>
      </c>
      <c r="E60" s="1016">
        <v>1935</v>
      </c>
      <c r="F60" s="1016">
        <v>258</v>
      </c>
      <c r="G60" s="1016">
        <v>1967</v>
      </c>
      <c r="H60" s="1016">
        <v>1556</v>
      </c>
      <c r="I60" s="629">
        <v>1488</v>
      </c>
      <c r="J60" s="629">
        <v>1651</v>
      </c>
      <c r="K60" s="629">
        <v>296</v>
      </c>
      <c r="L60" s="629">
        <v>3523</v>
      </c>
      <c r="M60" s="629">
        <v>286</v>
      </c>
    </row>
    <row r="61" spans="1:13" s="630" customFormat="1">
      <c r="A61" s="632" t="s">
        <v>140</v>
      </c>
      <c r="B61" s="628" t="s">
        <v>141</v>
      </c>
      <c r="C61" s="627" t="s">
        <v>267</v>
      </c>
      <c r="D61" s="1016">
        <v>963</v>
      </c>
      <c r="E61" s="1016">
        <v>1347</v>
      </c>
      <c r="F61" s="1016">
        <v>142</v>
      </c>
      <c r="G61" s="1016">
        <v>1318</v>
      </c>
      <c r="H61" s="1016">
        <v>1134</v>
      </c>
      <c r="I61" s="629">
        <v>1800</v>
      </c>
      <c r="J61" s="629">
        <v>393</v>
      </c>
      <c r="K61" s="629">
        <v>49</v>
      </c>
      <c r="L61" s="629">
        <v>2452</v>
      </c>
      <c r="M61" s="629">
        <v>93</v>
      </c>
    </row>
    <row r="62" spans="1:13" s="630" customFormat="1">
      <c r="A62" s="632" t="s">
        <v>146</v>
      </c>
      <c r="B62" s="628" t="s">
        <v>147</v>
      </c>
      <c r="C62" s="627" t="s">
        <v>264</v>
      </c>
      <c r="D62" s="1016">
        <v>499</v>
      </c>
      <c r="E62" s="1016">
        <v>838</v>
      </c>
      <c r="F62" s="1016">
        <v>98</v>
      </c>
      <c r="G62" s="1016">
        <v>799</v>
      </c>
      <c r="H62" s="1016">
        <v>636</v>
      </c>
      <c r="I62" s="629">
        <v>1036</v>
      </c>
      <c r="J62" s="629">
        <v>255</v>
      </c>
      <c r="K62" s="629">
        <v>29</v>
      </c>
      <c r="L62" s="629">
        <v>1435</v>
      </c>
      <c r="M62" s="629">
        <v>42</v>
      </c>
    </row>
    <row r="63" spans="1:13" s="630" customFormat="1">
      <c r="A63" s="632" t="s">
        <v>148</v>
      </c>
      <c r="B63" s="628" t="s">
        <v>149</v>
      </c>
      <c r="C63" s="627" t="s">
        <v>265</v>
      </c>
      <c r="D63" s="1016">
        <v>2942</v>
      </c>
      <c r="E63" s="1016">
        <v>4219</v>
      </c>
      <c r="F63" s="1016">
        <v>474</v>
      </c>
      <c r="G63" s="1016">
        <v>4287</v>
      </c>
      <c r="H63" s="1016">
        <v>3348</v>
      </c>
      <c r="I63" s="629">
        <v>2792</v>
      </c>
      <c r="J63" s="629">
        <v>4416</v>
      </c>
      <c r="K63" s="629">
        <v>114</v>
      </c>
      <c r="L63" s="629">
        <v>7635</v>
      </c>
      <c r="M63" s="629">
        <v>156</v>
      </c>
    </row>
    <row r="64" spans="1:13" s="630" customFormat="1">
      <c r="A64" s="632" t="s">
        <v>150</v>
      </c>
      <c r="B64" s="628" t="s">
        <v>151</v>
      </c>
      <c r="C64" s="627" t="s">
        <v>266</v>
      </c>
      <c r="D64" s="1016">
        <v>827</v>
      </c>
      <c r="E64" s="1016">
        <v>1337</v>
      </c>
      <c r="F64" s="1016">
        <v>135</v>
      </c>
      <c r="G64" s="1016">
        <v>1226</v>
      </c>
      <c r="H64" s="1016">
        <v>1073</v>
      </c>
      <c r="I64" s="629">
        <v>1327</v>
      </c>
      <c r="J64" s="629">
        <v>740</v>
      </c>
      <c r="K64" s="629">
        <v>36</v>
      </c>
      <c r="L64" s="629">
        <v>2299</v>
      </c>
      <c r="M64" s="629">
        <v>62</v>
      </c>
    </row>
    <row r="65" spans="1:13" s="630" customFormat="1">
      <c r="A65" s="632" t="s">
        <v>152</v>
      </c>
      <c r="B65" s="628" t="s">
        <v>153</v>
      </c>
      <c r="C65" s="627" t="s">
        <v>268</v>
      </c>
      <c r="D65" s="1016">
        <v>4294</v>
      </c>
      <c r="E65" s="1016">
        <v>6474</v>
      </c>
      <c r="F65" s="1016">
        <v>431</v>
      </c>
      <c r="G65" s="1016">
        <v>6172</v>
      </c>
      <c r="H65" s="1016">
        <v>5027</v>
      </c>
      <c r="I65" s="629">
        <v>8521</v>
      </c>
      <c r="J65" s="629">
        <v>959</v>
      </c>
      <c r="K65" s="629">
        <v>309</v>
      </c>
      <c r="L65" s="629">
        <v>11199</v>
      </c>
      <c r="M65" s="629">
        <v>453</v>
      </c>
    </row>
    <row r="66" spans="1:13" s="630" customFormat="1">
      <c r="A66" s="632" t="s">
        <v>154</v>
      </c>
      <c r="B66" s="628" t="s">
        <v>155</v>
      </c>
      <c r="C66" s="627" t="s">
        <v>265</v>
      </c>
      <c r="D66" s="1016">
        <v>1178</v>
      </c>
      <c r="E66" s="1016">
        <v>1857</v>
      </c>
      <c r="F66" s="1016">
        <v>255</v>
      </c>
      <c r="G66" s="1016">
        <v>1765</v>
      </c>
      <c r="H66" s="1016">
        <v>1525</v>
      </c>
      <c r="I66" s="629">
        <v>1956</v>
      </c>
      <c r="J66" s="629">
        <v>624</v>
      </c>
      <c r="K66" s="629">
        <v>85</v>
      </c>
      <c r="L66" s="629">
        <v>3290</v>
      </c>
      <c r="M66" s="629">
        <v>181</v>
      </c>
    </row>
    <row r="67" spans="1:13" s="630" customFormat="1">
      <c r="A67" s="632" t="s">
        <v>156</v>
      </c>
      <c r="B67" s="628" t="s">
        <v>157</v>
      </c>
      <c r="C67" s="627" t="s">
        <v>266</v>
      </c>
      <c r="D67" s="1016">
        <v>794</v>
      </c>
      <c r="E67" s="1016">
        <v>1020</v>
      </c>
      <c r="F67" s="1016">
        <v>58</v>
      </c>
      <c r="G67" s="1016">
        <v>1042</v>
      </c>
      <c r="H67" s="1016">
        <v>830</v>
      </c>
      <c r="I67" s="629">
        <v>1285</v>
      </c>
      <c r="J67" s="629">
        <v>397</v>
      </c>
      <c r="K67" s="629">
        <v>63</v>
      </c>
      <c r="L67" s="629">
        <v>1872</v>
      </c>
      <c r="M67" s="629">
        <v>77</v>
      </c>
    </row>
    <row r="68" spans="1:13" s="630" customFormat="1">
      <c r="A68" s="632" t="s">
        <v>162</v>
      </c>
      <c r="B68" s="628" t="s">
        <v>163</v>
      </c>
      <c r="C68" s="627" t="s">
        <v>264</v>
      </c>
      <c r="D68" s="1016">
        <v>1450</v>
      </c>
      <c r="E68" s="1016">
        <v>2144</v>
      </c>
      <c r="F68" s="1016">
        <v>398</v>
      </c>
      <c r="G68" s="1016">
        <v>2235</v>
      </c>
      <c r="H68" s="1016">
        <v>1757</v>
      </c>
      <c r="I68" s="629">
        <v>1319</v>
      </c>
      <c r="J68" s="629">
        <v>2414</v>
      </c>
      <c r="K68" s="629">
        <v>32</v>
      </c>
      <c r="L68" s="629">
        <v>3992</v>
      </c>
      <c r="M68" s="629">
        <v>424</v>
      </c>
    </row>
    <row r="69" spans="1:13" s="630" customFormat="1">
      <c r="A69" s="632" t="s">
        <v>164</v>
      </c>
      <c r="B69" s="628" t="s">
        <v>165</v>
      </c>
      <c r="C69" s="627" t="s">
        <v>266</v>
      </c>
      <c r="D69" s="1016">
        <v>1009</v>
      </c>
      <c r="E69" s="1016">
        <v>1390</v>
      </c>
      <c r="F69" s="1016">
        <v>175</v>
      </c>
      <c r="G69" s="1016">
        <v>1416</v>
      </c>
      <c r="H69" s="1016">
        <v>1158</v>
      </c>
      <c r="I69" s="629">
        <v>1019</v>
      </c>
      <c r="J69" s="629">
        <v>1342</v>
      </c>
      <c r="K69" s="629">
        <v>120</v>
      </c>
      <c r="L69" s="629">
        <v>2574</v>
      </c>
      <c r="M69" s="629">
        <v>116</v>
      </c>
    </row>
    <row r="70" spans="1:13" s="630" customFormat="1">
      <c r="A70" s="632" t="s">
        <v>168</v>
      </c>
      <c r="B70" s="628" t="s">
        <v>169</v>
      </c>
      <c r="C70" s="627" t="s">
        <v>266</v>
      </c>
      <c r="D70" s="1016">
        <v>1956</v>
      </c>
      <c r="E70" s="1016">
        <v>2742</v>
      </c>
      <c r="F70" s="1016">
        <v>294</v>
      </c>
      <c r="G70" s="1016">
        <v>2821</v>
      </c>
      <c r="H70" s="1016">
        <v>2171</v>
      </c>
      <c r="I70" s="629">
        <v>1963</v>
      </c>
      <c r="J70" s="629">
        <v>2573</v>
      </c>
      <c r="K70" s="629">
        <v>212</v>
      </c>
      <c r="L70" s="629">
        <v>4992</v>
      </c>
      <c r="M70" s="629">
        <v>402</v>
      </c>
    </row>
    <row r="71" spans="1:13" s="630" customFormat="1">
      <c r="A71" s="632" t="s">
        <v>170</v>
      </c>
      <c r="B71" s="628" t="s">
        <v>171</v>
      </c>
      <c r="C71" s="627" t="s">
        <v>267</v>
      </c>
      <c r="D71" s="1016">
        <v>2165</v>
      </c>
      <c r="E71" s="1016">
        <v>2854</v>
      </c>
      <c r="F71" s="1016">
        <v>229</v>
      </c>
      <c r="G71" s="1016">
        <v>2964</v>
      </c>
      <c r="H71" s="1016">
        <v>2284</v>
      </c>
      <c r="I71" s="629">
        <v>3012</v>
      </c>
      <c r="J71" s="629">
        <v>1331</v>
      </c>
      <c r="K71" s="629">
        <v>182</v>
      </c>
      <c r="L71" s="629">
        <v>5248</v>
      </c>
      <c r="M71" s="629">
        <v>239</v>
      </c>
    </row>
    <row r="72" spans="1:13" s="630" customFormat="1">
      <c r="A72" s="632" t="s">
        <v>172</v>
      </c>
      <c r="B72" s="628" t="s">
        <v>173</v>
      </c>
      <c r="C72" s="627" t="s">
        <v>267</v>
      </c>
      <c r="D72" s="1016">
        <v>2068</v>
      </c>
      <c r="E72" s="1016">
        <v>3194</v>
      </c>
      <c r="F72" s="1016">
        <v>296</v>
      </c>
      <c r="G72" s="1016">
        <v>3016</v>
      </c>
      <c r="H72" s="1016">
        <v>2542</v>
      </c>
      <c r="I72" s="629">
        <v>4964</v>
      </c>
      <c r="J72" s="629">
        <v>172</v>
      </c>
      <c r="K72" s="629">
        <v>53</v>
      </c>
      <c r="L72" s="629">
        <v>5558</v>
      </c>
      <c r="M72" s="629">
        <v>151</v>
      </c>
    </row>
    <row r="73" spans="1:13" s="630" customFormat="1">
      <c r="A73" s="632" t="s">
        <v>174</v>
      </c>
      <c r="B73" s="628" t="s">
        <v>175</v>
      </c>
      <c r="C73" s="627" t="s">
        <v>268</v>
      </c>
      <c r="D73" s="1016">
        <v>1574</v>
      </c>
      <c r="E73" s="1016">
        <v>2685</v>
      </c>
      <c r="F73" s="1016">
        <v>307</v>
      </c>
      <c r="G73" s="1016">
        <v>2429</v>
      </c>
      <c r="H73" s="1016">
        <v>2137</v>
      </c>
      <c r="I73" s="629">
        <v>3800</v>
      </c>
      <c r="J73" s="629">
        <v>379</v>
      </c>
      <c r="K73" s="629">
        <v>131</v>
      </c>
      <c r="L73" s="629">
        <v>4566</v>
      </c>
      <c r="M73" s="629">
        <v>200</v>
      </c>
    </row>
    <row r="74" spans="1:13" s="630" customFormat="1">
      <c r="A74" s="632" t="s">
        <v>178</v>
      </c>
      <c r="B74" s="628" t="s">
        <v>179</v>
      </c>
      <c r="C74" s="627" t="s">
        <v>265</v>
      </c>
      <c r="D74" s="1016">
        <v>5431</v>
      </c>
      <c r="E74" s="1016">
        <v>8125</v>
      </c>
      <c r="F74" s="1016">
        <v>941</v>
      </c>
      <c r="G74" s="1016">
        <v>8126</v>
      </c>
      <c r="H74" s="1016">
        <v>6372</v>
      </c>
      <c r="I74" s="629">
        <v>7854</v>
      </c>
      <c r="J74" s="629">
        <v>4508</v>
      </c>
      <c r="K74" s="629">
        <v>420</v>
      </c>
      <c r="L74" s="629">
        <v>14498</v>
      </c>
      <c r="M74" s="629">
        <v>677</v>
      </c>
    </row>
    <row r="75" spans="1:13" s="630" customFormat="1">
      <c r="A75" s="632" t="s">
        <v>182</v>
      </c>
      <c r="B75" s="628" t="s">
        <v>183</v>
      </c>
      <c r="C75" s="627" t="s">
        <v>266</v>
      </c>
      <c r="D75" s="1016">
        <v>885</v>
      </c>
      <c r="E75" s="1016">
        <v>1242</v>
      </c>
      <c r="F75" s="1016">
        <v>117</v>
      </c>
      <c r="G75" s="1016">
        <v>1226</v>
      </c>
      <c r="H75" s="1016">
        <v>1018</v>
      </c>
      <c r="I75" s="629">
        <v>1457</v>
      </c>
      <c r="J75" s="629">
        <v>347</v>
      </c>
      <c r="K75" s="629">
        <v>42</v>
      </c>
      <c r="L75" s="629">
        <v>2244</v>
      </c>
      <c r="M75" s="629">
        <v>55</v>
      </c>
    </row>
    <row r="76" spans="1:13" s="630" customFormat="1">
      <c r="A76" s="632" t="s">
        <v>184</v>
      </c>
      <c r="B76" s="628" t="s">
        <v>185</v>
      </c>
      <c r="C76" s="627" t="s">
        <v>266</v>
      </c>
      <c r="D76" s="1016">
        <v>1979</v>
      </c>
      <c r="E76" s="1016">
        <v>2934</v>
      </c>
      <c r="F76" s="1016">
        <v>295</v>
      </c>
      <c r="G76" s="1016">
        <v>2942</v>
      </c>
      <c r="H76" s="1016">
        <v>2266</v>
      </c>
      <c r="I76" s="629">
        <v>1800</v>
      </c>
      <c r="J76" s="629">
        <v>3013</v>
      </c>
      <c r="K76" s="629">
        <v>115</v>
      </c>
      <c r="L76" s="629">
        <v>5208</v>
      </c>
      <c r="M76" s="629">
        <v>113</v>
      </c>
    </row>
    <row r="77" spans="1:13" s="630" customFormat="1">
      <c r="A77" s="632" t="s">
        <v>186</v>
      </c>
      <c r="B77" s="628" t="s">
        <v>187</v>
      </c>
      <c r="C77" s="627" t="s">
        <v>264</v>
      </c>
      <c r="D77" s="1016">
        <v>2047</v>
      </c>
      <c r="E77" s="1016">
        <v>2552</v>
      </c>
      <c r="F77" s="1016">
        <v>126</v>
      </c>
      <c r="G77" s="1016">
        <v>2751</v>
      </c>
      <c r="H77" s="1016">
        <v>1974</v>
      </c>
      <c r="I77" s="629">
        <v>2297</v>
      </c>
      <c r="J77" s="629">
        <v>1933</v>
      </c>
      <c r="K77" s="629">
        <v>142</v>
      </c>
      <c r="L77" s="629">
        <v>4725</v>
      </c>
      <c r="M77" s="629">
        <v>221</v>
      </c>
    </row>
    <row r="78" spans="1:13" s="630" customFormat="1">
      <c r="A78" s="632" t="s">
        <v>188</v>
      </c>
      <c r="B78" s="628" t="s">
        <v>189</v>
      </c>
      <c r="C78" s="627" t="s">
        <v>267</v>
      </c>
      <c r="D78" s="1016">
        <v>23156</v>
      </c>
      <c r="E78" s="1016">
        <v>23524</v>
      </c>
      <c r="F78" s="1016">
        <v>2041</v>
      </c>
      <c r="G78" s="1016">
        <v>27824</v>
      </c>
      <c r="H78" s="1016">
        <v>20897</v>
      </c>
      <c r="I78" s="629">
        <v>21223</v>
      </c>
      <c r="J78" s="629">
        <v>15398</v>
      </c>
      <c r="K78" s="629">
        <v>5480</v>
      </c>
      <c r="L78" s="629">
        <v>48721</v>
      </c>
      <c r="M78" s="629">
        <v>16501</v>
      </c>
    </row>
    <row r="79" spans="1:13" s="630" customFormat="1">
      <c r="A79" s="632" t="s">
        <v>190</v>
      </c>
      <c r="B79" s="628" t="s">
        <v>191</v>
      </c>
      <c r="C79" s="627" t="s">
        <v>268</v>
      </c>
      <c r="D79" s="1016">
        <v>2850</v>
      </c>
      <c r="E79" s="1016">
        <v>5016</v>
      </c>
      <c r="F79" s="1016">
        <v>443</v>
      </c>
      <c r="G79" s="1016">
        <v>4514</v>
      </c>
      <c r="H79" s="1016">
        <v>3795</v>
      </c>
      <c r="I79" s="629">
        <v>7034</v>
      </c>
      <c r="J79" s="629">
        <v>797</v>
      </c>
      <c r="K79" s="629">
        <v>206</v>
      </c>
      <c r="L79" s="629">
        <v>8309</v>
      </c>
      <c r="M79" s="629">
        <v>227</v>
      </c>
    </row>
    <row r="80" spans="1:13" s="630" customFormat="1">
      <c r="A80" s="632" t="s">
        <v>194</v>
      </c>
      <c r="B80" s="628" t="s">
        <v>195</v>
      </c>
      <c r="C80" s="627" t="s">
        <v>267</v>
      </c>
      <c r="D80" s="1016">
        <v>309</v>
      </c>
      <c r="E80" s="1016">
        <v>398</v>
      </c>
      <c r="F80" s="1016">
        <v>43</v>
      </c>
      <c r="G80" s="1016">
        <v>420</v>
      </c>
      <c r="H80" s="1016">
        <v>330</v>
      </c>
      <c r="I80" s="629">
        <v>616</v>
      </c>
      <c r="J80" s="629">
        <v>84</v>
      </c>
      <c r="K80" s="629">
        <v>25</v>
      </c>
      <c r="L80" s="629">
        <v>750</v>
      </c>
      <c r="M80" s="629">
        <v>42</v>
      </c>
    </row>
    <row r="81" spans="1:13" s="630" customFormat="1">
      <c r="A81" s="632" t="s">
        <v>198</v>
      </c>
      <c r="B81" s="628" t="s">
        <v>272</v>
      </c>
      <c r="C81" s="627" t="s">
        <v>266</v>
      </c>
      <c r="D81" s="1016">
        <v>837</v>
      </c>
      <c r="E81" s="1016">
        <v>1220</v>
      </c>
      <c r="F81" s="1016">
        <v>138</v>
      </c>
      <c r="G81" s="1016">
        <v>1233</v>
      </c>
      <c r="H81" s="1016">
        <v>962</v>
      </c>
      <c r="I81" s="629">
        <v>889</v>
      </c>
      <c r="J81" s="629">
        <v>987</v>
      </c>
      <c r="K81" s="629">
        <v>127</v>
      </c>
      <c r="L81" s="629">
        <v>2195</v>
      </c>
      <c r="M81" s="629">
        <v>245</v>
      </c>
    </row>
    <row r="82" spans="1:13" s="630" customFormat="1">
      <c r="A82" s="632" t="s">
        <v>202</v>
      </c>
      <c r="B82" s="628" t="s">
        <v>301</v>
      </c>
      <c r="C82" s="627" t="s">
        <v>265</v>
      </c>
      <c r="D82" s="1016">
        <v>5332</v>
      </c>
      <c r="E82" s="1016">
        <v>6985</v>
      </c>
      <c r="F82" s="1016">
        <v>609</v>
      </c>
      <c r="G82" s="1016">
        <v>7309</v>
      </c>
      <c r="H82" s="1016">
        <v>5617</v>
      </c>
      <c r="I82" s="629">
        <v>8755</v>
      </c>
      <c r="J82" s="629">
        <v>1987</v>
      </c>
      <c r="K82" s="629">
        <v>602</v>
      </c>
      <c r="L82" s="629">
        <v>12926</v>
      </c>
      <c r="M82" s="629">
        <v>607</v>
      </c>
    </row>
    <row r="83" spans="1:13" s="630" customFormat="1">
      <c r="A83" s="632" t="s">
        <v>204</v>
      </c>
      <c r="B83" s="628" t="s">
        <v>293</v>
      </c>
      <c r="C83" s="627" t="s">
        <v>265</v>
      </c>
      <c r="D83" s="1016">
        <v>2393</v>
      </c>
      <c r="E83" s="1016">
        <v>3408</v>
      </c>
      <c r="F83" s="1016">
        <v>375</v>
      </c>
      <c r="G83" s="1016">
        <v>3511</v>
      </c>
      <c r="H83" s="1016">
        <v>2665</v>
      </c>
      <c r="I83" s="629">
        <v>5023</v>
      </c>
      <c r="J83" s="629">
        <v>505</v>
      </c>
      <c r="K83" s="629">
        <v>94</v>
      </c>
      <c r="L83" s="629">
        <v>6176</v>
      </c>
      <c r="M83" s="629">
        <v>201</v>
      </c>
    </row>
    <row r="84" spans="1:13" s="630" customFormat="1">
      <c r="A84" s="632" t="s">
        <v>206</v>
      </c>
      <c r="B84" s="628" t="s">
        <v>294</v>
      </c>
      <c r="C84" s="627" t="s">
        <v>267</v>
      </c>
      <c r="D84" s="1016">
        <v>8053</v>
      </c>
      <c r="E84" s="1016">
        <v>10030</v>
      </c>
      <c r="F84" s="1016">
        <v>729</v>
      </c>
      <c r="G84" s="1016">
        <v>10286</v>
      </c>
      <c r="H84" s="1016">
        <v>8526</v>
      </c>
      <c r="I84" s="629">
        <v>12008</v>
      </c>
      <c r="J84" s="629">
        <v>1502</v>
      </c>
      <c r="K84" s="629">
        <v>1657</v>
      </c>
      <c r="L84" s="629">
        <v>18812</v>
      </c>
      <c r="M84" s="629">
        <v>4818</v>
      </c>
    </row>
    <row r="85" spans="1:13" s="630" customFormat="1">
      <c r="A85" s="632" t="s">
        <v>208</v>
      </c>
      <c r="B85" s="628" t="s">
        <v>209</v>
      </c>
      <c r="C85" s="627" t="s">
        <v>268</v>
      </c>
      <c r="D85" s="1016">
        <v>2877</v>
      </c>
      <c r="E85" s="1016">
        <v>4895</v>
      </c>
      <c r="F85" s="1016">
        <v>481</v>
      </c>
      <c r="G85" s="1016">
        <v>4515</v>
      </c>
      <c r="H85" s="1016">
        <v>3738</v>
      </c>
      <c r="I85" s="629">
        <v>7123</v>
      </c>
      <c r="J85" s="629">
        <v>64</v>
      </c>
      <c r="K85" s="629">
        <v>26</v>
      </c>
      <c r="L85" s="629">
        <v>8253</v>
      </c>
      <c r="M85" s="629">
        <v>245</v>
      </c>
    </row>
    <row r="86" spans="1:13" s="630" customFormat="1">
      <c r="A86" s="632" t="s">
        <v>210</v>
      </c>
      <c r="B86" s="628" t="s">
        <v>211</v>
      </c>
      <c r="C86" s="627" t="s">
        <v>268</v>
      </c>
      <c r="D86" s="1016">
        <v>1982</v>
      </c>
      <c r="E86" s="1016">
        <v>3258</v>
      </c>
      <c r="F86" s="1016">
        <v>424</v>
      </c>
      <c r="G86" s="1016">
        <v>2996</v>
      </c>
      <c r="H86" s="1016">
        <v>2668</v>
      </c>
      <c r="I86" s="629">
        <v>5205</v>
      </c>
      <c r="J86" s="629">
        <v>89</v>
      </c>
      <c r="K86" s="629">
        <v>61</v>
      </c>
      <c r="L86" s="629">
        <v>5664</v>
      </c>
      <c r="M86" s="629">
        <v>121</v>
      </c>
    </row>
    <row r="87" spans="1:13" s="630" customFormat="1">
      <c r="A87" s="632" t="s">
        <v>212</v>
      </c>
      <c r="B87" s="628" t="s">
        <v>213</v>
      </c>
      <c r="C87" s="627" t="s">
        <v>267</v>
      </c>
      <c r="D87" s="1016">
        <v>3418</v>
      </c>
      <c r="E87" s="1016">
        <v>4438</v>
      </c>
      <c r="F87" s="1016">
        <v>309</v>
      </c>
      <c r="G87" s="1016">
        <v>4527</v>
      </c>
      <c r="H87" s="1016">
        <v>3638</v>
      </c>
      <c r="I87" s="629">
        <v>6602</v>
      </c>
      <c r="J87" s="629">
        <v>324</v>
      </c>
      <c r="K87" s="629">
        <v>659</v>
      </c>
      <c r="L87" s="629">
        <v>8165</v>
      </c>
      <c r="M87" s="629">
        <v>1004</v>
      </c>
    </row>
    <row r="88" spans="1:13" s="630" customFormat="1">
      <c r="A88" s="632" t="s">
        <v>214</v>
      </c>
      <c r="B88" s="628" t="s">
        <v>215</v>
      </c>
      <c r="C88" s="627" t="s">
        <v>268</v>
      </c>
      <c r="D88" s="1016">
        <v>3136</v>
      </c>
      <c r="E88" s="1016">
        <v>5302</v>
      </c>
      <c r="F88" s="1016">
        <v>486</v>
      </c>
      <c r="G88" s="1016">
        <v>4877</v>
      </c>
      <c r="H88" s="1016">
        <v>4047</v>
      </c>
      <c r="I88" s="629">
        <v>7995</v>
      </c>
      <c r="J88" s="629">
        <v>208</v>
      </c>
      <c r="K88" s="629">
        <v>84</v>
      </c>
      <c r="L88" s="629">
        <v>8924</v>
      </c>
      <c r="M88" s="629">
        <v>215</v>
      </c>
    </row>
    <row r="89" spans="1:13" s="630" customFormat="1">
      <c r="A89" s="632" t="s">
        <v>216</v>
      </c>
      <c r="B89" s="628" t="s">
        <v>217</v>
      </c>
      <c r="C89" s="627" t="s">
        <v>264</v>
      </c>
      <c r="D89" s="1016">
        <v>1664</v>
      </c>
      <c r="E89" s="1016">
        <v>2313</v>
      </c>
      <c r="F89" s="1016">
        <v>296</v>
      </c>
      <c r="G89" s="1016">
        <v>2443</v>
      </c>
      <c r="H89" s="1016">
        <v>1830</v>
      </c>
      <c r="I89" s="629">
        <v>1313</v>
      </c>
      <c r="J89" s="629">
        <v>2342</v>
      </c>
      <c r="K89" s="629">
        <v>54</v>
      </c>
      <c r="L89" s="629">
        <v>4273</v>
      </c>
      <c r="M89" s="629">
        <v>185</v>
      </c>
    </row>
    <row r="90" spans="1:13" s="630" customFormat="1">
      <c r="A90" s="632" t="s">
        <v>218</v>
      </c>
      <c r="B90" s="628" t="s">
        <v>219</v>
      </c>
      <c r="C90" s="627" t="s">
        <v>267</v>
      </c>
      <c r="D90" s="1016">
        <v>8467</v>
      </c>
      <c r="E90" s="1016">
        <v>9856</v>
      </c>
      <c r="F90" s="1016">
        <v>569</v>
      </c>
      <c r="G90" s="1016">
        <v>10556</v>
      </c>
      <c r="H90" s="1016">
        <v>8336</v>
      </c>
      <c r="I90" s="629">
        <v>10728</v>
      </c>
      <c r="J90" s="629">
        <v>5139</v>
      </c>
      <c r="K90" s="629">
        <v>1172</v>
      </c>
      <c r="L90" s="629">
        <v>18892</v>
      </c>
      <c r="M90" s="629">
        <v>2183</v>
      </c>
    </row>
    <row r="91" spans="1:13" s="630" customFormat="1">
      <c r="A91" s="632" t="s">
        <v>220</v>
      </c>
      <c r="B91" s="628" t="s">
        <v>221</v>
      </c>
      <c r="C91" s="627" t="s">
        <v>267</v>
      </c>
      <c r="D91" s="1016">
        <v>7194</v>
      </c>
      <c r="E91" s="1016">
        <v>7833</v>
      </c>
      <c r="F91" s="1016">
        <v>428</v>
      </c>
      <c r="G91" s="1016">
        <v>8930</v>
      </c>
      <c r="H91" s="1016">
        <v>6526</v>
      </c>
      <c r="I91" s="629">
        <v>6880</v>
      </c>
      <c r="J91" s="629">
        <v>4319</v>
      </c>
      <c r="K91" s="629">
        <v>1481</v>
      </c>
      <c r="L91" s="629">
        <v>15456</v>
      </c>
      <c r="M91" s="629">
        <v>2165</v>
      </c>
    </row>
    <row r="92" spans="1:13" s="630" customFormat="1">
      <c r="A92" s="632" t="s">
        <v>224</v>
      </c>
      <c r="B92" s="628" t="s">
        <v>225</v>
      </c>
      <c r="C92" s="627" t="s">
        <v>264</v>
      </c>
      <c r="D92" s="1016">
        <v>574</v>
      </c>
      <c r="E92" s="1016">
        <v>863</v>
      </c>
      <c r="F92" s="1016">
        <v>81</v>
      </c>
      <c r="G92" s="1016">
        <v>839</v>
      </c>
      <c r="H92" s="1016">
        <v>679</v>
      </c>
      <c r="I92" s="629">
        <v>558</v>
      </c>
      <c r="J92" s="629">
        <v>894</v>
      </c>
      <c r="K92" s="629">
        <v>36</v>
      </c>
      <c r="L92" s="629">
        <v>1518</v>
      </c>
      <c r="M92" s="629">
        <v>41</v>
      </c>
    </row>
    <row r="93" spans="1:13" s="630" customFormat="1">
      <c r="A93" s="632" t="s">
        <v>226</v>
      </c>
      <c r="B93" s="628" t="s">
        <v>227</v>
      </c>
      <c r="C93" s="627" t="s">
        <v>264</v>
      </c>
      <c r="D93" s="1016">
        <v>1117</v>
      </c>
      <c r="E93" s="1016">
        <v>1558</v>
      </c>
      <c r="F93" s="1016">
        <v>176</v>
      </c>
      <c r="G93" s="1016">
        <v>1651</v>
      </c>
      <c r="H93" s="1016">
        <v>1200</v>
      </c>
      <c r="I93" s="629">
        <v>602</v>
      </c>
      <c r="J93" s="629">
        <v>1754</v>
      </c>
      <c r="K93" s="629">
        <v>25</v>
      </c>
      <c r="L93" s="629">
        <v>2851</v>
      </c>
      <c r="M93" s="629">
        <v>82</v>
      </c>
    </row>
    <row r="94" spans="1:13" s="630" customFormat="1">
      <c r="A94" s="632" t="s">
        <v>228</v>
      </c>
      <c r="B94" s="628" t="s">
        <v>229</v>
      </c>
      <c r="C94" s="627" t="s">
        <v>268</v>
      </c>
      <c r="D94" s="1016">
        <v>4072</v>
      </c>
      <c r="E94" s="1016">
        <v>6986</v>
      </c>
      <c r="F94" s="1016">
        <v>578</v>
      </c>
      <c r="G94" s="1016">
        <v>6462</v>
      </c>
      <c r="H94" s="1016">
        <v>5174</v>
      </c>
      <c r="I94" s="629">
        <v>10447</v>
      </c>
      <c r="J94" s="629">
        <v>454</v>
      </c>
      <c r="K94" s="629">
        <v>84</v>
      </c>
      <c r="L94" s="629">
        <v>11636</v>
      </c>
      <c r="M94" s="629">
        <v>239</v>
      </c>
    </row>
    <row r="95" spans="1:13" s="630" customFormat="1">
      <c r="A95" s="632" t="s">
        <v>232</v>
      </c>
      <c r="B95" s="628" t="s">
        <v>233</v>
      </c>
      <c r="C95" s="627" t="s">
        <v>267</v>
      </c>
      <c r="D95" s="1016">
        <v>2925</v>
      </c>
      <c r="E95" s="1016">
        <v>4122</v>
      </c>
      <c r="F95" s="1016">
        <v>276</v>
      </c>
      <c r="G95" s="1016">
        <v>4060</v>
      </c>
      <c r="H95" s="1016">
        <v>3263</v>
      </c>
      <c r="I95" s="629">
        <v>5307</v>
      </c>
      <c r="J95" s="629">
        <v>734</v>
      </c>
      <c r="K95" s="629">
        <v>290</v>
      </c>
      <c r="L95" s="629">
        <v>7323</v>
      </c>
      <c r="M95" s="629">
        <v>356</v>
      </c>
    </row>
    <row r="96" spans="1:13" s="630" customFormat="1">
      <c r="A96" s="632" t="s">
        <v>234</v>
      </c>
      <c r="B96" s="628" t="s">
        <v>235</v>
      </c>
      <c r="C96" s="627" t="s">
        <v>268</v>
      </c>
      <c r="D96" s="1016">
        <v>4038</v>
      </c>
      <c r="E96" s="1016">
        <v>6390</v>
      </c>
      <c r="F96" s="1016">
        <v>656</v>
      </c>
      <c r="G96" s="1016">
        <v>6129</v>
      </c>
      <c r="H96" s="1016">
        <v>4955</v>
      </c>
      <c r="I96" s="629">
        <v>10126</v>
      </c>
      <c r="J96" s="629">
        <v>243</v>
      </c>
      <c r="K96" s="629">
        <v>143</v>
      </c>
      <c r="L96" s="629">
        <v>11084</v>
      </c>
      <c r="M96" s="629">
        <v>318</v>
      </c>
    </row>
    <row r="97" spans="1:13" s="630" customFormat="1">
      <c r="A97" s="632" t="s">
        <v>236</v>
      </c>
      <c r="B97" s="628" t="s">
        <v>237</v>
      </c>
      <c r="C97" s="627" t="s">
        <v>266</v>
      </c>
      <c r="D97" s="1016">
        <v>1754</v>
      </c>
      <c r="E97" s="1016">
        <v>2602</v>
      </c>
      <c r="F97" s="1016">
        <v>321</v>
      </c>
      <c r="G97" s="1016">
        <v>2587</v>
      </c>
      <c r="H97" s="1016">
        <v>2090</v>
      </c>
      <c r="I97" s="629">
        <v>1839</v>
      </c>
      <c r="J97" s="629">
        <v>1921</v>
      </c>
      <c r="K97" s="629">
        <v>242</v>
      </c>
      <c r="L97" s="629">
        <v>4677</v>
      </c>
      <c r="M97" s="629">
        <v>431</v>
      </c>
    </row>
    <row r="98" spans="1:13" s="630" customFormat="1">
      <c r="A98" s="632" t="s">
        <v>242</v>
      </c>
      <c r="B98" s="628" t="s">
        <v>243</v>
      </c>
      <c r="C98" s="627" t="s">
        <v>268</v>
      </c>
      <c r="D98" s="1016">
        <v>4443</v>
      </c>
      <c r="E98" s="1016">
        <v>7504</v>
      </c>
      <c r="F98" s="1016">
        <v>520</v>
      </c>
      <c r="G98" s="1016">
        <v>6867</v>
      </c>
      <c r="H98" s="1016">
        <v>5600</v>
      </c>
      <c r="I98" s="629">
        <v>10902</v>
      </c>
      <c r="J98" s="629">
        <v>285</v>
      </c>
      <c r="K98" s="629">
        <v>72</v>
      </c>
      <c r="L98" s="629">
        <v>12467</v>
      </c>
      <c r="M98" s="629">
        <v>163</v>
      </c>
    </row>
    <row r="99" spans="1:13" s="630" customFormat="1">
      <c r="A99" s="632" t="s">
        <v>244</v>
      </c>
      <c r="B99" s="628" t="s">
        <v>245</v>
      </c>
      <c r="C99" s="627" t="s">
        <v>268</v>
      </c>
      <c r="D99" s="1016">
        <v>2242</v>
      </c>
      <c r="E99" s="1016">
        <v>3756</v>
      </c>
      <c r="F99" s="1016">
        <v>374</v>
      </c>
      <c r="G99" s="1016">
        <v>3510</v>
      </c>
      <c r="H99" s="1016">
        <v>2863</v>
      </c>
      <c r="I99" s="629">
        <v>5445</v>
      </c>
      <c r="J99" s="629">
        <v>383</v>
      </c>
      <c r="K99" s="629">
        <v>90</v>
      </c>
      <c r="L99" s="629">
        <v>6373</v>
      </c>
      <c r="M99" s="629">
        <v>102</v>
      </c>
    </row>
    <row r="100" spans="1:13" s="630" customFormat="1">
      <c r="A100" s="632" t="s">
        <v>246</v>
      </c>
      <c r="B100" s="628" t="s">
        <v>247</v>
      </c>
      <c r="C100" s="627" t="s">
        <v>264</v>
      </c>
      <c r="D100" s="1016">
        <v>2353</v>
      </c>
      <c r="E100" s="1016">
        <v>2971</v>
      </c>
      <c r="F100" s="1016">
        <v>177</v>
      </c>
      <c r="G100" s="1016">
        <v>3200</v>
      </c>
      <c r="H100" s="1016">
        <v>2301</v>
      </c>
      <c r="I100" s="629">
        <v>2960</v>
      </c>
      <c r="J100" s="629">
        <v>1852</v>
      </c>
      <c r="K100" s="629">
        <v>365</v>
      </c>
      <c r="L100" s="629">
        <v>5501</v>
      </c>
      <c r="M100" s="629">
        <v>290</v>
      </c>
    </row>
    <row r="101" spans="1:13" s="630" customFormat="1">
      <c r="A101" s="632" t="s">
        <v>14</v>
      </c>
      <c r="B101" s="628" t="s">
        <v>15</v>
      </c>
      <c r="C101" s="627" t="s">
        <v>267</v>
      </c>
      <c r="D101" s="1016">
        <v>6278</v>
      </c>
      <c r="E101" s="1016">
        <v>7552</v>
      </c>
      <c r="F101" s="1016">
        <v>1024</v>
      </c>
      <c r="G101" s="1016">
        <v>8625</v>
      </c>
      <c r="H101" s="1016">
        <v>6229</v>
      </c>
      <c r="I101" s="629">
        <v>4910</v>
      </c>
      <c r="J101" s="629">
        <v>5881</v>
      </c>
      <c r="K101" s="629">
        <v>957</v>
      </c>
      <c r="L101" s="629">
        <v>14854</v>
      </c>
      <c r="M101" s="629">
        <v>5487</v>
      </c>
    </row>
    <row r="102" spans="1:13" s="630" customFormat="1">
      <c r="A102" s="632" t="s">
        <v>34</v>
      </c>
      <c r="B102" s="628" t="s">
        <v>35</v>
      </c>
      <c r="C102" s="627" t="s">
        <v>268</v>
      </c>
      <c r="D102" s="1016">
        <v>2484</v>
      </c>
      <c r="E102" s="1016">
        <v>3963</v>
      </c>
      <c r="F102" s="1016">
        <v>328</v>
      </c>
      <c r="G102" s="1016">
        <v>3708</v>
      </c>
      <c r="H102" s="1016">
        <v>3067</v>
      </c>
      <c r="I102" s="629">
        <v>5509</v>
      </c>
      <c r="J102" s="629">
        <v>700</v>
      </c>
      <c r="K102" s="629">
        <v>168</v>
      </c>
      <c r="L102" s="629">
        <v>6775</v>
      </c>
      <c r="M102" s="629">
        <v>150</v>
      </c>
    </row>
    <row r="103" spans="1:13" s="630" customFormat="1">
      <c r="A103" s="632" t="s">
        <v>52</v>
      </c>
      <c r="B103" s="628" t="s">
        <v>53</v>
      </c>
      <c r="C103" s="627" t="s">
        <v>265</v>
      </c>
      <c r="D103" s="1016">
        <v>2853</v>
      </c>
      <c r="E103" s="1016">
        <v>4729</v>
      </c>
      <c r="F103" s="1016">
        <v>352</v>
      </c>
      <c r="G103" s="1016">
        <v>4224</v>
      </c>
      <c r="H103" s="1016">
        <v>3710</v>
      </c>
      <c r="I103" s="629">
        <v>2420</v>
      </c>
      <c r="J103" s="629">
        <v>4395</v>
      </c>
      <c r="K103" s="629">
        <v>636</v>
      </c>
      <c r="L103" s="629">
        <v>7934</v>
      </c>
      <c r="M103" s="629">
        <v>545</v>
      </c>
    </row>
    <row r="104" spans="1:13" s="630" customFormat="1">
      <c r="A104" s="632" t="s">
        <v>54</v>
      </c>
      <c r="B104" s="628" t="s">
        <v>55</v>
      </c>
      <c r="C104" s="627" t="s">
        <v>264</v>
      </c>
      <c r="D104" s="1016">
        <v>15693</v>
      </c>
      <c r="E104" s="1016">
        <v>18815</v>
      </c>
      <c r="F104" s="1016">
        <v>1227</v>
      </c>
      <c r="G104" s="1016">
        <v>20957</v>
      </c>
      <c r="H104" s="1016">
        <v>14778</v>
      </c>
      <c r="I104" s="629">
        <v>10954</v>
      </c>
      <c r="J104" s="629">
        <v>20188</v>
      </c>
      <c r="K104" s="629">
        <v>1375</v>
      </c>
      <c r="L104" s="629">
        <v>35735</v>
      </c>
      <c r="M104" s="629">
        <v>2058</v>
      </c>
    </row>
    <row r="105" spans="1:13" s="630" customFormat="1">
      <c r="A105" s="632" t="s">
        <v>66</v>
      </c>
      <c r="B105" s="628" t="s">
        <v>67</v>
      </c>
      <c r="C105" s="627" t="s">
        <v>265</v>
      </c>
      <c r="D105" s="1016">
        <v>6797</v>
      </c>
      <c r="E105" s="1016">
        <v>10362</v>
      </c>
      <c r="F105" s="1016">
        <v>880</v>
      </c>
      <c r="G105" s="1016">
        <v>10150</v>
      </c>
      <c r="H105" s="1016">
        <v>7889</v>
      </c>
      <c r="I105" s="629">
        <v>4138</v>
      </c>
      <c r="J105" s="629">
        <v>11470</v>
      </c>
      <c r="K105" s="629">
        <v>371</v>
      </c>
      <c r="L105" s="629">
        <v>18039</v>
      </c>
      <c r="M105" s="629">
        <v>966</v>
      </c>
    </row>
    <row r="106" spans="1:13" s="630" customFormat="1">
      <c r="A106" s="632" t="s">
        <v>82</v>
      </c>
      <c r="B106" s="628" t="s">
        <v>83</v>
      </c>
      <c r="C106" s="627" t="s">
        <v>264</v>
      </c>
      <c r="D106" s="1016">
        <v>1410</v>
      </c>
      <c r="E106" s="1016">
        <v>1986</v>
      </c>
      <c r="F106" s="1016">
        <v>161</v>
      </c>
      <c r="G106" s="1016">
        <v>2059</v>
      </c>
      <c r="H106" s="1016">
        <v>1498</v>
      </c>
      <c r="I106" s="629">
        <v>337</v>
      </c>
      <c r="J106" s="629">
        <v>2860</v>
      </c>
      <c r="K106" s="629">
        <v>40</v>
      </c>
      <c r="L106" s="629">
        <v>3557</v>
      </c>
      <c r="M106" s="629">
        <v>43</v>
      </c>
    </row>
    <row r="107" spans="1:13" s="630" customFormat="1">
      <c r="A107" s="632" t="s">
        <v>88</v>
      </c>
      <c r="B107" s="628" t="s">
        <v>89</v>
      </c>
      <c r="C107" s="627" t="s">
        <v>267</v>
      </c>
      <c r="D107" s="1016">
        <v>2882</v>
      </c>
      <c r="E107" s="1016">
        <v>4201</v>
      </c>
      <c r="F107" s="1016">
        <v>255</v>
      </c>
      <c r="G107" s="1016">
        <v>4112</v>
      </c>
      <c r="H107" s="1016">
        <v>3225</v>
      </c>
      <c r="I107" s="629">
        <v>2604</v>
      </c>
      <c r="J107" s="629">
        <v>2961</v>
      </c>
      <c r="K107" s="629">
        <v>631</v>
      </c>
      <c r="L107" s="629">
        <v>7338</v>
      </c>
      <c r="M107" s="629">
        <v>1010</v>
      </c>
    </row>
    <row r="108" spans="1:13" s="630" customFormat="1">
      <c r="A108" s="632" t="s">
        <v>90</v>
      </c>
      <c r="B108" s="628" t="s">
        <v>91</v>
      </c>
      <c r="C108" s="627" t="s">
        <v>268</v>
      </c>
      <c r="D108" s="1016">
        <v>1115</v>
      </c>
      <c r="E108" s="1016">
        <v>1667</v>
      </c>
      <c r="F108" s="1016">
        <v>180</v>
      </c>
      <c r="G108" s="1016">
        <v>1639</v>
      </c>
      <c r="H108" s="1016">
        <v>1325</v>
      </c>
      <c r="I108" s="629">
        <v>2302</v>
      </c>
      <c r="J108" s="629">
        <v>305</v>
      </c>
      <c r="K108" s="629">
        <v>45</v>
      </c>
      <c r="L108" s="629">
        <v>2964</v>
      </c>
      <c r="M108" s="629">
        <v>635</v>
      </c>
    </row>
    <row r="109" spans="1:13" s="630" customFormat="1">
      <c r="A109" s="632" t="s">
        <v>106</v>
      </c>
      <c r="B109" s="628" t="s">
        <v>107</v>
      </c>
      <c r="C109" s="627" t="s">
        <v>264</v>
      </c>
      <c r="D109" s="1016">
        <v>13974</v>
      </c>
      <c r="E109" s="1016">
        <v>18515</v>
      </c>
      <c r="F109" s="1016">
        <v>1039</v>
      </c>
      <c r="G109" s="1016">
        <v>19331</v>
      </c>
      <c r="H109" s="1016">
        <v>14198</v>
      </c>
      <c r="I109" s="629">
        <v>6407</v>
      </c>
      <c r="J109" s="629">
        <v>21297</v>
      </c>
      <c r="K109" s="629">
        <v>909</v>
      </c>
      <c r="L109" s="629">
        <v>33529</v>
      </c>
      <c r="M109" s="629">
        <v>1242</v>
      </c>
    </row>
    <row r="110" spans="1:13" s="630" customFormat="1">
      <c r="A110" s="632" t="s">
        <v>116</v>
      </c>
      <c r="B110" s="628" t="s">
        <v>117</v>
      </c>
      <c r="C110" s="627" t="s">
        <v>266</v>
      </c>
      <c r="D110" s="1016">
        <v>4256</v>
      </c>
      <c r="E110" s="1016">
        <v>5415</v>
      </c>
      <c r="F110" s="1016">
        <v>283</v>
      </c>
      <c r="G110" s="1016">
        <v>5646</v>
      </c>
      <c r="H110" s="1016">
        <v>4308</v>
      </c>
      <c r="I110" s="629">
        <v>3326</v>
      </c>
      <c r="J110" s="629">
        <v>5117</v>
      </c>
      <c r="K110" s="629">
        <v>264</v>
      </c>
      <c r="L110" s="629">
        <v>9954</v>
      </c>
      <c r="M110" s="629">
        <v>563</v>
      </c>
    </row>
    <row r="111" spans="1:13" s="630" customFormat="1">
      <c r="A111" s="632" t="s">
        <v>138</v>
      </c>
      <c r="B111" s="628" t="s">
        <v>139</v>
      </c>
      <c r="C111" s="627" t="s">
        <v>265</v>
      </c>
      <c r="D111" s="1016">
        <v>7653</v>
      </c>
      <c r="E111" s="1016">
        <v>11022</v>
      </c>
      <c r="F111" s="1016">
        <v>763</v>
      </c>
      <c r="G111" s="1016">
        <v>10900</v>
      </c>
      <c r="H111" s="1016">
        <v>8538</v>
      </c>
      <c r="I111" s="629">
        <v>5538</v>
      </c>
      <c r="J111" s="629">
        <v>11006</v>
      </c>
      <c r="K111" s="629">
        <v>397</v>
      </c>
      <c r="L111" s="629">
        <v>19438</v>
      </c>
      <c r="M111" s="629">
        <v>742</v>
      </c>
    </row>
    <row r="112" spans="1:13" s="630" customFormat="1">
      <c r="A112" s="632" t="s">
        <v>142</v>
      </c>
      <c r="B112" s="628" t="s">
        <v>143</v>
      </c>
      <c r="C112" s="627" t="s">
        <v>267</v>
      </c>
      <c r="D112" s="1016">
        <v>3973</v>
      </c>
      <c r="E112" s="1016">
        <v>3634</v>
      </c>
      <c r="F112" s="1016">
        <v>187</v>
      </c>
      <c r="G112" s="1016">
        <v>4427</v>
      </c>
      <c r="H112" s="1016">
        <v>3367</v>
      </c>
      <c r="I112" s="629">
        <v>3394</v>
      </c>
      <c r="J112" s="629">
        <v>1560</v>
      </c>
      <c r="K112" s="629">
        <v>990</v>
      </c>
      <c r="L112" s="629">
        <v>7794</v>
      </c>
      <c r="M112" s="629">
        <v>3970</v>
      </c>
    </row>
    <row r="113" spans="1:13" s="630" customFormat="1">
      <c r="A113" s="632" t="s">
        <v>144</v>
      </c>
      <c r="B113" s="628" t="s">
        <v>145</v>
      </c>
      <c r="C113" s="627" t="s">
        <v>267</v>
      </c>
      <c r="D113" s="1016">
        <v>1101</v>
      </c>
      <c r="E113" s="1016">
        <v>1010</v>
      </c>
      <c r="F113" s="1016">
        <v>112</v>
      </c>
      <c r="G113" s="1016">
        <v>1256</v>
      </c>
      <c r="H113" s="1016">
        <v>967</v>
      </c>
      <c r="I113" s="629">
        <v>949</v>
      </c>
      <c r="J113" s="629">
        <v>275</v>
      </c>
      <c r="K113" s="629">
        <v>524</v>
      </c>
      <c r="L113" s="629">
        <v>2223</v>
      </c>
      <c r="M113" s="629">
        <v>1026</v>
      </c>
    </row>
    <row r="114" spans="1:13" s="630" customFormat="1">
      <c r="A114" s="632" t="s">
        <v>158</v>
      </c>
      <c r="B114" s="628" t="s">
        <v>159</v>
      </c>
      <c r="C114" s="627" t="s">
        <v>264</v>
      </c>
      <c r="D114" s="1016">
        <v>21729</v>
      </c>
      <c r="E114" s="1016">
        <v>28571</v>
      </c>
      <c r="F114" s="1016">
        <v>1466</v>
      </c>
      <c r="G114" s="1016">
        <v>29750</v>
      </c>
      <c r="H114" s="1016">
        <v>22016</v>
      </c>
      <c r="I114" s="629">
        <v>9076</v>
      </c>
      <c r="J114" s="629">
        <v>33994</v>
      </c>
      <c r="K114" s="629">
        <v>2719</v>
      </c>
      <c r="L114" s="629">
        <v>51766</v>
      </c>
      <c r="M114" s="629">
        <v>3856</v>
      </c>
    </row>
    <row r="115" spans="1:13" s="630" customFormat="1">
      <c r="A115" s="632" t="s">
        <v>160</v>
      </c>
      <c r="B115" s="628" t="s">
        <v>161</v>
      </c>
      <c r="C115" s="627" t="s">
        <v>264</v>
      </c>
      <c r="D115" s="1016">
        <v>27848</v>
      </c>
      <c r="E115" s="1016">
        <v>38249</v>
      </c>
      <c r="F115" s="1016">
        <v>2541</v>
      </c>
      <c r="G115" s="1016">
        <v>39247</v>
      </c>
      <c r="H115" s="1016">
        <v>29393</v>
      </c>
      <c r="I115" s="629">
        <v>10938</v>
      </c>
      <c r="J115" s="629">
        <v>48758</v>
      </c>
      <c r="K115" s="629">
        <v>2289</v>
      </c>
      <c r="L115" s="629">
        <v>68640</v>
      </c>
      <c r="M115" s="629">
        <v>3555</v>
      </c>
    </row>
    <row r="116" spans="1:13" s="630" customFormat="1">
      <c r="A116" s="632" t="s">
        <v>166</v>
      </c>
      <c r="B116" s="628" t="s">
        <v>167</v>
      </c>
      <c r="C116" s="627" t="s">
        <v>268</v>
      </c>
      <c r="D116" s="1016">
        <v>524</v>
      </c>
      <c r="E116" s="1016">
        <v>915</v>
      </c>
      <c r="F116" s="1016">
        <v>94</v>
      </c>
      <c r="G116" s="1016">
        <v>906</v>
      </c>
      <c r="H116" s="1016">
        <v>627</v>
      </c>
      <c r="I116" s="629">
        <v>1260</v>
      </c>
      <c r="J116" s="629">
        <v>124</v>
      </c>
      <c r="K116" s="629">
        <v>46</v>
      </c>
      <c r="L116" s="629">
        <v>1533</v>
      </c>
      <c r="M116" s="629">
        <v>45</v>
      </c>
    </row>
    <row r="117" spans="1:13" s="630" customFormat="1">
      <c r="A117" s="632" t="s">
        <v>176</v>
      </c>
      <c r="B117" s="628" t="s">
        <v>177</v>
      </c>
      <c r="C117" s="627" t="s">
        <v>266</v>
      </c>
      <c r="D117" s="1016">
        <v>5564</v>
      </c>
      <c r="E117" s="1016">
        <v>9120</v>
      </c>
      <c r="F117" s="1016">
        <v>663</v>
      </c>
      <c r="G117" s="1016">
        <v>8482</v>
      </c>
      <c r="H117" s="1016">
        <v>6865</v>
      </c>
      <c r="I117" s="629">
        <v>1139</v>
      </c>
      <c r="J117" s="629">
        <v>12365</v>
      </c>
      <c r="K117" s="629">
        <v>302</v>
      </c>
      <c r="L117" s="629">
        <v>15347</v>
      </c>
      <c r="M117" s="629">
        <v>615</v>
      </c>
    </row>
    <row r="118" spans="1:13" s="630" customFormat="1">
      <c r="A118" s="632" t="s">
        <v>180</v>
      </c>
      <c r="B118" s="628" t="s">
        <v>181</v>
      </c>
      <c r="C118" s="627" t="s">
        <v>264</v>
      </c>
      <c r="D118" s="1016">
        <v>13777</v>
      </c>
      <c r="E118" s="1016">
        <v>17874</v>
      </c>
      <c r="F118" s="1016">
        <v>1106</v>
      </c>
      <c r="G118" s="1016">
        <v>18923</v>
      </c>
      <c r="H118" s="1016">
        <v>13842</v>
      </c>
      <c r="I118" s="629">
        <v>5016</v>
      </c>
      <c r="J118" s="629">
        <v>24056</v>
      </c>
      <c r="K118" s="629">
        <v>425</v>
      </c>
      <c r="L118" s="629">
        <v>32765</v>
      </c>
      <c r="M118" s="629">
        <v>767</v>
      </c>
    </row>
    <row r="119" spans="1:13" s="630" customFormat="1">
      <c r="A119" s="632" t="s">
        <v>192</v>
      </c>
      <c r="B119" s="628" t="s">
        <v>193</v>
      </c>
      <c r="C119" s="627" t="s">
        <v>268</v>
      </c>
      <c r="D119" s="1016">
        <v>1047</v>
      </c>
      <c r="E119" s="1016">
        <v>1644</v>
      </c>
      <c r="F119" s="1016">
        <v>65</v>
      </c>
      <c r="G119" s="1016">
        <v>1565</v>
      </c>
      <c r="H119" s="1016">
        <v>1191</v>
      </c>
      <c r="I119" s="629">
        <v>1930</v>
      </c>
      <c r="J119" s="629">
        <v>459</v>
      </c>
      <c r="K119" s="629">
        <v>73</v>
      </c>
      <c r="L119" s="629">
        <v>2756</v>
      </c>
      <c r="M119" s="629">
        <v>132</v>
      </c>
    </row>
    <row r="120" spans="1:13" s="630" customFormat="1">
      <c r="A120" s="632" t="s">
        <v>196</v>
      </c>
      <c r="B120" s="628" t="s">
        <v>197</v>
      </c>
      <c r="C120" s="627" t="s">
        <v>266</v>
      </c>
      <c r="D120" s="1016">
        <v>27229</v>
      </c>
      <c r="E120" s="1016">
        <v>42658</v>
      </c>
      <c r="F120" s="1016">
        <v>2751</v>
      </c>
      <c r="G120" s="1016">
        <v>39954</v>
      </c>
      <c r="H120" s="1016">
        <v>32686</v>
      </c>
      <c r="I120" s="629">
        <v>6735</v>
      </c>
      <c r="J120" s="629">
        <v>54073</v>
      </c>
      <c r="K120" s="629">
        <v>3480</v>
      </c>
      <c r="L120" s="629">
        <v>72640</v>
      </c>
      <c r="M120" s="629">
        <v>5747</v>
      </c>
    </row>
    <row r="121" spans="1:13" s="630" customFormat="1">
      <c r="A121" s="632" t="s">
        <v>200</v>
      </c>
      <c r="B121" s="628" t="s">
        <v>201</v>
      </c>
      <c r="C121" s="627" t="s">
        <v>265</v>
      </c>
      <c r="D121" s="1016">
        <v>13586</v>
      </c>
      <c r="E121" s="1016">
        <v>20368</v>
      </c>
      <c r="F121" s="1016">
        <v>1293</v>
      </c>
      <c r="G121" s="1016">
        <v>19319</v>
      </c>
      <c r="H121" s="1016">
        <v>15930</v>
      </c>
      <c r="I121" s="629">
        <v>15199</v>
      </c>
      <c r="J121" s="629">
        <v>14898</v>
      </c>
      <c r="K121" s="629">
        <v>2174</v>
      </c>
      <c r="L121" s="629">
        <v>35249</v>
      </c>
      <c r="M121" s="629">
        <v>2984</v>
      </c>
    </row>
    <row r="122" spans="1:13" s="630" customFormat="1">
      <c r="A122" s="632" t="s">
        <v>222</v>
      </c>
      <c r="B122" s="628" t="s">
        <v>223</v>
      </c>
      <c r="C122" s="627" t="s">
        <v>264</v>
      </c>
      <c r="D122" s="1016">
        <v>7475</v>
      </c>
      <c r="E122" s="1016">
        <v>9974</v>
      </c>
      <c r="F122" s="1016">
        <v>800</v>
      </c>
      <c r="G122" s="1016">
        <v>10440</v>
      </c>
      <c r="H122" s="1016">
        <v>7809</v>
      </c>
      <c r="I122" s="629">
        <v>3722</v>
      </c>
      <c r="J122" s="629">
        <v>12616</v>
      </c>
      <c r="K122" s="629">
        <v>336</v>
      </c>
      <c r="L122" s="629">
        <v>18249</v>
      </c>
      <c r="M122" s="629">
        <v>596</v>
      </c>
    </row>
    <row r="123" spans="1:13" s="630" customFormat="1">
      <c r="A123" s="632" t="s">
        <v>230</v>
      </c>
      <c r="B123" s="628" t="s">
        <v>231</v>
      </c>
      <c r="C123" s="627" t="s">
        <v>264</v>
      </c>
      <c r="D123" s="1016">
        <v>23227</v>
      </c>
      <c r="E123" s="1016">
        <v>29251</v>
      </c>
      <c r="F123" s="1016">
        <v>2006</v>
      </c>
      <c r="G123" s="1016">
        <v>31406</v>
      </c>
      <c r="H123" s="1016">
        <v>23078</v>
      </c>
      <c r="I123" s="629">
        <v>17918</v>
      </c>
      <c r="J123" s="629">
        <v>22737</v>
      </c>
      <c r="K123" s="629">
        <v>3808</v>
      </c>
      <c r="L123" s="629">
        <v>54484</v>
      </c>
      <c r="M123" s="629">
        <v>4209</v>
      </c>
    </row>
    <row r="124" spans="1:13" s="630" customFormat="1">
      <c r="A124" s="632" t="s">
        <v>238</v>
      </c>
      <c r="B124" s="628" t="s">
        <v>239</v>
      </c>
      <c r="C124" s="627" t="s">
        <v>264</v>
      </c>
      <c r="D124" s="1016">
        <v>887</v>
      </c>
      <c r="E124" s="1016">
        <v>1142</v>
      </c>
      <c r="F124" s="1016">
        <v>43</v>
      </c>
      <c r="G124" s="1016">
        <v>1165</v>
      </c>
      <c r="H124" s="1016">
        <v>907</v>
      </c>
      <c r="I124" s="629">
        <v>792</v>
      </c>
      <c r="J124" s="629">
        <v>954</v>
      </c>
      <c r="K124" s="629">
        <v>187</v>
      </c>
      <c r="L124" s="629">
        <v>2072</v>
      </c>
      <c r="M124" s="629">
        <v>225</v>
      </c>
    </row>
    <row r="125" spans="1:13" s="630" customFormat="1">
      <c r="A125" s="632" t="s">
        <v>240</v>
      </c>
      <c r="B125" s="628" t="s">
        <v>241</v>
      </c>
      <c r="C125" s="627" t="s">
        <v>267</v>
      </c>
      <c r="D125" s="1016">
        <v>3162</v>
      </c>
      <c r="E125" s="1016">
        <v>4018</v>
      </c>
      <c r="F125" s="1016">
        <v>261</v>
      </c>
      <c r="G125" s="1016">
        <v>4008</v>
      </c>
      <c r="H125" s="1016">
        <v>3433</v>
      </c>
      <c r="I125" s="629">
        <v>4830</v>
      </c>
      <c r="J125" s="629">
        <v>1344</v>
      </c>
      <c r="K125" s="629">
        <v>299</v>
      </c>
      <c r="L125" s="629">
        <v>7441</v>
      </c>
      <c r="M125" s="629">
        <v>1997</v>
      </c>
    </row>
    <row r="126" spans="1:13">
      <c r="B126" s="529"/>
      <c r="C126" s="529"/>
      <c r="D126" s="529"/>
      <c r="E126" s="529"/>
      <c r="F126" s="529"/>
      <c r="G126" s="529"/>
      <c r="H126" s="529"/>
    </row>
    <row r="128" spans="1:13" ht="15.75" customHeight="1">
      <c r="A128" s="1345" t="s">
        <v>997</v>
      </c>
      <c r="B128" s="1345"/>
      <c r="C128" s="1345"/>
      <c r="D128" s="1345"/>
      <c r="E128" s="1345"/>
      <c r="F128" s="1345"/>
      <c r="G128" s="1318"/>
      <c r="H128" s="1318"/>
    </row>
    <row r="130" spans="1:8" s="428" customFormat="1">
      <c r="A130" s="428" t="s">
        <v>248</v>
      </c>
    </row>
    <row r="131" spans="1:8" s="428" customFormat="1">
      <c r="A131" s="429" t="s">
        <v>249</v>
      </c>
      <c r="B131" s="430" t="s">
        <v>250</v>
      </c>
      <c r="C131" s="430"/>
      <c r="D131" s="430"/>
      <c r="E131" s="430"/>
      <c r="F131" s="430"/>
      <c r="G131" s="430"/>
      <c r="H131" s="430"/>
    </row>
  </sheetData>
  <autoFilter ref="A4:C4"/>
  <sortState ref="A6:M125">
    <sortCondition ref="A6:A125"/>
  </sortState>
  <mergeCells count="3">
    <mergeCell ref="I3:K3"/>
    <mergeCell ref="D3:F3"/>
    <mergeCell ref="G3:H3"/>
  </mergeCells>
  <hyperlinks>
    <hyperlink ref="B131" r:id="rId1"/>
  </hyperlinks>
  <pageMargins left="0.75" right="0.75" top="1" bottom="1" header="0.5" footer="0.5"/>
  <pageSetup orientation="portrait" r:id="rId2"/>
</worksheet>
</file>

<file path=xl/worksheets/sheet3.xml><?xml version="1.0" encoding="utf-8"?>
<worksheet xmlns="http://schemas.openxmlformats.org/spreadsheetml/2006/main" xmlns:r="http://schemas.openxmlformats.org/officeDocument/2006/relationships">
  <dimension ref="A1:E132"/>
  <sheetViews>
    <sheetView workbookViewId="0">
      <pane ySplit="3" topLeftCell="A92" activePane="bottomLeft" state="frozen"/>
      <selection pane="bottomLeft" activeCell="G100" sqref="G100"/>
    </sheetView>
  </sheetViews>
  <sheetFormatPr defaultRowHeight="15.75"/>
  <cols>
    <col min="1" max="1" width="8.75" style="542" customWidth="1"/>
    <col min="2" max="2" width="33.875" style="271" customWidth="1"/>
    <col min="3" max="3" width="11.625" style="271" customWidth="1"/>
    <col min="4" max="4" width="14" style="271" customWidth="1"/>
    <col min="5" max="5" width="18.125" style="542" customWidth="1"/>
    <col min="6" max="16384" width="9" style="271"/>
  </cols>
  <sheetData>
    <row r="1" spans="1:5">
      <c r="A1" s="63" t="s">
        <v>673</v>
      </c>
    </row>
    <row r="2" spans="1:5">
      <c r="A2" s="63"/>
    </row>
    <row r="3" spans="1:5">
      <c r="A3" s="547" t="s">
        <v>4</v>
      </c>
      <c r="B3" s="548" t="s">
        <v>5</v>
      </c>
      <c r="C3" s="539" t="s">
        <v>251</v>
      </c>
      <c r="D3" s="549" t="s">
        <v>305</v>
      </c>
      <c r="E3" s="402" t="s">
        <v>611</v>
      </c>
    </row>
    <row r="4" spans="1:5">
      <c r="A4" s="550" t="s">
        <v>10</v>
      </c>
      <c r="B4" s="505" t="s">
        <v>11</v>
      </c>
      <c r="C4" s="505" t="s">
        <v>264</v>
      </c>
      <c r="D4" s="551" t="s">
        <v>10</v>
      </c>
      <c r="E4" s="542" t="s">
        <v>733</v>
      </c>
    </row>
    <row r="5" spans="1:5">
      <c r="A5" s="550" t="s">
        <v>12</v>
      </c>
      <c r="B5" s="505" t="s">
        <v>13</v>
      </c>
      <c r="C5" s="505" t="s">
        <v>265</v>
      </c>
      <c r="D5" s="551" t="s">
        <v>12</v>
      </c>
      <c r="E5" s="542" t="s">
        <v>735</v>
      </c>
    </row>
    <row r="6" spans="1:5">
      <c r="A6" s="550" t="s">
        <v>16</v>
      </c>
      <c r="B6" s="505" t="s">
        <v>605</v>
      </c>
      <c r="C6" s="505" t="s">
        <v>265</v>
      </c>
      <c r="D6" s="551" t="s">
        <v>16</v>
      </c>
      <c r="E6" s="542" t="s">
        <v>733</v>
      </c>
    </row>
    <row r="7" spans="1:5">
      <c r="A7" s="550" t="s">
        <v>18</v>
      </c>
      <c r="B7" s="505" t="s">
        <v>19</v>
      </c>
      <c r="C7" s="505" t="s">
        <v>266</v>
      </c>
      <c r="D7" s="551" t="s">
        <v>18</v>
      </c>
      <c r="E7" s="542" t="s">
        <v>734</v>
      </c>
    </row>
    <row r="8" spans="1:5">
      <c r="A8" s="550" t="s">
        <v>20</v>
      </c>
      <c r="B8" s="505" t="s">
        <v>21</v>
      </c>
      <c r="C8" s="505" t="s">
        <v>265</v>
      </c>
      <c r="D8" s="551" t="s">
        <v>20</v>
      </c>
      <c r="E8" s="542" t="s">
        <v>733</v>
      </c>
    </row>
    <row r="9" spans="1:5">
      <c r="A9" s="550" t="s">
        <v>22</v>
      </c>
      <c r="B9" s="505" t="s">
        <v>23</v>
      </c>
      <c r="C9" s="505" t="s">
        <v>265</v>
      </c>
      <c r="D9" s="551" t="s">
        <v>22</v>
      </c>
      <c r="E9" s="542" t="s">
        <v>734</v>
      </c>
    </row>
    <row r="10" spans="1:5">
      <c r="A10" s="550" t="s">
        <v>24</v>
      </c>
      <c r="B10" s="505" t="s">
        <v>25</v>
      </c>
      <c r="C10" s="505" t="s">
        <v>267</v>
      </c>
      <c r="D10" s="551" t="s">
        <v>24</v>
      </c>
      <c r="E10" s="552" t="s">
        <v>735</v>
      </c>
    </row>
    <row r="11" spans="1:5">
      <c r="A11" s="550" t="s">
        <v>26</v>
      </c>
      <c r="B11" s="505" t="s">
        <v>298</v>
      </c>
      <c r="C11" s="505" t="s">
        <v>265</v>
      </c>
      <c r="D11" s="551" t="s">
        <v>26</v>
      </c>
      <c r="E11" s="542" t="s">
        <v>735</v>
      </c>
    </row>
    <row r="12" spans="1:5">
      <c r="A12" s="550" t="s">
        <v>27</v>
      </c>
      <c r="B12" s="505" t="s">
        <v>28</v>
      </c>
      <c r="C12" s="505" t="s">
        <v>265</v>
      </c>
      <c r="D12" s="551" t="s">
        <v>27</v>
      </c>
      <c r="E12" s="542" t="s">
        <v>734</v>
      </c>
    </row>
    <row r="13" spans="1:5">
      <c r="A13" s="550" t="s">
        <v>29</v>
      </c>
      <c r="B13" s="505" t="s">
        <v>1012</v>
      </c>
      <c r="C13" s="505" t="s">
        <v>265</v>
      </c>
      <c r="D13" s="551" t="s">
        <v>29</v>
      </c>
      <c r="E13" s="542" t="s">
        <v>735</v>
      </c>
    </row>
    <row r="14" spans="1:5">
      <c r="A14" s="550" t="s">
        <v>30</v>
      </c>
      <c r="B14" s="505" t="s">
        <v>31</v>
      </c>
      <c r="C14" s="505" t="s">
        <v>268</v>
      </c>
      <c r="D14" s="551" t="s">
        <v>30</v>
      </c>
      <c r="E14" s="542" t="s">
        <v>734</v>
      </c>
    </row>
    <row r="15" spans="1:5">
      <c r="A15" s="550" t="s">
        <v>32</v>
      </c>
      <c r="B15" s="505" t="s">
        <v>33</v>
      </c>
      <c r="C15" s="505" t="s">
        <v>265</v>
      </c>
      <c r="D15" s="551" t="s">
        <v>32</v>
      </c>
      <c r="E15" s="542" t="s">
        <v>734</v>
      </c>
    </row>
    <row r="16" spans="1:5">
      <c r="A16" s="550" t="s">
        <v>36</v>
      </c>
      <c r="B16" s="505" t="s">
        <v>37</v>
      </c>
      <c r="C16" s="505" t="s">
        <v>264</v>
      </c>
      <c r="D16" s="551" t="s">
        <v>36</v>
      </c>
      <c r="E16" s="542" t="s">
        <v>733</v>
      </c>
    </row>
    <row r="17" spans="1:5">
      <c r="A17" s="550" t="s">
        <v>38</v>
      </c>
      <c r="B17" s="505" t="s">
        <v>39</v>
      </c>
      <c r="C17" s="505" t="s">
        <v>268</v>
      </c>
      <c r="D17" s="551" t="s">
        <v>38</v>
      </c>
      <c r="E17" s="542" t="s">
        <v>733</v>
      </c>
    </row>
    <row r="18" spans="1:5">
      <c r="A18" s="550" t="s">
        <v>40</v>
      </c>
      <c r="B18" s="505" t="s">
        <v>41</v>
      </c>
      <c r="C18" s="505" t="s">
        <v>266</v>
      </c>
      <c r="D18" s="551" t="s">
        <v>40</v>
      </c>
      <c r="E18" s="542" t="s">
        <v>733</v>
      </c>
    </row>
    <row r="19" spans="1:5">
      <c r="A19" s="550" t="s">
        <v>42</v>
      </c>
      <c r="B19" s="505" t="s">
        <v>43</v>
      </c>
      <c r="C19" s="505" t="s">
        <v>265</v>
      </c>
      <c r="D19" s="551" t="s">
        <v>42</v>
      </c>
      <c r="E19" s="542" t="s">
        <v>733</v>
      </c>
    </row>
    <row r="20" spans="1:5">
      <c r="A20" s="550" t="s">
        <v>44</v>
      </c>
      <c r="B20" s="505" t="s">
        <v>45</v>
      </c>
      <c r="C20" s="505" t="s">
        <v>266</v>
      </c>
      <c r="D20" s="551" t="s">
        <v>44</v>
      </c>
      <c r="E20" s="542" t="s">
        <v>733</v>
      </c>
    </row>
    <row r="21" spans="1:5">
      <c r="A21" s="550" t="s">
        <v>46</v>
      </c>
      <c r="B21" s="505" t="s">
        <v>47</v>
      </c>
      <c r="C21" s="505" t="s">
        <v>268</v>
      </c>
      <c r="D21" s="551" t="s">
        <v>46</v>
      </c>
      <c r="E21" s="542" t="s">
        <v>733</v>
      </c>
    </row>
    <row r="22" spans="1:5">
      <c r="A22" s="550" t="s">
        <v>48</v>
      </c>
      <c r="B22" s="505" t="s">
        <v>269</v>
      </c>
      <c r="C22" s="505" t="s">
        <v>266</v>
      </c>
      <c r="D22" s="551" t="s">
        <v>48</v>
      </c>
      <c r="E22" s="542" t="s">
        <v>734</v>
      </c>
    </row>
    <row r="23" spans="1:5">
      <c r="A23" s="550" t="s">
        <v>50</v>
      </c>
      <c r="B23" s="505" t="s">
        <v>51</v>
      </c>
      <c r="C23" s="505" t="s">
        <v>265</v>
      </c>
      <c r="D23" s="551" t="s">
        <v>50</v>
      </c>
      <c r="E23" s="542" t="s">
        <v>733</v>
      </c>
    </row>
    <row r="24" spans="1:5">
      <c r="A24" s="550" t="s">
        <v>56</v>
      </c>
      <c r="B24" s="505" t="s">
        <v>295</v>
      </c>
      <c r="C24" s="505" t="s">
        <v>266</v>
      </c>
      <c r="D24" s="551" t="s">
        <v>56</v>
      </c>
      <c r="E24" s="542" t="s">
        <v>735</v>
      </c>
    </row>
    <row r="25" spans="1:5">
      <c r="A25" s="550" t="s">
        <v>58</v>
      </c>
      <c r="B25" s="505" t="s">
        <v>59</v>
      </c>
      <c r="C25" s="505" t="s">
        <v>267</v>
      </c>
      <c r="D25" s="551" t="s">
        <v>58</v>
      </c>
      <c r="E25" s="542" t="s">
        <v>734</v>
      </c>
    </row>
    <row r="26" spans="1:5">
      <c r="A26" s="550" t="s">
        <v>60</v>
      </c>
      <c r="B26" s="505" t="s">
        <v>61</v>
      </c>
      <c r="C26" s="505" t="s">
        <v>265</v>
      </c>
      <c r="D26" s="551" t="s">
        <v>60</v>
      </c>
      <c r="E26" s="542" t="s">
        <v>734</v>
      </c>
    </row>
    <row r="27" spans="1:5">
      <c r="A27" s="550" t="s">
        <v>62</v>
      </c>
      <c r="B27" s="505" t="s">
        <v>63</v>
      </c>
      <c r="C27" s="505" t="s">
        <v>267</v>
      </c>
      <c r="D27" s="551" t="s">
        <v>62</v>
      </c>
      <c r="E27" s="542" t="s">
        <v>733</v>
      </c>
    </row>
    <row r="28" spans="1:5">
      <c r="A28" s="550" t="s">
        <v>64</v>
      </c>
      <c r="B28" s="505" t="s">
        <v>65</v>
      </c>
      <c r="C28" s="505" t="s">
        <v>266</v>
      </c>
      <c r="D28" s="551" t="s">
        <v>64</v>
      </c>
      <c r="E28" s="542" t="s">
        <v>734</v>
      </c>
    </row>
    <row r="29" spans="1:5">
      <c r="A29" s="550" t="s">
        <v>68</v>
      </c>
      <c r="B29" s="505" t="s">
        <v>69</v>
      </c>
      <c r="C29" s="505" t="s">
        <v>268</v>
      </c>
      <c r="D29" s="551" t="s">
        <v>68</v>
      </c>
      <c r="E29" s="542" t="s">
        <v>733</v>
      </c>
    </row>
    <row r="30" spans="1:5">
      <c r="A30" s="550" t="s">
        <v>70</v>
      </c>
      <c r="B30" s="505" t="s">
        <v>71</v>
      </c>
      <c r="C30" s="505" t="s">
        <v>264</v>
      </c>
      <c r="D30" s="551" t="s">
        <v>70</v>
      </c>
      <c r="E30" s="542" t="s">
        <v>733</v>
      </c>
    </row>
    <row r="31" spans="1:5">
      <c r="A31" s="550" t="s">
        <v>72</v>
      </c>
      <c r="B31" s="505" t="s">
        <v>73</v>
      </c>
      <c r="C31" s="505" t="s">
        <v>266</v>
      </c>
      <c r="D31" s="551" t="s">
        <v>72</v>
      </c>
      <c r="E31" s="542" t="s">
        <v>734</v>
      </c>
    </row>
    <row r="32" spans="1:5">
      <c r="A32" s="550" t="s">
        <v>74</v>
      </c>
      <c r="B32" s="505" t="s">
        <v>794</v>
      </c>
      <c r="C32" s="505" t="s">
        <v>267</v>
      </c>
      <c r="D32" s="551" t="s">
        <v>74</v>
      </c>
      <c r="E32" s="542" t="s">
        <v>735</v>
      </c>
    </row>
    <row r="33" spans="1:5">
      <c r="A33" s="550" t="s">
        <v>76</v>
      </c>
      <c r="B33" s="505" t="s">
        <v>77</v>
      </c>
      <c r="C33" s="505" t="s">
        <v>267</v>
      </c>
      <c r="D33" s="551" t="s">
        <v>76</v>
      </c>
      <c r="E33" s="542" t="s">
        <v>733</v>
      </c>
    </row>
    <row r="34" spans="1:5">
      <c r="A34" s="550" t="s">
        <v>78</v>
      </c>
      <c r="B34" s="505" t="s">
        <v>79</v>
      </c>
      <c r="C34" s="505" t="s">
        <v>268</v>
      </c>
      <c r="D34" s="551" t="s">
        <v>78</v>
      </c>
      <c r="E34" s="542" t="s">
        <v>734</v>
      </c>
    </row>
    <row r="35" spans="1:5">
      <c r="A35" s="550" t="s">
        <v>80</v>
      </c>
      <c r="B35" s="505" t="s">
        <v>81</v>
      </c>
      <c r="C35" s="505" t="s">
        <v>266</v>
      </c>
      <c r="D35" s="551" t="s">
        <v>80</v>
      </c>
      <c r="E35" s="542" t="s">
        <v>733</v>
      </c>
    </row>
    <row r="36" spans="1:5">
      <c r="A36" s="550" t="s">
        <v>84</v>
      </c>
      <c r="B36" s="505" t="s">
        <v>308</v>
      </c>
      <c r="C36" s="505" t="s">
        <v>265</v>
      </c>
      <c r="D36" s="551" t="s">
        <v>84</v>
      </c>
      <c r="E36" s="542" t="s">
        <v>733</v>
      </c>
    </row>
    <row r="37" spans="1:5">
      <c r="A37" s="550" t="s">
        <v>86</v>
      </c>
      <c r="B37" s="505" t="s">
        <v>87</v>
      </c>
      <c r="C37" s="505" t="s">
        <v>267</v>
      </c>
      <c r="D37" s="551" t="s">
        <v>86</v>
      </c>
      <c r="E37" s="542" t="s">
        <v>733</v>
      </c>
    </row>
    <row r="38" spans="1:5">
      <c r="A38" s="550" t="s">
        <v>92</v>
      </c>
      <c r="B38" s="505" t="s">
        <v>93</v>
      </c>
      <c r="C38" s="505" t="s">
        <v>268</v>
      </c>
      <c r="D38" s="551" t="s">
        <v>92</v>
      </c>
      <c r="E38" s="542" t="s">
        <v>733</v>
      </c>
    </row>
    <row r="39" spans="1:5">
      <c r="A39" s="550" t="s">
        <v>94</v>
      </c>
      <c r="B39" s="505" t="s">
        <v>95</v>
      </c>
      <c r="C39" s="505" t="s">
        <v>264</v>
      </c>
      <c r="D39" s="551" t="s">
        <v>94</v>
      </c>
      <c r="E39" s="542" t="s">
        <v>733</v>
      </c>
    </row>
    <row r="40" spans="1:5">
      <c r="A40" s="550" t="s">
        <v>96</v>
      </c>
      <c r="B40" s="505" t="s">
        <v>97</v>
      </c>
      <c r="C40" s="505" t="s">
        <v>266</v>
      </c>
      <c r="D40" s="551" t="s">
        <v>96</v>
      </c>
      <c r="E40" s="542" t="s">
        <v>734</v>
      </c>
    </row>
    <row r="41" spans="1:5">
      <c r="A41" s="550" t="s">
        <v>98</v>
      </c>
      <c r="B41" s="505" t="s">
        <v>99</v>
      </c>
      <c r="C41" s="505" t="s">
        <v>268</v>
      </c>
      <c r="D41" s="551" t="s">
        <v>98</v>
      </c>
      <c r="E41" s="542" t="s">
        <v>733</v>
      </c>
    </row>
    <row r="42" spans="1:5">
      <c r="A42" s="550" t="s">
        <v>100</v>
      </c>
      <c r="B42" s="505" t="s">
        <v>101</v>
      </c>
      <c r="C42" s="505" t="s">
        <v>267</v>
      </c>
      <c r="D42" s="551" t="s">
        <v>100</v>
      </c>
      <c r="E42" s="542" t="s">
        <v>734</v>
      </c>
    </row>
    <row r="43" spans="1:5">
      <c r="A43" s="550" t="s">
        <v>102</v>
      </c>
      <c r="B43" s="505" t="s">
        <v>282</v>
      </c>
      <c r="C43" s="505" t="s">
        <v>264</v>
      </c>
      <c r="D43" s="551" t="s">
        <v>102</v>
      </c>
      <c r="E43" s="542" t="s">
        <v>733</v>
      </c>
    </row>
    <row r="44" spans="1:5">
      <c r="A44" s="550" t="s">
        <v>104</v>
      </c>
      <c r="B44" s="505" t="s">
        <v>607</v>
      </c>
      <c r="C44" s="505" t="s">
        <v>265</v>
      </c>
      <c r="D44" s="551" t="s">
        <v>104</v>
      </c>
      <c r="E44" s="542" t="s">
        <v>733</v>
      </c>
    </row>
    <row r="45" spans="1:5">
      <c r="A45" s="550" t="s">
        <v>108</v>
      </c>
      <c r="B45" s="505" t="s">
        <v>109</v>
      </c>
      <c r="C45" s="505" t="s">
        <v>266</v>
      </c>
      <c r="D45" s="551" t="s">
        <v>108</v>
      </c>
      <c r="E45" s="542" t="s">
        <v>733</v>
      </c>
    </row>
    <row r="46" spans="1:5">
      <c r="A46" s="550" t="s">
        <v>110</v>
      </c>
      <c r="B46" s="505" t="s">
        <v>111</v>
      </c>
      <c r="C46" s="505" t="s">
        <v>266</v>
      </c>
      <c r="D46" s="551" t="s">
        <v>110</v>
      </c>
      <c r="E46" s="542" t="s">
        <v>735</v>
      </c>
    </row>
    <row r="47" spans="1:5">
      <c r="A47" s="550" t="s">
        <v>112</v>
      </c>
      <c r="B47" s="505" t="s">
        <v>300</v>
      </c>
      <c r="C47" s="505" t="s">
        <v>265</v>
      </c>
      <c r="D47" s="551" t="s">
        <v>112</v>
      </c>
      <c r="E47" s="542" t="s">
        <v>735</v>
      </c>
    </row>
    <row r="48" spans="1:5">
      <c r="A48" s="550" t="s">
        <v>114</v>
      </c>
      <c r="B48" s="505" t="s">
        <v>115</v>
      </c>
      <c r="C48" s="505" t="s">
        <v>265</v>
      </c>
      <c r="D48" s="551" t="s">
        <v>114</v>
      </c>
      <c r="E48" s="542" t="s">
        <v>734</v>
      </c>
    </row>
    <row r="49" spans="1:5">
      <c r="A49" s="550" t="s">
        <v>118</v>
      </c>
      <c r="B49" s="505" t="s">
        <v>119</v>
      </c>
      <c r="C49" s="505" t="s">
        <v>264</v>
      </c>
      <c r="D49" s="551" t="s">
        <v>118</v>
      </c>
      <c r="E49" s="542" t="s">
        <v>733</v>
      </c>
    </row>
    <row r="50" spans="1:5">
      <c r="A50" s="550" t="s">
        <v>120</v>
      </c>
      <c r="B50" s="505" t="s">
        <v>121</v>
      </c>
      <c r="C50" s="505" t="s">
        <v>264</v>
      </c>
      <c r="D50" s="551" t="s">
        <v>120</v>
      </c>
      <c r="E50" s="542" t="s">
        <v>733</v>
      </c>
    </row>
    <row r="51" spans="1:5">
      <c r="A51" s="550" t="s">
        <v>122</v>
      </c>
      <c r="B51" s="505" t="s">
        <v>271</v>
      </c>
      <c r="C51" s="505" t="s">
        <v>266</v>
      </c>
      <c r="D51" s="551" t="s">
        <v>122</v>
      </c>
      <c r="E51" s="542" t="s">
        <v>734</v>
      </c>
    </row>
    <row r="52" spans="1:5">
      <c r="A52" s="550" t="s">
        <v>124</v>
      </c>
      <c r="B52" s="505" t="s">
        <v>125</v>
      </c>
      <c r="C52" s="505" t="s">
        <v>267</v>
      </c>
      <c r="D52" s="551" t="s">
        <v>124</v>
      </c>
      <c r="E52" s="542" t="s">
        <v>734</v>
      </c>
    </row>
    <row r="53" spans="1:5">
      <c r="A53" s="550" t="s">
        <v>126</v>
      </c>
      <c r="B53" s="505" t="s">
        <v>127</v>
      </c>
      <c r="C53" s="505" t="s">
        <v>266</v>
      </c>
      <c r="D53" s="551" t="s">
        <v>126</v>
      </c>
      <c r="E53" s="542" t="s">
        <v>734</v>
      </c>
    </row>
    <row r="54" spans="1:5">
      <c r="A54" s="550" t="s">
        <v>128</v>
      </c>
      <c r="B54" s="505" t="s">
        <v>129</v>
      </c>
      <c r="C54" s="505" t="s">
        <v>266</v>
      </c>
      <c r="D54" s="551" t="s">
        <v>128</v>
      </c>
      <c r="E54" s="542" t="s">
        <v>734</v>
      </c>
    </row>
    <row r="55" spans="1:5">
      <c r="A55" s="550" t="s">
        <v>130</v>
      </c>
      <c r="B55" s="505" t="s">
        <v>131</v>
      </c>
      <c r="C55" s="505" t="s">
        <v>268</v>
      </c>
      <c r="D55" s="551" t="s">
        <v>130</v>
      </c>
      <c r="E55" s="542" t="s">
        <v>733</v>
      </c>
    </row>
    <row r="56" spans="1:5">
      <c r="A56" s="550" t="s">
        <v>132</v>
      </c>
      <c r="B56" s="505" t="s">
        <v>133</v>
      </c>
      <c r="C56" s="505" t="s">
        <v>267</v>
      </c>
      <c r="D56" s="551" t="s">
        <v>132</v>
      </c>
      <c r="E56" s="542" t="s">
        <v>735</v>
      </c>
    </row>
    <row r="57" spans="1:5">
      <c r="A57" s="550" t="s">
        <v>134</v>
      </c>
      <c r="B57" s="505" t="s">
        <v>135</v>
      </c>
      <c r="C57" s="505" t="s">
        <v>267</v>
      </c>
      <c r="D57" s="551" t="s">
        <v>134</v>
      </c>
      <c r="E57" s="542" t="s">
        <v>733</v>
      </c>
    </row>
    <row r="58" spans="1:5">
      <c r="A58" s="550" t="s">
        <v>136</v>
      </c>
      <c r="B58" s="505" t="s">
        <v>137</v>
      </c>
      <c r="C58" s="505" t="s">
        <v>266</v>
      </c>
      <c r="D58" s="551" t="s">
        <v>136</v>
      </c>
      <c r="E58" s="542" t="s">
        <v>734</v>
      </c>
    </row>
    <row r="59" spans="1:5">
      <c r="A59" s="550" t="s">
        <v>140</v>
      </c>
      <c r="B59" s="505" t="s">
        <v>141</v>
      </c>
      <c r="C59" s="505" t="s">
        <v>267</v>
      </c>
      <c r="D59" s="551" t="s">
        <v>140</v>
      </c>
      <c r="E59" s="542" t="s">
        <v>734</v>
      </c>
    </row>
    <row r="60" spans="1:5">
      <c r="A60" s="550" t="s">
        <v>146</v>
      </c>
      <c r="B60" s="505" t="s">
        <v>147</v>
      </c>
      <c r="C60" s="505" t="s">
        <v>264</v>
      </c>
      <c r="D60" s="551" t="s">
        <v>146</v>
      </c>
      <c r="E60" s="542" t="s">
        <v>734</v>
      </c>
    </row>
    <row r="61" spans="1:5">
      <c r="A61" s="550" t="s">
        <v>148</v>
      </c>
      <c r="B61" s="505" t="s">
        <v>149</v>
      </c>
      <c r="C61" s="505" t="s">
        <v>265</v>
      </c>
      <c r="D61" s="551" t="s">
        <v>148</v>
      </c>
      <c r="E61" s="542" t="s">
        <v>733</v>
      </c>
    </row>
    <row r="62" spans="1:5">
      <c r="A62" s="550" t="s">
        <v>150</v>
      </c>
      <c r="B62" s="505" t="s">
        <v>151</v>
      </c>
      <c r="C62" s="505" t="s">
        <v>266</v>
      </c>
      <c r="D62" s="551" t="s">
        <v>150</v>
      </c>
      <c r="E62" s="542" t="s">
        <v>734</v>
      </c>
    </row>
    <row r="63" spans="1:5">
      <c r="A63" s="550" t="s">
        <v>152</v>
      </c>
      <c r="B63" s="505" t="s">
        <v>153</v>
      </c>
      <c r="C63" s="505" t="s">
        <v>268</v>
      </c>
      <c r="D63" s="551" t="s">
        <v>152</v>
      </c>
      <c r="E63" s="542" t="s">
        <v>733</v>
      </c>
    </row>
    <row r="64" spans="1:5">
      <c r="A64" s="550" t="s">
        <v>154</v>
      </c>
      <c r="B64" s="505" t="s">
        <v>155</v>
      </c>
      <c r="C64" s="505" t="s">
        <v>265</v>
      </c>
      <c r="D64" s="551" t="s">
        <v>154</v>
      </c>
      <c r="E64" s="542" t="s">
        <v>734</v>
      </c>
    </row>
    <row r="65" spans="1:5">
      <c r="A65" s="550" t="s">
        <v>156</v>
      </c>
      <c r="B65" s="505" t="s">
        <v>157</v>
      </c>
      <c r="C65" s="505" t="s">
        <v>266</v>
      </c>
      <c r="D65" s="551" t="s">
        <v>156</v>
      </c>
      <c r="E65" s="542" t="s">
        <v>734</v>
      </c>
    </row>
    <row r="66" spans="1:5">
      <c r="A66" s="550" t="s">
        <v>162</v>
      </c>
      <c r="B66" s="505" t="s">
        <v>163</v>
      </c>
      <c r="C66" s="505" t="s">
        <v>264</v>
      </c>
      <c r="D66" s="551" t="s">
        <v>162</v>
      </c>
      <c r="E66" s="542" t="s">
        <v>733</v>
      </c>
    </row>
    <row r="67" spans="1:5">
      <c r="A67" s="550" t="s">
        <v>164</v>
      </c>
      <c r="B67" s="505" t="s">
        <v>165</v>
      </c>
      <c r="C67" s="505" t="s">
        <v>266</v>
      </c>
      <c r="D67" s="551" t="s">
        <v>164</v>
      </c>
      <c r="E67" s="542" t="s">
        <v>734</v>
      </c>
    </row>
    <row r="68" spans="1:5">
      <c r="A68" s="550" t="s">
        <v>168</v>
      </c>
      <c r="B68" s="505" t="s">
        <v>169</v>
      </c>
      <c r="C68" s="505" t="s">
        <v>266</v>
      </c>
      <c r="D68" s="551" t="s">
        <v>168</v>
      </c>
      <c r="E68" s="542" t="s">
        <v>734</v>
      </c>
    </row>
    <row r="69" spans="1:5">
      <c r="A69" s="550" t="s">
        <v>170</v>
      </c>
      <c r="B69" s="505" t="s">
        <v>171</v>
      </c>
      <c r="C69" s="505" t="s">
        <v>267</v>
      </c>
      <c r="D69" s="551" t="s">
        <v>170</v>
      </c>
      <c r="E69" s="542" t="s">
        <v>733</v>
      </c>
    </row>
    <row r="70" spans="1:5">
      <c r="A70" s="550" t="s">
        <v>172</v>
      </c>
      <c r="B70" s="505" t="s">
        <v>173</v>
      </c>
      <c r="C70" s="505" t="s">
        <v>267</v>
      </c>
      <c r="D70" s="551" t="s">
        <v>172</v>
      </c>
      <c r="E70" s="542" t="s">
        <v>733</v>
      </c>
    </row>
    <row r="71" spans="1:5">
      <c r="A71" s="550" t="s">
        <v>174</v>
      </c>
      <c r="B71" s="505" t="s">
        <v>175</v>
      </c>
      <c r="C71" s="505" t="s">
        <v>268</v>
      </c>
      <c r="D71" s="551" t="s">
        <v>174</v>
      </c>
      <c r="E71" s="542" t="s">
        <v>733</v>
      </c>
    </row>
    <row r="72" spans="1:5">
      <c r="A72" s="550" t="s">
        <v>178</v>
      </c>
      <c r="B72" s="505" t="s">
        <v>179</v>
      </c>
      <c r="C72" s="505" t="s">
        <v>265</v>
      </c>
      <c r="D72" s="551" t="s">
        <v>178</v>
      </c>
      <c r="E72" s="542" t="s">
        <v>733</v>
      </c>
    </row>
    <row r="73" spans="1:5">
      <c r="A73" s="550" t="s">
        <v>182</v>
      </c>
      <c r="B73" s="505" t="s">
        <v>183</v>
      </c>
      <c r="C73" s="505" t="s">
        <v>266</v>
      </c>
      <c r="D73" s="551" t="s">
        <v>182</v>
      </c>
      <c r="E73" s="542" t="s">
        <v>733</v>
      </c>
    </row>
    <row r="74" spans="1:5">
      <c r="A74" s="550" t="s">
        <v>184</v>
      </c>
      <c r="B74" s="505" t="s">
        <v>185</v>
      </c>
      <c r="C74" s="505" t="s">
        <v>266</v>
      </c>
      <c r="D74" s="551" t="s">
        <v>184</v>
      </c>
      <c r="E74" s="542" t="s">
        <v>733</v>
      </c>
    </row>
    <row r="75" spans="1:5">
      <c r="A75" s="550" t="s">
        <v>186</v>
      </c>
      <c r="B75" s="505" t="s">
        <v>187</v>
      </c>
      <c r="C75" s="505" t="s">
        <v>264</v>
      </c>
      <c r="D75" s="551" t="s">
        <v>186</v>
      </c>
      <c r="E75" s="542" t="s">
        <v>733</v>
      </c>
    </row>
    <row r="76" spans="1:5">
      <c r="A76" s="550" t="s">
        <v>188</v>
      </c>
      <c r="B76" s="505" t="s">
        <v>189</v>
      </c>
      <c r="C76" s="505" t="s">
        <v>267</v>
      </c>
      <c r="D76" s="551" t="s">
        <v>188</v>
      </c>
      <c r="E76" s="542" t="s">
        <v>735</v>
      </c>
    </row>
    <row r="77" spans="1:5">
      <c r="A77" s="550" t="s">
        <v>190</v>
      </c>
      <c r="B77" s="505" t="s">
        <v>191</v>
      </c>
      <c r="C77" s="505" t="s">
        <v>268</v>
      </c>
      <c r="D77" s="551" t="s">
        <v>190</v>
      </c>
      <c r="E77" s="542" t="s">
        <v>733</v>
      </c>
    </row>
    <row r="78" spans="1:5">
      <c r="A78" s="550" t="s">
        <v>194</v>
      </c>
      <c r="B78" s="505" t="s">
        <v>195</v>
      </c>
      <c r="C78" s="505" t="s">
        <v>267</v>
      </c>
      <c r="D78" s="551" t="s">
        <v>194</v>
      </c>
      <c r="E78" s="542" t="s">
        <v>734</v>
      </c>
    </row>
    <row r="79" spans="1:5">
      <c r="A79" s="550" t="s">
        <v>198</v>
      </c>
      <c r="B79" s="505" t="s">
        <v>199</v>
      </c>
      <c r="C79" s="505" t="s">
        <v>266</v>
      </c>
      <c r="D79" s="551" t="s">
        <v>198</v>
      </c>
      <c r="E79" s="542" t="s">
        <v>734</v>
      </c>
    </row>
    <row r="80" spans="1:5">
      <c r="A80" s="550" t="s">
        <v>202</v>
      </c>
      <c r="B80" s="505" t="s">
        <v>620</v>
      </c>
      <c r="C80" s="505" t="s">
        <v>265</v>
      </c>
      <c r="D80" s="551" t="s">
        <v>202</v>
      </c>
      <c r="E80" s="542" t="s">
        <v>735</v>
      </c>
    </row>
    <row r="81" spans="1:5">
      <c r="A81" s="550" t="s">
        <v>204</v>
      </c>
      <c r="B81" s="505" t="s">
        <v>293</v>
      </c>
      <c r="C81" s="505" t="s">
        <v>265</v>
      </c>
      <c r="D81" s="551" t="s">
        <v>204</v>
      </c>
      <c r="E81" s="542" t="s">
        <v>733</v>
      </c>
    </row>
    <row r="82" spans="1:5">
      <c r="A82" s="550" t="s">
        <v>206</v>
      </c>
      <c r="B82" s="505" t="s">
        <v>294</v>
      </c>
      <c r="C82" s="505" t="s">
        <v>267</v>
      </c>
      <c r="D82" s="551" t="s">
        <v>206</v>
      </c>
      <c r="E82" s="542" t="s">
        <v>735</v>
      </c>
    </row>
    <row r="83" spans="1:5">
      <c r="A83" s="550" t="s">
        <v>208</v>
      </c>
      <c r="B83" s="505" t="s">
        <v>209</v>
      </c>
      <c r="C83" s="505" t="s">
        <v>268</v>
      </c>
      <c r="D83" s="551" t="s">
        <v>208</v>
      </c>
      <c r="E83" s="542" t="s">
        <v>733</v>
      </c>
    </row>
    <row r="84" spans="1:5">
      <c r="A84" s="550" t="s">
        <v>210</v>
      </c>
      <c r="B84" s="505" t="s">
        <v>211</v>
      </c>
      <c r="C84" s="505" t="s">
        <v>268</v>
      </c>
      <c r="D84" s="551" t="s">
        <v>210</v>
      </c>
      <c r="E84" s="542" t="s">
        <v>733</v>
      </c>
    </row>
    <row r="85" spans="1:5">
      <c r="A85" s="550" t="s">
        <v>212</v>
      </c>
      <c r="B85" s="505" t="s">
        <v>213</v>
      </c>
      <c r="C85" s="505" t="s">
        <v>267</v>
      </c>
      <c r="D85" s="551" t="s">
        <v>212</v>
      </c>
      <c r="E85" s="542" t="s">
        <v>733</v>
      </c>
    </row>
    <row r="86" spans="1:5">
      <c r="A86" s="550" t="s">
        <v>214</v>
      </c>
      <c r="B86" s="505" t="s">
        <v>215</v>
      </c>
      <c r="C86" s="505" t="s">
        <v>268</v>
      </c>
      <c r="D86" s="551" t="s">
        <v>214</v>
      </c>
      <c r="E86" s="542" t="s">
        <v>733</v>
      </c>
    </row>
    <row r="87" spans="1:5">
      <c r="A87" s="550" t="s">
        <v>216</v>
      </c>
      <c r="B87" s="505" t="s">
        <v>217</v>
      </c>
      <c r="C87" s="505" t="s">
        <v>264</v>
      </c>
      <c r="D87" s="551" t="s">
        <v>216</v>
      </c>
      <c r="E87" s="542" t="s">
        <v>733</v>
      </c>
    </row>
    <row r="88" spans="1:5">
      <c r="A88" s="550" t="s">
        <v>218</v>
      </c>
      <c r="B88" s="505" t="s">
        <v>219</v>
      </c>
      <c r="C88" s="505" t="s">
        <v>267</v>
      </c>
      <c r="D88" s="551" t="s">
        <v>218</v>
      </c>
      <c r="E88" s="542" t="s">
        <v>735</v>
      </c>
    </row>
    <row r="89" spans="1:5">
      <c r="A89" s="550" t="s">
        <v>220</v>
      </c>
      <c r="B89" s="505" t="s">
        <v>221</v>
      </c>
      <c r="C89" s="505" t="s">
        <v>267</v>
      </c>
      <c r="D89" s="551" t="s">
        <v>220</v>
      </c>
      <c r="E89" s="542" t="s">
        <v>733</v>
      </c>
    </row>
    <row r="90" spans="1:5">
      <c r="A90" s="550" t="s">
        <v>224</v>
      </c>
      <c r="B90" s="505" t="s">
        <v>225</v>
      </c>
      <c r="C90" s="505" t="s">
        <v>264</v>
      </c>
      <c r="D90" s="551" t="s">
        <v>224</v>
      </c>
      <c r="E90" s="542" t="s">
        <v>733</v>
      </c>
    </row>
    <row r="91" spans="1:5">
      <c r="A91" s="550" t="s">
        <v>226</v>
      </c>
      <c r="B91" s="505" t="s">
        <v>227</v>
      </c>
      <c r="C91" s="505" t="s">
        <v>264</v>
      </c>
      <c r="D91" s="551" t="s">
        <v>226</v>
      </c>
      <c r="E91" s="542" t="s">
        <v>733</v>
      </c>
    </row>
    <row r="92" spans="1:5">
      <c r="A92" s="550" t="s">
        <v>228</v>
      </c>
      <c r="B92" s="505" t="s">
        <v>229</v>
      </c>
      <c r="C92" s="505" t="s">
        <v>268</v>
      </c>
      <c r="D92" s="551" t="s">
        <v>228</v>
      </c>
      <c r="E92" s="542" t="s">
        <v>733</v>
      </c>
    </row>
    <row r="93" spans="1:5">
      <c r="A93" s="550" t="s">
        <v>232</v>
      </c>
      <c r="B93" s="505" t="s">
        <v>233</v>
      </c>
      <c r="C93" s="505" t="s">
        <v>267</v>
      </c>
      <c r="D93" s="551" t="s">
        <v>232</v>
      </c>
      <c r="E93" s="542" t="s">
        <v>733</v>
      </c>
    </row>
    <row r="94" spans="1:5">
      <c r="A94" s="550" t="s">
        <v>234</v>
      </c>
      <c r="B94" s="505" t="s">
        <v>235</v>
      </c>
      <c r="C94" s="505" t="s">
        <v>268</v>
      </c>
      <c r="D94" s="551" t="s">
        <v>234</v>
      </c>
      <c r="E94" s="542" t="s">
        <v>733</v>
      </c>
    </row>
    <row r="95" spans="1:5">
      <c r="A95" s="550" t="s">
        <v>236</v>
      </c>
      <c r="B95" s="505" t="s">
        <v>237</v>
      </c>
      <c r="C95" s="505" t="s">
        <v>266</v>
      </c>
      <c r="D95" s="551" t="s">
        <v>236</v>
      </c>
      <c r="E95" s="542" t="s">
        <v>733</v>
      </c>
    </row>
    <row r="96" spans="1:5">
      <c r="A96" s="550" t="s">
        <v>242</v>
      </c>
      <c r="B96" s="505" t="s">
        <v>243</v>
      </c>
      <c r="C96" s="505" t="s">
        <v>268</v>
      </c>
      <c r="D96" s="551" t="s">
        <v>242</v>
      </c>
      <c r="E96" s="542" t="s">
        <v>735</v>
      </c>
    </row>
    <row r="97" spans="1:5">
      <c r="A97" s="550" t="s">
        <v>244</v>
      </c>
      <c r="B97" s="505" t="s">
        <v>245</v>
      </c>
      <c r="C97" s="505" t="s">
        <v>268</v>
      </c>
      <c r="D97" s="551" t="s">
        <v>244</v>
      </c>
      <c r="E97" s="542" t="s">
        <v>733</v>
      </c>
    </row>
    <row r="98" spans="1:5">
      <c r="A98" s="550" t="s">
        <v>246</v>
      </c>
      <c r="B98" s="505" t="s">
        <v>247</v>
      </c>
      <c r="C98" s="505" t="s">
        <v>264</v>
      </c>
      <c r="D98" s="551" t="s">
        <v>246</v>
      </c>
      <c r="E98" s="542" t="s">
        <v>733</v>
      </c>
    </row>
    <row r="99" spans="1:5">
      <c r="A99" s="550" t="s">
        <v>14</v>
      </c>
      <c r="B99" s="505" t="s">
        <v>15</v>
      </c>
      <c r="C99" s="505" t="s">
        <v>267</v>
      </c>
      <c r="D99" s="551" t="s">
        <v>14</v>
      </c>
      <c r="E99" s="552" t="s">
        <v>735</v>
      </c>
    </row>
    <row r="100" spans="1:5">
      <c r="A100" s="550" t="s">
        <v>34</v>
      </c>
      <c r="B100" s="505" t="s">
        <v>35</v>
      </c>
      <c r="C100" s="505" t="s">
        <v>268</v>
      </c>
      <c r="D100" s="551" t="s">
        <v>34</v>
      </c>
      <c r="E100" s="542" t="s">
        <v>733</v>
      </c>
    </row>
    <row r="101" spans="1:5">
      <c r="A101" s="550" t="s">
        <v>52</v>
      </c>
      <c r="B101" s="505" t="s">
        <v>53</v>
      </c>
      <c r="C101" s="505" t="s">
        <v>265</v>
      </c>
      <c r="D101" s="551" t="s">
        <v>52</v>
      </c>
      <c r="E101" s="542" t="s">
        <v>735</v>
      </c>
    </row>
    <row r="102" spans="1:5">
      <c r="A102" s="550" t="s">
        <v>54</v>
      </c>
      <c r="B102" s="505" t="s">
        <v>55</v>
      </c>
      <c r="C102" s="505" t="s">
        <v>264</v>
      </c>
      <c r="D102" s="551" t="s">
        <v>54</v>
      </c>
      <c r="E102" s="542" t="s">
        <v>735</v>
      </c>
    </row>
    <row r="103" spans="1:5">
      <c r="A103" s="550" t="s">
        <v>66</v>
      </c>
      <c r="B103" s="505" t="s">
        <v>67</v>
      </c>
      <c r="C103" s="505" t="s">
        <v>265</v>
      </c>
      <c r="D103" s="551" t="s">
        <v>66</v>
      </c>
      <c r="E103" s="542" t="s">
        <v>735</v>
      </c>
    </row>
    <row r="104" spans="1:5">
      <c r="A104" s="550" t="s">
        <v>82</v>
      </c>
      <c r="B104" s="505" t="s">
        <v>311</v>
      </c>
      <c r="C104" s="505" t="s">
        <v>264</v>
      </c>
      <c r="D104" s="551" t="s">
        <v>82</v>
      </c>
      <c r="E104" s="542" t="s">
        <v>733</v>
      </c>
    </row>
    <row r="105" spans="1:5">
      <c r="A105" s="550" t="s">
        <v>88</v>
      </c>
      <c r="B105" s="505" t="s">
        <v>89</v>
      </c>
      <c r="C105" s="505" t="s">
        <v>267</v>
      </c>
      <c r="D105" s="551" t="s">
        <v>88</v>
      </c>
      <c r="E105" s="542" t="s">
        <v>733</v>
      </c>
    </row>
    <row r="106" spans="1:5">
      <c r="A106" s="550" t="s">
        <v>90</v>
      </c>
      <c r="B106" s="505" t="s">
        <v>91</v>
      </c>
      <c r="C106" s="505" t="s">
        <v>268</v>
      </c>
      <c r="D106" s="551" t="s">
        <v>90</v>
      </c>
      <c r="E106" s="542" t="s">
        <v>734</v>
      </c>
    </row>
    <row r="107" spans="1:5">
      <c r="A107" s="550" t="s">
        <v>106</v>
      </c>
      <c r="B107" s="505" t="s">
        <v>107</v>
      </c>
      <c r="C107" s="505" t="s">
        <v>264</v>
      </c>
      <c r="D107" s="551" t="s">
        <v>106</v>
      </c>
      <c r="E107" s="542" t="s">
        <v>735</v>
      </c>
    </row>
    <row r="108" spans="1:5">
      <c r="A108" s="550" t="s">
        <v>116</v>
      </c>
      <c r="B108" s="505" t="s">
        <v>117</v>
      </c>
      <c r="C108" s="505" t="s">
        <v>266</v>
      </c>
      <c r="D108" s="551" t="s">
        <v>116</v>
      </c>
      <c r="E108" s="542" t="s">
        <v>733</v>
      </c>
    </row>
    <row r="109" spans="1:5">
      <c r="A109" s="550" t="s">
        <v>138</v>
      </c>
      <c r="B109" s="505" t="s">
        <v>139</v>
      </c>
      <c r="C109" s="505" t="s">
        <v>265</v>
      </c>
      <c r="D109" s="551" t="s">
        <v>138</v>
      </c>
      <c r="E109" s="542" t="s">
        <v>735</v>
      </c>
    </row>
    <row r="110" spans="1:5">
      <c r="A110" s="550" t="s">
        <v>142</v>
      </c>
      <c r="B110" s="505" t="s">
        <v>143</v>
      </c>
      <c r="C110" s="505" t="s">
        <v>267</v>
      </c>
      <c r="D110" s="551" t="s">
        <v>142</v>
      </c>
      <c r="E110" s="542" t="s">
        <v>733</v>
      </c>
    </row>
    <row r="111" spans="1:5">
      <c r="A111" s="550" t="s">
        <v>144</v>
      </c>
      <c r="B111" s="505" t="s">
        <v>145</v>
      </c>
      <c r="C111" s="505" t="s">
        <v>267</v>
      </c>
      <c r="D111" s="551" t="s">
        <v>144</v>
      </c>
      <c r="E111" s="542" t="s">
        <v>734</v>
      </c>
    </row>
    <row r="112" spans="1:5">
      <c r="A112" s="550" t="s">
        <v>158</v>
      </c>
      <c r="B112" s="505" t="s">
        <v>159</v>
      </c>
      <c r="C112" s="505" t="s">
        <v>264</v>
      </c>
      <c r="D112" s="551" t="s">
        <v>158</v>
      </c>
      <c r="E112" s="542" t="s">
        <v>735</v>
      </c>
    </row>
    <row r="113" spans="1:5">
      <c r="A113" s="550" t="s">
        <v>160</v>
      </c>
      <c r="B113" s="505" t="s">
        <v>161</v>
      </c>
      <c r="C113" s="505" t="s">
        <v>264</v>
      </c>
      <c r="D113" s="551" t="s">
        <v>160</v>
      </c>
      <c r="E113" s="542" t="s">
        <v>735</v>
      </c>
    </row>
    <row r="114" spans="1:5">
      <c r="A114" s="550" t="s">
        <v>166</v>
      </c>
      <c r="B114" s="505" t="s">
        <v>167</v>
      </c>
      <c r="C114" s="505" t="s">
        <v>268</v>
      </c>
      <c r="D114" s="551" t="s">
        <v>166</v>
      </c>
      <c r="E114" s="542" t="s">
        <v>734</v>
      </c>
    </row>
    <row r="115" spans="1:5">
      <c r="A115" s="550" t="s">
        <v>176</v>
      </c>
      <c r="B115" s="505" t="s">
        <v>177</v>
      </c>
      <c r="C115" s="505" t="s">
        <v>266</v>
      </c>
      <c r="D115" s="551" t="s">
        <v>176</v>
      </c>
      <c r="E115" s="542" t="s">
        <v>735</v>
      </c>
    </row>
    <row r="116" spans="1:5">
      <c r="A116" s="550" t="s">
        <v>180</v>
      </c>
      <c r="B116" s="505" t="s">
        <v>181</v>
      </c>
      <c r="C116" s="505" t="s">
        <v>264</v>
      </c>
      <c r="D116" s="551" t="s">
        <v>180</v>
      </c>
      <c r="E116" s="542" t="s">
        <v>735</v>
      </c>
    </row>
    <row r="117" spans="1:5">
      <c r="A117" s="550" t="s">
        <v>192</v>
      </c>
      <c r="B117" s="505" t="s">
        <v>193</v>
      </c>
      <c r="C117" s="505" t="s">
        <v>268</v>
      </c>
      <c r="D117" s="551" t="s">
        <v>192</v>
      </c>
      <c r="E117" s="542" t="s">
        <v>734</v>
      </c>
    </row>
    <row r="118" spans="1:5">
      <c r="A118" s="550" t="s">
        <v>196</v>
      </c>
      <c r="B118" s="505" t="s">
        <v>312</v>
      </c>
      <c r="C118" s="505" t="s">
        <v>266</v>
      </c>
      <c r="D118" s="551" t="s">
        <v>196</v>
      </c>
      <c r="E118" s="542" t="s">
        <v>735</v>
      </c>
    </row>
    <row r="119" spans="1:5">
      <c r="A119" s="550" t="s">
        <v>200</v>
      </c>
      <c r="B119" s="505" t="s">
        <v>313</v>
      </c>
      <c r="C119" s="505" t="s">
        <v>265</v>
      </c>
      <c r="D119" s="551" t="s">
        <v>200</v>
      </c>
      <c r="E119" s="542" t="s">
        <v>735</v>
      </c>
    </row>
    <row r="120" spans="1:5">
      <c r="A120" s="550" t="s">
        <v>222</v>
      </c>
      <c r="B120" s="505" t="s">
        <v>223</v>
      </c>
      <c r="C120" s="505" t="s">
        <v>264</v>
      </c>
      <c r="D120" s="551" t="s">
        <v>222</v>
      </c>
      <c r="E120" s="542" t="s">
        <v>735</v>
      </c>
    </row>
    <row r="121" spans="1:5">
      <c r="A121" s="550" t="s">
        <v>230</v>
      </c>
      <c r="B121" s="505" t="s">
        <v>231</v>
      </c>
      <c r="C121" s="505" t="s">
        <v>264</v>
      </c>
      <c r="D121" s="551" t="s">
        <v>230</v>
      </c>
      <c r="E121" s="542" t="s">
        <v>735</v>
      </c>
    </row>
    <row r="122" spans="1:5">
      <c r="A122" s="550" t="s">
        <v>238</v>
      </c>
      <c r="B122" s="505" t="s">
        <v>239</v>
      </c>
      <c r="C122" s="505" t="s">
        <v>264</v>
      </c>
      <c r="D122" s="551" t="s">
        <v>238</v>
      </c>
      <c r="E122" s="542" t="s">
        <v>734</v>
      </c>
    </row>
    <row r="123" spans="1:5">
      <c r="A123" s="550" t="s">
        <v>240</v>
      </c>
      <c r="B123" s="505" t="s">
        <v>241</v>
      </c>
      <c r="C123" s="505" t="s">
        <v>267</v>
      </c>
      <c r="D123" s="551" t="s">
        <v>240</v>
      </c>
      <c r="E123" s="542" t="s">
        <v>733</v>
      </c>
    </row>
    <row r="124" spans="1:5">
      <c r="A124" s="550"/>
      <c r="B124" s="505"/>
      <c r="C124" s="505"/>
      <c r="D124" s="551"/>
    </row>
    <row r="125" spans="1:5">
      <c r="A125" s="550"/>
      <c r="B125" s="505"/>
      <c r="C125" s="505"/>
      <c r="D125" s="317" t="s">
        <v>674</v>
      </c>
      <c r="E125" s="542">
        <f>COUNTIF(E4:E123,"I (One)")</f>
        <v>33</v>
      </c>
    </row>
    <row r="126" spans="1:5">
      <c r="A126" s="550"/>
      <c r="B126" s="505"/>
      <c r="C126" s="505"/>
      <c r="D126" s="317" t="s">
        <v>675</v>
      </c>
      <c r="E126" s="542">
        <f>COUNTIF(E4:E123,"II (Two)")</f>
        <v>59</v>
      </c>
    </row>
    <row r="127" spans="1:5">
      <c r="A127" s="550"/>
      <c r="B127" s="505"/>
      <c r="C127" s="505"/>
      <c r="D127" s="317" t="s">
        <v>676</v>
      </c>
      <c r="E127" s="542">
        <f>COUNTIF(E4:E123,"III (Three)")</f>
        <v>28</v>
      </c>
    </row>
    <row r="129" spans="1:2">
      <c r="A129" s="553" t="s">
        <v>1014</v>
      </c>
    </row>
    <row r="131" spans="1:2" s="428" customFormat="1">
      <c r="A131" s="428" t="s">
        <v>248</v>
      </c>
    </row>
    <row r="132" spans="1:2" s="428" customFormat="1">
      <c r="A132" s="429" t="s">
        <v>249</v>
      </c>
      <c r="B132" s="430" t="s">
        <v>250</v>
      </c>
    </row>
  </sheetData>
  <autoFilter ref="A3:E3"/>
  <hyperlinks>
    <hyperlink ref="B132" r:id="rId1"/>
  </hyperlinks>
  <pageMargins left="0.7" right="0.7" top="0.75" bottom="0.75" header="0.3" footer="0.3"/>
  <pageSetup orientation="portrait" r:id="rId2"/>
</worksheet>
</file>

<file path=xl/worksheets/sheet30.xml><?xml version="1.0" encoding="utf-8"?>
<worksheet xmlns="http://schemas.openxmlformats.org/spreadsheetml/2006/main" xmlns:r="http://schemas.openxmlformats.org/officeDocument/2006/relationships">
  <dimension ref="A1:M131"/>
  <sheetViews>
    <sheetView workbookViewId="0">
      <pane xSplit="3" ySplit="5" topLeftCell="D6" activePane="bottomRight" state="frozen"/>
      <selection pane="topRight" activeCell="D1" sqref="D1"/>
      <selection pane="bottomLeft" activeCell="A6" sqref="A6"/>
      <selection pane="bottomRight" activeCell="A6" sqref="A6:XFD125"/>
    </sheetView>
  </sheetViews>
  <sheetFormatPr defaultColWidth="14.375" defaultRowHeight="15.75"/>
  <cols>
    <col min="1" max="1" width="14.375" style="524"/>
    <col min="2" max="2" width="32.25" style="524" customWidth="1"/>
    <col min="3" max="3" width="14.5" style="524" customWidth="1"/>
    <col min="4" max="4" width="11.875" style="524" customWidth="1"/>
    <col min="5" max="5" width="11.125" style="524" customWidth="1"/>
    <col min="6" max="6" width="14.5" style="524" customWidth="1"/>
    <col min="7" max="8" width="9.75" style="524" customWidth="1"/>
    <col min="9" max="12" width="10.75" style="524" customWidth="1"/>
    <col min="13" max="16384" width="14.375" style="524"/>
  </cols>
  <sheetData>
    <row r="1" spans="1:13">
      <c r="A1" s="257" t="s">
        <v>925</v>
      </c>
    </row>
    <row r="2" spans="1:13">
      <c r="B2" s="525"/>
      <c r="C2" s="525"/>
      <c r="D2" s="525"/>
      <c r="E2" s="525"/>
      <c r="F2" s="525"/>
      <c r="G2" s="525"/>
      <c r="H2" s="525"/>
    </row>
    <row r="3" spans="1:13" ht="23.25" customHeight="1">
      <c r="A3" s="526"/>
      <c r="B3" s="527"/>
      <c r="C3" s="631"/>
      <c r="D3" s="1920" t="s">
        <v>924</v>
      </c>
      <c r="E3" s="1920"/>
      <c r="F3" s="1920"/>
      <c r="G3" s="1920" t="s">
        <v>917</v>
      </c>
      <c r="H3" s="1920"/>
      <c r="I3" s="1920" t="s">
        <v>798</v>
      </c>
      <c r="J3" s="1920"/>
      <c r="K3" s="1920"/>
      <c r="L3" s="1317"/>
      <c r="M3" s="528" t="s">
        <v>867</v>
      </c>
    </row>
    <row r="4" spans="1:13" ht="35.25" customHeight="1">
      <c r="A4" s="528" t="s">
        <v>4</v>
      </c>
      <c r="B4" s="527" t="s">
        <v>5</v>
      </c>
      <c r="C4" s="631" t="s">
        <v>251</v>
      </c>
      <c r="D4" s="1317" t="s">
        <v>628</v>
      </c>
      <c r="E4" s="1317" t="s">
        <v>740</v>
      </c>
      <c r="F4" s="1317" t="s">
        <v>813</v>
      </c>
      <c r="G4" s="1317" t="s">
        <v>554</v>
      </c>
      <c r="H4" s="1317" t="s">
        <v>553</v>
      </c>
      <c r="I4" s="631" t="s">
        <v>2</v>
      </c>
      <c r="J4" s="631" t="s">
        <v>450</v>
      </c>
      <c r="K4" s="631" t="s">
        <v>868</v>
      </c>
      <c r="L4" s="1317" t="s">
        <v>281</v>
      </c>
      <c r="M4" s="528" t="s">
        <v>556</v>
      </c>
    </row>
    <row r="5" spans="1:13">
      <c r="A5" s="1339" t="s">
        <v>8</v>
      </c>
      <c r="B5" s="1340" t="s">
        <v>9</v>
      </c>
      <c r="C5" s="1341"/>
      <c r="D5" s="1342">
        <f>SUM(D6:D125)</f>
        <v>98288</v>
      </c>
      <c r="E5" s="1342">
        <f t="shared" ref="E5:F5" si="0">SUM(E6:E125)</f>
        <v>56564</v>
      </c>
      <c r="F5" s="1342">
        <f t="shared" si="0"/>
        <v>138</v>
      </c>
      <c r="G5" s="1342">
        <f t="shared" ref="G5" si="1">SUM(G6:G125)</f>
        <v>95258</v>
      </c>
      <c r="H5" s="1342">
        <f t="shared" ref="H5:L5" si="2">SUM(H6:H125)</f>
        <v>59733</v>
      </c>
      <c r="I5" s="1343">
        <f t="shared" si="2"/>
        <v>52529</v>
      </c>
      <c r="J5" s="1343">
        <f t="shared" si="2"/>
        <v>80485</v>
      </c>
      <c r="K5" s="1343">
        <f t="shared" si="2"/>
        <v>7754</v>
      </c>
      <c r="L5" s="1343">
        <f t="shared" si="2"/>
        <v>154991</v>
      </c>
      <c r="M5" s="1343">
        <f t="shared" ref="M5" si="3">SUM(M6:M125)</f>
        <v>14791</v>
      </c>
    </row>
    <row r="6" spans="1:13" s="630" customFormat="1">
      <c r="A6" s="632" t="s">
        <v>10</v>
      </c>
      <c r="B6" s="628" t="s">
        <v>11</v>
      </c>
      <c r="C6" s="627" t="s">
        <v>264</v>
      </c>
      <c r="D6" s="1016">
        <v>623</v>
      </c>
      <c r="E6" s="1016">
        <v>350</v>
      </c>
      <c r="F6" s="1016">
        <v>1</v>
      </c>
      <c r="G6" s="1016">
        <v>590</v>
      </c>
      <c r="H6" s="1016">
        <v>384</v>
      </c>
      <c r="I6" s="629">
        <v>391</v>
      </c>
      <c r="J6" s="629">
        <v>544</v>
      </c>
      <c r="K6" s="629">
        <v>32</v>
      </c>
      <c r="L6" s="629">
        <v>974</v>
      </c>
      <c r="M6" s="629">
        <v>208</v>
      </c>
    </row>
    <row r="7" spans="1:13" s="630" customFormat="1">
      <c r="A7" s="632" t="s">
        <v>12</v>
      </c>
      <c r="B7" s="628" t="s">
        <v>13</v>
      </c>
      <c r="C7" s="627" t="s">
        <v>265</v>
      </c>
      <c r="D7" s="1016">
        <v>499</v>
      </c>
      <c r="E7" s="1016">
        <v>307</v>
      </c>
      <c r="F7" s="1016">
        <v>1</v>
      </c>
      <c r="G7" s="1016">
        <v>494</v>
      </c>
      <c r="H7" s="1016">
        <v>313</v>
      </c>
      <c r="I7" s="629">
        <v>298</v>
      </c>
      <c r="J7" s="629">
        <v>269</v>
      </c>
      <c r="K7" s="629">
        <v>76</v>
      </c>
      <c r="L7" s="629">
        <v>807</v>
      </c>
      <c r="M7" s="629">
        <v>138</v>
      </c>
    </row>
    <row r="8" spans="1:13" s="630" customFormat="1">
      <c r="A8" s="632" t="s">
        <v>16</v>
      </c>
      <c r="B8" s="628" t="s">
        <v>297</v>
      </c>
      <c r="C8" s="627" t="s">
        <v>265</v>
      </c>
      <c r="D8" s="1016">
        <v>286</v>
      </c>
      <c r="E8" s="1016">
        <v>189</v>
      </c>
      <c r="F8" s="1016">
        <v>1</v>
      </c>
      <c r="G8" s="1016">
        <v>276</v>
      </c>
      <c r="H8" s="1016">
        <v>200</v>
      </c>
      <c r="I8" s="629">
        <v>361</v>
      </c>
      <c r="J8" s="629">
        <v>49</v>
      </c>
      <c r="K8" s="629">
        <v>58</v>
      </c>
      <c r="L8" s="629">
        <v>476</v>
      </c>
      <c r="M8" s="629">
        <v>36</v>
      </c>
    </row>
    <row r="9" spans="1:13" s="630" customFormat="1">
      <c r="A9" s="632" t="s">
        <v>18</v>
      </c>
      <c r="B9" s="628" t="s">
        <v>19</v>
      </c>
      <c r="C9" s="627" t="s">
        <v>266</v>
      </c>
      <c r="D9" s="1016">
        <v>158</v>
      </c>
      <c r="E9" s="1016">
        <v>115</v>
      </c>
      <c r="F9" s="1016">
        <v>2</v>
      </c>
      <c r="G9" s="1016">
        <v>164</v>
      </c>
      <c r="H9" s="1016">
        <v>111</v>
      </c>
      <c r="I9" s="629">
        <v>138</v>
      </c>
      <c r="J9" s="629">
        <v>111</v>
      </c>
      <c r="K9" s="629">
        <v>22</v>
      </c>
      <c r="L9" s="629">
        <v>275</v>
      </c>
      <c r="M9" s="629">
        <v>27</v>
      </c>
    </row>
    <row r="10" spans="1:13" s="630" customFormat="1">
      <c r="A10" s="632" t="s">
        <v>20</v>
      </c>
      <c r="B10" s="628" t="s">
        <v>21</v>
      </c>
      <c r="C10" s="627" t="s">
        <v>265</v>
      </c>
      <c r="D10" s="1016">
        <v>304</v>
      </c>
      <c r="E10" s="1016">
        <v>152</v>
      </c>
      <c r="F10" s="1016">
        <v>0</v>
      </c>
      <c r="G10" s="1016">
        <v>279</v>
      </c>
      <c r="H10" s="1016">
        <v>177</v>
      </c>
      <c r="I10" s="629">
        <v>269</v>
      </c>
      <c r="J10" s="629">
        <v>134</v>
      </c>
      <c r="K10" s="629">
        <v>28</v>
      </c>
      <c r="L10" s="629">
        <v>456</v>
      </c>
      <c r="M10" s="629">
        <v>29</v>
      </c>
    </row>
    <row r="11" spans="1:13" s="630" customFormat="1">
      <c r="A11" s="632" t="s">
        <v>22</v>
      </c>
      <c r="B11" s="628" t="s">
        <v>23</v>
      </c>
      <c r="C11" s="627" t="s">
        <v>265</v>
      </c>
      <c r="D11" s="1016">
        <v>305</v>
      </c>
      <c r="E11" s="1016">
        <v>187</v>
      </c>
      <c r="F11" s="1016">
        <v>0</v>
      </c>
      <c r="G11" s="1016">
        <v>284</v>
      </c>
      <c r="H11" s="1016">
        <v>208</v>
      </c>
      <c r="I11" s="629">
        <v>229</v>
      </c>
      <c r="J11" s="629">
        <v>246</v>
      </c>
      <c r="K11" s="629">
        <v>11</v>
      </c>
      <c r="L11" s="629">
        <v>492</v>
      </c>
      <c r="M11" s="629">
        <v>14</v>
      </c>
    </row>
    <row r="12" spans="1:13" s="630" customFormat="1">
      <c r="A12" s="632" t="s">
        <v>24</v>
      </c>
      <c r="B12" s="628" t="s">
        <v>25</v>
      </c>
      <c r="C12" s="627" t="s">
        <v>267</v>
      </c>
      <c r="D12" s="1016">
        <v>647</v>
      </c>
      <c r="E12" s="1016">
        <v>456</v>
      </c>
      <c r="F12" s="1016">
        <v>4</v>
      </c>
      <c r="G12" s="1016">
        <v>686</v>
      </c>
      <c r="H12" s="1016">
        <v>421</v>
      </c>
      <c r="I12" s="629">
        <v>366</v>
      </c>
      <c r="J12" s="629">
        <v>492</v>
      </c>
      <c r="K12" s="629">
        <v>121</v>
      </c>
      <c r="L12" s="629">
        <v>1107</v>
      </c>
      <c r="M12" s="629">
        <v>300</v>
      </c>
    </row>
    <row r="13" spans="1:13" s="630" customFormat="1">
      <c r="A13" s="632" t="s">
        <v>26</v>
      </c>
      <c r="B13" s="628" t="s">
        <v>706</v>
      </c>
      <c r="C13" s="627" t="s">
        <v>265</v>
      </c>
      <c r="D13" s="1016">
        <v>1590</v>
      </c>
      <c r="E13" s="1016">
        <v>943</v>
      </c>
      <c r="F13" s="1016">
        <v>1</v>
      </c>
      <c r="G13" s="1016">
        <v>1553</v>
      </c>
      <c r="H13" s="1016">
        <v>981</v>
      </c>
      <c r="I13" s="629">
        <v>1679</v>
      </c>
      <c r="J13" s="629">
        <v>608</v>
      </c>
      <c r="K13" s="629">
        <v>91</v>
      </c>
      <c r="L13" s="629">
        <v>2534</v>
      </c>
      <c r="M13" s="629">
        <v>332</v>
      </c>
    </row>
    <row r="14" spans="1:13" s="630" customFormat="1">
      <c r="A14" s="632" t="s">
        <v>27</v>
      </c>
      <c r="B14" s="628" t="s">
        <v>28</v>
      </c>
      <c r="C14" s="627" t="s">
        <v>265</v>
      </c>
      <c r="D14" s="1016">
        <v>15</v>
      </c>
      <c r="E14" s="1016">
        <v>9</v>
      </c>
      <c r="F14" s="1016">
        <v>0</v>
      </c>
      <c r="G14" s="1016">
        <v>16</v>
      </c>
      <c r="H14" s="1016">
        <v>8</v>
      </c>
      <c r="I14" s="629">
        <v>21</v>
      </c>
      <c r="J14" s="629">
        <v>2</v>
      </c>
      <c r="K14" s="629">
        <v>1</v>
      </c>
      <c r="L14" s="629">
        <v>24</v>
      </c>
      <c r="M14" s="629">
        <v>3</v>
      </c>
    </row>
    <row r="15" spans="1:13" s="630" customFormat="1">
      <c r="A15" s="632" t="s">
        <v>29</v>
      </c>
      <c r="B15" s="628" t="s">
        <v>1012</v>
      </c>
      <c r="C15" s="627" t="s">
        <v>265</v>
      </c>
      <c r="D15" s="1016">
        <v>681</v>
      </c>
      <c r="E15" s="1016">
        <v>399</v>
      </c>
      <c r="F15" s="1016">
        <v>0</v>
      </c>
      <c r="G15" s="1016">
        <v>638</v>
      </c>
      <c r="H15" s="1016">
        <v>442</v>
      </c>
      <c r="I15" s="629">
        <v>738</v>
      </c>
      <c r="J15" s="629">
        <v>243</v>
      </c>
      <c r="K15" s="629">
        <v>62</v>
      </c>
      <c r="L15" s="629">
        <v>1080</v>
      </c>
      <c r="M15" s="629">
        <v>89</v>
      </c>
    </row>
    <row r="16" spans="1:13" s="630" customFormat="1">
      <c r="A16" s="632" t="s">
        <v>30</v>
      </c>
      <c r="B16" s="628" t="s">
        <v>31</v>
      </c>
      <c r="C16" s="627" t="s">
        <v>268</v>
      </c>
      <c r="D16" s="1016">
        <v>49</v>
      </c>
      <c r="E16" s="1016">
        <v>29</v>
      </c>
      <c r="F16" s="1016">
        <v>0</v>
      </c>
      <c r="G16" s="1016">
        <v>49</v>
      </c>
      <c r="H16" s="1016">
        <v>29</v>
      </c>
      <c r="I16" s="629">
        <v>70</v>
      </c>
      <c r="J16" s="629">
        <v>2</v>
      </c>
      <c r="K16" s="629">
        <v>0</v>
      </c>
      <c r="L16" s="629">
        <v>78</v>
      </c>
      <c r="M16" s="629">
        <v>6</v>
      </c>
    </row>
    <row r="17" spans="1:13" s="630" customFormat="1">
      <c r="A17" s="632" t="s">
        <v>32</v>
      </c>
      <c r="B17" s="628" t="s">
        <v>33</v>
      </c>
      <c r="C17" s="627" t="s">
        <v>265</v>
      </c>
      <c r="D17" s="1016">
        <v>111</v>
      </c>
      <c r="E17" s="1016">
        <v>64</v>
      </c>
      <c r="F17" s="1016">
        <v>0</v>
      </c>
      <c r="G17" s="1016">
        <v>92</v>
      </c>
      <c r="H17" s="1016">
        <v>83</v>
      </c>
      <c r="I17" s="629">
        <v>141</v>
      </c>
      <c r="J17" s="629">
        <v>10</v>
      </c>
      <c r="K17" s="629">
        <v>17</v>
      </c>
      <c r="L17" s="629">
        <v>175</v>
      </c>
      <c r="M17" s="629">
        <v>29</v>
      </c>
    </row>
    <row r="18" spans="1:13" s="630" customFormat="1">
      <c r="A18" s="632" t="s">
        <v>36</v>
      </c>
      <c r="B18" s="628" t="s">
        <v>37</v>
      </c>
      <c r="C18" s="627" t="s">
        <v>264</v>
      </c>
      <c r="D18" s="1016">
        <v>324</v>
      </c>
      <c r="E18" s="1016">
        <v>177</v>
      </c>
      <c r="F18" s="1016">
        <v>0</v>
      </c>
      <c r="G18" s="1016">
        <v>325</v>
      </c>
      <c r="H18" s="1016">
        <v>176</v>
      </c>
      <c r="I18" s="629">
        <v>79</v>
      </c>
      <c r="J18" s="629">
        <v>411</v>
      </c>
      <c r="K18" s="629">
        <v>5</v>
      </c>
      <c r="L18" s="629">
        <v>501</v>
      </c>
      <c r="M18" s="629">
        <v>7</v>
      </c>
    </row>
    <row r="19" spans="1:13" s="630" customFormat="1">
      <c r="A19" s="632" t="s">
        <v>38</v>
      </c>
      <c r="B19" s="628" t="s">
        <v>39</v>
      </c>
      <c r="C19" s="627" t="s">
        <v>268</v>
      </c>
      <c r="D19" s="1016">
        <v>396</v>
      </c>
      <c r="E19" s="1016">
        <v>296</v>
      </c>
      <c r="F19" s="1016">
        <v>1</v>
      </c>
      <c r="G19" s="1016">
        <v>396</v>
      </c>
      <c r="H19" s="1016">
        <v>297</v>
      </c>
      <c r="I19" s="629">
        <v>661</v>
      </c>
      <c r="J19" s="629">
        <v>7</v>
      </c>
      <c r="K19" s="629">
        <v>6</v>
      </c>
      <c r="L19" s="629">
        <v>693</v>
      </c>
      <c r="M19" s="629">
        <v>28</v>
      </c>
    </row>
    <row r="20" spans="1:13" s="630" customFormat="1">
      <c r="A20" s="632" t="s">
        <v>40</v>
      </c>
      <c r="B20" s="628" t="s">
        <v>41</v>
      </c>
      <c r="C20" s="627" t="s">
        <v>266</v>
      </c>
      <c r="D20" s="1016">
        <v>212</v>
      </c>
      <c r="E20" s="1016">
        <v>123</v>
      </c>
      <c r="F20" s="1016">
        <v>0</v>
      </c>
      <c r="G20" s="1016">
        <v>211</v>
      </c>
      <c r="H20" s="1016">
        <v>124</v>
      </c>
      <c r="I20" s="629">
        <v>130</v>
      </c>
      <c r="J20" s="629">
        <v>177</v>
      </c>
      <c r="K20" s="629">
        <v>21</v>
      </c>
      <c r="L20" s="629">
        <v>335</v>
      </c>
      <c r="M20" s="629">
        <v>13</v>
      </c>
    </row>
    <row r="21" spans="1:13" s="630" customFormat="1">
      <c r="A21" s="632" t="s">
        <v>42</v>
      </c>
      <c r="B21" s="628" t="s">
        <v>43</v>
      </c>
      <c r="C21" s="627" t="s">
        <v>265</v>
      </c>
      <c r="D21" s="1016">
        <v>730</v>
      </c>
      <c r="E21" s="1016">
        <v>474</v>
      </c>
      <c r="F21" s="1016">
        <v>0</v>
      </c>
      <c r="G21" s="1016">
        <v>733</v>
      </c>
      <c r="H21" s="1016">
        <v>471</v>
      </c>
      <c r="I21" s="629">
        <v>710</v>
      </c>
      <c r="J21" s="629">
        <v>370</v>
      </c>
      <c r="K21" s="629">
        <v>40</v>
      </c>
      <c r="L21" s="629">
        <v>1204</v>
      </c>
      <c r="M21" s="629">
        <v>60</v>
      </c>
    </row>
    <row r="22" spans="1:13" s="630" customFormat="1">
      <c r="A22" s="632" t="s">
        <v>44</v>
      </c>
      <c r="B22" s="628" t="s">
        <v>45</v>
      </c>
      <c r="C22" s="627" t="s">
        <v>266</v>
      </c>
      <c r="D22" s="1016">
        <v>528</v>
      </c>
      <c r="E22" s="1016">
        <v>321</v>
      </c>
      <c r="F22" s="1016">
        <v>1</v>
      </c>
      <c r="G22" s="1016">
        <v>512</v>
      </c>
      <c r="H22" s="1016">
        <v>338</v>
      </c>
      <c r="I22" s="629">
        <v>373</v>
      </c>
      <c r="J22" s="629">
        <v>333</v>
      </c>
      <c r="K22" s="629">
        <v>28</v>
      </c>
      <c r="L22" s="629">
        <v>850</v>
      </c>
      <c r="M22" s="629">
        <v>68</v>
      </c>
    </row>
    <row r="23" spans="1:13" s="630" customFormat="1">
      <c r="A23" s="632" t="s">
        <v>46</v>
      </c>
      <c r="B23" s="628" t="s">
        <v>47</v>
      </c>
      <c r="C23" s="627" t="s">
        <v>268</v>
      </c>
      <c r="D23" s="1016">
        <v>315</v>
      </c>
      <c r="E23" s="1016">
        <v>185</v>
      </c>
      <c r="F23" s="1016">
        <v>2</v>
      </c>
      <c r="G23" s="1016">
        <v>273</v>
      </c>
      <c r="H23" s="1016">
        <v>229</v>
      </c>
      <c r="I23" s="629">
        <v>453</v>
      </c>
      <c r="J23" s="629">
        <v>9</v>
      </c>
      <c r="K23" s="629">
        <v>8</v>
      </c>
      <c r="L23" s="629">
        <v>502</v>
      </c>
      <c r="M23" s="629">
        <v>49</v>
      </c>
    </row>
    <row r="24" spans="1:13" s="630" customFormat="1">
      <c r="A24" s="632" t="s">
        <v>48</v>
      </c>
      <c r="B24" s="628" t="s">
        <v>269</v>
      </c>
      <c r="C24" s="627" t="s">
        <v>266</v>
      </c>
      <c r="D24" s="1016">
        <v>45</v>
      </c>
      <c r="E24" s="1016">
        <v>24</v>
      </c>
      <c r="F24" s="1016">
        <v>0</v>
      </c>
      <c r="G24" s="1016">
        <v>40</v>
      </c>
      <c r="H24" s="1016">
        <v>29</v>
      </c>
      <c r="I24" s="629">
        <v>25</v>
      </c>
      <c r="J24" s="629">
        <v>29</v>
      </c>
      <c r="K24" s="629">
        <v>10</v>
      </c>
      <c r="L24" s="629">
        <v>69</v>
      </c>
      <c r="M24" s="629">
        <v>2</v>
      </c>
    </row>
    <row r="25" spans="1:13" s="630" customFormat="1">
      <c r="A25" s="632" t="s">
        <v>50</v>
      </c>
      <c r="B25" s="628" t="s">
        <v>51</v>
      </c>
      <c r="C25" s="627" t="s">
        <v>265</v>
      </c>
      <c r="D25" s="1016">
        <v>271</v>
      </c>
      <c r="E25" s="1016">
        <v>153</v>
      </c>
      <c r="F25" s="1016">
        <v>0</v>
      </c>
      <c r="G25" s="1016">
        <v>243</v>
      </c>
      <c r="H25" s="1016">
        <v>181</v>
      </c>
      <c r="I25" s="629">
        <v>148</v>
      </c>
      <c r="J25" s="629">
        <v>242</v>
      </c>
      <c r="K25" s="629">
        <v>28</v>
      </c>
      <c r="L25" s="629">
        <v>424</v>
      </c>
      <c r="M25" s="629">
        <v>18</v>
      </c>
    </row>
    <row r="26" spans="1:13" s="630" customFormat="1">
      <c r="A26" s="632" t="s">
        <v>56</v>
      </c>
      <c r="B26" s="628" t="s">
        <v>295</v>
      </c>
      <c r="C26" s="627" t="s">
        <v>266</v>
      </c>
      <c r="D26" s="1016">
        <v>2871</v>
      </c>
      <c r="E26" s="1016">
        <v>1651</v>
      </c>
      <c r="F26" s="1016">
        <v>1</v>
      </c>
      <c r="G26" s="1016">
        <v>2754</v>
      </c>
      <c r="H26" s="1016">
        <v>1769</v>
      </c>
      <c r="I26" s="629">
        <v>1505</v>
      </c>
      <c r="J26" s="629">
        <v>2095</v>
      </c>
      <c r="K26" s="629">
        <v>252</v>
      </c>
      <c r="L26" s="629">
        <v>4523</v>
      </c>
      <c r="M26" s="629">
        <v>558</v>
      </c>
    </row>
    <row r="27" spans="1:13" s="630" customFormat="1">
      <c r="A27" s="632" t="s">
        <v>58</v>
      </c>
      <c r="B27" s="628" t="s">
        <v>59</v>
      </c>
      <c r="C27" s="627" t="s">
        <v>267</v>
      </c>
      <c r="D27" s="1016">
        <v>47</v>
      </c>
      <c r="E27" s="1016">
        <v>32</v>
      </c>
      <c r="F27" s="1016">
        <v>1</v>
      </c>
      <c r="G27" s="1016">
        <v>48</v>
      </c>
      <c r="H27" s="1016">
        <v>32</v>
      </c>
      <c r="I27" s="629">
        <v>64</v>
      </c>
      <c r="J27" s="629">
        <v>9</v>
      </c>
      <c r="K27" s="629">
        <v>2</v>
      </c>
      <c r="L27" s="629">
        <v>80</v>
      </c>
      <c r="M27" s="629">
        <v>14</v>
      </c>
    </row>
    <row r="28" spans="1:13" s="630" customFormat="1">
      <c r="A28" s="632" t="s">
        <v>60</v>
      </c>
      <c r="B28" s="628" t="s">
        <v>61</v>
      </c>
      <c r="C28" s="627" t="s">
        <v>265</v>
      </c>
      <c r="D28" s="1016">
        <v>41</v>
      </c>
      <c r="E28" s="1016">
        <v>18</v>
      </c>
      <c r="F28" s="1016">
        <v>0</v>
      </c>
      <c r="G28" s="1016">
        <v>37</v>
      </c>
      <c r="H28" s="1016">
        <v>22</v>
      </c>
      <c r="I28" s="629">
        <v>58</v>
      </c>
      <c r="J28" s="629">
        <v>0</v>
      </c>
      <c r="K28" s="629">
        <v>0</v>
      </c>
      <c r="L28" s="629">
        <v>59</v>
      </c>
      <c r="M28" s="629">
        <v>3</v>
      </c>
    </row>
    <row r="29" spans="1:13" s="630" customFormat="1">
      <c r="A29" s="632" t="s">
        <v>62</v>
      </c>
      <c r="B29" s="628" t="s">
        <v>63</v>
      </c>
      <c r="C29" s="627" t="s">
        <v>267</v>
      </c>
      <c r="D29" s="1016">
        <v>500</v>
      </c>
      <c r="E29" s="1016">
        <v>291</v>
      </c>
      <c r="F29" s="1016">
        <v>1</v>
      </c>
      <c r="G29" s="1016">
        <v>489</v>
      </c>
      <c r="H29" s="1016">
        <v>303</v>
      </c>
      <c r="I29" s="629">
        <v>370</v>
      </c>
      <c r="J29" s="629">
        <v>337</v>
      </c>
      <c r="K29" s="629">
        <v>41</v>
      </c>
      <c r="L29" s="629">
        <v>792</v>
      </c>
      <c r="M29" s="629">
        <v>83</v>
      </c>
    </row>
    <row r="30" spans="1:13" s="630" customFormat="1">
      <c r="A30" s="632" t="s">
        <v>64</v>
      </c>
      <c r="B30" s="628" t="s">
        <v>65</v>
      </c>
      <c r="C30" s="627" t="s">
        <v>266</v>
      </c>
      <c r="D30" s="1016">
        <v>209</v>
      </c>
      <c r="E30" s="1016">
        <v>118</v>
      </c>
      <c r="F30" s="1016">
        <v>1</v>
      </c>
      <c r="G30" s="1016">
        <v>180</v>
      </c>
      <c r="H30" s="1016">
        <v>148</v>
      </c>
      <c r="I30" s="629">
        <v>129</v>
      </c>
      <c r="J30" s="629">
        <v>180</v>
      </c>
      <c r="K30" s="629">
        <v>12</v>
      </c>
      <c r="L30" s="629">
        <v>328</v>
      </c>
      <c r="M30" s="629">
        <v>13</v>
      </c>
    </row>
    <row r="31" spans="1:13" s="630" customFormat="1">
      <c r="A31" s="632" t="s">
        <v>68</v>
      </c>
      <c r="B31" s="628" t="s">
        <v>69</v>
      </c>
      <c r="C31" s="627" t="s">
        <v>268</v>
      </c>
      <c r="D31" s="1016">
        <v>206</v>
      </c>
      <c r="E31" s="1016">
        <v>158</v>
      </c>
      <c r="F31" s="1016">
        <v>0</v>
      </c>
      <c r="G31" s="1016">
        <v>218</v>
      </c>
      <c r="H31" s="1016">
        <v>146</v>
      </c>
      <c r="I31" s="629">
        <v>351</v>
      </c>
      <c r="J31" s="629">
        <v>8</v>
      </c>
      <c r="K31" s="629">
        <v>2</v>
      </c>
      <c r="L31" s="629">
        <v>364</v>
      </c>
      <c r="M31" s="629">
        <v>18</v>
      </c>
    </row>
    <row r="32" spans="1:13" s="630" customFormat="1">
      <c r="A32" s="632" t="s">
        <v>70</v>
      </c>
      <c r="B32" s="628" t="s">
        <v>71</v>
      </c>
      <c r="C32" s="627" t="s">
        <v>264</v>
      </c>
      <c r="D32" s="1016">
        <v>450</v>
      </c>
      <c r="E32" s="1016">
        <v>243</v>
      </c>
      <c r="F32" s="1016">
        <v>0</v>
      </c>
      <c r="G32" s="1016">
        <v>417</v>
      </c>
      <c r="H32" s="1016">
        <v>276</v>
      </c>
      <c r="I32" s="629">
        <v>325</v>
      </c>
      <c r="J32" s="629">
        <v>273</v>
      </c>
      <c r="K32" s="629">
        <v>25</v>
      </c>
      <c r="L32" s="629">
        <v>693</v>
      </c>
      <c r="M32" s="629">
        <v>51</v>
      </c>
    </row>
    <row r="33" spans="1:13" s="630" customFormat="1">
      <c r="A33" s="632" t="s">
        <v>72</v>
      </c>
      <c r="B33" s="628" t="s">
        <v>73</v>
      </c>
      <c r="C33" s="627" t="s">
        <v>266</v>
      </c>
      <c r="D33" s="1016">
        <v>254</v>
      </c>
      <c r="E33" s="1016">
        <v>134</v>
      </c>
      <c r="F33" s="1016">
        <v>1</v>
      </c>
      <c r="G33" s="1016">
        <v>246</v>
      </c>
      <c r="H33" s="1016">
        <v>143</v>
      </c>
      <c r="I33" s="629">
        <v>78</v>
      </c>
      <c r="J33" s="629">
        <v>228</v>
      </c>
      <c r="K33" s="629">
        <v>13</v>
      </c>
      <c r="L33" s="629">
        <v>389</v>
      </c>
      <c r="M33" s="629">
        <v>20</v>
      </c>
    </row>
    <row r="34" spans="1:13" s="630" customFormat="1">
      <c r="A34" s="632" t="s">
        <v>74</v>
      </c>
      <c r="B34" s="628" t="s">
        <v>296</v>
      </c>
      <c r="C34" s="627" t="s">
        <v>267</v>
      </c>
      <c r="D34" s="1016">
        <v>4545</v>
      </c>
      <c r="E34" s="1016">
        <v>2947</v>
      </c>
      <c r="F34" s="1016">
        <v>16</v>
      </c>
      <c r="G34" s="1016">
        <v>4552</v>
      </c>
      <c r="H34" s="1016">
        <v>2956</v>
      </c>
      <c r="I34" s="629">
        <v>2436</v>
      </c>
      <c r="J34" s="629">
        <v>2712</v>
      </c>
      <c r="K34" s="629">
        <v>1058</v>
      </c>
      <c r="L34" s="629">
        <v>7508</v>
      </c>
      <c r="M34" s="629">
        <v>2008</v>
      </c>
    </row>
    <row r="35" spans="1:13" s="630" customFormat="1">
      <c r="A35" s="632" t="s">
        <v>76</v>
      </c>
      <c r="B35" s="628" t="s">
        <v>77</v>
      </c>
      <c r="C35" s="627" t="s">
        <v>267</v>
      </c>
      <c r="D35" s="1016">
        <v>285</v>
      </c>
      <c r="E35" s="1016">
        <v>164</v>
      </c>
      <c r="F35" s="1016">
        <v>0</v>
      </c>
      <c r="G35" s="1016">
        <v>271</v>
      </c>
      <c r="H35" s="1016">
        <v>178</v>
      </c>
      <c r="I35" s="629">
        <v>238</v>
      </c>
      <c r="J35" s="629">
        <v>132</v>
      </c>
      <c r="K35" s="629">
        <v>47</v>
      </c>
      <c r="L35" s="629">
        <v>449</v>
      </c>
      <c r="M35" s="629">
        <v>44</v>
      </c>
    </row>
    <row r="36" spans="1:13" s="630" customFormat="1">
      <c r="A36" s="632" t="s">
        <v>78</v>
      </c>
      <c r="B36" s="628" t="s">
        <v>79</v>
      </c>
      <c r="C36" s="627" t="s">
        <v>268</v>
      </c>
      <c r="D36" s="1016">
        <v>158</v>
      </c>
      <c r="E36" s="1016">
        <v>95</v>
      </c>
      <c r="F36" s="1016">
        <v>1</v>
      </c>
      <c r="G36" s="1016">
        <v>138</v>
      </c>
      <c r="H36" s="1016">
        <v>116</v>
      </c>
      <c r="I36" s="629">
        <v>218</v>
      </c>
      <c r="J36" s="629">
        <v>19</v>
      </c>
      <c r="K36" s="629">
        <v>11</v>
      </c>
      <c r="L36" s="629">
        <v>254</v>
      </c>
      <c r="M36" s="629">
        <v>32</v>
      </c>
    </row>
    <row r="37" spans="1:13" s="630" customFormat="1">
      <c r="A37" s="632" t="s">
        <v>80</v>
      </c>
      <c r="B37" s="628" t="s">
        <v>81</v>
      </c>
      <c r="C37" s="627" t="s">
        <v>266</v>
      </c>
      <c r="D37" s="1016">
        <v>144</v>
      </c>
      <c r="E37" s="1016">
        <v>60</v>
      </c>
      <c r="F37" s="1016">
        <v>0</v>
      </c>
      <c r="G37" s="1016">
        <v>115</v>
      </c>
      <c r="H37" s="1016">
        <v>89</v>
      </c>
      <c r="I37" s="629">
        <v>121</v>
      </c>
      <c r="J37" s="629">
        <v>74</v>
      </c>
      <c r="K37" s="629">
        <v>4</v>
      </c>
      <c r="L37" s="629">
        <v>204</v>
      </c>
      <c r="M37" s="629">
        <v>24</v>
      </c>
    </row>
    <row r="38" spans="1:13" s="630" customFormat="1">
      <c r="A38" s="632" t="s">
        <v>84</v>
      </c>
      <c r="B38" s="628" t="s">
        <v>85</v>
      </c>
      <c r="C38" s="627" t="s">
        <v>265</v>
      </c>
      <c r="D38" s="1016">
        <v>625</v>
      </c>
      <c r="E38" s="1016">
        <v>391</v>
      </c>
      <c r="F38" s="1016">
        <v>2</v>
      </c>
      <c r="G38" s="1016">
        <v>600</v>
      </c>
      <c r="H38" s="1016">
        <v>418</v>
      </c>
      <c r="I38" s="629">
        <v>703</v>
      </c>
      <c r="J38" s="629">
        <v>189</v>
      </c>
      <c r="K38" s="629">
        <v>34</v>
      </c>
      <c r="L38" s="629">
        <v>1018</v>
      </c>
      <c r="M38" s="629">
        <v>88</v>
      </c>
    </row>
    <row r="39" spans="1:13" s="630" customFormat="1">
      <c r="A39" s="632" t="s">
        <v>86</v>
      </c>
      <c r="B39" s="628" t="s">
        <v>87</v>
      </c>
      <c r="C39" s="627" t="s">
        <v>267</v>
      </c>
      <c r="D39" s="1016">
        <v>411</v>
      </c>
      <c r="E39" s="1016">
        <v>237</v>
      </c>
      <c r="F39" s="1016">
        <v>0</v>
      </c>
      <c r="G39" s="1016">
        <v>375</v>
      </c>
      <c r="H39" s="1016">
        <v>273</v>
      </c>
      <c r="I39" s="629">
        <v>470</v>
      </c>
      <c r="J39" s="629">
        <v>82</v>
      </c>
      <c r="K39" s="629">
        <v>39</v>
      </c>
      <c r="L39" s="629">
        <v>648</v>
      </c>
      <c r="M39" s="629">
        <v>113</v>
      </c>
    </row>
    <row r="40" spans="1:13" s="630" customFormat="1">
      <c r="A40" s="632" t="s">
        <v>92</v>
      </c>
      <c r="B40" s="628" t="s">
        <v>93</v>
      </c>
      <c r="C40" s="627" t="s">
        <v>268</v>
      </c>
      <c r="D40" s="1016">
        <v>145</v>
      </c>
      <c r="E40" s="1016">
        <v>78</v>
      </c>
      <c r="F40" s="1016">
        <v>0</v>
      </c>
      <c r="G40" s="1016">
        <v>135</v>
      </c>
      <c r="H40" s="1016">
        <v>88</v>
      </c>
      <c r="I40" s="629">
        <v>202</v>
      </c>
      <c r="J40" s="629">
        <v>3</v>
      </c>
      <c r="K40" s="629">
        <v>9</v>
      </c>
      <c r="L40" s="629">
        <v>223</v>
      </c>
      <c r="M40" s="629">
        <v>29</v>
      </c>
    </row>
    <row r="41" spans="1:13" s="630" customFormat="1">
      <c r="A41" s="632" t="s">
        <v>94</v>
      </c>
      <c r="B41" s="628" t="s">
        <v>95</v>
      </c>
      <c r="C41" s="627" t="s">
        <v>264</v>
      </c>
      <c r="D41" s="1016">
        <v>355</v>
      </c>
      <c r="E41" s="1016">
        <v>173</v>
      </c>
      <c r="F41" s="1016">
        <v>0</v>
      </c>
      <c r="G41" s="1016">
        <v>311</v>
      </c>
      <c r="H41" s="1016">
        <v>217</v>
      </c>
      <c r="I41" s="629">
        <v>387</v>
      </c>
      <c r="J41" s="629">
        <v>90</v>
      </c>
      <c r="K41" s="629">
        <v>14</v>
      </c>
      <c r="L41" s="629">
        <v>528</v>
      </c>
      <c r="M41" s="629">
        <v>59</v>
      </c>
    </row>
    <row r="42" spans="1:13" s="630" customFormat="1">
      <c r="A42" s="632" t="s">
        <v>96</v>
      </c>
      <c r="B42" s="628" t="s">
        <v>97</v>
      </c>
      <c r="C42" s="627" t="s">
        <v>266</v>
      </c>
      <c r="D42" s="1016">
        <v>74</v>
      </c>
      <c r="E42" s="1016">
        <v>47</v>
      </c>
      <c r="F42" s="1016">
        <v>0</v>
      </c>
      <c r="G42" s="1016">
        <v>72</v>
      </c>
      <c r="H42" s="1016">
        <v>49</v>
      </c>
      <c r="I42" s="629">
        <v>72</v>
      </c>
      <c r="J42" s="629">
        <v>38</v>
      </c>
      <c r="K42" s="629">
        <v>8</v>
      </c>
      <c r="L42" s="629">
        <v>121</v>
      </c>
      <c r="M42" s="629">
        <v>9</v>
      </c>
    </row>
    <row r="43" spans="1:13" s="630" customFormat="1">
      <c r="A43" s="632" t="s">
        <v>98</v>
      </c>
      <c r="B43" s="628" t="s">
        <v>99</v>
      </c>
      <c r="C43" s="627" t="s">
        <v>268</v>
      </c>
      <c r="D43" s="1016">
        <v>155</v>
      </c>
      <c r="E43" s="1016">
        <v>96</v>
      </c>
      <c r="F43" s="1016">
        <v>0</v>
      </c>
      <c r="G43" s="1016">
        <v>154</v>
      </c>
      <c r="H43" s="1016">
        <v>97</v>
      </c>
      <c r="I43" s="629">
        <v>217</v>
      </c>
      <c r="J43" s="629">
        <v>25</v>
      </c>
      <c r="K43" s="629">
        <v>4</v>
      </c>
      <c r="L43" s="629">
        <v>251</v>
      </c>
      <c r="M43" s="629">
        <v>21</v>
      </c>
    </row>
    <row r="44" spans="1:13" s="630" customFormat="1">
      <c r="A44" s="632" t="s">
        <v>100</v>
      </c>
      <c r="B44" s="628" t="s">
        <v>101</v>
      </c>
      <c r="C44" s="627" t="s">
        <v>267</v>
      </c>
      <c r="D44" s="1016">
        <v>130</v>
      </c>
      <c r="E44" s="1016">
        <v>72</v>
      </c>
      <c r="F44" s="1016">
        <v>0</v>
      </c>
      <c r="G44" s="1016">
        <v>118</v>
      </c>
      <c r="H44" s="1016">
        <v>84</v>
      </c>
      <c r="I44" s="629">
        <v>134</v>
      </c>
      <c r="J44" s="629">
        <v>32</v>
      </c>
      <c r="K44" s="629">
        <v>30</v>
      </c>
      <c r="L44" s="629">
        <v>202</v>
      </c>
      <c r="M44" s="629">
        <v>23</v>
      </c>
    </row>
    <row r="45" spans="1:13" s="630" customFormat="1">
      <c r="A45" s="632" t="s">
        <v>102</v>
      </c>
      <c r="B45" s="628" t="s">
        <v>282</v>
      </c>
      <c r="C45" s="627" t="s">
        <v>264</v>
      </c>
      <c r="D45" s="1016">
        <v>533</v>
      </c>
      <c r="E45" s="1016">
        <v>299</v>
      </c>
      <c r="F45" s="1016">
        <v>2</v>
      </c>
      <c r="G45" s="1016">
        <v>508</v>
      </c>
      <c r="H45" s="1016">
        <v>326</v>
      </c>
      <c r="I45" s="629">
        <v>63</v>
      </c>
      <c r="J45" s="629">
        <v>712</v>
      </c>
      <c r="K45" s="629">
        <v>29</v>
      </c>
      <c r="L45" s="629">
        <v>834</v>
      </c>
      <c r="M45" s="629">
        <v>54</v>
      </c>
    </row>
    <row r="46" spans="1:13" s="630" customFormat="1">
      <c r="A46" s="632" t="s">
        <v>104</v>
      </c>
      <c r="B46" s="628" t="s">
        <v>105</v>
      </c>
      <c r="C46" s="627" t="s">
        <v>265</v>
      </c>
      <c r="D46" s="1016">
        <v>601</v>
      </c>
      <c r="E46" s="1016">
        <v>342</v>
      </c>
      <c r="F46" s="1016">
        <v>2</v>
      </c>
      <c r="G46" s="1016">
        <v>595</v>
      </c>
      <c r="H46" s="1016">
        <v>350</v>
      </c>
      <c r="I46" s="629">
        <v>265</v>
      </c>
      <c r="J46" s="629">
        <v>575</v>
      </c>
      <c r="K46" s="629">
        <v>24</v>
      </c>
      <c r="L46" s="629">
        <v>945</v>
      </c>
      <c r="M46" s="629">
        <v>35</v>
      </c>
    </row>
    <row r="47" spans="1:13" s="630" customFormat="1">
      <c r="A47" s="632" t="s">
        <v>108</v>
      </c>
      <c r="B47" s="628" t="s">
        <v>109</v>
      </c>
      <c r="C47" s="627" t="s">
        <v>266</v>
      </c>
      <c r="D47" s="1016">
        <v>450</v>
      </c>
      <c r="E47" s="1016">
        <v>267</v>
      </c>
      <c r="F47" s="1016">
        <v>1</v>
      </c>
      <c r="G47" s="1016">
        <v>422</v>
      </c>
      <c r="H47" s="1016">
        <v>296</v>
      </c>
      <c r="I47" s="629">
        <v>377</v>
      </c>
      <c r="J47" s="629">
        <v>229</v>
      </c>
      <c r="K47" s="629">
        <v>34</v>
      </c>
      <c r="L47" s="629">
        <v>718</v>
      </c>
      <c r="M47" s="629">
        <v>78</v>
      </c>
    </row>
    <row r="48" spans="1:13" s="630" customFormat="1">
      <c r="A48" s="632" t="s">
        <v>110</v>
      </c>
      <c r="B48" s="628" t="s">
        <v>111</v>
      </c>
      <c r="C48" s="627" t="s">
        <v>266</v>
      </c>
      <c r="D48" s="1016">
        <v>3875</v>
      </c>
      <c r="E48" s="1016">
        <v>2219</v>
      </c>
      <c r="F48" s="1016">
        <v>7</v>
      </c>
      <c r="G48" s="1016">
        <v>3790</v>
      </c>
      <c r="H48" s="1016">
        <v>2311</v>
      </c>
      <c r="I48" s="629">
        <v>1045</v>
      </c>
      <c r="J48" s="629">
        <v>3973</v>
      </c>
      <c r="K48" s="629">
        <v>325</v>
      </c>
      <c r="L48" s="629">
        <v>6101</v>
      </c>
      <c r="M48" s="629">
        <v>355</v>
      </c>
    </row>
    <row r="49" spans="1:13" s="630" customFormat="1">
      <c r="A49" s="632" t="s">
        <v>112</v>
      </c>
      <c r="B49" s="628" t="s">
        <v>300</v>
      </c>
      <c r="C49" s="627" t="s">
        <v>265</v>
      </c>
      <c r="D49" s="1016">
        <v>1351</v>
      </c>
      <c r="E49" s="1016">
        <v>734</v>
      </c>
      <c r="F49" s="1016">
        <v>0</v>
      </c>
      <c r="G49" s="1016">
        <v>1278</v>
      </c>
      <c r="H49" s="1016">
        <v>807</v>
      </c>
      <c r="I49" s="629">
        <v>857</v>
      </c>
      <c r="J49" s="629">
        <v>930</v>
      </c>
      <c r="K49" s="629">
        <v>47</v>
      </c>
      <c r="L49" s="629">
        <v>2085</v>
      </c>
      <c r="M49" s="629">
        <v>204</v>
      </c>
    </row>
    <row r="50" spans="1:13" s="630" customFormat="1">
      <c r="A50" s="632" t="s">
        <v>114</v>
      </c>
      <c r="B50" s="628" t="s">
        <v>115</v>
      </c>
      <c r="C50" s="627" t="s">
        <v>265</v>
      </c>
      <c r="D50" s="1016">
        <v>6</v>
      </c>
      <c r="E50" s="1016">
        <v>3</v>
      </c>
      <c r="F50" s="1016">
        <v>0</v>
      </c>
      <c r="G50" s="1016">
        <v>7</v>
      </c>
      <c r="H50" s="1016">
        <v>2</v>
      </c>
      <c r="I50" s="629">
        <v>7</v>
      </c>
      <c r="J50" s="629">
        <v>0</v>
      </c>
      <c r="K50" s="629">
        <v>0</v>
      </c>
      <c r="L50" s="629">
        <v>9</v>
      </c>
      <c r="M50" s="629">
        <v>0</v>
      </c>
    </row>
    <row r="51" spans="1:13" s="630" customFormat="1">
      <c r="A51" s="632" t="s">
        <v>118</v>
      </c>
      <c r="B51" s="628" t="s">
        <v>270</v>
      </c>
      <c r="C51" s="627" t="s">
        <v>264</v>
      </c>
      <c r="D51" s="1016">
        <v>357</v>
      </c>
      <c r="E51" s="1016">
        <v>197</v>
      </c>
      <c r="F51" s="1016">
        <v>1</v>
      </c>
      <c r="G51" s="1016">
        <v>336</v>
      </c>
      <c r="H51" s="1016">
        <v>219</v>
      </c>
      <c r="I51" s="629">
        <v>211</v>
      </c>
      <c r="J51" s="629">
        <v>273</v>
      </c>
      <c r="K51" s="629">
        <v>26</v>
      </c>
      <c r="L51" s="629">
        <v>555</v>
      </c>
      <c r="M51" s="629">
        <v>37</v>
      </c>
    </row>
    <row r="52" spans="1:13" s="630" customFormat="1">
      <c r="A52" s="632" t="s">
        <v>120</v>
      </c>
      <c r="B52" s="628" t="s">
        <v>121</v>
      </c>
      <c r="C52" s="627" t="s">
        <v>264</v>
      </c>
      <c r="D52" s="1016">
        <v>474</v>
      </c>
      <c r="E52" s="1016">
        <v>289</v>
      </c>
      <c r="F52" s="1016">
        <v>0</v>
      </c>
      <c r="G52" s="1016">
        <v>490</v>
      </c>
      <c r="H52" s="1016">
        <v>273</v>
      </c>
      <c r="I52" s="629">
        <v>284</v>
      </c>
      <c r="J52" s="629">
        <v>353</v>
      </c>
      <c r="K52" s="629">
        <v>50</v>
      </c>
      <c r="L52" s="629">
        <v>763</v>
      </c>
      <c r="M52" s="629">
        <v>63</v>
      </c>
    </row>
    <row r="53" spans="1:13" s="630" customFormat="1">
      <c r="A53" s="632" t="s">
        <v>122</v>
      </c>
      <c r="B53" s="628" t="s">
        <v>287</v>
      </c>
      <c r="C53" s="627" t="s">
        <v>266</v>
      </c>
      <c r="D53" s="1016">
        <v>87</v>
      </c>
      <c r="E53" s="1016">
        <v>47</v>
      </c>
      <c r="F53" s="1016">
        <v>0</v>
      </c>
      <c r="G53" s="1016">
        <v>80</v>
      </c>
      <c r="H53" s="1016">
        <v>54</v>
      </c>
      <c r="I53" s="629">
        <v>51</v>
      </c>
      <c r="J53" s="629">
        <v>65</v>
      </c>
      <c r="K53" s="629">
        <v>9</v>
      </c>
      <c r="L53" s="629">
        <v>134</v>
      </c>
      <c r="M53" s="629">
        <v>5</v>
      </c>
    </row>
    <row r="54" spans="1:13" s="630" customFormat="1">
      <c r="A54" s="632" t="s">
        <v>124</v>
      </c>
      <c r="B54" s="628" t="s">
        <v>125</v>
      </c>
      <c r="C54" s="627" t="s">
        <v>267</v>
      </c>
      <c r="D54" s="1016">
        <v>253</v>
      </c>
      <c r="E54" s="1016">
        <v>107</v>
      </c>
      <c r="F54" s="1016">
        <v>1</v>
      </c>
      <c r="G54" s="1016">
        <v>217</v>
      </c>
      <c r="H54" s="1016">
        <v>144</v>
      </c>
      <c r="I54" s="629">
        <v>132</v>
      </c>
      <c r="J54" s="629">
        <v>173</v>
      </c>
      <c r="K54" s="629">
        <v>21</v>
      </c>
      <c r="L54" s="629">
        <v>361</v>
      </c>
      <c r="M54" s="629">
        <v>26</v>
      </c>
    </row>
    <row r="55" spans="1:13" s="630" customFormat="1">
      <c r="A55" s="632" t="s">
        <v>126</v>
      </c>
      <c r="B55" s="628" t="s">
        <v>127</v>
      </c>
      <c r="C55" s="627" t="s">
        <v>266</v>
      </c>
      <c r="D55" s="1016">
        <v>141</v>
      </c>
      <c r="E55" s="1016">
        <v>76</v>
      </c>
      <c r="F55" s="1016">
        <v>0</v>
      </c>
      <c r="G55" s="1016">
        <v>132</v>
      </c>
      <c r="H55" s="1016">
        <v>85</v>
      </c>
      <c r="I55" s="629">
        <v>102</v>
      </c>
      <c r="J55" s="629">
        <v>111</v>
      </c>
      <c r="K55" s="629">
        <v>0</v>
      </c>
      <c r="L55" s="629">
        <v>217</v>
      </c>
      <c r="M55" s="629">
        <v>14</v>
      </c>
    </row>
    <row r="56" spans="1:13" s="630" customFormat="1">
      <c r="A56" s="632" t="s">
        <v>128</v>
      </c>
      <c r="B56" s="628" t="s">
        <v>129</v>
      </c>
      <c r="C56" s="627" t="s">
        <v>266</v>
      </c>
      <c r="D56" s="1016">
        <v>121</v>
      </c>
      <c r="E56" s="1016">
        <v>75</v>
      </c>
      <c r="F56" s="1016">
        <v>0</v>
      </c>
      <c r="G56" s="1016">
        <v>127</v>
      </c>
      <c r="H56" s="1016">
        <v>69</v>
      </c>
      <c r="I56" s="629">
        <v>49</v>
      </c>
      <c r="J56" s="629">
        <v>133</v>
      </c>
      <c r="K56" s="629">
        <v>8</v>
      </c>
      <c r="L56" s="629">
        <v>196</v>
      </c>
      <c r="M56" s="629">
        <v>6</v>
      </c>
    </row>
    <row r="57" spans="1:13" s="630" customFormat="1">
      <c r="A57" s="632" t="s">
        <v>130</v>
      </c>
      <c r="B57" s="628" t="s">
        <v>131</v>
      </c>
      <c r="C57" s="627" t="s">
        <v>268</v>
      </c>
      <c r="D57" s="1016">
        <v>742</v>
      </c>
      <c r="E57" s="1016">
        <v>519</v>
      </c>
      <c r="F57" s="1016">
        <v>1</v>
      </c>
      <c r="G57" s="1016">
        <v>719</v>
      </c>
      <c r="H57" s="1016">
        <v>543</v>
      </c>
      <c r="I57" s="629">
        <v>1201</v>
      </c>
      <c r="J57" s="629">
        <v>10</v>
      </c>
      <c r="K57" s="629">
        <v>16</v>
      </c>
      <c r="L57" s="629">
        <v>1262</v>
      </c>
      <c r="M57" s="629">
        <v>45</v>
      </c>
    </row>
    <row r="58" spans="1:13" s="630" customFormat="1">
      <c r="A58" s="632" t="s">
        <v>132</v>
      </c>
      <c r="B58" s="628" t="s">
        <v>133</v>
      </c>
      <c r="C58" s="627" t="s">
        <v>267</v>
      </c>
      <c r="D58" s="1016">
        <v>785</v>
      </c>
      <c r="E58" s="1016">
        <v>510</v>
      </c>
      <c r="F58" s="1016">
        <v>3</v>
      </c>
      <c r="G58" s="1016">
        <v>778</v>
      </c>
      <c r="H58" s="1016">
        <v>520</v>
      </c>
      <c r="I58" s="629">
        <v>533</v>
      </c>
      <c r="J58" s="629">
        <v>330</v>
      </c>
      <c r="K58" s="629">
        <v>128</v>
      </c>
      <c r="L58" s="629">
        <v>1298</v>
      </c>
      <c r="M58" s="629">
        <v>261</v>
      </c>
    </row>
    <row r="59" spans="1:13" s="630" customFormat="1">
      <c r="A59" s="632" t="s">
        <v>134</v>
      </c>
      <c r="B59" s="628" t="s">
        <v>135</v>
      </c>
      <c r="C59" s="627" t="s">
        <v>267</v>
      </c>
      <c r="D59" s="1016">
        <v>344</v>
      </c>
      <c r="E59" s="1016">
        <v>194</v>
      </c>
      <c r="F59" s="1016">
        <v>1</v>
      </c>
      <c r="G59" s="1016">
        <v>335</v>
      </c>
      <c r="H59" s="1016">
        <v>204</v>
      </c>
      <c r="I59" s="629">
        <v>310</v>
      </c>
      <c r="J59" s="629">
        <v>173</v>
      </c>
      <c r="K59" s="629">
        <v>14</v>
      </c>
      <c r="L59" s="629">
        <v>539</v>
      </c>
      <c r="M59" s="629">
        <v>33</v>
      </c>
    </row>
    <row r="60" spans="1:13" s="630" customFormat="1">
      <c r="A60" s="632" t="s">
        <v>136</v>
      </c>
      <c r="B60" s="628" t="s">
        <v>137</v>
      </c>
      <c r="C60" s="627" t="s">
        <v>266</v>
      </c>
      <c r="D60" s="1016">
        <v>209</v>
      </c>
      <c r="E60" s="1016">
        <v>117</v>
      </c>
      <c r="F60" s="1016">
        <v>0</v>
      </c>
      <c r="G60" s="1016">
        <v>200</v>
      </c>
      <c r="H60" s="1016">
        <v>126</v>
      </c>
      <c r="I60" s="629">
        <v>90</v>
      </c>
      <c r="J60" s="629">
        <v>212</v>
      </c>
      <c r="K60" s="629">
        <v>17</v>
      </c>
      <c r="L60" s="629">
        <v>326</v>
      </c>
      <c r="M60" s="629">
        <v>8</v>
      </c>
    </row>
    <row r="61" spans="1:13" s="630" customFormat="1">
      <c r="A61" s="632" t="s">
        <v>140</v>
      </c>
      <c r="B61" s="628" t="s">
        <v>141</v>
      </c>
      <c r="C61" s="627" t="s">
        <v>267</v>
      </c>
      <c r="D61" s="1016">
        <v>91</v>
      </c>
      <c r="E61" s="1016">
        <v>44</v>
      </c>
      <c r="F61" s="1016">
        <v>0</v>
      </c>
      <c r="G61" s="1016">
        <v>82</v>
      </c>
      <c r="H61" s="1016">
        <v>53</v>
      </c>
      <c r="I61" s="629">
        <v>80</v>
      </c>
      <c r="J61" s="629">
        <v>32</v>
      </c>
      <c r="K61" s="629">
        <v>4</v>
      </c>
      <c r="L61" s="629">
        <v>135</v>
      </c>
      <c r="M61" s="629">
        <v>10</v>
      </c>
    </row>
    <row r="62" spans="1:13" s="630" customFormat="1">
      <c r="A62" s="632" t="s">
        <v>146</v>
      </c>
      <c r="B62" s="628" t="s">
        <v>147</v>
      </c>
      <c r="C62" s="627" t="s">
        <v>264</v>
      </c>
      <c r="D62" s="1016">
        <v>60</v>
      </c>
      <c r="E62" s="1016">
        <v>32</v>
      </c>
      <c r="F62" s="1016">
        <v>0</v>
      </c>
      <c r="G62" s="1016">
        <v>54</v>
      </c>
      <c r="H62" s="1016">
        <v>38</v>
      </c>
      <c r="I62" s="629">
        <v>55</v>
      </c>
      <c r="J62" s="629">
        <v>33</v>
      </c>
      <c r="K62" s="629">
        <v>4</v>
      </c>
      <c r="L62" s="629">
        <v>92</v>
      </c>
      <c r="M62" s="629">
        <v>15</v>
      </c>
    </row>
    <row r="63" spans="1:13" s="630" customFormat="1">
      <c r="A63" s="632" t="s">
        <v>148</v>
      </c>
      <c r="B63" s="628" t="s">
        <v>149</v>
      </c>
      <c r="C63" s="627" t="s">
        <v>265</v>
      </c>
      <c r="D63" s="1016">
        <v>536</v>
      </c>
      <c r="E63" s="1016">
        <v>276</v>
      </c>
      <c r="F63" s="1016">
        <v>1</v>
      </c>
      <c r="G63" s="1016">
        <v>497</v>
      </c>
      <c r="H63" s="1016">
        <v>316</v>
      </c>
      <c r="I63" s="629">
        <v>208</v>
      </c>
      <c r="J63" s="629">
        <v>564</v>
      </c>
      <c r="K63" s="629">
        <v>20</v>
      </c>
      <c r="L63" s="629">
        <v>813</v>
      </c>
      <c r="M63" s="629">
        <v>21</v>
      </c>
    </row>
    <row r="64" spans="1:13" s="630" customFormat="1">
      <c r="A64" s="632" t="s">
        <v>150</v>
      </c>
      <c r="B64" s="628" t="s">
        <v>151</v>
      </c>
      <c r="C64" s="627" t="s">
        <v>266</v>
      </c>
      <c r="D64" s="1016">
        <v>190</v>
      </c>
      <c r="E64" s="1016">
        <v>141</v>
      </c>
      <c r="F64" s="1016">
        <v>0</v>
      </c>
      <c r="G64" s="1016">
        <v>187</v>
      </c>
      <c r="H64" s="1016">
        <v>144</v>
      </c>
      <c r="I64" s="629">
        <v>188</v>
      </c>
      <c r="J64" s="629">
        <v>127</v>
      </c>
      <c r="K64" s="629">
        <v>8</v>
      </c>
      <c r="L64" s="629">
        <v>331</v>
      </c>
      <c r="M64" s="629">
        <v>12</v>
      </c>
    </row>
    <row r="65" spans="1:13" s="630" customFormat="1">
      <c r="A65" s="632" t="s">
        <v>152</v>
      </c>
      <c r="B65" s="628" t="s">
        <v>153</v>
      </c>
      <c r="C65" s="627" t="s">
        <v>268</v>
      </c>
      <c r="D65" s="1016">
        <v>891</v>
      </c>
      <c r="E65" s="1016">
        <v>529</v>
      </c>
      <c r="F65" s="1016">
        <v>1</v>
      </c>
      <c r="G65" s="1016">
        <v>828</v>
      </c>
      <c r="H65" s="1016">
        <v>593</v>
      </c>
      <c r="I65" s="629">
        <v>1074</v>
      </c>
      <c r="J65" s="629">
        <v>173</v>
      </c>
      <c r="K65" s="629">
        <v>49</v>
      </c>
      <c r="L65" s="629">
        <v>1421</v>
      </c>
      <c r="M65" s="629">
        <v>154</v>
      </c>
    </row>
    <row r="66" spans="1:13" s="630" customFormat="1">
      <c r="A66" s="632" t="s">
        <v>154</v>
      </c>
      <c r="B66" s="628" t="s">
        <v>155</v>
      </c>
      <c r="C66" s="627" t="s">
        <v>265</v>
      </c>
      <c r="D66" s="1016">
        <v>120</v>
      </c>
      <c r="E66" s="1016">
        <v>69</v>
      </c>
      <c r="F66" s="1016">
        <v>0</v>
      </c>
      <c r="G66" s="1016">
        <v>101</v>
      </c>
      <c r="H66" s="1016">
        <v>88</v>
      </c>
      <c r="I66" s="629">
        <v>110</v>
      </c>
      <c r="J66" s="629">
        <v>45</v>
      </c>
      <c r="K66" s="629">
        <v>11</v>
      </c>
      <c r="L66" s="629">
        <v>189</v>
      </c>
      <c r="M66" s="629">
        <v>19</v>
      </c>
    </row>
    <row r="67" spans="1:13" s="630" customFormat="1">
      <c r="A67" s="632" t="s">
        <v>156</v>
      </c>
      <c r="B67" s="628" t="s">
        <v>157</v>
      </c>
      <c r="C67" s="627" t="s">
        <v>266</v>
      </c>
      <c r="D67" s="1016">
        <v>122</v>
      </c>
      <c r="E67" s="1016">
        <v>74</v>
      </c>
      <c r="F67" s="1016">
        <v>0</v>
      </c>
      <c r="G67" s="1016">
        <v>116</v>
      </c>
      <c r="H67" s="1016">
        <v>80</v>
      </c>
      <c r="I67" s="629">
        <v>120</v>
      </c>
      <c r="J67" s="629">
        <v>39</v>
      </c>
      <c r="K67" s="629">
        <v>16</v>
      </c>
      <c r="L67" s="629">
        <v>196</v>
      </c>
      <c r="M67" s="629">
        <v>34</v>
      </c>
    </row>
    <row r="68" spans="1:13" s="630" customFormat="1">
      <c r="A68" s="632" t="s">
        <v>162</v>
      </c>
      <c r="B68" s="628" t="s">
        <v>163</v>
      </c>
      <c r="C68" s="627" t="s">
        <v>264</v>
      </c>
      <c r="D68" s="1016">
        <v>267</v>
      </c>
      <c r="E68" s="1016">
        <v>161</v>
      </c>
      <c r="F68" s="1016">
        <v>0</v>
      </c>
      <c r="G68" s="1016">
        <v>263</v>
      </c>
      <c r="H68" s="1016">
        <v>165</v>
      </c>
      <c r="I68" s="629">
        <v>122</v>
      </c>
      <c r="J68" s="629">
        <v>288</v>
      </c>
      <c r="K68" s="629">
        <v>2</v>
      </c>
      <c r="L68" s="629">
        <v>428</v>
      </c>
      <c r="M68" s="629">
        <v>40</v>
      </c>
    </row>
    <row r="69" spans="1:13" s="630" customFormat="1">
      <c r="A69" s="632" t="s">
        <v>164</v>
      </c>
      <c r="B69" s="628" t="s">
        <v>165</v>
      </c>
      <c r="C69" s="627" t="s">
        <v>266</v>
      </c>
      <c r="D69" s="1016">
        <v>124</v>
      </c>
      <c r="E69" s="1016">
        <v>58</v>
      </c>
      <c r="F69" s="1016">
        <v>0</v>
      </c>
      <c r="G69" s="1016">
        <v>112</v>
      </c>
      <c r="H69" s="1016">
        <v>70</v>
      </c>
      <c r="I69" s="629">
        <v>70</v>
      </c>
      <c r="J69" s="629">
        <v>82</v>
      </c>
      <c r="K69" s="629">
        <v>18</v>
      </c>
      <c r="L69" s="629">
        <v>182</v>
      </c>
      <c r="M69" s="629">
        <v>19</v>
      </c>
    </row>
    <row r="70" spans="1:13" s="630" customFormat="1">
      <c r="A70" s="632" t="s">
        <v>168</v>
      </c>
      <c r="B70" s="628" t="s">
        <v>169</v>
      </c>
      <c r="C70" s="627" t="s">
        <v>266</v>
      </c>
      <c r="D70" s="1016">
        <v>407</v>
      </c>
      <c r="E70" s="1016">
        <v>245</v>
      </c>
      <c r="F70" s="1016">
        <v>1</v>
      </c>
      <c r="G70" s="1016">
        <v>394</v>
      </c>
      <c r="H70" s="1016">
        <v>259</v>
      </c>
      <c r="I70" s="629">
        <v>215</v>
      </c>
      <c r="J70" s="629">
        <v>405</v>
      </c>
      <c r="K70" s="629">
        <v>24</v>
      </c>
      <c r="L70" s="629">
        <v>653</v>
      </c>
      <c r="M70" s="629">
        <v>39</v>
      </c>
    </row>
    <row r="71" spans="1:13" s="630" customFormat="1">
      <c r="A71" s="632" t="s">
        <v>170</v>
      </c>
      <c r="B71" s="628" t="s">
        <v>171</v>
      </c>
      <c r="C71" s="627" t="s">
        <v>267</v>
      </c>
      <c r="D71" s="1016">
        <v>265</v>
      </c>
      <c r="E71" s="1016">
        <v>142</v>
      </c>
      <c r="F71" s="1016">
        <v>1</v>
      </c>
      <c r="G71" s="1016">
        <v>248</v>
      </c>
      <c r="H71" s="1016">
        <v>160</v>
      </c>
      <c r="I71" s="629">
        <v>229</v>
      </c>
      <c r="J71" s="629">
        <v>97</v>
      </c>
      <c r="K71" s="629">
        <v>23</v>
      </c>
      <c r="L71" s="629">
        <v>408</v>
      </c>
      <c r="M71" s="629">
        <v>45</v>
      </c>
    </row>
    <row r="72" spans="1:13" s="630" customFormat="1">
      <c r="A72" s="632" t="s">
        <v>172</v>
      </c>
      <c r="B72" s="628" t="s">
        <v>173</v>
      </c>
      <c r="C72" s="627" t="s">
        <v>267</v>
      </c>
      <c r="D72" s="1016">
        <v>198</v>
      </c>
      <c r="E72" s="1016">
        <v>125</v>
      </c>
      <c r="F72" s="1016">
        <v>0</v>
      </c>
      <c r="G72" s="1016">
        <v>188</v>
      </c>
      <c r="H72" s="1016">
        <v>135</v>
      </c>
      <c r="I72" s="629">
        <v>272</v>
      </c>
      <c r="J72" s="629">
        <v>34</v>
      </c>
      <c r="K72" s="629">
        <v>5</v>
      </c>
      <c r="L72" s="629">
        <v>323</v>
      </c>
      <c r="M72" s="629">
        <v>16</v>
      </c>
    </row>
    <row r="73" spans="1:13" s="630" customFormat="1">
      <c r="A73" s="632" t="s">
        <v>174</v>
      </c>
      <c r="B73" s="628" t="s">
        <v>175</v>
      </c>
      <c r="C73" s="627" t="s">
        <v>268</v>
      </c>
      <c r="D73" s="1016">
        <v>306</v>
      </c>
      <c r="E73" s="1016">
        <v>202</v>
      </c>
      <c r="F73" s="1016">
        <v>0</v>
      </c>
      <c r="G73" s="1016">
        <v>281</v>
      </c>
      <c r="H73" s="1016">
        <v>227</v>
      </c>
      <c r="I73" s="629">
        <v>419</v>
      </c>
      <c r="J73" s="629">
        <v>43</v>
      </c>
      <c r="K73" s="629">
        <v>28</v>
      </c>
      <c r="L73" s="629">
        <v>508</v>
      </c>
      <c r="M73" s="629">
        <v>40</v>
      </c>
    </row>
    <row r="74" spans="1:13" s="630" customFormat="1">
      <c r="A74" s="632" t="s">
        <v>178</v>
      </c>
      <c r="B74" s="628" t="s">
        <v>179</v>
      </c>
      <c r="C74" s="627" t="s">
        <v>265</v>
      </c>
      <c r="D74" s="1016">
        <v>736</v>
      </c>
      <c r="E74" s="1016">
        <v>399</v>
      </c>
      <c r="F74" s="1016">
        <v>2</v>
      </c>
      <c r="G74" s="1016">
        <v>702</v>
      </c>
      <c r="H74" s="1016">
        <v>435</v>
      </c>
      <c r="I74" s="629">
        <v>552</v>
      </c>
      <c r="J74" s="629">
        <v>442</v>
      </c>
      <c r="K74" s="629">
        <v>46</v>
      </c>
      <c r="L74" s="629">
        <v>1137</v>
      </c>
      <c r="M74" s="629">
        <v>119</v>
      </c>
    </row>
    <row r="75" spans="1:13" s="630" customFormat="1">
      <c r="A75" s="632" t="s">
        <v>182</v>
      </c>
      <c r="B75" s="628" t="s">
        <v>183</v>
      </c>
      <c r="C75" s="627" t="s">
        <v>266</v>
      </c>
      <c r="D75" s="1016">
        <v>128</v>
      </c>
      <c r="E75" s="1016">
        <v>64</v>
      </c>
      <c r="F75" s="1016">
        <v>2</v>
      </c>
      <c r="G75" s="1016">
        <v>105</v>
      </c>
      <c r="H75" s="1016">
        <v>89</v>
      </c>
      <c r="I75" s="629">
        <v>132</v>
      </c>
      <c r="J75" s="629">
        <v>35</v>
      </c>
      <c r="K75" s="629">
        <v>6</v>
      </c>
      <c r="L75" s="629">
        <v>194</v>
      </c>
      <c r="M75" s="629">
        <v>29</v>
      </c>
    </row>
    <row r="76" spans="1:13" s="630" customFormat="1">
      <c r="A76" s="632" t="s">
        <v>184</v>
      </c>
      <c r="B76" s="628" t="s">
        <v>185</v>
      </c>
      <c r="C76" s="627" t="s">
        <v>266</v>
      </c>
      <c r="D76" s="1016">
        <v>430</v>
      </c>
      <c r="E76" s="1016">
        <v>250</v>
      </c>
      <c r="F76" s="1016">
        <v>0</v>
      </c>
      <c r="G76" s="1016">
        <v>417</v>
      </c>
      <c r="H76" s="1016">
        <v>263</v>
      </c>
      <c r="I76" s="629">
        <v>189</v>
      </c>
      <c r="J76" s="629">
        <v>432</v>
      </c>
      <c r="K76" s="629">
        <v>23</v>
      </c>
      <c r="L76" s="629">
        <v>680</v>
      </c>
      <c r="M76" s="629">
        <v>15</v>
      </c>
    </row>
    <row r="77" spans="1:13" s="630" customFormat="1">
      <c r="A77" s="632" t="s">
        <v>186</v>
      </c>
      <c r="B77" s="628" t="s">
        <v>187</v>
      </c>
      <c r="C77" s="627" t="s">
        <v>264</v>
      </c>
      <c r="D77" s="1016">
        <v>297</v>
      </c>
      <c r="E77" s="1016">
        <v>169</v>
      </c>
      <c r="F77" s="1016">
        <v>0</v>
      </c>
      <c r="G77" s="1016">
        <v>276</v>
      </c>
      <c r="H77" s="1016">
        <v>190</v>
      </c>
      <c r="I77" s="629">
        <v>192</v>
      </c>
      <c r="J77" s="629">
        <v>220</v>
      </c>
      <c r="K77" s="629">
        <v>15</v>
      </c>
      <c r="L77" s="629">
        <v>466</v>
      </c>
      <c r="M77" s="629">
        <v>31</v>
      </c>
    </row>
    <row r="78" spans="1:13" s="630" customFormat="1">
      <c r="A78" s="632" t="s">
        <v>188</v>
      </c>
      <c r="B78" s="628" t="s">
        <v>189</v>
      </c>
      <c r="C78" s="627" t="s">
        <v>267</v>
      </c>
      <c r="D78" s="1016">
        <v>3616</v>
      </c>
      <c r="E78" s="1016">
        <v>2084</v>
      </c>
      <c r="F78" s="1016">
        <v>2</v>
      </c>
      <c r="G78" s="1016">
        <v>3522</v>
      </c>
      <c r="H78" s="1016">
        <v>2180</v>
      </c>
      <c r="I78" s="629">
        <v>1914</v>
      </c>
      <c r="J78" s="629">
        <v>2610</v>
      </c>
      <c r="K78" s="629">
        <v>624</v>
      </c>
      <c r="L78" s="629">
        <v>5702</v>
      </c>
      <c r="M78" s="629">
        <v>1348</v>
      </c>
    </row>
    <row r="79" spans="1:13" s="630" customFormat="1">
      <c r="A79" s="632" t="s">
        <v>190</v>
      </c>
      <c r="B79" s="628" t="s">
        <v>191</v>
      </c>
      <c r="C79" s="627" t="s">
        <v>268</v>
      </c>
      <c r="D79" s="1016">
        <v>524</v>
      </c>
      <c r="E79" s="1016">
        <v>290</v>
      </c>
      <c r="F79" s="1016">
        <v>0</v>
      </c>
      <c r="G79" s="1016">
        <v>480</v>
      </c>
      <c r="H79" s="1016">
        <v>334</v>
      </c>
      <c r="I79" s="629">
        <v>627</v>
      </c>
      <c r="J79" s="629">
        <v>119</v>
      </c>
      <c r="K79" s="629">
        <v>44</v>
      </c>
      <c r="L79" s="629">
        <v>814</v>
      </c>
      <c r="M79" s="629">
        <v>78</v>
      </c>
    </row>
    <row r="80" spans="1:13" s="630" customFormat="1">
      <c r="A80" s="632" t="s">
        <v>194</v>
      </c>
      <c r="B80" s="628" t="s">
        <v>195</v>
      </c>
      <c r="C80" s="627" t="s">
        <v>267</v>
      </c>
      <c r="D80" s="1016">
        <v>35</v>
      </c>
      <c r="E80" s="1016">
        <v>19</v>
      </c>
      <c r="F80" s="1016">
        <v>0</v>
      </c>
      <c r="G80" s="1016">
        <v>29</v>
      </c>
      <c r="H80" s="1016">
        <v>25</v>
      </c>
      <c r="I80" s="629">
        <v>41</v>
      </c>
      <c r="J80" s="629">
        <v>6</v>
      </c>
      <c r="K80" s="629">
        <v>2</v>
      </c>
      <c r="L80" s="629">
        <v>54</v>
      </c>
      <c r="M80" s="629">
        <v>14</v>
      </c>
    </row>
    <row r="81" spans="1:13" s="630" customFormat="1">
      <c r="A81" s="632" t="s">
        <v>198</v>
      </c>
      <c r="B81" s="628" t="s">
        <v>272</v>
      </c>
      <c r="C81" s="627" t="s">
        <v>266</v>
      </c>
      <c r="D81" s="1016">
        <v>151</v>
      </c>
      <c r="E81" s="1016">
        <v>64</v>
      </c>
      <c r="F81" s="1016">
        <v>1</v>
      </c>
      <c r="G81" s="1016">
        <v>126</v>
      </c>
      <c r="H81" s="1016">
        <v>90</v>
      </c>
      <c r="I81" s="629">
        <v>61</v>
      </c>
      <c r="J81" s="629">
        <v>133</v>
      </c>
      <c r="K81" s="629">
        <v>11</v>
      </c>
      <c r="L81" s="629">
        <v>216</v>
      </c>
      <c r="M81" s="629">
        <v>31</v>
      </c>
    </row>
    <row r="82" spans="1:13" s="630" customFormat="1">
      <c r="A82" s="632" t="s">
        <v>202</v>
      </c>
      <c r="B82" s="628" t="s">
        <v>301</v>
      </c>
      <c r="C82" s="627" t="s">
        <v>265</v>
      </c>
      <c r="D82" s="1016">
        <v>846</v>
      </c>
      <c r="E82" s="1016">
        <v>435</v>
      </c>
      <c r="F82" s="1016">
        <v>0</v>
      </c>
      <c r="G82" s="1016">
        <v>754</v>
      </c>
      <c r="H82" s="1016">
        <v>527</v>
      </c>
      <c r="I82" s="629">
        <v>829</v>
      </c>
      <c r="J82" s="629">
        <v>316</v>
      </c>
      <c r="K82" s="629">
        <v>80</v>
      </c>
      <c r="L82" s="629">
        <v>1281</v>
      </c>
      <c r="M82" s="629">
        <v>179</v>
      </c>
    </row>
    <row r="83" spans="1:13" s="630" customFormat="1">
      <c r="A83" s="632" t="s">
        <v>204</v>
      </c>
      <c r="B83" s="628" t="s">
        <v>293</v>
      </c>
      <c r="C83" s="627" t="s">
        <v>265</v>
      </c>
      <c r="D83" s="1016">
        <v>252</v>
      </c>
      <c r="E83" s="1016">
        <v>144</v>
      </c>
      <c r="F83" s="1016">
        <v>0</v>
      </c>
      <c r="G83" s="1016">
        <v>238</v>
      </c>
      <c r="H83" s="1016">
        <v>158</v>
      </c>
      <c r="I83" s="629">
        <v>318</v>
      </c>
      <c r="J83" s="629">
        <v>47</v>
      </c>
      <c r="K83" s="629">
        <v>3</v>
      </c>
      <c r="L83" s="629">
        <v>396</v>
      </c>
      <c r="M83" s="629">
        <v>14</v>
      </c>
    </row>
    <row r="84" spans="1:13" s="630" customFormat="1">
      <c r="A84" s="632" t="s">
        <v>206</v>
      </c>
      <c r="B84" s="628" t="s">
        <v>294</v>
      </c>
      <c r="C84" s="627" t="s">
        <v>267</v>
      </c>
      <c r="D84" s="1016">
        <v>999</v>
      </c>
      <c r="E84" s="1016">
        <v>636</v>
      </c>
      <c r="F84" s="1016">
        <v>1</v>
      </c>
      <c r="G84" s="1016">
        <v>924</v>
      </c>
      <c r="H84" s="1016">
        <v>712</v>
      </c>
      <c r="I84" s="629">
        <v>967</v>
      </c>
      <c r="J84" s="629">
        <v>200</v>
      </c>
      <c r="K84" s="629">
        <v>219</v>
      </c>
      <c r="L84" s="629">
        <v>1636</v>
      </c>
      <c r="M84" s="629">
        <v>484</v>
      </c>
    </row>
    <row r="85" spans="1:13" s="630" customFormat="1">
      <c r="A85" s="632" t="s">
        <v>208</v>
      </c>
      <c r="B85" s="628" t="s">
        <v>209</v>
      </c>
      <c r="C85" s="627" t="s">
        <v>268</v>
      </c>
      <c r="D85" s="1016">
        <v>627</v>
      </c>
      <c r="E85" s="1016">
        <v>421</v>
      </c>
      <c r="F85" s="1016">
        <v>2</v>
      </c>
      <c r="G85" s="1016">
        <v>612</v>
      </c>
      <c r="H85" s="1016">
        <v>438</v>
      </c>
      <c r="I85" s="629">
        <v>916</v>
      </c>
      <c r="J85" s="629">
        <v>8</v>
      </c>
      <c r="K85" s="629">
        <v>13</v>
      </c>
      <c r="L85" s="629">
        <v>1050</v>
      </c>
      <c r="M85" s="629">
        <v>47</v>
      </c>
    </row>
    <row r="86" spans="1:13" s="630" customFormat="1">
      <c r="A86" s="632" t="s">
        <v>210</v>
      </c>
      <c r="B86" s="628" t="s">
        <v>211</v>
      </c>
      <c r="C86" s="627" t="s">
        <v>268</v>
      </c>
      <c r="D86" s="1016">
        <v>463</v>
      </c>
      <c r="E86" s="1016">
        <v>304</v>
      </c>
      <c r="F86" s="1016">
        <v>1</v>
      </c>
      <c r="G86" s="1016">
        <v>447</v>
      </c>
      <c r="H86" s="1016">
        <v>321</v>
      </c>
      <c r="I86" s="629">
        <v>689</v>
      </c>
      <c r="J86" s="629">
        <v>21</v>
      </c>
      <c r="K86" s="629">
        <v>8</v>
      </c>
      <c r="L86" s="629">
        <v>768</v>
      </c>
      <c r="M86" s="629">
        <v>63</v>
      </c>
    </row>
    <row r="87" spans="1:13" s="630" customFormat="1">
      <c r="A87" s="632" t="s">
        <v>212</v>
      </c>
      <c r="B87" s="628" t="s">
        <v>213</v>
      </c>
      <c r="C87" s="627" t="s">
        <v>267</v>
      </c>
      <c r="D87" s="1016">
        <v>200</v>
      </c>
      <c r="E87" s="1016">
        <v>97</v>
      </c>
      <c r="F87" s="1016">
        <v>0</v>
      </c>
      <c r="G87" s="1016">
        <v>176</v>
      </c>
      <c r="H87" s="1016">
        <v>121</v>
      </c>
      <c r="I87" s="629">
        <v>229</v>
      </c>
      <c r="J87" s="629">
        <v>24</v>
      </c>
      <c r="K87" s="629">
        <v>31</v>
      </c>
      <c r="L87" s="629">
        <v>297</v>
      </c>
      <c r="M87" s="629">
        <v>71</v>
      </c>
    </row>
    <row r="88" spans="1:13" s="630" customFormat="1">
      <c r="A88" s="632" t="s">
        <v>214</v>
      </c>
      <c r="B88" s="628" t="s">
        <v>215</v>
      </c>
      <c r="C88" s="627" t="s">
        <v>268</v>
      </c>
      <c r="D88" s="1016">
        <v>584</v>
      </c>
      <c r="E88" s="1016">
        <v>392</v>
      </c>
      <c r="F88" s="1016">
        <v>0</v>
      </c>
      <c r="G88" s="1016">
        <v>573</v>
      </c>
      <c r="H88" s="1016">
        <v>403</v>
      </c>
      <c r="I88" s="629">
        <v>866</v>
      </c>
      <c r="J88" s="629">
        <v>40</v>
      </c>
      <c r="K88" s="629">
        <v>15</v>
      </c>
      <c r="L88" s="629">
        <v>976</v>
      </c>
      <c r="M88" s="629">
        <v>62</v>
      </c>
    </row>
    <row r="89" spans="1:13" s="630" customFormat="1">
      <c r="A89" s="632" t="s">
        <v>216</v>
      </c>
      <c r="B89" s="628" t="s">
        <v>217</v>
      </c>
      <c r="C89" s="627" t="s">
        <v>264</v>
      </c>
      <c r="D89" s="1016">
        <v>285</v>
      </c>
      <c r="E89" s="1016">
        <v>175</v>
      </c>
      <c r="F89" s="1016">
        <v>3</v>
      </c>
      <c r="G89" s="1016">
        <v>294</v>
      </c>
      <c r="H89" s="1016">
        <v>169</v>
      </c>
      <c r="I89" s="629">
        <v>111</v>
      </c>
      <c r="J89" s="629">
        <v>313</v>
      </c>
      <c r="K89" s="629">
        <v>4</v>
      </c>
      <c r="L89" s="629">
        <v>463</v>
      </c>
      <c r="M89" s="629">
        <v>25</v>
      </c>
    </row>
    <row r="90" spans="1:13" s="630" customFormat="1">
      <c r="A90" s="632" t="s">
        <v>218</v>
      </c>
      <c r="B90" s="628" t="s">
        <v>219</v>
      </c>
      <c r="C90" s="627" t="s">
        <v>267</v>
      </c>
      <c r="D90" s="1016">
        <v>1298</v>
      </c>
      <c r="E90" s="1016">
        <v>721</v>
      </c>
      <c r="F90" s="1016">
        <v>0</v>
      </c>
      <c r="G90" s="1016">
        <v>1213</v>
      </c>
      <c r="H90" s="1016">
        <v>806</v>
      </c>
      <c r="I90" s="629">
        <v>1020</v>
      </c>
      <c r="J90" s="629">
        <v>799</v>
      </c>
      <c r="K90" s="629">
        <v>101</v>
      </c>
      <c r="L90" s="629">
        <v>2019</v>
      </c>
      <c r="M90" s="629">
        <v>227</v>
      </c>
    </row>
    <row r="91" spans="1:13" s="630" customFormat="1">
      <c r="A91" s="632" t="s">
        <v>220</v>
      </c>
      <c r="B91" s="628" t="s">
        <v>221</v>
      </c>
      <c r="C91" s="627" t="s">
        <v>267</v>
      </c>
      <c r="D91" s="1016">
        <v>1005</v>
      </c>
      <c r="E91" s="1016">
        <v>574</v>
      </c>
      <c r="F91" s="1016">
        <v>1</v>
      </c>
      <c r="G91" s="1016">
        <v>986</v>
      </c>
      <c r="H91" s="1016">
        <v>594</v>
      </c>
      <c r="I91" s="629">
        <v>604</v>
      </c>
      <c r="J91" s="629">
        <v>640</v>
      </c>
      <c r="K91" s="629">
        <v>139</v>
      </c>
      <c r="L91" s="629">
        <v>1580</v>
      </c>
      <c r="M91" s="629">
        <v>173</v>
      </c>
    </row>
    <row r="92" spans="1:13" s="630" customFormat="1">
      <c r="A92" s="632" t="s">
        <v>224</v>
      </c>
      <c r="B92" s="628" t="s">
        <v>225</v>
      </c>
      <c r="C92" s="627" t="s">
        <v>264</v>
      </c>
      <c r="D92" s="1016">
        <v>117</v>
      </c>
      <c r="E92" s="1016">
        <v>78</v>
      </c>
      <c r="F92" s="1016">
        <v>0</v>
      </c>
      <c r="G92" s="1016">
        <v>126</v>
      </c>
      <c r="H92" s="1016">
        <v>69</v>
      </c>
      <c r="I92" s="629">
        <v>66</v>
      </c>
      <c r="J92" s="629">
        <v>127</v>
      </c>
      <c r="K92" s="629">
        <v>2</v>
      </c>
      <c r="L92" s="629">
        <v>195</v>
      </c>
      <c r="M92" s="629">
        <v>4</v>
      </c>
    </row>
    <row r="93" spans="1:13" s="630" customFormat="1">
      <c r="A93" s="632" t="s">
        <v>226</v>
      </c>
      <c r="B93" s="628" t="s">
        <v>227</v>
      </c>
      <c r="C93" s="627" t="s">
        <v>264</v>
      </c>
      <c r="D93" s="1016">
        <v>265</v>
      </c>
      <c r="E93" s="1016">
        <v>139</v>
      </c>
      <c r="F93" s="1016">
        <v>0</v>
      </c>
      <c r="G93" s="1016">
        <v>258</v>
      </c>
      <c r="H93" s="1016">
        <v>146</v>
      </c>
      <c r="I93" s="629">
        <v>85</v>
      </c>
      <c r="J93" s="629">
        <v>284</v>
      </c>
      <c r="K93" s="629">
        <v>3</v>
      </c>
      <c r="L93" s="629">
        <v>404</v>
      </c>
      <c r="M93" s="629">
        <v>13</v>
      </c>
    </row>
    <row r="94" spans="1:13" s="630" customFormat="1">
      <c r="A94" s="632" t="s">
        <v>228</v>
      </c>
      <c r="B94" s="628" t="s">
        <v>229</v>
      </c>
      <c r="C94" s="627" t="s">
        <v>268</v>
      </c>
      <c r="D94" s="1016">
        <v>702</v>
      </c>
      <c r="E94" s="1016">
        <v>481</v>
      </c>
      <c r="F94" s="1016">
        <v>0</v>
      </c>
      <c r="G94" s="1016">
        <v>679</v>
      </c>
      <c r="H94" s="1016">
        <v>504</v>
      </c>
      <c r="I94" s="629">
        <v>1009</v>
      </c>
      <c r="J94" s="629">
        <v>60</v>
      </c>
      <c r="K94" s="629">
        <v>23</v>
      </c>
      <c r="L94" s="629">
        <v>1183</v>
      </c>
      <c r="M94" s="629">
        <v>64</v>
      </c>
    </row>
    <row r="95" spans="1:13" s="630" customFormat="1">
      <c r="A95" s="632" t="s">
        <v>232</v>
      </c>
      <c r="B95" s="628" t="s">
        <v>233</v>
      </c>
      <c r="C95" s="627" t="s">
        <v>267</v>
      </c>
      <c r="D95" s="1016">
        <v>406</v>
      </c>
      <c r="E95" s="1016">
        <v>226</v>
      </c>
      <c r="F95" s="1016">
        <v>0</v>
      </c>
      <c r="G95" s="1016">
        <v>375</v>
      </c>
      <c r="H95" s="1016">
        <v>257</v>
      </c>
      <c r="I95" s="629">
        <v>461</v>
      </c>
      <c r="J95" s="629">
        <v>92</v>
      </c>
      <c r="K95" s="629">
        <v>43</v>
      </c>
      <c r="L95" s="629">
        <v>632</v>
      </c>
      <c r="M95" s="629">
        <v>49</v>
      </c>
    </row>
    <row r="96" spans="1:13" s="630" customFormat="1">
      <c r="A96" s="632" t="s">
        <v>234</v>
      </c>
      <c r="B96" s="628" t="s">
        <v>235</v>
      </c>
      <c r="C96" s="627" t="s">
        <v>268</v>
      </c>
      <c r="D96" s="1016">
        <v>610</v>
      </c>
      <c r="E96" s="1016">
        <v>370</v>
      </c>
      <c r="F96" s="1016">
        <v>0</v>
      </c>
      <c r="G96" s="1016">
        <v>574</v>
      </c>
      <c r="H96" s="1016">
        <v>406</v>
      </c>
      <c r="I96" s="629">
        <v>905</v>
      </c>
      <c r="J96" s="629">
        <v>36</v>
      </c>
      <c r="K96" s="629">
        <v>23</v>
      </c>
      <c r="L96" s="629">
        <v>980</v>
      </c>
      <c r="M96" s="629">
        <v>85</v>
      </c>
    </row>
    <row r="97" spans="1:13" s="630" customFormat="1">
      <c r="A97" s="632" t="s">
        <v>236</v>
      </c>
      <c r="B97" s="628" t="s">
        <v>237</v>
      </c>
      <c r="C97" s="627" t="s">
        <v>266</v>
      </c>
      <c r="D97" s="1016">
        <v>223</v>
      </c>
      <c r="E97" s="1016">
        <v>122</v>
      </c>
      <c r="F97" s="1016">
        <v>0</v>
      </c>
      <c r="G97" s="1016">
        <v>199</v>
      </c>
      <c r="H97" s="1016">
        <v>146</v>
      </c>
      <c r="I97" s="629">
        <v>120</v>
      </c>
      <c r="J97" s="629">
        <v>181</v>
      </c>
      <c r="K97" s="629">
        <v>18</v>
      </c>
      <c r="L97" s="629">
        <v>345</v>
      </c>
      <c r="M97" s="629">
        <v>24</v>
      </c>
    </row>
    <row r="98" spans="1:13" s="630" customFormat="1">
      <c r="A98" s="632" t="s">
        <v>242</v>
      </c>
      <c r="B98" s="628" t="s">
        <v>243</v>
      </c>
      <c r="C98" s="627" t="s">
        <v>268</v>
      </c>
      <c r="D98" s="1016">
        <v>1101</v>
      </c>
      <c r="E98" s="1016">
        <v>711</v>
      </c>
      <c r="F98" s="1016">
        <v>3</v>
      </c>
      <c r="G98" s="1016">
        <v>1040</v>
      </c>
      <c r="H98" s="1016">
        <v>775</v>
      </c>
      <c r="I98" s="629">
        <v>1610</v>
      </c>
      <c r="J98" s="629">
        <v>46</v>
      </c>
      <c r="K98" s="629">
        <v>25</v>
      </c>
      <c r="L98" s="629">
        <v>1815</v>
      </c>
      <c r="M98" s="629">
        <v>93</v>
      </c>
    </row>
    <row r="99" spans="1:13" s="630" customFormat="1">
      <c r="A99" s="632" t="s">
        <v>244</v>
      </c>
      <c r="B99" s="628" t="s">
        <v>245</v>
      </c>
      <c r="C99" s="627" t="s">
        <v>268</v>
      </c>
      <c r="D99" s="1016">
        <v>331</v>
      </c>
      <c r="E99" s="1016">
        <v>194</v>
      </c>
      <c r="F99" s="1016">
        <v>0</v>
      </c>
      <c r="G99" s="1016">
        <v>311</v>
      </c>
      <c r="H99" s="1016">
        <v>214</v>
      </c>
      <c r="I99" s="629">
        <v>430</v>
      </c>
      <c r="J99" s="629">
        <v>61</v>
      </c>
      <c r="K99" s="629">
        <v>9</v>
      </c>
      <c r="L99" s="629">
        <v>525</v>
      </c>
      <c r="M99" s="629">
        <v>46</v>
      </c>
    </row>
    <row r="100" spans="1:13" s="630" customFormat="1">
      <c r="A100" s="632" t="s">
        <v>246</v>
      </c>
      <c r="B100" s="628" t="s">
        <v>247</v>
      </c>
      <c r="C100" s="627" t="s">
        <v>264</v>
      </c>
      <c r="D100" s="1016">
        <v>397</v>
      </c>
      <c r="E100" s="1016">
        <v>242</v>
      </c>
      <c r="F100" s="1016">
        <v>0</v>
      </c>
      <c r="G100" s="1016">
        <v>385</v>
      </c>
      <c r="H100" s="1016">
        <v>254</v>
      </c>
      <c r="I100" s="629">
        <v>284</v>
      </c>
      <c r="J100" s="629">
        <v>289</v>
      </c>
      <c r="K100" s="629">
        <v>52</v>
      </c>
      <c r="L100" s="629">
        <v>639</v>
      </c>
      <c r="M100" s="629">
        <v>48</v>
      </c>
    </row>
    <row r="101" spans="1:13" s="630" customFormat="1">
      <c r="A101" s="632" t="s">
        <v>14</v>
      </c>
      <c r="B101" s="628" t="s">
        <v>15</v>
      </c>
      <c r="C101" s="627" t="s">
        <v>267</v>
      </c>
      <c r="D101" s="1016">
        <v>1289</v>
      </c>
      <c r="E101" s="1016">
        <v>829</v>
      </c>
      <c r="F101" s="1016">
        <v>3</v>
      </c>
      <c r="G101" s="1016">
        <v>1330</v>
      </c>
      <c r="H101" s="1016">
        <v>791</v>
      </c>
      <c r="I101" s="629">
        <v>492</v>
      </c>
      <c r="J101" s="629">
        <v>1061</v>
      </c>
      <c r="K101" s="629">
        <v>90</v>
      </c>
      <c r="L101" s="629">
        <v>2121</v>
      </c>
      <c r="M101" s="629">
        <v>402</v>
      </c>
    </row>
    <row r="102" spans="1:13" s="630" customFormat="1">
      <c r="A102" s="632" t="s">
        <v>34</v>
      </c>
      <c r="B102" s="628" t="s">
        <v>35</v>
      </c>
      <c r="C102" s="627" t="s">
        <v>268</v>
      </c>
      <c r="D102" s="1016">
        <v>747</v>
      </c>
      <c r="E102" s="1016">
        <v>476</v>
      </c>
      <c r="F102" s="1016">
        <v>2</v>
      </c>
      <c r="G102" s="1016">
        <v>731</v>
      </c>
      <c r="H102" s="1016">
        <v>494</v>
      </c>
      <c r="I102" s="629">
        <v>948</v>
      </c>
      <c r="J102" s="629">
        <v>168</v>
      </c>
      <c r="K102" s="629">
        <v>49</v>
      </c>
      <c r="L102" s="629">
        <v>1225</v>
      </c>
      <c r="M102" s="629">
        <v>28</v>
      </c>
    </row>
    <row r="103" spans="1:13" s="630" customFormat="1">
      <c r="A103" s="632" t="s">
        <v>52</v>
      </c>
      <c r="B103" s="628" t="s">
        <v>53</v>
      </c>
      <c r="C103" s="627" t="s">
        <v>265</v>
      </c>
      <c r="D103" s="1016">
        <v>816</v>
      </c>
      <c r="E103" s="1016">
        <v>511</v>
      </c>
      <c r="F103" s="1016">
        <v>2</v>
      </c>
      <c r="G103" s="1016">
        <v>800</v>
      </c>
      <c r="H103" s="1016">
        <v>529</v>
      </c>
      <c r="I103" s="629">
        <v>273</v>
      </c>
      <c r="J103" s="629">
        <v>827</v>
      </c>
      <c r="K103" s="629">
        <v>172</v>
      </c>
      <c r="L103" s="629">
        <v>1329</v>
      </c>
      <c r="M103" s="629">
        <v>74</v>
      </c>
    </row>
    <row r="104" spans="1:13" s="630" customFormat="1">
      <c r="A104" s="632" t="s">
        <v>54</v>
      </c>
      <c r="B104" s="628" t="s">
        <v>55</v>
      </c>
      <c r="C104" s="627" t="s">
        <v>264</v>
      </c>
      <c r="D104" s="1016">
        <v>2984</v>
      </c>
      <c r="E104" s="1016">
        <v>1589</v>
      </c>
      <c r="F104" s="1016">
        <v>1</v>
      </c>
      <c r="G104" s="1016">
        <v>2848</v>
      </c>
      <c r="H104" s="1016">
        <v>1726</v>
      </c>
      <c r="I104" s="629">
        <v>887</v>
      </c>
      <c r="J104" s="629">
        <v>3188</v>
      </c>
      <c r="K104" s="629">
        <v>121</v>
      </c>
      <c r="L104" s="629">
        <v>4574</v>
      </c>
      <c r="M104" s="629">
        <v>275</v>
      </c>
    </row>
    <row r="105" spans="1:13" s="630" customFormat="1">
      <c r="A105" s="632" t="s">
        <v>66</v>
      </c>
      <c r="B105" s="628" t="s">
        <v>67</v>
      </c>
      <c r="C105" s="627" t="s">
        <v>265</v>
      </c>
      <c r="D105" s="1016">
        <v>1478</v>
      </c>
      <c r="E105" s="1016">
        <v>789</v>
      </c>
      <c r="F105" s="1016">
        <v>5</v>
      </c>
      <c r="G105" s="1016">
        <v>1432</v>
      </c>
      <c r="H105" s="1016">
        <v>840</v>
      </c>
      <c r="I105" s="629">
        <v>397</v>
      </c>
      <c r="J105" s="629">
        <v>1650</v>
      </c>
      <c r="K105" s="629">
        <v>37</v>
      </c>
      <c r="L105" s="629">
        <v>2272</v>
      </c>
      <c r="M105" s="629">
        <v>94</v>
      </c>
    </row>
    <row r="106" spans="1:13" s="630" customFormat="1">
      <c r="A106" s="632" t="s">
        <v>82</v>
      </c>
      <c r="B106" s="628" t="s">
        <v>83</v>
      </c>
      <c r="C106" s="627" t="s">
        <v>264</v>
      </c>
      <c r="D106" s="1016">
        <v>328</v>
      </c>
      <c r="E106" s="1016">
        <v>164</v>
      </c>
      <c r="F106" s="1016">
        <v>1</v>
      </c>
      <c r="G106" s="1016">
        <v>301</v>
      </c>
      <c r="H106" s="1016">
        <v>192</v>
      </c>
      <c r="I106" s="629">
        <v>31</v>
      </c>
      <c r="J106" s="629">
        <v>403</v>
      </c>
      <c r="K106" s="629">
        <v>12</v>
      </c>
      <c r="L106" s="629">
        <v>493</v>
      </c>
      <c r="M106" s="629">
        <v>7</v>
      </c>
    </row>
    <row r="107" spans="1:13" s="630" customFormat="1">
      <c r="A107" s="632" t="s">
        <v>88</v>
      </c>
      <c r="B107" s="628" t="s">
        <v>89</v>
      </c>
      <c r="C107" s="627" t="s">
        <v>267</v>
      </c>
      <c r="D107" s="1016">
        <v>597</v>
      </c>
      <c r="E107" s="1016">
        <v>382</v>
      </c>
      <c r="F107" s="1016">
        <v>1</v>
      </c>
      <c r="G107" s="1016">
        <v>586</v>
      </c>
      <c r="H107" s="1016">
        <v>394</v>
      </c>
      <c r="I107" s="629">
        <v>275</v>
      </c>
      <c r="J107" s="629">
        <v>535</v>
      </c>
      <c r="K107" s="629">
        <v>36</v>
      </c>
      <c r="L107" s="629">
        <v>980</v>
      </c>
      <c r="M107" s="629">
        <v>88</v>
      </c>
    </row>
    <row r="108" spans="1:13" s="630" customFormat="1">
      <c r="A108" s="632" t="s">
        <v>90</v>
      </c>
      <c r="B108" s="628" t="s">
        <v>91</v>
      </c>
      <c r="C108" s="627" t="s">
        <v>268</v>
      </c>
      <c r="D108" s="1016">
        <v>179</v>
      </c>
      <c r="E108" s="1016">
        <v>101</v>
      </c>
      <c r="F108" s="1016">
        <v>0</v>
      </c>
      <c r="G108" s="1016">
        <v>172</v>
      </c>
      <c r="H108" s="1016">
        <v>108</v>
      </c>
      <c r="I108" s="629">
        <v>203</v>
      </c>
      <c r="J108" s="629">
        <v>58</v>
      </c>
      <c r="K108" s="629">
        <v>3</v>
      </c>
      <c r="L108" s="629">
        <v>280</v>
      </c>
      <c r="M108" s="629">
        <v>65</v>
      </c>
    </row>
    <row r="109" spans="1:13" s="630" customFormat="1">
      <c r="A109" s="632" t="s">
        <v>106</v>
      </c>
      <c r="B109" s="628" t="s">
        <v>107</v>
      </c>
      <c r="C109" s="627" t="s">
        <v>264</v>
      </c>
      <c r="D109" s="1016">
        <v>3637</v>
      </c>
      <c r="E109" s="1016">
        <v>2015</v>
      </c>
      <c r="F109" s="1016">
        <v>4</v>
      </c>
      <c r="G109" s="1016">
        <v>3544</v>
      </c>
      <c r="H109" s="1016">
        <v>2112</v>
      </c>
      <c r="I109" s="629">
        <v>821</v>
      </c>
      <c r="J109" s="629">
        <v>4118</v>
      </c>
      <c r="K109" s="629">
        <v>135</v>
      </c>
      <c r="L109" s="629">
        <v>5656</v>
      </c>
      <c r="M109" s="629">
        <v>227</v>
      </c>
    </row>
    <row r="110" spans="1:13" s="630" customFormat="1">
      <c r="A110" s="632" t="s">
        <v>116</v>
      </c>
      <c r="B110" s="628" t="s">
        <v>117</v>
      </c>
      <c r="C110" s="627" t="s">
        <v>266</v>
      </c>
      <c r="D110" s="1016">
        <v>1002</v>
      </c>
      <c r="E110" s="1016">
        <v>552</v>
      </c>
      <c r="F110" s="1016">
        <v>0</v>
      </c>
      <c r="G110" s="1016">
        <v>967</v>
      </c>
      <c r="H110" s="1016">
        <v>587</v>
      </c>
      <c r="I110" s="629">
        <v>420</v>
      </c>
      <c r="J110" s="629">
        <v>922</v>
      </c>
      <c r="K110" s="629">
        <v>40</v>
      </c>
      <c r="L110" s="629">
        <v>1554</v>
      </c>
      <c r="M110" s="629">
        <v>109</v>
      </c>
    </row>
    <row r="111" spans="1:13" s="630" customFormat="1">
      <c r="A111" s="632" t="s">
        <v>138</v>
      </c>
      <c r="B111" s="628" t="s">
        <v>139</v>
      </c>
      <c r="C111" s="627" t="s">
        <v>265</v>
      </c>
      <c r="D111" s="1016">
        <v>1701</v>
      </c>
      <c r="E111" s="1016">
        <v>924</v>
      </c>
      <c r="F111" s="1016">
        <v>3</v>
      </c>
      <c r="G111" s="1016">
        <v>1671</v>
      </c>
      <c r="H111" s="1016">
        <v>957</v>
      </c>
      <c r="I111" s="629">
        <v>533</v>
      </c>
      <c r="J111" s="629">
        <v>1817</v>
      </c>
      <c r="K111" s="629">
        <v>36</v>
      </c>
      <c r="L111" s="629">
        <v>2628</v>
      </c>
      <c r="M111" s="629">
        <v>93</v>
      </c>
    </row>
    <row r="112" spans="1:13" s="630" customFormat="1">
      <c r="A112" s="632" t="s">
        <v>142</v>
      </c>
      <c r="B112" s="628" t="s">
        <v>143</v>
      </c>
      <c r="C112" s="627" t="s">
        <v>267</v>
      </c>
      <c r="D112" s="1016">
        <v>589</v>
      </c>
      <c r="E112" s="1016">
        <v>322</v>
      </c>
      <c r="F112" s="1016">
        <v>0</v>
      </c>
      <c r="G112" s="1016">
        <v>580</v>
      </c>
      <c r="H112" s="1016">
        <v>331</v>
      </c>
      <c r="I112" s="629">
        <v>379</v>
      </c>
      <c r="J112" s="629">
        <v>307</v>
      </c>
      <c r="K112" s="629">
        <v>90</v>
      </c>
      <c r="L112" s="629">
        <v>911</v>
      </c>
      <c r="M112" s="629">
        <v>363</v>
      </c>
    </row>
    <row r="113" spans="1:13" s="630" customFormat="1">
      <c r="A113" s="632" t="s">
        <v>144</v>
      </c>
      <c r="B113" s="628" t="s">
        <v>145</v>
      </c>
      <c r="C113" s="627" t="s">
        <v>267</v>
      </c>
      <c r="D113" s="1016">
        <v>147</v>
      </c>
      <c r="E113" s="1016">
        <v>91</v>
      </c>
      <c r="F113" s="1016">
        <v>0</v>
      </c>
      <c r="G113" s="1016">
        <v>145</v>
      </c>
      <c r="H113" s="1016">
        <v>93</v>
      </c>
      <c r="I113" s="629">
        <v>93</v>
      </c>
      <c r="J113" s="629">
        <v>54</v>
      </c>
      <c r="K113" s="629">
        <v>38</v>
      </c>
      <c r="L113" s="629">
        <v>238</v>
      </c>
      <c r="M113" s="629">
        <v>81</v>
      </c>
    </row>
    <row r="114" spans="1:13" s="630" customFormat="1">
      <c r="A114" s="632" t="s">
        <v>158</v>
      </c>
      <c r="B114" s="628" t="s">
        <v>159</v>
      </c>
      <c r="C114" s="627" t="s">
        <v>264</v>
      </c>
      <c r="D114" s="1016">
        <v>5215</v>
      </c>
      <c r="E114" s="1016">
        <v>2829</v>
      </c>
      <c r="F114" s="1016">
        <v>7</v>
      </c>
      <c r="G114" s="1016">
        <v>5072</v>
      </c>
      <c r="H114" s="1016">
        <v>2979</v>
      </c>
      <c r="I114" s="629">
        <v>970</v>
      </c>
      <c r="J114" s="629">
        <v>5940</v>
      </c>
      <c r="K114" s="629">
        <v>418</v>
      </c>
      <c r="L114" s="629">
        <v>8051</v>
      </c>
      <c r="M114" s="629">
        <v>613</v>
      </c>
    </row>
    <row r="115" spans="1:13" s="630" customFormat="1">
      <c r="A115" s="632" t="s">
        <v>160</v>
      </c>
      <c r="B115" s="628" t="s">
        <v>161</v>
      </c>
      <c r="C115" s="627" t="s">
        <v>264</v>
      </c>
      <c r="D115" s="1016">
        <v>6254</v>
      </c>
      <c r="E115" s="1016">
        <v>3416</v>
      </c>
      <c r="F115" s="1016">
        <v>5</v>
      </c>
      <c r="G115" s="1016">
        <v>6178</v>
      </c>
      <c r="H115" s="1016">
        <v>3497</v>
      </c>
      <c r="I115" s="629">
        <v>954</v>
      </c>
      <c r="J115" s="629">
        <v>7738</v>
      </c>
      <c r="K115" s="629">
        <v>295</v>
      </c>
      <c r="L115" s="629">
        <v>9675</v>
      </c>
      <c r="M115" s="629">
        <v>452</v>
      </c>
    </row>
    <row r="116" spans="1:13" s="630" customFormat="1">
      <c r="A116" s="632" t="s">
        <v>166</v>
      </c>
      <c r="B116" s="628" t="s">
        <v>167</v>
      </c>
      <c r="C116" s="627" t="s">
        <v>268</v>
      </c>
      <c r="D116" s="1016">
        <v>161</v>
      </c>
      <c r="E116" s="1016">
        <v>97</v>
      </c>
      <c r="F116" s="1016">
        <v>1</v>
      </c>
      <c r="G116" s="1016">
        <v>157</v>
      </c>
      <c r="H116" s="1016">
        <v>102</v>
      </c>
      <c r="I116" s="629">
        <v>210</v>
      </c>
      <c r="J116" s="629">
        <v>20</v>
      </c>
      <c r="K116" s="629">
        <v>12</v>
      </c>
      <c r="L116" s="629">
        <v>259</v>
      </c>
      <c r="M116" s="629">
        <v>7</v>
      </c>
    </row>
    <row r="117" spans="1:13" s="630" customFormat="1">
      <c r="A117" s="632" t="s">
        <v>176</v>
      </c>
      <c r="B117" s="628" t="s">
        <v>177</v>
      </c>
      <c r="C117" s="627" t="s">
        <v>266</v>
      </c>
      <c r="D117" s="1016">
        <v>1507</v>
      </c>
      <c r="E117" s="1016">
        <v>909</v>
      </c>
      <c r="F117" s="1016">
        <v>1</v>
      </c>
      <c r="G117" s="1016">
        <v>1531</v>
      </c>
      <c r="H117" s="1016">
        <v>886</v>
      </c>
      <c r="I117" s="629">
        <v>90</v>
      </c>
      <c r="J117" s="629">
        <v>2070</v>
      </c>
      <c r="K117" s="629">
        <v>55</v>
      </c>
      <c r="L117" s="629">
        <v>2417</v>
      </c>
      <c r="M117" s="629">
        <v>79</v>
      </c>
    </row>
    <row r="118" spans="1:13" s="630" customFormat="1">
      <c r="A118" s="632" t="s">
        <v>180</v>
      </c>
      <c r="B118" s="628" t="s">
        <v>181</v>
      </c>
      <c r="C118" s="627" t="s">
        <v>264</v>
      </c>
      <c r="D118" s="1016">
        <v>3340</v>
      </c>
      <c r="E118" s="1016">
        <v>1699</v>
      </c>
      <c r="F118" s="1016">
        <v>2</v>
      </c>
      <c r="G118" s="1016">
        <v>3184</v>
      </c>
      <c r="H118" s="1016">
        <v>1857</v>
      </c>
      <c r="I118" s="629">
        <v>522</v>
      </c>
      <c r="J118" s="629">
        <v>4120</v>
      </c>
      <c r="K118" s="629">
        <v>67</v>
      </c>
      <c r="L118" s="629">
        <v>5041</v>
      </c>
      <c r="M118" s="629">
        <v>110</v>
      </c>
    </row>
    <row r="119" spans="1:13" s="630" customFormat="1">
      <c r="A119" s="632" t="s">
        <v>192</v>
      </c>
      <c r="B119" s="628" t="s">
        <v>193</v>
      </c>
      <c r="C119" s="627" t="s">
        <v>268</v>
      </c>
      <c r="D119" s="1016">
        <v>261</v>
      </c>
      <c r="E119" s="1016">
        <v>166</v>
      </c>
      <c r="F119" s="1016">
        <v>0</v>
      </c>
      <c r="G119" s="1016">
        <v>243</v>
      </c>
      <c r="H119" s="1016">
        <v>184</v>
      </c>
      <c r="I119" s="629">
        <v>275</v>
      </c>
      <c r="J119" s="629">
        <v>59</v>
      </c>
      <c r="K119" s="629">
        <v>16</v>
      </c>
      <c r="L119" s="629">
        <v>427</v>
      </c>
      <c r="M119" s="629">
        <v>49</v>
      </c>
    </row>
    <row r="120" spans="1:13" s="630" customFormat="1">
      <c r="A120" s="632" t="s">
        <v>196</v>
      </c>
      <c r="B120" s="628" t="s">
        <v>197</v>
      </c>
      <c r="C120" s="627" t="s">
        <v>266</v>
      </c>
      <c r="D120" s="1016">
        <v>7286</v>
      </c>
      <c r="E120" s="1016">
        <v>4066</v>
      </c>
      <c r="F120" s="1016">
        <v>9</v>
      </c>
      <c r="G120" s="1016">
        <v>7256</v>
      </c>
      <c r="H120" s="1016">
        <v>4105</v>
      </c>
      <c r="I120" s="629">
        <v>549</v>
      </c>
      <c r="J120" s="629">
        <v>9257</v>
      </c>
      <c r="K120" s="629">
        <v>473</v>
      </c>
      <c r="L120" s="629">
        <v>11361</v>
      </c>
      <c r="M120" s="629">
        <v>728</v>
      </c>
    </row>
    <row r="121" spans="1:13" s="630" customFormat="1">
      <c r="A121" s="632" t="s">
        <v>200</v>
      </c>
      <c r="B121" s="628" t="s">
        <v>201</v>
      </c>
      <c r="C121" s="627" t="s">
        <v>265</v>
      </c>
      <c r="D121" s="1016">
        <v>3540</v>
      </c>
      <c r="E121" s="1016">
        <v>2110</v>
      </c>
      <c r="F121" s="1016">
        <v>8</v>
      </c>
      <c r="G121" s="1016">
        <v>3447</v>
      </c>
      <c r="H121" s="1016">
        <v>2211</v>
      </c>
      <c r="I121" s="629">
        <v>1972</v>
      </c>
      <c r="J121" s="629">
        <v>3006</v>
      </c>
      <c r="K121" s="629">
        <v>323</v>
      </c>
      <c r="L121" s="629">
        <v>5658</v>
      </c>
      <c r="M121" s="629">
        <v>379</v>
      </c>
    </row>
    <row r="122" spans="1:13" s="630" customFormat="1">
      <c r="A122" s="632" t="s">
        <v>222</v>
      </c>
      <c r="B122" s="628" t="s">
        <v>223</v>
      </c>
      <c r="C122" s="627" t="s">
        <v>264</v>
      </c>
      <c r="D122" s="1016">
        <v>1337</v>
      </c>
      <c r="E122" s="1016">
        <v>681</v>
      </c>
      <c r="F122" s="1016">
        <v>1</v>
      </c>
      <c r="G122" s="1016">
        <v>1273</v>
      </c>
      <c r="H122" s="1016">
        <v>746</v>
      </c>
      <c r="I122" s="629">
        <v>291</v>
      </c>
      <c r="J122" s="629">
        <v>1565</v>
      </c>
      <c r="K122" s="629">
        <v>42</v>
      </c>
      <c r="L122" s="629">
        <v>2019</v>
      </c>
      <c r="M122" s="629">
        <v>79</v>
      </c>
    </row>
    <row r="123" spans="1:13" s="630" customFormat="1">
      <c r="A123" s="632" t="s">
        <v>230</v>
      </c>
      <c r="B123" s="628" t="s">
        <v>231</v>
      </c>
      <c r="C123" s="627" t="s">
        <v>264</v>
      </c>
      <c r="D123" s="1016">
        <v>3141</v>
      </c>
      <c r="E123" s="1016">
        <v>1694</v>
      </c>
      <c r="F123" s="1016">
        <v>2</v>
      </c>
      <c r="G123" s="1016">
        <v>3019</v>
      </c>
      <c r="H123" s="1016">
        <v>1819</v>
      </c>
      <c r="I123" s="629">
        <v>1182</v>
      </c>
      <c r="J123" s="629">
        <v>2700</v>
      </c>
      <c r="K123" s="629">
        <v>339</v>
      </c>
      <c r="L123" s="629">
        <v>4838</v>
      </c>
      <c r="M123" s="629">
        <v>468</v>
      </c>
    </row>
    <row r="124" spans="1:13" s="630" customFormat="1">
      <c r="A124" s="632" t="s">
        <v>238</v>
      </c>
      <c r="B124" s="628" t="s">
        <v>239</v>
      </c>
      <c r="C124" s="627" t="s">
        <v>264</v>
      </c>
      <c r="D124" s="1016">
        <v>143</v>
      </c>
      <c r="E124" s="1016">
        <v>77</v>
      </c>
      <c r="F124" s="1016">
        <v>0</v>
      </c>
      <c r="G124" s="1016">
        <v>148</v>
      </c>
      <c r="H124" s="1016">
        <v>72</v>
      </c>
      <c r="I124" s="629">
        <v>69</v>
      </c>
      <c r="J124" s="629">
        <v>121</v>
      </c>
      <c r="K124" s="629">
        <v>17</v>
      </c>
      <c r="L124" s="629">
        <v>220</v>
      </c>
      <c r="M124" s="629">
        <v>7</v>
      </c>
    </row>
    <row r="125" spans="1:13" s="630" customFormat="1">
      <c r="A125" s="632" t="s">
        <v>240</v>
      </c>
      <c r="B125" s="628" t="s">
        <v>241</v>
      </c>
      <c r="C125" s="627" t="s">
        <v>267</v>
      </c>
      <c r="D125" s="1016">
        <v>381</v>
      </c>
      <c r="E125" s="1016">
        <v>223</v>
      </c>
      <c r="F125" s="1016">
        <v>1</v>
      </c>
      <c r="G125" s="1016">
        <v>373</v>
      </c>
      <c r="H125" s="1016">
        <v>232</v>
      </c>
      <c r="I125" s="629">
        <v>369</v>
      </c>
      <c r="J125" s="629">
        <v>172</v>
      </c>
      <c r="K125" s="629">
        <v>26</v>
      </c>
      <c r="L125" s="629">
        <v>605</v>
      </c>
      <c r="M125" s="629">
        <v>124</v>
      </c>
    </row>
    <row r="126" spans="1:13">
      <c r="B126" s="529"/>
      <c r="C126" s="529"/>
      <c r="D126" s="529"/>
      <c r="E126" s="529"/>
      <c r="F126" s="529"/>
      <c r="G126" s="529"/>
      <c r="H126" s="529"/>
    </row>
    <row r="128" spans="1:13" ht="15.75" customHeight="1">
      <c r="A128" s="1345" t="s">
        <v>997</v>
      </c>
      <c r="B128" s="1345"/>
      <c r="C128" s="1345"/>
      <c r="D128" s="1345"/>
      <c r="E128" s="1345"/>
      <c r="F128" s="1345"/>
      <c r="G128" s="1318"/>
      <c r="H128" s="1318"/>
    </row>
    <row r="130" spans="1:8" s="428" customFormat="1">
      <c r="A130" s="428" t="s">
        <v>248</v>
      </c>
    </row>
    <row r="131" spans="1:8" s="428" customFormat="1">
      <c r="A131" s="429" t="s">
        <v>249</v>
      </c>
      <c r="B131" s="430" t="s">
        <v>250</v>
      </c>
      <c r="C131" s="430"/>
      <c r="D131" s="430"/>
      <c r="E131" s="430"/>
      <c r="F131" s="430"/>
      <c r="G131" s="430"/>
      <c r="H131" s="430"/>
    </row>
  </sheetData>
  <autoFilter ref="A4:C4"/>
  <sortState ref="A6:M125">
    <sortCondition ref="A6:A125"/>
  </sortState>
  <mergeCells count="3">
    <mergeCell ref="D3:F3"/>
    <mergeCell ref="G3:H3"/>
    <mergeCell ref="I3:K3"/>
  </mergeCells>
  <hyperlinks>
    <hyperlink ref="B131" r:id="rId1"/>
  </hyperlinks>
  <pageMargins left="0.7" right="0.7" top="0.75" bottom="0.75" header="0.3" footer="0.3"/>
</worksheet>
</file>

<file path=xl/worksheets/sheet31.xml><?xml version="1.0" encoding="utf-8"?>
<worksheet xmlns="http://schemas.openxmlformats.org/spreadsheetml/2006/main" xmlns:r="http://schemas.openxmlformats.org/officeDocument/2006/relationships">
  <dimension ref="A1:M131"/>
  <sheetViews>
    <sheetView workbookViewId="0">
      <pane xSplit="3" ySplit="5" topLeftCell="D6" activePane="bottomRight" state="frozen"/>
      <selection pane="topRight" activeCell="D1" sqref="D1"/>
      <selection pane="bottomLeft" activeCell="A6" sqref="A6"/>
      <selection pane="bottomRight" activeCell="A6" sqref="A6:XFD125"/>
    </sheetView>
  </sheetViews>
  <sheetFormatPr defaultColWidth="14.375" defaultRowHeight="15.75"/>
  <cols>
    <col min="1" max="1" width="14.375" style="524"/>
    <col min="2" max="2" width="32.25" style="524" customWidth="1"/>
    <col min="3" max="3" width="14.5" style="524" customWidth="1"/>
    <col min="4" max="4" width="11.875" style="524" customWidth="1"/>
    <col min="5" max="5" width="11.125" style="524" customWidth="1"/>
    <col min="6" max="6" width="14.5" style="524" customWidth="1"/>
    <col min="7" max="8" width="10.125" style="524" customWidth="1"/>
    <col min="9" max="12" width="12.25" style="524" customWidth="1"/>
    <col min="13" max="16384" width="14.375" style="524"/>
  </cols>
  <sheetData>
    <row r="1" spans="1:13">
      <c r="A1" s="257" t="s">
        <v>926</v>
      </c>
    </row>
    <row r="2" spans="1:13">
      <c r="B2" s="525"/>
      <c r="C2" s="525"/>
      <c r="D2" s="525"/>
      <c r="E2" s="525"/>
      <c r="F2" s="525"/>
      <c r="G2" s="525"/>
      <c r="H2" s="525"/>
    </row>
    <row r="3" spans="1:13" ht="23.25" customHeight="1">
      <c r="A3" s="526"/>
      <c r="B3" s="527"/>
      <c r="C3" s="631"/>
      <c r="D3" s="1920" t="s">
        <v>924</v>
      </c>
      <c r="E3" s="1920"/>
      <c r="F3" s="1920"/>
      <c r="G3" s="1920" t="s">
        <v>917</v>
      </c>
      <c r="H3" s="1920"/>
      <c r="I3" s="1920" t="s">
        <v>798</v>
      </c>
      <c r="J3" s="1920"/>
      <c r="K3" s="1920"/>
      <c r="L3" s="1317"/>
      <c r="M3" s="528" t="s">
        <v>867</v>
      </c>
    </row>
    <row r="4" spans="1:13" ht="35.25" customHeight="1">
      <c r="A4" s="528" t="s">
        <v>4</v>
      </c>
      <c r="B4" s="527" t="s">
        <v>5</v>
      </c>
      <c r="C4" s="631" t="s">
        <v>251</v>
      </c>
      <c r="D4" s="1317" t="s">
        <v>628</v>
      </c>
      <c r="E4" s="1317" t="s">
        <v>740</v>
      </c>
      <c r="F4" s="1317" t="s">
        <v>813</v>
      </c>
      <c r="G4" s="1317" t="s">
        <v>554</v>
      </c>
      <c r="H4" s="1317" t="s">
        <v>553</v>
      </c>
      <c r="I4" s="631" t="s">
        <v>2</v>
      </c>
      <c r="J4" s="631" t="s">
        <v>450</v>
      </c>
      <c r="K4" s="631" t="s">
        <v>868</v>
      </c>
      <c r="L4" s="1317" t="s">
        <v>281</v>
      </c>
      <c r="M4" s="528" t="s">
        <v>556</v>
      </c>
    </row>
    <row r="5" spans="1:13">
      <c r="A5" s="1339" t="s">
        <v>8</v>
      </c>
      <c r="B5" s="1340" t="s">
        <v>9</v>
      </c>
      <c r="C5" s="1341"/>
      <c r="D5" s="1342">
        <f>SUM(D6:D125)</f>
        <v>733990</v>
      </c>
      <c r="E5" s="1342">
        <f t="shared" ref="E5:F5" si="0">SUM(E6:E125)</f>
        <v>466284</v>
      </c>
      <c r="F5" s="1342">
        <f t="shared" si="0"/>
        <v>113318</v>
      </c>
      <c r="G5" s="1342">
        <f t="shared" ref="G5" si="1">SUM(G6:G125)</f>
        <v>761564</v>
      </c>
      <c r="H5" s="1342">
        <f t="shared" ref="H5:L5" si="2">SUM(H6:H125)</f>
        <v>552027</v>
      </c>
      <c r="I5" s="1343">
        <f t="shared" si="2"/>
        <v>581244</v>
      </c>
      <c r="J5" s="1343">
        <f t="shared" si="2"/>
        <v>475127</v>
      </c>
      <c r="K5" s="1343">
        <f t="shared" si="2"/>
        <v>174672</v>
      </c>
      <c r="L5" s="1343">
        <f t="shared" si="2"/>
        <v>1313599</v>
      </c>
      <c r="M5" s="1343">
        <f t="shared" ref="M5" si="3">SUM(M6:M125)</f>
        <v>358352</v>
      </c>
    </row>
    <row r="6" spans="1:13" s="630" customFormat="1">
      <c r="A6" s="632" t="s">
        <v>10</v>
      </c>
      <c r="B6" s="628" t="s">
        <v>11</v>
      </c>
      <c r="C6" s="627" t="s">
        <v>264</v>
      </c>
      <c r="D6" s="1016">
        <v>4957</v>
      </c>
      <c r="E6" s="1016">
        <v>2923</v>
      </c>
      <c r="F6" s="1016">
        <v>954</v>
      </c>
      <c r="G6" s="1016">
        <v>5066</v>
      </c>
      <c r="H6" s="1016">
        <v>3768</v>
      </c>
      <c r="I6" s="629">
        <v>4111</v>
      </c>
      <c r="J6" s="629">
        <v>4113</v>
      </c>
      <c r="K6" s="629">
        <v>504</v>
      </c>
      <c r="L6" s="629">
        <v>8834</v>
      </c>
      <c r="M6" s="629">
        <v>2511</v>
      </c>
    </row>
    <row r="7" spans="1:13" s="630" customFormat="1">
      <c r="A7" s="632" t="s">
        <v>12</v>
      </c>
      <c r="B7" s="628" t="s">
        <v>13</v>
      </c>
      <c r="C7" s="627" t="s">
        <v>265</v>
      </c>
      <c r="D7" s="1016">
        <v>6053</v>
      </c>
      <c r="E7" s="1016">
        <v>3322</v>
      </c>
      <c r="F7" s="1016">
        <v>936</v>
      </c>
      <c r="G7" s="1016">
        <v>5849</v>
      </c>
      <c r="H7" s="1016">
        <v>4462</v>
      </c>
      <c r="I7" s="629">
        <v>5200</v>
      </c>
      <c r="J7" s="629">
        <v>2450</v>
      </c>
      <c r="K7" s="629">
        <v>1675</v>
      </c>
      <c r="L7" s="629">
        <v>10311</v>
      </c>
      <c r="M7" s="629">
        <v>3493</v>
      </c>
    </row>
    <row r="8" spans="1:13" s="630" customFormat="1">
      <c r="A8" s="632" t="s">
        <v>16</v>
      </c>
      <c r="B8" s="628" t="s">
        <v>297</v>
      </c>
      <c r="C8" s="627" t="s">
        <v>265</v>
      </c>
      <c r="D8" s="1016">
        <v>2517</v>
      </c>
      <c r="E8" s="1016">
        <v>2134</v>
      </c>
      <c r="F8" s="1016">
        <v>617</v>
      </c>
      <c r="G8" s="1016">
        <v>3076</v>
      </c>
      <c r="H8" s="1016">
        <v>2191</v>
      </c>
      <c r="I8" s="629">
        <v>4243</v>
      </c>
      <c r="J8" s="629">
        <v>476</v>
      </c>
      <c r="K8" s="629">
        <v>417</v>
      </c>
      <c r="L8" s="629">
        <v>5268</v>
      </c>
      <c r="M8" s="629">
        <v>1676</v>
      </c>
    </row>
    <row r="9" spans="1:13" s="630" customFormat="1">
      <c r="A9" s="632" t="s">
        <v>18</v>
      </c>
      <c r="B9" s="628" t="s">
        <v>19</v>
      </c>
      <c r="C9" s="627" t="s">
        <v>266</v>
      </c>
      <c r="D9" s="1016">
        <v>1311</v>
      </c>
      <c r="E9" s="1016">
        <v>1067</v>
      </c>
      <c r="F9" s="1016">
        <v>300</v>
      </c>
      <c r="G9" s="1016">
        <v>1557</v>
      </c>
      <c r="H9" s="1016">
        <v>1121</v>
      </c>
      <c r="I9" s="629">
        <v>1554</v>
      </c>
      <c r="J9" s="629">
        <v>953</v>
      </c>
      <c r="K9" s="629">
        <v>138</v>
      </c>
      <c r="L9" s="629">
        <v>2678</v>
      </c>
      <c r="M9" s="629">
        <v>559</v>
      </c>
    </row>
    <row r="10" spans="1:13" s="630" customFormat="1">
      <c r="A10" s="632" t="s">
        <v>20</v>
      </c>
      <c r="B10" s="628" t="s">
        <v>21</v>
      </c>
      <c r="C10" s="627" t="s">
        <v>265</v>
      </c>
      <c r="D10" s="1016">
        <v>3001</v>
      </c>
      <c r="E10" s="1016">
        <v>2195</v>
      </c>
      <c r="F10" s="1016">
        <v>618</v>
      </c>
      <c r="G10" s="1016">
        <v>3313</v>
      </c>
      <c r="H10" s="1016">
        <v>2501</v>
      </c>
      <c r="I10" s="629">
        <v>3578</v>
      </c>
      <c r="J10" s="629">
        <v>1526</v>
      </c>
      <c r="K10" s="629">
        <v>425</v>
      </c>
      <c r="L10" s="629">
        <v>5814</v>
      </c>
      <c r="M10" s="629">
        <v>1543</v>
      </c>
    </row>
    <row r="11" spans="1:13" s="630" customFormat="1">
      <c r="A11" s="632" t="s">
        <v>22</v>
      </c>
      <c r="B11" s="628" t="s">
        <v>23</v>
      </c>
      <c r="C11" s="627" t="s">
        <v>265</v>
      </c>
      <c r="D11" s="1016">
        <v>1710</v>
      </c>
      <c r="E11" s="1016">
        <v>1420</v>
      </c>
      <c r="F11" s="1016">
        <v>391</v>
      </c>
      <c r="G11" s="1016">
        <v>2079</v>
      </c>
      <c r="H11" s="1016">
        <v>1442</v>
      </c>
      <c r="I11" s="629">
        <v>2147</v>
      </c>
      <c r="J11" s="629">
        <v>1223</v>
      </c>
      <c r="K11" s="629">
        <v>123</v>
      </c>
      <c r="L11" s="629">
        <v>3521</v>
      </c>
      <c r="M11" s="629">
        <v>774</v>
      </c>
    </row>
    <row r="12" spans="1:13" s="630" customFormat="1">
      <c r="A12" s="632" t="s">
        <v>24</v>
      </c>
      <c r="B12" s="628" t="s">
        <v>25</v>
      </c>
      <c r="C12" s="627" t="s">
        <v>267</v>
      </c>
      <c r="D12" s="1016">
        <v>9684</v>
      </c>
      <c r="E12" s="1016">
        <v>3705</v>
      </c>
      <c r="F12" s="1016">
        <v>2120</v>
      </c>
      <c r="G12" s="1016">
        <v>8479</v>
      </c>
      <c r="H12" s="1016">
        <v>7030</v>
      </c>
      <c r="I12" s="629">
        <v>5662</v>
      </c>
      <c r="J12" s="629">
        <v>3607</v>
      </c>
      <c r="K12" s="629">
        <v>5054</v>
      </c>
      <c r="L12" s="629">
        <v>15509</v>
      </c>
      <c r="M12" s="629">
        <v>8082</v>
      </c>
    </row>
    <row r="13" spans="1:13" s="630" customFormat="1">
      <c r="A13" s="632" t="s">
        <v>26</v>
      </c>
      <c r="B13" s="628" t="s">
        <v>706</v>
      </c>
      <c r="C13" s="627" t="s">
        <v>265</v>
      </c>
      <c r="D13" s="1016">
        <v>11938</v>
      </c>
      <c r="E13" s="1016">
        <v>8801</v>
      </c>
      <c r="F13" s="1016">
        <v>1928</v>
      </c>
      <c r="G13" s="1016">
        <v>13196</v>
      </c>
      <c r="H13" s="1016">
        <v>9471</v>
      </c>
      <c r="I13" s="629">
        <v>17130</v>
      </c>
      <c r="J13" s="629">
        <v>2869</v>
      </c>
      <c r="K13" s="629">
        <v>1645</v>
      </c>
      <c r="L13" s="629">
        <v>22667</v>
      </c>
      <c r="M13" s="629">
        <v>7941</v>
      </c>
    </row>
    <row r="14" spans="1:13" s="630" customFormat="1">
      <c r="A14" s="632" t="s">
        <v>27</v>
      </c>
      <c r="B14" s="628" t="s">
        <v>28</v>
      </c>
      <c r="C14" s="627" t="s">
        <v>265</v>
      </c>
      <c r="D14" s="1016">
        <v>376</v>
      </c>
      <c r="E14" s="1016">
        <v>246</v>
      </c>
      <c r="F14" s="1016">
        <v>114</v>
      </c>
      <c r="G14" s="1016">
        <v>417</v>
      </c>
      <c r="H14" s="1016">
        <v>319</v>
      </c>
      <c r="I14" s="629">
        <v>655</v>
      </c>
      <c r="J14" s="629">
        <v>39</v>
      </c>
      <c r="K14" s="629">
        <v>40</v>
      </c>
      <c r="L14" s="629">
        <v>736</v>
      </c>
      <c r="M14" s="629">
        <v>297</v>
      </c>
    </row>
    <row r="15" spans="1:13" s="630" customFormat="1">
      <c r="A15" s="632" t="s">
        <v>29</v>
      </c>
      <c r="B15" s="628" t="s">
        <v>1012</v>
      </c>
      <c r="C15" s="627" t="s">
        <v>265</v>
      </c>
      <c r="D15" s="1016">
        <v>6217</v>
      </c>
      <c r="E15" s="1016">
        <v>4462</v>
      </c>
      <c r="F15" s="1016">
        <v>1048</v>
      </c>
      <c r="G15" s="1016">
        <v>6751</v>
      </c>
      <c r="H15" s="1016">
        <v>4976</v>
      </c>
      <c r="I15" s="629">
        <v>8632</v>
      </c>
      <c r="J15" s="629">
        <v>1858</v>
      </c>
      <c r="K15" s="629">
        <v>702</v>
      </c>
      <c r="L15" s="629">
        <v>11727</v>
      </c>
      <c r="M15" s="629">
        <v>3803</v>
      </c>
    </row>
    <row r="16" spans="1:13" s="630" customFormat="1">
      <c r="A16" s="632" t="s">
        <v>30</v>
      </c>
      <c r="B16" s="628" t="s">
        <v>31</v>
      </c>
      <c r="C16" s="627" t="s">
        <v>268</v>
      </c>
      <c r="D16" s="1016">
        <v>477</v>
      </c>
      <c r="E16" s="1016">
        <v>453</v>
      </c>
      <c r="F16" s="1016">
        <v>141</v>
      </c>
      <c r="G16" s="1016">
        <v>622</v>
      </c>
      <c r="H16" s="1016">
        <v>449</v>
      </c>
      <c r="I16" s="629">
        <v>978</v>
      </c>
      <c r="J16" s="629">
        <v>16</v>
      </c>
      <c r="K16" s="629">
        <v>28</v>
      </c>
      <c r="L16" s="629">
        <v>1071</v>
      </c>
      <c r="M16" s="629">
        <v>427</v>
      </c>
    </row>
    <row r="17" spans="1:13" s="630" customFormat="1">
      <c r="A17" s="632" t="s">
        <v>32</v>
      </c>
      <c r="B17" s="628" t="s">
        <v>33</v>
      </c>
      <c r="C17" s="627" t="s">
        <v>265</v>
      </c>
      <c r="D17" s="1016">
        <v>1632</v>
      </c>
      <c r="E17" s="1016">
        <v>1163</v>
      </c>
      <c r="F17" s="1016">
        <v>354</v>
      </c>
      <c r="G17" s="1016">
        <v>1794</v>
      </c>
      <c r="H17" s="1016">
        <v>1355</v>
      </c>
      <c r="I17" s="629">
        <v>2751</v>
      </c>
      <c r="J17" s="629">
        <v>134</v>
      </c>
      <c r="K17" s="629">
        <v>222</v>
      </c>
      <c r="L17" s="629">
        <v>3149</v>
      </c>
      <c r="M17" s="629">
        <v>1410</v>
      </c>
    </row>
    <row r="18" spans="1:13" s="630" customFormat="1">
      <c r="A18" s="632" t="s">
        <v>36</v>
      </c>
      <c r="B18" s="628" t="s">
        <v>37</v>
      </c>
      <c r="C18" s="627" t="s">
        <v>264</v>
      </c>
      <c r="D18" s="1016">
        <v>2117</v>
      </c>
      <c r="E18" s="1016">
        <v>1819</v>
      </c>
      <c r="F18" s="1016">
        <v>758</v>
      </c>
      <c r="G18" s="1016">
        <v>2746</v>
      </c>
      <c r="H18" s="1016">
        <v>1948</v>
      </c>
      <c r="I18" s="629">
        <v>1106</v>
      </c>
      <c r="J18" s="629">
        <v>3360</v>
      </c>
      <c r="K18" s="629">
        <v>159</v>
      </c>
      <c r="L18" s="629">
        <v>4694</v>
      </c>
      <c r="M18" s="629">
        <v>426</v>
      </c>
    </row>
    <row r="19" spans="1:13" s="630" customFormat="1">
      <c r="A19" s="632" t="s">
        <v>38</v>
      </c>
      <c r="B19" s="628" t="s">
        <v>39</v>
      </c>
      <c r="C19" s="627" t="s">
        <v>268</v>
      </c>
      <c r="D19" s="1016">
        <v>2810</v>
      </c>
      <c r="E19" s="1016">
        <v>3309</v>
      </c>
      <c r="F19" s="1016">
        <v>636</v>
      </c>
      <c r="G19" s="1016">
        <v>3766</v>
      </c>
      <c r="H19" s="1016">
        <v>2989</v>
      </c>
      <c r="I19" s="629">
        <v>6534</v>
      </c>
      <c r="J19" s="629">
        <v>17</v>
      </c>
      <c r="K19" s="629">
        <v>80</v>
      </c>
      <c r="L19" s="629">
        <v>6755</v>
      </c>
      <c r="M19" s="629">
        <v>2228</v>
      </c>
    </row>
    <row r="20" spans="1:13" s="630" customFormat="1">
      <c r="A20" s="632" t="s">
        <v>40</v>
      </c>
      <c r="B20" s="628" t="s">
        <v>41</v>
      </c>
      <c r="C20" s="627" t="s">
        <v>266</v>
      </c>
      <c r="D20" s="1016">
        <v>1907</v>
      </c>
      <c r="E20" s="1016">
        <v>1505</v>
      </c>
      <c r="F20" s="1016">
        <v>461</v>
      </c>
      <c r="G20" s="1016">
        <v>2278</v>
      </c>
      <c r="H20" s="1016">
        <v>1595</v>
      </c>
      <c r="I20" s="629">
        <v>1929</v>
      </c>
      <c r="J20" s="629">
        <v>1626</v>
      </c>
      <c r="K20" s="629">
        <v>191</v>
      </c>
      <c r="L20" s="629">
        <v>3873</v>
      </c>
      <c r="M20" s="629">
        <v>706</v>
      </c>
    </row>
    <row r="21" spans="1:13" s="630" customFormat="1">
      <c r="A21" s="632" t="s">
        <v>42</v>
      </c>
      <c r="B21" s="628" t="s">
        <v>43</v>
      </c>
      <c r="C21" s="627" t="s">
        <v>265</v>
      </c>
      <c r="D21" s="1016">
        <v>5499</v>
      </c>
      <c r="E21" s="1016">
        <v>4623</v>
      </c>
      <c r="F21" s="1016">
        <v>1093</v>
      </c>
      <c r="G21" s="1016">
        <v>6633</v>
      </c>
      <c r="H21" s="1016">
        <v>4582</v>
      </c>
      <c r="I21" s="629">
        <v>7341</v>
      </c>
      <c r="J21" s="629">
        <v>2666</v>
      </c>
      <c r="K21" s="629">
        <v>647</v>
      </c>
      <c r="L21" s="629">
        <v>11215</v>
      </c>
      <c r="M21" s="629">
        <v>2905</v>
      </c>
    </row>
    <row r="22" spans="1:13" s="630" customFormat="1">
      <c r="A22" s="632" t="s">
        <v>44</v>
      </c>
      <c r="B22" s="628" t="s">
        <v>45</v>
      </c>
      <c r="C22" s="627" t="s">
        <v>266</v>
      </c>
      <c r="D22" s="1016">
        <v>3400</v>
      </c>
      <c r="E22" s="1016">
        <v>1985</v>
      </c>
      <c r="F22" s="1016">
        <v>428</v>
      </c>
      <c r="G22" s="1016">
        <v>3373</v>
      </c>
      <c r="H22" s="1016">
        <v>2440</v>
      </c>
      <c r="I22" s="629">
        <v>2851</v>
      </c>
      <c r="J22" s="629">
        <v>2028</v>
      </c>
      <c r="K22" s="629">
        <v>446</v>
      </c>
      <c r="L22" s="629">
        <v>5813</v>
      </c>
      <c r="M22" s="629">
        <v>1079</v>
      </c>
    </row>
    <row r="23" spans="1:13" s="630" customFormat="1">
      <c r="A23" s="632" t="s">
        <v>46</v>
      </c>
      <c r="B23" s="628" t="s">
        <v>47</v>
      </c>
      <c r="C23" s="627" t="s">
        <v>268</v>
      </c>
      <c r="D23" s="1016">
        <v>3395</v>
      </c>
      <c r="E23" s="1016">
        <v>2751</v>
      </c>
      <c r="F23" s="1016">
        <v>1090</v>
      </c>
      <c r="G23" s="1016">
        <v>4121</v>
      </c>
      <c r="H23" s="1016">
        <v>3116</v>
      </c>
      <c r="I23" s="629">
        <v>6363</v>
      </c>
      <c r="J23" s="629">
        <v>111</v>
      </c>
      <c r="K23" s="629">
        <v>336</v>
      </c>
      <c r="L23" s="629">
        <v>7237</v>
      </c>
      <c r="M23" s="629">
        <v>2425</v>
      </c>
    </row>
    <row r="24" spans="1:13" s="630" customFormat="1">
      <c r="A24" s="632" t="s">
        <v>48</v>
      </c>
      <c r="B24" s="628" t="s">
        <v>269</v>
      </c>
      <c r="C24" s="627" t="s">
        <v>266</v>
      </c>
      <c r="D24" s="1016">
        <v>602</v>
      </c>
      <c r="E24" s="1016">
        <v>470</v>
      </c>
      <c r="F24" s="1016">
        <v>155</v>
      </c>
      <c r="G24" s="1016">
        <v>730</v>
      </c>
      <c r="H24" s="1016">
        <v>497</v>
      </c>
      <c r="I24" s="629">
        <v>367</v>
      </c>
      <c r="J24" s="629">
        <v>698</v>
      </c>
      <c r="K24" s="629">
        <v>98</v>
      </c>
      <c r="L24" s="629">
        <v>1227</v>
      </c>
      <c r="M24" s="629">
        <v>143</v>
      </c>
    </row>
    <row r="25" spans="1:13" s="630" customFormat="1">
      <c r="A25" s="632" t="s">
        <v>50</v>
      </c>
      <c r="B25" s="628" t="s">
        <v>51</v>
      </c>
      <c r="C25" s="627" t="s">
        <v>265</v>
      </c>
      <c r="D25" s="1016">
        <v>1529</v>
      </c>
      <c r="E25" s="1016">
        <v>1281</v>
      </c>
      <c r="F25" s="1016">
        <v>485</v>
      </c>
      <c r="G25" s="1016">
        <v>1921</v>
      </c>
      <c r="H25" s="1016">
        <v>1374</v>
      </c>
      <c r="I25" s="629">
        <v>1555</v>
      </c>
      <c r="J25" s="629">
        <v>1553</v>
      </c>
      <c r="K25" s="629">
        <v>126</v>
      </c>
      <c r="L25" s="629">
        <v>3295</v>
      </c>
      <c r="M25" s="629">
        <v>704</v>
      </c>
    </row>
    <row r="26" spans="1:13" s="630" customFormat="1">
      <c r="A26" s="632" t="s">
        <v>56</v>
      </c>
      <c r="B26" s="628" t="s">
        <v>295</v>
      </c>
      <c r="C26" s="627" t="s">
        <v>266</v>
      </c>
      <c r="D26" s="1016">
        <v>29828</v>
      </c>
      <c r="E26" s="1016">
        <v>15646</v>
      </c>
      <c r="F26" s="1016">
        <v>2502</v>
      </c>
      <c r="G26" s="1016">
        <v>27562</v>
      </c>
      <c r="H26" s="1016">
        <v>20415</v>
      </c>
      <c r="I26" s="629">
        <v>20363</v>
      </c>
      <c r="J26" s="629">
        <v>15931</v>
      </c>
      <c r="K26" s="629">
        <v>7556</v>
      </c>
      <c r="L26" s="629">
        <v>47977</v>
      </c>
      <c r="M26" s="629">
        <v>13635</v>
      </c>
    </row>
    <row r="27" spans="1:13" s="630" customFormat="1">
      <c r="A27" s="632" t="s">
        <v>58</v>
      </c>
      <c r="B27" s="628" t="s">
        <v>59</v>
      </c>
      <c r="C27" s="627" t="s">
        <v>267</v>
      </c>
      <c r="D27" s="1016">
        <v>727</v>
      </c>
      <c r="E27" s="1016">
        <v>463</v>
      </c>
      <c r="F27" s="1016">
        <v>176</v>
      </c>
      <c r="G27" s="1016">
        <v>781</v>
      </c>
      <c r="H27" s="1016">
        <v>585</v>
      </c>
      <c r="I27" s="629">
        <v>1034</v>
      </c>
      <c r="J27" s="629">
        <v>134</v>
      </c>
      <c r="K27" s="629">
        <v>143</v>
      </c>
      <c r="L27" s="629">
        <v>1366</v>
      </c>
      <c r="M27" s="629">
        <v>588</v>
      </c>
    </row>
    <row r="28" spans="1:13" s="630" customFormat="1">
      <c r="A28" s="632" t="s">
        <v>60</v>
      </c>
      <c r="B28" s="628" t="s">
        <v>61</v>
      </c>
      <c r="C28" s="627" t="s">
        <v>265</v>
      </c>
      <c r="D28" s="1016">
        <v>501</v>
      </c>
      <c r="E28" s="1016">
        <v>380</v>
      </c>
      <c r="F28" s="1016">
        <v>111</v>
      </c>
      <c r="G28" s="1016">
        <v>585</v>
      </c>
      <c r="H28" s="1016">
        <v>407</v>
      </c>
      <c r="I28" s="629">
        <v>932</v>
      </c>
      <c r="J28" s="629">
        <v>4</v>
      </c>
      <c r="K28" s="629">
        <v>49</v>
      </c>
      <c r="L28" s="629">
        <v>992</v>
      </c>
      <c r="M28" s="629">
        <v>406</v>
      </c>
    </row>
    <row r="29" spans="1:13" s="630" customFormat="1">
      <c r="A29" s="632" t="s">
        <v>62</v>
      </c>
      <c r="B29" s="628" t="s">
        <v>63</v>
      </c>
      <c r="C29" s="627" t="s">
        <v>267</v>
      </c>
      <c r="D29" s="1016">
        <v>5160</v>
      </c>
      <c r="E29" s="1016">
        <v>2786</v>
      </c>
      <c r="F29" s="1016">
        <v>624</v>
      </c>
      <c r="G29" s="1016">
        <v>4909</v>
      </c>
      <c r="H29" s="1016">
        <v>3661</v>
      </c>
      <c r="I29" s="629">
        <v>4325</v>
      </c>
      <c r="J29" s="629">
        <v>2259</v>
      </c>
      <c r="K29" s="629">
        <v>1462</v>
      </c>
      <c r="L29" s="629">
        <v>8570</v>
      </c>
      <c r="M29" s="629">
        <v>2687</v>
      </c>
    </row>
    <row r="30" spans="1:13" s="630" customFormat="1">
      <c r="A30" s="632" t="s">
        <v>64</v>
      </c>
      <c r="B30" s="628" t="s">
        <v>65</v>
      </c>
      <c r="C30" s="627" t="s">
        <v>266</v>
      </c>
      <c r="D30" s="1016">
        <v>1411</v>
      </c>
      <c r="E30" s="1016">
        <v>1068</v>
      </c>
      <c r="F30" s="1016">
        <v>335</v>
      </c>
      <c r="G30" s="1016">
        <v>1606</v>
      </c>
      <c r="H30" s="1016">
        <v>1208</v>
      </c>
      <c r="I30" s="629">
        <v>1364</v>
      </c>
      <c r="J30" s="629">
        <v>1259</v>
      </c>
      <c r="K30" s="629">
        <v>125</v>
      </c>
      <c r="L30" s="629">
        <v>2814</v>
      </c>
      <c r="M30" s="629">
        <v>466</v>
      </c>
    </row>
    <row r="31" spans="1:13" s="630" customFormat="1">
      <c r="A31" s="632" t="s">
        <v>68</v>
      </c>
      <c r="B31" s="628" t="s">
        <v>69</v>
      </c>
      <c r="C31" s="627" t="s">
        <v>268</v>
      </c>
      <c r="D31" s="1016">
        <v>2119</v>
      </c>
      <c r="E31" s="1016">
        <v>2285</v>
      </c>
      <c r="F31" s="1016">
        <v>509</v>
      </c>
      <c r="G31" s="1016">
        <v>2806</v>
      </c>
      <c r="H31" s="1016">
        <v>2107</v>
      </c>
      <c r="I31" s="629">
        <v>4703</v>
      </c>
      <c r="J31" s="629">
        <v>44</v>
      </c>
      <c r="K31" s="629">
        <v>63</v>
      </c>
      <c r="L31" s="629">
        <v>4913</v>
      </c>
      <c r="M31" s="629">
        <v>1781</v>
      </c>
    </row>
    <row r="32" spans="1:13" s="630" customFormat="1">
      <c r="A32" s="632" t="s">
        <v>70</v>
      </c>
      <c r="B32" s="628" t="s">
        <v>71</v>
      </c>
      <c r="C32" s="627" t="s">
        <v>264</v>
      </c>
      <c r="D32" s="1016">
        <v>3046</v>
      </c>
      <c r="E32" s="1016">
        <v>2120</v>
      </c>
      <c r="F32" s="1016">
        <v>536</v>
      </c>
      <c r="G32" s="1016">
        <v>3380</v>
      </c>
      <c r="H32" s="1016">
        <v>2322</v>
      </c>
      <c r="I32" s="629">
        <v>2750</v>
      </c>
      <c r="J32" s="629">
        <v>2240</v>
      </c>
      <c r="K32" s="629">
        <v>374</v>
      </c>
      <c r="L32" s="629">
        <v>5702</v>
      </c>
      <c r="M32" s="629">
        <v>1072</v>
      </c>
    </row>
    <row r="33" spans="1:13" s="630" customFormat="1">
      <c r="A33" s="632" t="s">
        <v>72</v>
      </c>
      <c r="B33" s="628" t="s">
        <v>73</v>
      </c>
      <c r="C33" s="627" t="s">
        <v>266</v>
      </c>
      <c r="D33" s="1016">
        <v>1534</v>
      </c>
      <c r="E33" s="1016">
        <v>1117</v>
      </c>
      <c r="F33" s="1016">
        <v>250</v>
      </c>
      <c r="G33" s="1016">
        <v>1765</v>
      </c>
      <c r="H33" s="1016">
        <v>1136</v>
      </c>
      <c r="I33" s="629">
        <v>779</v>
      </c>
      <c r="J33" s="629">
        <v>1546</v>
      </c>
      <c r="K33" s="629">
        <v>197</v>
      </c>
      <c r="L33" s="629">
        <v>2901</v>
      </c>
      <c r="M33" s="629">
        <v>356</v>
      </c>
    </row>
    <row r="34" spans="1:13" s="630" customFormat="1">
      <c r="A34" s="632" t="s">
        <v>74</v>
      </c>
      <c r="B34" s="628" t="s">
        <v>296</v>
      </c>
      <c r="C34" s="627" t="s">
        <v>267</v>
      </c>
      <c r="D34" s="1016">
        <v>67705</v>
      </c>
      <c r="E34" s="1016">
        <v>21598</v>
      </c>
      <c r="F34" s="1016">
        <v>11364</v>
      </c>
      <c r="G34" s="1016">
        <v>54927</v>
      </c>
      <c r="H34" s="1016">
        <v>45739</v>
      </c>
      <c r="I34" s="629">
        <v>33789</v>
      </c>
      <c r="J34" s="629">
        <v>17044</v>
      </c>
      <c r="K34" s="629">
        <v>42249</v>
      </c>
      <c r="L34" s="629">
        <v>100667</v>
      </c>
      <c r="M34" s="629">
        <v>49769</v>
      </c>
    </row>
    <row r="35" spans="1:13" s="630" customFormat="1">
      <c r="A35" s="632" t="s">
        <v>76</v>
      </c>
      <c r="B35" s="628" t="s">
        <v>77</v>
      </c>
      <c r="C35" s="627" t="s">
        <v>267</v>
      </c>
      <c r="D35" s="1016">
        <v>4290</v>
      </c>
      <c r="E35" s="1016">
        <v>2225</v>
      </c>
      <c r="F35" s="1016">
        <v>536</v>
      </c>
      <c r="G35" s="1016">
        <v>3991</v>
      </c>
      <c r="H35" s="1016">
        <v>3060</v>
      </c>
      <c r="I35" s="629">
        <v>4031</v>
      </c>
      <c r="J35" s="629">
        <v>1391</v>
      </c>
      <c r="K35" s="629">
        <v>1294</v>
      </c>
      <c r="L35" s="629">
        <v>7051</v>
      </c>
      <c r="M35" s="629">
        <v>2809</v>
      </c>
    </row>
    <row r="36" spans="1:13" s="630" customFormat="1">
      <c r="A36" s="632" t="s">
        <v>78</v>
      </c>
      <c r="B36" s="628" t="s">
        <v>79</v>
      </c>
      <c r="C36" s="627" t="s">
        <v>268</v>
      </c>
      <c r="D36" s="1016">
        <v>1543</v>
      </c>
      <c r="E36" s="1016">
        <v>1123</v>
      </c>
      <c r="F36" s="1016">
        <v>313</v>
      </c>
      <c r="G36" s="1016">
        <v>1716</v>
      </c>
      <c r="H36" s="1016">
        <v>1263</v>
      </c>
      <c r="I36" s="629">
        <v>2616</v>
      </c>
      <c r="J36" s="629">
        <v>108</v>
      </c>
      <c r="K36" s="629">
        <v>181</v>
      </c>
      <c r="L36" s="629">
        <v>2979</v>
      </c>
      <c r="M36" s="629">
        <v>1119</v>
      </c>
    </row>
    <row r="37" spans="1:13" s="630" customFormat="1">
      <c r="A37" s="632" t="s">
        <v>80</v>
      </c>
      <c r="B37" s="628" t="s">
        <v>81</v>
      </c>
      <c r="C37" s="627" t="s">
        <v>266</v>
      </c>
      <c r="D37" s="1016">
        <v>1749</v>
      </c>
      <c r="E37" s="1016">
        <v>1063</v>
      </c>
      <c r="F37" s="1016">
        <v>279</v>
      </c>
      <c r="G37" s="1016">
        <v>1778</v>
      </c>
      <c r="H37" s="1016">
        <v>1313</v>
      </c>
      <c r="I37" s="629">
        <v>1816</v>
      </c>
      <c r="J37" s="629">
        <v>916</v>
      </c>
      <c r="K37" s="629">
        <v>255</v>
      </c>
      <c r="L37" s="629">
        <v>3091</v>
      </c>
      <c r="M37" s="629">
        <v>982</v>
      </c>
    </row>
    <row r="38" spans="1:13" s="630" customFormat="1">
      <c r="A38" s="632" t="s">
        <v>84</v>
      </c>
      <c r="B38" s="628" t="s">
        <v>85</v>
      </c>
      <c r="C38" s="627" t="s">
        <v>265</v>
      </c>
      <c r="D38" s="1016">
        <v>5457</v>
      </c>
      <c r="E38" s="1016">
        <v>4193</v>
      </c>
      <c r="F38" s="1016">
        <v>998</v>
      </c>
      <c r="G38" s="1016">
        <v>6145</v>
      </c>
      <c r="H38" s="1016">
        <v>4503</v>
      </c>
      <c r="I38" s="629">
        <v>7869</v>
      </c>
      <c r="J38" s="629">
        <v>1401</v>
      </c>
      <c r="K38" s="629">
        <v>706</v>
      </c>
      <c r="L38" s="629">
        <v>10648</v>
      </c>
      <c r="M38" s="629">
        <v>2859</v>
      </c>
    </row>
    <row r="39" spans="1:13" s="630" customFormat="1">
      <c r="A39" s="632" t="s">
        <v>86</v>
      </c>
      <c r="B39" s="628" t="s">
        <v>87</v>
      </c>
      <c r="C39" s="627" t="s">
        <v>267</v>
      </c>
      <c r="D39" s="1016">
        <v>6787</v>
      </c>
      <c r="E39" s="1016">
        <v>3787</v>
      </c>
      <c r="F39" s="1016">
        <v>805</v>
      </c>
      <c r="G39" s="1016">
        <v>6503</v>
      </c>
      <c r="H39" s="1016">
        <v>4876</v>
      </c>
      <c r="I39" s="629">
        <v>8329</v>
      </c>
      <c r="J39" s="629">
        <v>781</v>
      </c>
      <c r="K39" s="629">
        <v>1619</v>
      </c>
      <c r="L39" s="629">
        <v>11379</v>
      </c>
      <c r="M39" s="629">
        <v>4831</v>
      </c>
    </row>
    <row r="40" spans="1:13" s="630" customFormat="1">
      <c r="A40" s="632" t="s">
        <v>92</v>
      </c>
      <c r="B40" s="628" t="s">
        <v>93</v>
      </c>
      <c r="C40" s="627" t="s">
        <v>268</v>
      </c>
      <c r="D40" s="1016">
        <v>1730</v>
      </c>
      <c r="E40" s="1016">
        <v>1395</v>
      </c>
      <c r="F40" s="1016">
        <v>438</v>
      </c>
      <c r="G40" s="1016">
        <v>2049</v>
      </c>
      <c r="H40" s="1016">
        <v>1514</v>
      </c>
      <c r="I40" s="629">
        <v>3325</v>
      </c>
      <c r="J40" s="629">
        <v>69</v>
      </c>
      <c r="K40" s="629">
        <v>110</v>
      </c>
      <c r="L40" s="629">
        <v>3563</v>
      </c>
      <c r="M40" s="629">
        <v>1256</v>
      </c>
    </row>
    <row r="41" spans="1:13" s="630" customFormat="1">
      <c r="A41" s="632" t="s">
        <v>94</v>
      </c>
      <c r="B41" s="628" t="s">
        <v>95</v>
      </c>
      <c r="C41" s="627" t="s">
        <v>264</v>
      </c>
      <c r="D41" s="1016">
        <v>2973</v>
      </c>
      <c r="E41" s="1016">
        <v>2100</v>
      </c>
      <c r="F41" s="1016">
        <v>476</v>
      </c>
      <c r="G41" s="1016">
        <v>3275</v>
      </c>
      <c r="H41" s="1016">
        <v>2274</v>
      </c>
      <c r="I41" s="629">
        <v>4202</v>
      </c>
      <c r="J41" s="629">
        <v>791</v>
      </c>
      <c r="K41" s="629">
        <v>391</v>
      </c>
      <c r="L41" s="629">
        <v>5549</v>
      </c>
      <c r="M41" s="629">
        <v>1570</v>
      </c>
    </row>
    <row r="42" spans="1:13" s="630" customFormat="1">
      <c r="A42" s="632" t="s">
        <v>96</v>
      </c>
      <c r="B42" s="628" t="s">
        <v>97</v>
      </c>
      <c r="C42" s="627" t="s">
        <v>266</v>
      </c>
      <c r="D42" s="1016">
        <v>1034</v>
      </c>
      <c r="E42" s="1016">
        <v>720</v>
      </c>
      <c r="F42" s="1016">
        <v>211</v>
      </c>
      <c r="G42" s="1016">
        <v>1128</v>
      </c>
      <c r="H42" s="1016">
        <v>837</v>
      </c>
      <c r="I42" s="629">
        <v>945</v>
      </c>
      <c r="J42" s="629">
        <v>762</v>
      </c>
      <c r="K42" s="629">
        <v>175</v>
      </c>
      <c r="L42" s="629">
        <v>1965</v>
      </c>
      <c r="M42" s="629">
        <v>552</v>
      </c>
    </row>
    <row r="43" spans="1:13" s="630" customFormat="1">
      <c r="A43" s="632" t="s">
        <v>98</v>
      </c>
      <c r="B43" s="628" t="s">
        <v>99</v>
      </c>
      <c r="C43" s="627" t="s">
        <v>268</v>
      </c>
      <c r="D43" s="1016">
        <v>1839</v>
      </c>
      <c r="E43" s="1016">
        <v>1575</v>
      </c>
      <c r="F43" s="1016">
        <v>680</v>
      </c>
      <c r="G43" s="1016">
        <v>2453</v>
      </c>
      <c r="H43" s="1016">
        <v>1641</v>
      </c>
      <c r="I43" s="629">
        <v>3674</v>
      </c>
      <c r="J43" s="629">
        <v>145</v>
      </c>
      <c r="K43" s="629">
        <v>160</v>
      </c>
      <c r="L43" s="629">
        <v>4094</v>
      </c>
      <c r="M43" s="629">
        <v>1497</v>
      </c>
    </row>
    <row r="44" spans="1:13" s="630" customFormat="1">
      <c r="A44" s="632" t="s">
        <v>100</v>
      </c>
      <c r="B44" s="628" t="s">
        <v>101</v>
      </c>
      <c r="C44" s="627" t="s">
        <v>267</v>
      </c>
      <c r="D44" s="1016">
        <v>1805</v>
      </c>
      <c r="E44" s="1016">
        <v>1148</v>
      </c>
      <c r="F44" s="1016">
        <v>263</v>
      </c>
      <c r="G44" s="1016">
        <v>1834</v>
      </c>
      <c r="H44" s="1016">
        <v>1382</v>
      </c>
      <c r="I44" s="629">
        <v>2296</v>
      </c>
      <c r="J44" s="629">
        <v>432</v>
      </c>
      <c r="K44" s="629">
        <v>366</v>
      </c>
      <c r="L44" s="629">
        <v>3216</v>
      </c>
      <c r="M44" s="629">
        <v>1059</v>
      </c>
    </row>
    <row r="45" spans="1:13" s="630" customFormat="1">
      <c r="A45" s="632" t="s">
        <v>102</v>
      </c>
      <c r="B45" s="628" t="s">
        <v>282</v>
      </c>
      <c r="C45" s="627" t="s">
        <v>264</v>
      </c>
      <c r="D45" s="1016">
        <v>2595</v>
      </c>
      <c r="E45" s="1016">
        <v>2008</v>
      </c>
      <c r="F45" s="1016">
        <v>611</v>
      </c>
      <c r="G45" s="1016">
        <v>3087</v>
      </c>
      <c r="H45" s="1016">
        <v>2127</v>
      </c>
      <c r="I45" s="629">
        <v>799</v>
      </c>
      <c r="J45" s="629">
        <v>4090</v>
      </c>
      <c r="K45" s="629">
        <v>190</v>
      </c>
      <c r="L45" s="629">
        <v>5214</v>
      </c>
      <c r="M45" s="629">
        <v>505</v>
      </c>
    </row>
    <row r="46" spans="1:13" s="630" customFormat="1">
      <c r="A46" s="632" t="s">
        <v>104</v>
      </c>
      <c r="B46" s="628" t="s">
        <v>105</v>
      </c>
      <c r="C46" s="627" t="s">
        <v>265</v>
      </c>
      <c r="D46" s="1016">
        <v>4378</v>
      </c>
      <c r="E46" s="1016">
        <v>3823</v>
      </c>
      <c r="F46" s="1016">
        <v>1422</v>
      </c>
      <c r="G46" s="1016">
        <v>5737</v>
      </c>
      <c r="H46" s="1016">
        <v>3886</v>
      </c>
      <c r="I46" s="629">
        <v>3589</v>
      </c>
      <c r="J46" s="629">
        <v>5122</v>
      </c>
      <c r="K46" s="629">
        <v>440</v>
      </c>
      <c r="L46" s="629">
        <v>9623</v>
      </c>
      <c r="M46" s="629">
        <v>1641</v>
      </c>
    </row>
    <row r="47" spans="1:13" s="630" customFormat="1">
      <c r="A47" s="632" t="s">
        <v>108</v>
      </c>
      <c r="B47" s="628" t="s">
        <v>109</v>
      </c>
      <c r="C47" s="627" t="s">
        <v>266</v>
      </c>
      <c r="D47" s="1016">
        <v>5018</v>
      </c>
      <c r="E47" s="1016">
        <v>3181</v>
      </c>
      <c r="F47" s="1016">
        <v>714</v>
      </c>
      <c r="G47" s="1016">
        <v>5147</v>
      </c>
      <c r="H47" s="1016">
        <v>3766</v>
      </c>
      <c r="I47" s="629">
        <v>5328</v>
      </c>
      <c r="J47" s="629">
        <v>1941</v>
      </c>
      <c r="K47" s="629">
        <v>982</v>
      </c>
      <c r="L47" s="629">
        <v>8913</v>
      </c>
      <c r="M47" s="629">
        <v>2814</v>
      </c>
    </row>
    <row r="48" spans="1:13" s="630" customFormat="1">
      <c r="A48" s="632" t="s">
        <v>110</v>
      </c>
      <c r="B48" s="628" t="s">
        <v>111</v>
      </c>
      <c r="C48" s="627" t="s">
        <v>266</v>
      </c>
      <c r="D48" s="1016">
        <v>28364</v>
      </c>
      <c r="E48" s="1016">
        <v>16370</v>
      </c>
      <c r="F48" s="1016">
        <v>3064</v>
      </c>
      <c r="G48" s="1016">
        <v>27831</v>
      </c>
      <c r="H48" s="1016">
        <v>19967</v>
      </c>
      <c r="I48" s="629">
        <v>12138</v>
      </c>
      <c r="J48" s="629">
        <v>24315</v>
      </c>
      <c r="K48" s="629">
        <v>6998</v>
      </c>
      <c r="L48" s="629">
        <v>47798</v>
      </c>
      <c r="M48" s="629">
        <v>8266</v>
      </c>
    </row>
    <row r="49" spans="1:13" s="630" customFormat="1">
      <c r="A49" s="632" t="s">
        <v>112</v>
      </c>
      <c r="B49" s="628" t="s">
        <v>300</v>
      </c>
      <c r="C49" s="627" t="s">
        <v>265</v>
      </c>
      <c r="D49" s="1016">
        <v>9970</v>
      </c>
      <c r="E49" s="1016">
        <v>8561</v>
      </c>
      <c r="F49" s="1016">
        <v>2300</v>
      </c>
      <c r="G49" s="1016">
        <v>12267</v>
      </c>
      <c r="H49" s="1016">
        <v>8564</v>
      </c>
      <c r="I49" s="629">
        <v>10842</v>
      </c>
      <c r="J49" s="629">
        <v>7215</v>
      </c>
      <c r="K49" s="629">
        <v>1002</v>
      </c>
      <c r="L49" s="629">
        <v>20831</v>
      </c>
      <c r="M49" s="629">
        <v>5155</v>
      </c>
    </row>
    <row r="50" spans="1:13" s="630" customFormat="1">
      <c r="A50" s="632" t="s">
        <v>114</v>
      </c>
      <c r="B50" s="628" t="s">
        <v>115</v>
      </c>
      <c r="C50" s="627" t="s">
        <v>265</v>
      </c>
      <c r="D50" s="1016">
        <v>163</v>
      </c>
      <c r="E50" s="1016">
        <v>140</v>
      </c>
      <c r="F50" s="1016">
        <v>48</v>
      </c>
      <c r="G50" s="1016">
        <v>202</v>
      </c>
      <c r="H50" s="1016">
        <v>149</v>
      </c>
      <c r="I50" s="629">
        <v>284</v>
      </c>
      <c r="J50" s="629">
        <v>16</v>
      </c>
      <c r="K50" s="629">
        <v>31</v>
      </c>
      <c r="L50" s="629">
        <v>351</v>
      </c>
      <c r="M50" s="629">
        <v>177</v>
      </c>
    </row>
    <row r="51" spans="1:13" s="630" customFormat="1">
      <c r="A51" s="632" t="s">
        <v>118</v>
      </c>
      <c r="B51" s="628" t="s">
        <v>270</v>
      </c>
      <c r="C51" s="627" t="s">
        <v>264</v>
      </c>
      <c r="D51" s="1016">
        <v>2709</v>
      </c>
      <c r="E51" s="1016">
        <v>2005</v>
      </c>
      <c r="F51" s="1016">
        <v>609</v>
      </c>
      <c r="G51" s="1016">
        <v>3169</v>
      </c>
      <c r="H51" s="1016">
        <v>2154</v>
      </c>
      <c r="I51" s="629">
        <v>2306</v>
      </c>
      <c r="J51" s="629">
        <v>2432</v>
      </c>
      <c r="K51" s="629">
        <v>293</v>
      </c>
      <c r="L51" s="629">
        <v>5323</v>
      </c>
      <c r="M51" s="629">
        <v>972</v>
      </c>
    </row>
    <row r="52" spans="1:13" s="630" customFormat="1">
      <c r="A52" s="632" t="s">
        <v>120</v>
      </c>
      <c r="B52" s="628" t="s">
        <v>121</v>
      </c>
      <c r="C52" s="627" t="s">
        <v>264</v>
      </c>
      <c r="D52" s="1016">
        <v>4319</v>
      </c>
      <c r="E52" s="1016">
        <v>2324</v>
      </c>
      <c r="F52" s="1016">
        <v>436</v>
      </c>
      <c r="G52" s="1016">
        <v>4083</v>
      </c>
      <c r="H52" s="1016">
        <v>2996</v>
      </c>
      <c r="I52" s="629">
        <v>3268</v>
      </c>
      <c r="J52" s="629">
        <v>2542</v>
      </c>
      <c r="K52" s="629">
        <v>811</v>
      </c>
      <c r="L52" s="629">
        <v>7079</v>
      </c>
      <c r="M52" s="629">
        <v>2032</v>
      </c>
    </row>
    <row r="53" spans="1:13" s="630" customFormat="1">
      <c r="A53" s="632" t="s">
        <v>122</v>
      </c>
      <c r="B53" s="628" t="s">
        <v>287</v>
      </c>
      <c r="C53" s="627" t="s">
        <v>266</v>
      </c>
      <c r="D53" s="1016">
        <v>836</v>
      </c>
      <c r="E53" s="1016">
        <v>706</v>
      </c>
      <c r="F53" s="1016">
        <v>178</v>
      </c>
      <c r="G53" s="1016">
        <v>1025</v>
      </c>
      <c r="H53" s="1016">
        <v>695</v>
      </c>
      <c r="I53" s="629">
        <v>787</v>
      </c>
      <c r="J53" s="629">
        <v>733</v>
      </c>
      <c r="K53" s="629">
        <v>114</v>
      </c>
      <c r="L53" s="629">
        <v>1720</v>
      </c>
      <c r="M53" s="629">
        <v>326</v>
      </c>
    </row>
    <row r="54" spans="1:13" s="630" customFormat="1">
      <c r="A54" s="632" t="s">
        <v>124</v>
      </c>
      <c r="B54" s="628" t="s">
        <v>125</v>
      </c>
      <c r="C54" s="627" t="s">
        <v>267</v>
      </c>
      <c r="D54" s="1016">
        <v>2201</v>
      </c>
      <c r="E54" s="1016">
        <v>1265</v>
      </c>
      <c r="F54" s="1016">
        <v>254</v>
      </c>
      <c r="G54" s="1016">
        <v>2140</v>
      </c>
      <c r="H54" s="1016">
        <v>1580</v>
      </c>
      <c r="I54" s="629">
        <v>1969</v>
      </c>
      <c r="J54" s="629">
        <v>1275</v>
      </c>
      <c r="K54" s="629">
        <v>291</v>
      </c>
      <c r="L54" s="629">
        <v>3720</v>
      </c>
      <c r="M54" s="629">
        <v>754</v>
      </c>
    </row>
    <row r="55" spans="1:13" s="630" customFormat="1">
      <c r="A55" s="632" t="s">
        <v>126</v>
      </c>
      <c r="B55" s="628" t="s">
        <v>127</v>
      </c>
      <c r="C55" s="627" t="s">
        <v>266</v>
      </c>
      <c r="D55" s="1016">
        <v>1412</v>
      </c>
      <c r="E55" s="1016">
        <v>921</v>
      </c>
      <c r="F55" s="1016">
        <v>230</v>
      </c>
      <c r="G55" s="1016">
        <v>1490</v>
      </c>
      <c r="H55" s="1016">
        <v>1073</v>
      </c>
      <c r="I55" s="629">
        <v>1373</v>
      </c>
      <c r="J55" s="629">
        <v>913</v>
      </c>
      <c r="K55" s="629">
        <v>171</v>
      </c>
      <c r="L55" s="629">
        <v>2563</v>
      </c>
      <c r="M55" s="629">
        <v>601</v>
      </c>
    </row>
    <row r="56" spans="1:13" s="630" customFormat="1">
      <c r="A56" s="632" t="s">
        <v>128</v>
      </c>
      <c r="B56" s="628" t="s">
        <v>129</v>
      </c>
      <c r="C56" s="627" t="s">
        <v>266</v>
      </c>
      <c r="D56" s="1016">
        <v>1164</v>
      </c>
      <c r="E56" s="1016">
        <v>783</v>
      </c>
      <c r="F56" s="1016">
        <v>342</v>
      </c>
      <c r="G56" s="1016">
        <v>1361</v>
      </c>
      <c r="H56" s="1016">
        <v>928</v>
      </c>
      <c r="I56" s="629">
        <v>746</v>
      </c>
      <c r="J56" s="629">
        <v>1434</v>
      </c>
      <c r="K56" s="629">
        <v>94</v>
      </c>
      <c r="L56" s="629">
        <v>2289</v>
      </c>
      <c r="M56" s="629">
        <v>344</v>
      </c>
    </row>
    <row r="57" spans="1:13" s="630" customFormat="1">
      <c r="A57" s="632" t="s">
        <v>130</v>
      </c>
      <c r="B57" s="628" t="s">
        <v>131</v>
      </c>
      <c r="C57" s="627" t="s">
        <v>268</v>
      </c>
      <c r="D57" s="1016">
        <v>3412</v>
      </c>
      <c r="E57" s="1016">
        <v>3740</v>
      </c>
      <c r="F57" s="1016">
        <v>1135</v>
      </c>
      <c r="G57" s="1016">
        <v>4623</v>
      </c>
      <c r="H57" s="1016">
        <v>3664</v>
      </c>
      <c r="I57" s="629">
        <v>7927</v>
      </c>
      <c r="J57" s="629">
        <v>45</v>
      </c>
      <c r="K57" s="629">
        <v>125</v>
      </c>
      <c r="L57" s="629">
        <v>8287</v>
      </c>
      <c r="M57" s="629">
        <v>2549</v>
      </c>
    </row>
    <row r="58" spans="1:13" s="630" customFormat="1">
      <c r="A58" s="632" t="s">
        <v>132</v>
      </c>
      <c r="B58" s="628" t="s">
        <v>133</v>
      </c>
      <c r="C58" s="627" t="s">
        <v>267</v>
      </c>
      <c r="D58" s="1016">
        <v>14477</v>
      </c>
      <c r="E58" s="1016">
        <v>4498</v>
      </c>
      <c r="F58" s="1016">
        <v>2101</v>
      </c>
      <c r="G58" s="1016">
        <v>11582</v>
      </c>
      <c r="H58" s="1016">
        <v>9494</v>
      </c>
      <c r="I58" s="629">
        <v>8318</v>
      </c>
      <c r="J58" s="629">
        <v>2799</v>
      </c>
      <c r="K58" s="629">
        <v>8341</v>
      </c>
      <c r="L58" s="629">
        <v>21076</v>
      </c>
      <c r="M58" s="629">
        <v>11096</v>
      </c>
    </row>
    <row r="59" spans="1:13" s="630" customFormat="1">
      <c r="A59" s="632" t="s">
        <v>134</v>
      </c>
      <c r="B59" s="628" t="s">
        <v>135</v>
      </c>
      <c r="C59" s="627" t="s">
        <v>267</v>
      </c>
      <c r="D59" s="1016">
        <v>3294</v>
      </c>
      <c r="E59" s="1016">
        <v>2351</v>
      </c>
      <c r="F59" s="1016">
        <v>636</v>
      </c>
      <c r="G59" s="1016">
        <v>3648</v>
      </c>
      <c r="H59" s="1016">
        <v>2633</v>
      </c>
      <c r="I59" s="629">
        <v>3683</v>
      </c>
      <c r="J59" s="629">
        <v>1701</v>
      </c>
      <c r="K59" s="629">
        <v>416</v>
      </c>
      <c r="L59" s="629">
        <v>6281</v>
      </c>
      <c r="M59" s="629">
        <v>1426</v>
      </c>
    </row>
    <row r="60" spans="1:13" s="630" customFormat="1">
      <c r="A60" s="632" t="s">
        <v>136</v>
      </c>
      <c r="B60" s="628" t="s">
        <v>137</v>
      </c>
      <c r="C60" s="627" t="s">
        <v>266</v>
      </c>
      <c r="D60" s="1016">
        <v>1581</v>
      </c>
      <c r="E60" s="1016">
        <v>1202</v>
      </c>
      <c r="F60" s="1016">
        <v>481</v>
      </c>
      <c r="G60" s="1016">
        <v>1904</v>
      </c>
      <c r="H60" s="1016">
        <v>1360</v>
      </c>
      <c r="I60" s="629">
        <v>1379</v>
      </c>
      <c r="J60" s="629">
        <v>1616</v>
      </c>
      <c r="K60" s="629">
        <v>217</v>
      </c>
      <c r="L60" s="629">
        <v>3264</v>
      </c>
      <c r="M60" s="629">
        <v>618</v>
      </c>
    </row>
    <row r="61" spans="1:13" s="630" customFormat="1">
      <c r="A61" s="632" t="s">
        <v>140</v>
      </c>
      <c r="B61" s="628" t="s">
        <v>141</v>
      </c>
      <c r="C61" s="627" t="s">
        <v>267</v>
      </c>
      <c r="D61" s="1016">
        <v>1232</v>
      </c>
      <c r="E61" s="1016">
        <v>779</v>
      </c>
      <c r="F61" s="1016">
        <v>301</v>
      </c>
      <c r="G61" s="1016">
        <v>1308</v>
      </c>
      <c r="H61" s="1016">
        <v>1004</v>
      </c>
      <c r="I61" s="629">
        <v>1764</v>
      </c>
      <c r="J61" s="629">
        <v>351</v>
      </c>
      <c r="K61" s="629">
        <v>118</v>
      </c>
      <c r="L61" s="629">
        <v>2312</v>
      </c>
      <c r="M61" s="629">
        <v>709</v>
      </c>
    </row>
    <row r="62" spans="1:13" s="630" customFormat="1">
      <c r="A62" s="632" t="s">
        <v>146</v>
      </c>
      <c r="B62" s="628" t="s">
        <v>147</v>
      </c>
      <c r="C62" s="627" t="s">
        <v>264</v>
      </c>
      <c r="D62" s="1016">
        <v>640</v>
      </c>
      <c r="E62" s="1016">
        <v>448</v>
      </c>
      <c r="F62" s="1016">
        <v>166</v>
      </c>
      <c r="G62" s="1016">
        <v>742</v>
      </c>
      <c r="H62" s="1016">
        <v>512</v>
      </c>
      <c r="I62" s="629">
        <v>917</v>
      </c>
      <c r="J62" s="629">
        <v>234</v>
      </c>
      <c r="K62" s="629">
        <v>64</v>
      </c>
      <c r="L62" s="629">
        <v>1254</v>
      </c>
      <c r="M62" s="629">
        <v>370</v>
      </c>
    </row>
    <row r="63" spans="1:13" s="630" customFormat="1">
      <c r="A63" s="632" t="s">
        <v>148</v>
      </c>
      <c r="B63" s="628" t="s">
        <v>149</v>
      </c>
      <c r="C63" s="627" t="s">
        <v>265</v>
      </c>
      <c r="D63" s="1016">
        <v>3739</v>
      </c>
      <c r="E63" s="1016">
        <v>2999</v>
      </c>
      <c r="F63" s="1016">
        <v>1054</v>
      </c>
      <c r="G63" s="1016">
        <v>4605</v>
      </c>
      <c r="H63" s="1016">
        <v>3187</v>
      </c>
      <c r="I63" s="629">
        <v>2904</v>
      </c>
      <c r="J63" s="629">
        <v>4419</v>
      </c>
      <c r="K63" s="629">
        <v>297</v>
      </c>
      <c r="L63" s="629">
        <v>7792</v>
      </c>
      <c r="M63" s="629">
        <v>1271</v>
      </c>
    </row>
    <row r="64" spans="1:13" s="630" customFormat="1">
      <c r="A64" s="632" t="s">
        <v>150</v>
      </c>
      <c r="B64" s="628" t="s">
        <v>151</v>
      </c>
      <c r="C64" s="627" t="s">
        <v>266</v>
      </c>
      <c r="D64" s="1016">
        <v>1010</v>
      </c>
      <c r="E64" s="1016">
        <v>845</v>
      </c>
      <c r="F64" s="1016">
        <v>253</v>
      </c>
      <c r="G64" s="1016">
        <v>1253</v>
      </c>
      <c r="H64" s="1016">
        <v>855</v>
      </c>
      <c r="I64" s="629">
        <v>1234</v>
      </c>
      <c r="J64" s="629">
        <v>648</v>
      </c>
      <c r="K64" s="629">
        <v>126</v>
      </c>
      <c r="L64" s="629">
        <v>2108</v>
      </c>
      <c r="M64" s="629">
        <v>446</v>
      </c>
    </row>
    <row r="65" spans="1:13" s="630" customFormat="1">
      <c r="A65" s="632" t="s">
        <v>152</v>
      </c>
      <c r="B65" s="628" t="s">
        <v>153</v>
      </c>
      <c r="C65" s="627" t="s">
        <v>268</v>
      </c>
      <c r="D65" s="1016">
        <v>5805</v>
      </c>
      <c r="E65" s="1016">
        <v>4559</v>
      </c>
      <c r="F65" s="1016">
        <v>879</v>
      </c>
      <c r="G65" s="1016">
        <v>6504</v>
      </c>
      <c r="H65" s="1016">
        <v>4739</v>
      </c>
      <c r="I65" s="629">
        <v>8851</v>
      </c>
      <c r="J65" s="629">
        <v>832</v>
      </c>
      <c r="K65" s="629">
        <v>852</v>
      </c>
      <c r="L65" s="629">
        <v>11243</v>
      </c>
      <c r="M65" s="629">
        <v>3377</v>
      </c>
    </row>
    <row r="66" spans="1:13" s="630" customFormat="1">
      <c r="A66" s="632" t="s">
        <v>154</v>
      </c>
      <c r="B66" s="628" t="s">
        <v>155</v>
      </c>
      <c r="C66" s="627" t="s">
        <v>265</v>
      </c>
      <c r="D66" s="1016">
        <v>1523</v>
      </c>
      <c r="E66" s="1016">
        <v>1164</v>
      </c>
      <c r="F66" s="1016">
        <v>426</v>
      </c>
      <c r="G66" s="1016">
        <v>1787</v>
      </c>
      <c r="H66" s="1016">
        <v>1326</v>
      </c>
      <c r="I66" s="629">
        <v>1934</v>
      </c>
      <c r="J66" s="629">
        <v>606</v>
      </c>
      <c r="K66" s="629">
        <v>261</v>
      </c>
      <c r="L66" s="629">
        <v>3113</v>
      </c>
      <c r="M66" s="629">
        <v>850</v>
      </c>
    </row>
    <row r="67" spans="1:13" s="630" customFormat="1">
      <c r="A67" s="632" t="s">
        <v>156</v>
      </c>
      <c r="B67" s="628" t="s">
        <v>157</v>
      </c>
      <c r="C67" s="627" t="s">
        <v>266</v>
      </c>
      <c r="D67" s="1016">
        <v>1074</v>
      </c>
      <c r="E67" s="1016">
        <v>671</v>
      </c>
      <c r="F67" s="1016">
        <v>134</v>
      </c>
      <c r="G67" s="1016">
        <v>1069</v>
      </c>
      <c r="H67" s="1016">
        <v>810</v>
      </c>
      <c r="I67" s="629">
        <v>1304</v>
      </c>
      <c r="J67" s="629">
        <v>380</v>
      </c>
      <c r="K67" s="629">
        <v>122</v>
      </c>
      <c r="L67" s="629">
        <v>1879</v>
      </c>
      <c r="M67" s="629">
        <v>597</v>
      </c>
    </row>
    <row r="68" spans="1:13" s="630" customFormat="1">
      <c r="A68" s="632" t="s">
        <v>162</v>
      </c>
      <c r="B68" s="628" t="s">
        <v>163</v>
      </c>
      <c r="C68" s="627" t="s">
        <v>264</v>
      </c>
      <c r="D68" s="1016">
        <v>1799</v>
      </c>
      <c r="E68" s="1016">
        <v>1428</v>
      </c>
      <c r="F68" s="1016">
        <v>647</v>
      </c>
      <c r="G68" s="1016">
        <v>2232</v>
      </c>
      <c r="H68" s="1016">
        <v>1642</v>
      </c>
      <c r="I68" s="629">
        <v>1263</v>
      </c>
      <c r="J68" s="629">
        <v>2297</v>
      </c>
      <c r="K68" s="629">
        <v>199</v>
      </c>
      <c r="L68" s="629">
        <v>3874</v>
      </c>
      <c r="M68" s="629">
        <v>777</v>
      </c>
    </row>
    <row r="69" spans="1:13" s="630" customFormat="1">
      <c r="A69" s="632" t="s">
        <v>164</v>
      </c>
      <c r="B69" s="628" t="s">
        <v>165</v>
      </c>
      <c r="C69" s="627" t="s">
        <v>266</v>
      </c>
      <c r="D69" s="1016">
        <v>1228</v>
      </c>
      <c r="E69" s="1016">
        <v>961</v>
      </c>
      <c r="F69" s="1016">
        <v>303</v>
      </c>
      <c r="G69" s="1016">
        <v>1451</v>
      </c>
      <c r="H69" s="1016">
        <v>1041</v>
      </c>
      <c r="I69" s="629">
        <v>1022</v>
      </c>
      <c r="J69" s="629">
        <v>1278</v>
      </c>
      <c r="K69" s="629">
        <v>152</v>
      </c>
      <c r="L69" s="629">
        <v>2492</v>
      </c>
      <c r="M69" s="629">
        <v>436</v>
      </c>
    </row>
    <row r="70" spans="1:13" s="630" customFormat="1">
      <c r="A70" s="632" t="s">
        <v>168</v>
      </c>
      <c r="B70" s="628" t="s">
        <v>169</v>
      </c>
      <c r="C70" s="627" t="s">
        <v>266</v>
      </c>
      <c r="D70" s="1016">
        <v>2218</v>
      </c>
      <c r="E70" s="1016">
        <v>1711</v>
      </c>
      <c r="F70" s="1016">
        <v>502</v>
      </c>
      <c r="G70" s="1016">
        <v>2615</v>
      </c>
      <c r="H70" s="1016">
        <v>1816</v>
      </c>
      <c r="I70" s="629">
        <v>1851</v>
      </c>
      <c r="J70" s="629">
        <v>2263</v>
      </c>
      <c r="K70" s="629">
        <v>193</v>
      </c>
      <c r="L70" s="629">
        <v>4431</v>
      </c>
      <c r="M70" s="629">
        <v>760</v>
      </c>
    </row>
    <row r="71" spans="1:13" s="630" customFormat="1">
      <c r="A71" s="632" t="s">
        <v>170</v>
      </c>
      <c r="B71" s="628" t="s">
        <v>171</v>
      </c>
      <c r="C71" s="627" t="s">
        <v>267</v>
      </c>
      <c r="D71" s="1016">
        <v>3153</v>
      </c>
      <c r="E71" s="1016">
        <v>1927</v>
      </c>
      <c r="F71" s="1016">
        <v>524</v>
      </c>
      <c r="G71" s="1016">
        <v>3232</v>
      </c>
      <c r="H71" s="1016">
        <v>2372</v>
      </c>
      <c r="I71" s="629">
        <v>3339</v>
      </c>
      <c r="J71" s="629">
        <v>1336</v>
      </c>
      <c r="K71" s="629">
        <v>543</v>
      </c>
      <c r="L71" s="629">
        <v>5604</v>
      </c>
      <c r="M71" s="629">
        <v>1691</v>
      </c>
    </row>
    <row r="72" spans="1:13" s="630" customFormat="1">
      <c r="A72" s="632" t="s">
        <v>172</v>
      </c>
      <c r="B72" s="628" t="s">
        <v>173</v>
      </c>
      <c r="C72" s="627" t="s">
        <v>267</v>
      </c>
      <c r="D72" s="1016">
        <v>2539</v>
      </c>
      <c r="E72" s="1016">
        <v>2066</v>
      </c>
      <c r="F72" s="1016">
        <v>632</v>
      </c>
      <c r="G72" s="1016">
        <v>3014</v>
      </c>
      <c r="H72" s="1016">
        <v>2223</v>
      </c>
      <c r="I72" s="629">
        <v>4728</v>
      </c>
      <c r="J72" s="629">
        <v>162</v>
      </c>
      <c r="K72" s="629">
        <v>166</v>
      </c>
      <c r="L72" s="629">
        <v>5237</v>
      </c>
      <c r="M72" s="629">
        <v>1815</v>
      </c>
    </row>
    <row r="73" spans="1:13" s="630" customFormat="1">
      <c r="A73" s="632" t="s">
        <v>174</v>
      </c>
      <c r="B73" s="628" t="s">
        <v>175</v>
      </c>
      <c r="C73" s="627" t="s">
        <v>268</v>
      </c>
      <c r="D73" s="1016">
        <v>2056</v>
      </c>
      <c r="E73" s="1016">
        <v>2080</v>
      </c>
      <c r="F73" s="1016">
        <v>617</v>
      </c>
      <c r="G73" s="1016">
        <v>2754</v>
      </c>
      <c r="H73" s="1016">
        <v>1999</v>
      </c>
      <c r="I73" s="629">
        <v>4018</v>
      </c>
      <c r="J73" s="629">
        <v>382</v>
      </c>
      <c r="K73" s="629">
        <v>222</v>
      </c>
      <c r="L73" s="629">
        <v>4753</v>
      </c>
      <c r="M73" s="629">
        <v>1491</v>
      </c>
    </row>
    <row r="74" spans="1:13" s="630" customFormat="1">
      <c r="A74" s="632" t="s">
        <v>178</v>
      </c>
      <c r="B74" s="628" t="s">
        <v>179</v>
      </c>
      <c r="C74" s="627" t="s">
        <v>265</v>
      </c>
      <c r="D74" s="1016">
        <v>6934</v>
      </c>
      <c r="E74" s="1016">
        <v>5575</v>
      </c>
      <c r="F74" s="1016">
        <v>1960</v>
      </c>
      <c r="G74" s="1016">
        <v>8576</v>
      </c>
      <c r="H74" s="1016">
        <v>5893</v>
      </c>
      <c r="I74" s="629">
        <v>8264</v>
      </c>
      <c r="J74" s="629">
        <v>4574</v>
      </c>
      <c r="K74" s="629">
        <v>789</v>
      </c>
      <c r="L74" s="629">
        <v>14469</v>
      </c>
      <c r="M74" s="629">
        <v>3470</v>
      </c>
    </row>
    <row r="75" spans="1:13" s="630" customFormat="1">
      <c r="A75" s="632" t="s">
        <v>182</v>
      </c>
      <c r="B75" s="628" t="s">
        <v>183</v>
      </c>
      <c r="C75" s="627" t="s">
        <v>266</v>
      </c>
      <c r="D75" s="1016">
        <v>1302</v>
      </c>
      <c r="E75" s="1016">
        <v>905</v>
      </c>
      <c r="F75" s="1016">
        <v>191</v>
      </c>
      <c r="G75" s="1016">
        <v>1369</v>
      </c>
      <c r="H75" s="1016">
        <v>1029</v>
      </c>
      <c r="I75" s="629">
        <v>1581</v>
      </c>
      <c r="J75" s="629">
        <v>439</v>
      </c>
      <c r="K75" s="629">
        <v>169</v>
      </c>
      <c r="L75" s="629">
        <v>2398</v>
      </c>
      <c r="M75" s="629">
        <v>700</v>
      </c>
    </row>
    <row r="76" spans="1:13" s="630" customFormat="1">
      <c r="A76" s="632" t="s">
        <v>184</v>
      </c>
      <c r="B76" s="628" t="s">
        <v>185</v>
      </c>
      <c r="C76" s="627" t="s">
        <v>266</v>
      </c>
      <c r="D76" s="1016">
        <v>2470</v>
      </c>
      <c r="E76" s="1016">
        <v>2165</v>
      </c>
      <c r="F76" s="1016">
        <v>531</v>
      </c>
      <c r="G76" s="1016">
        <v>3050</v>
      </c>
      <c r="H76" s="1016">
        <v>2116</v>
      </c>
      <c r="I76" s="629">
        <v>1760</v>
      </c>
      <c r="J76" s="629">
        <v>2980</v>
      </c>
      <c r="K76" s="629">
        <v>258</v>
      </c>
      <c r="L76" s="629">
        <v>5166</v>
      </c>
      <c r="M76" s="629">
        <v>666</v>
      </c>
    </row>
    <row r="77" spans="1:13" s="630" customFormat="1">
      <c r="A77" s="632" t="s">
        <v>186</v>
      </c>
      <c r="B77" s="628" t="s">
        <v>187</v>
      </c>
      <c r="C77" s="627" t="s">
        <v>264</v>
      </c>
      <c r="D77" s="1016">
        <v>2396</v>
      </c>
      <c r="E77" s="1016">
        <v>1596</v>
      </c>
      <c r="F77" s="1016">
        <v>273</v>
      </c>
      <c r="G77" s="1016">
        <v>2527</v>
      </c>
      <c r="H77" s="1016">
        <v>1738</v>
      </c>
      <c r="I77" s="629">
        <v>2082</v>
      </c>
      <c r="J77" s="629">
        <v>1649</v>
      </c>
      <c r="K77" s="629">
        <v>334</v>
      </c>
      <c r="L77" s="629">
        <v>4265</v>
      </c>
      <c r="M77" s="629">
        <v>935</v>
      </c>
    </row>
    <row r="78" spans="1:13" s="630" customFormat="1">
      <c r="A78" s="632" t="s">
        <v>188</v>
      </c>
      <c r="B78" s="628" t="s">
        <v>189</v>
      </c>
      <c r="C78" s="627" t="s">
        <v>267</v>
      </c>
      <c r="D78" s="1016">
        <v>39684</v>
      </c>
      <c r="E78" s="1016">
        <v>14627</v>
      </c>
      <c r="F78" s="1016">
        <v>2997</v>
      </c>
      <c r="G78" s="1016">
        <v>31958</v>
      </c>
      <c r="H78" s="1016">
        <v>25350</v>
      </c>
      <c r="I78" s="629">
        <v>20193</v>
      </c>
      <c r="J78" s="629">
        <v>14974</v>
      </c>
      <c r="K78" s="629">
        <v>18547</v>
      </c>
      <c r="L78" s="629">
        <v>57308</v>
      </c>
      <c r="M78" s="629">
        <v>26380</v>
      </c>
    </row>
    <row r="79" spans="1:13" s="630" customFormat="1">
      <c r="A79" s="632" t="s">
        <v>190</v>
      </c>
      <c r="B79" s="628" t="s">
        <v>191</v>
      </c>
      <c r="C79" s="627" t="s">
        <v>268</v>
      </c>
      <c r="D79" s="1016">
        <v>3550</v>
      </c>
      <c r="E79" s="1016">
        <v>3428</v>
      </c>
      <c r="F79" s="1016">
        <v>907</v>
      </c>
      <c r="G79" s="1016">
        <v>4580</v>
      </c>
      <c r="H79" s="1016">
        <v>3305</v>
      </c>
      <c r="I79" s="629">
        <v>6639</v>
      </c>
      <c r="J79" s="629">
        <v>734</v>
      </c>
      <c r="K79" s="629">
        <v>342</v>
      </c>
      <c r="L79" s="629">
        <v>7885</v>
      </c>
      <c r="M79" s="629">
        <v>2338</v>
      </c>
    </row>
    <row r="80" spans="1:13" s="630" customFormat="1">
      <c r="A80" s="632" t="s">
        <v>194</v>
      </c>
      <c r="B80" s="628" t="s">
        <v>195</v>
      </c>
      <c r="C80" s="627" t="s">
        <v>267</v>
      </c>
      <c r="D80" s="1016">
        <v>517</v>
      </c>
      <c r="E80" s="1016">
        <v>345</v>
      </c>
      <c r="F80" s="1016">
        <v>115</v>
      </c>
      <c r="G80" s="1016">
        <v>554</v>
      </c>
      <c r="H80" s="1016">
        <v>423</v>
      </c>
      <c r="I80" s="629">
        <v>831</v>
      </c>
      <c r="J80" s="629">
        <v>92</v>
      </c>
      <c r="K80" s="629">
        <v>42</v>
      </c>
      <c r="L80" s="629">
        <v>977</v>
      </c>
      <c r="M80" s="629">
        <v>449</v>
      </c>
    </row>
    <row r="81" spans="1:13" s="630" customFormat="1">
      <c r="A81" s="632" t="s">
        <v>198</v>
      </c>
      <c r="B81" s="628" t="s">
        <v>272</v>
      </c>
      <c r="C81" s="627" t="s">
        <v>266</v>
      </c>
      <c r="D81" s="1016">
        <v>1018</v>
      </c>
      <c r="E81" s="1016">
        <v>700</v>
      </c>
      <c r="F81" s="1016">
        <v>196</v>
      </c>
      <c r="G81" s="1016">
        <v>1135</v>
      </c>
      <c r="H81" s="1016">
        <v>779</v>
      </c>
      <c r="I81" s="629">
        <v>802</v>
      </c>
      <c r="J81" s="629">
        <v>832</v>
      </c>
      <c r="K81" s="629">
        <v>189</v>
      </c>
      <c r="L81" s="629">
        <v>1914</v>
      </c>
      <c r="M81" s="629">
        <v>493</v>
      </c>
    </row>
    <row r="82" spans="1:13" s="630" customFormat="1">
      <c r="A82" s="632" t="s">
        <v>202</v>
      </c>
      <c r="B82" s="628" t="s">
        <v>301</v>
      </c>
      <c r="C82" s="627" t="s">
        <v>265</v>
      </c>
      <c r="D82" s="1016">
        <v>7901</v>
      </c>
      <c r="E82" s="1016">
        <v>5430</v>
      </c>
      <c r="F82" s="1016">
        <v>1372</v>
      </c>
      <c r="G82" s="1016">
        <v>8528</v>
      </c>
      <c r="H82" s="1016">
        <v>6175</v>
      </c>
      <c r="I82" s="629">
        <v>10239</v>
      </c>
      <c r="J82" s="629">
        <v>1986</v>
      </c>
      <c r="K82" s="629">
        <v>1698</v>
      </c>
      <c r="L82" s="629">
        <v>14703</v>
      </c>
      <c r="M82" s="629">
        <v>5007</v>
      </c>
    </row>
    <row r="83" spans="1:13" s="630" customFormat="1">
      <c r="A83" s="632" t="s">
        <v>204</v>
      </c>
      <c r="B83" s="628" t="s">
        <v>293</v>
      </c>
      <c r="C83" s="627" t="s">
        <v>265</v>
      </c>
      <c r="D83" s="1016">
        <v>3109</v>
      </c>
      <c r="E83" s="1016">
        <v>2312</v>
      </c>
      <c r="F83" s="1016">
        <v>815</v>
      </c>
      <c r="G83" s="1016">
        <v>3679</v>
      </c>
      <c r="H83" s="1016">
        <v>2557</v>
      </c>
      <c r="I83" s="629">
        <v>5113</v>
      </c>
      <c r="J83" s="629">
        <v>466</v>
      </c>
      <c r="K83" s="629">
        <v>347</v>
      </c>
      <c r="L83" s="629">
        <v>6236</v>
      </c>
      <c r="M83" s="629">
        <v>2182</v>
      </c>
    </row>
    <row r="84" spans="1:13" s="630" customFormat="1">
      <c r="A84" s="632" t="s">
        <v>206</v>
      </c>
      <c r="B84" s="628" t="s">
        <v>294</v>
      </c>
      <c r="C84" s="627" t="s">
        <v>267</v>
      </c>
      <c r="D84" s="1016">
        <v>11538</v>
      </c>
      <c r="E84" s="1016">
        <v>6259</v>
      </c>
      <c r="F84" s="1016">
        <v>1530</v>
      </c>
      <c r="G84" s="1016">
        <v>10974</v>
      </c>
      <c r="H84" s="1016">
        <v>8353</v>
      </c>
      <c r="I84" s="629">
        <v>12680</v>
      </c>
      <c r="J84" s="629">
        <v>1341</v>
      </c>
      <c r="K84" s="629">
        <v>3504</v>
      </c>
      <c r="L84" s="629">
        <v>19327</v>
      </c>
      <c r="M84" s="629">
        <v>9624</v>
      </c>
    </row>
    <row r="85" spans="1:13" s="630" customFormat="1">
      <c r="A85" s="632" t="s">
        <v>208</v>
      </c>
      <c r="B85" s="628" t="s">
        <v>209</v>
      </c>
      <c r="C85" s="627" t="s">
        <v>268</v>
      </c>
      <c r="D85" s="1016">
        <v>3658</v>
      </c>
      <c r="E85" s="1016">
        <v>3740</v>
      </c>
      <c r="F85" s="1016">
        <v>862</v>
      </c>
      <c r="G85" s="1016">
        <v>4744</v>
      </c>
      <c r="H85" s="1016">
        <v>3516</v>
      </c>
      <c r="I85" s="629">
        <v>7393</v>
      </c>
      <c r="J85" s="629">
        <v>73</v>
      </c>
      <c r="K85" s="629">
        <v>203</v>
      </c>
      <c r="L85" s="629">
        <v>8260</v>
      </c>
      <c r="M85" s="629">
        <v>2503</v>
      </c>
    </row>
    <row r="86" spans="1:13" s="630" customFormat="1">
      <c r="A86" s="632" t="s">
        <v>210</v>
      </c>
      <c r="B86" s="628" t="s">
        <v>211</v>
      </c>
      <c r="C86" s="627" t="s">
        <v>268</v>
      </c>
      <c r="D86" s="1016">
        <v>2496</v>
      </c>
      <c r="E86" s="1016">
        <v>2669</v>
      </c>
      <c r="F86" s="1016">
        <v>902</v>
      </c>
      <c r="G86" s="1016">
        <v>3396</v>
      </c>
      <c r="H86" s="1016">
        <v>2671</v>
      </c>
      <c r="I86" s="629">
        <v>5632</v>
      </c>
      <c r="J86" s="629">
        <v>85</v>
      </c>
      <c r="K86" s="629">
        <v>148</v>
      </c>
      <c r="L86" s="629">
        <v>6067</v>
      </c>
      <c r="M86" s="629">
        <v>2045</v>
      </c>
    </row>
    <row r="87" spans="1:13" s="630" customFormat="1">
      <c r="A87" s="632" t="s">
        <v>212</v>
      </c>
      <c r="B87" s="628" t="s">
        <v>213</v>
      </c>
      <c r="C87" s="627" t="s">
        <v>267</v>
      </c>
      <c r="D87" s="1016">
        <v>4302</v>
      </c>
      <c r="E87" s="1016">
        <v>2695</v>
      </c>
      <c r="F87" s="1016">
        <v>721</v>
      </c>
      <c r="G87" s="1016">
        <v>4502</v>
      </c>
      <c r="H87" s="1016">
        <v>3216</v>
      </c>
      <c r="I87" s="629">
        <v>6354</v>
      </c>
      <c r="J87" s="629">
        <v>289</v>
      </c>
      <c r="K87" s="629">
        <v>791</v>
      </c>
      <c r="L87" s="629">
        <v>7718</v>
      </c>
      <c r="M87" s="629">
        <v>3083</v>
      </c>
    </row>
    <row r="88" spans="1:13" s="630" customFormat="1">
      <c r="A88" s="632" t="s">
        <v>214</v>
      </c>
      <c r="B88" s="628" t="s">
        <v>215</v>
      </c>
      <c r="C88" s="627" t="s">
        <v>268</v>
      </c>
      <c r="D88" s="1016">
        <v>3873</v>
      </c>
      <c r="E88" s="1016">
        <v>3866</v>
      </c>
      <c r="F88" s="1016">
        <v>987</v>
      </c>
      <c r="G88" s="1016">
        <v>5035</v>
      </c>
      <c r="H88" s="1016">
        <v>3690</v>
      </c>
      <c r="I88" s="629">
        <v>7864</v>
      </c>
      <c r="J88" s="629">
        <v>196</v>
      </c>
      <c r="K88" s="629">
        <v>287</v>
      </c>
      <c r="L88" s="629">
        <v>8726</v>
      </c>
      <c r="M88" s="629">
        <v>2532</v>
      </c>
    </row>
    <row r="89" spans="1:13" s="630" customFormat="1">
      <c r="A89" s="632" t="s">
        <v>216</v>
      </c>
      <c r="B89" s="628" t="s">
        <v>217</v>
      </c>
      <c r="C89" s="627" t="s">
        <v>264</v>
      </c>
      <c r="D89" s="1016">
        <v>1989</v>
      </c>
      <c r="E89" s="1016">
        <v>1561</v>
      </c>
      <c r="F89" s="1016">
        <v>498</v>
      </c>
      <c r="G89" s="1016">
        <v>2462</v>
      </c>
      <c r="H89" s="1016">
        <v>1586</v>
      </c>
      <c r="I89" s="629">
        <v>1337</v>
      </c>
      <c r="J89" s="629">
        <v>2221</v>
      </c>
      <c r="K89" s="629">
        <v>179</v>
      </c>
      <c r="L89" s="629">
        <v>4048</v>
      </c>
      <c r="M89" s="629">
        <v>673</v>
      </c>
    </row>
    <row r="90" spans="1:13" s="630" customFormat="1">
      <c r="A90" s="632" t="s">
        <v>218</v>
      </c>
      <c r="B90" s="628" t="s">
        <v>219</v>
      </c>
      <c r="C90" s="627" t="s">
        <v>267</v>
      </c>
      <c r="D90" s="1016">
        <v>11205</v>
      </c>
      <c r="E90" s="1016">
        <v>6306</v>
      </c>
      <c r="F90" s="1016">
        <v>970</v>
      </c>
      <c r="G90" s="1016">
        <v>10573</v>
      </c>
      <c r="H90" s="1016">
        <v>7908</v>
      </c>
      <c r="I90" s="629">
        <v>9937</v>
      </c>
      <c r="J90" s="629">
        <v>4703</v>
      </c>
      <c r="K90" s="629">
        <v>2828</v>
      </c>
      <c r="L90" s="629">
        <v>18481</v>
      </c>
      <c r="M90" s="629">
        <v>5410</v>
      </c>
    </row>
    <row r="91" spans="1:13" s="630" customFormat="1">
      <c r="A91" s="632" t="s">
        <v>220</v>
      </c>
      <c r="B91" s="628" t="s">
        <v>221</v>
      </c>
      <c r="C91" s="627" t="s">
        <v>267</v>
      </c>
      <c r="D91" s="1016">
        <v>9650</v>
      </c>
      <c r="E91" s="1016">
        <v>4858</v>
      </c>
      <c r="F91" s="1016">
        <v>716</v>
      </c>
      <c r="G91" s="1016">
        <v>8866</v>
      </c>
      <c r="H91" s="1016">
        <v>6358</v>
      </c>
      <c r="I91" s="629">
        <v>6800</v>
      </c>
      <c r="J91" s="629">
        <v>3981</v>
      </c>
      <c r="K91" s="629">
        <v>3004</v>
      </c>
      <c r="L91" s="629">
        <v>15224</v>
      </c>
      <c r="M91" s="629">
        <v>4801</v>
      </c>
    </row>
    <row r="92" spans="1:13" s="630" customFormat="1">
      <c r="A92" s="632" t="s">
        <v>224</v>
      </c>
      <c r="B92" s="628" t="s">
        <v>225</v>
      </c>
      <c r="C92" s="627" t="s">
        <v>264</v>
      </c>
      <c r="D92" s="1016">
        <v>713</v>
      </c>
      <c r="E92" s="1016">
        <v>540</v>
      </c>
      <c r="F92" s="1016">
        <v>154</v>
      </c>
      <c r="G92" s="1016">
        <v>833</v>
      </c>
      <c r="H92" s="1016">
        <v>574</v>
      </c>
      <c r="I92" s="629">
        <v>480</v>
      </c>
      <c r="J92" s="629">
        <v>865</v>
      </c>
      <c r="K92" s="629">
        <v>50</v>
      </c>
      <c r="L92" s="629">
        <v>1407</v>
      </c>
      <c r="M92" s="629">
        <v>167</v>
      </c>
    </row>
    <row r="93" spans="1:13" s="630" customFormat="1">
      <c r="A93" s="632" t="s">
        <v>226</v>
      </c>
      <c r="B93" s="628" t="s">
        <v>227</v>
      </c>
      <c r="C93" s="627" t="s">
        <v>264</v>
      </c>
      <c r="D93" s="1016">
        <v>1292</v>
      </c>
      <c r="E93" s="1016">
        <v>984</v>
      </c>
      <c r="F93" s="1016">
        <v>299</v>
      </c>
      <c r="G93" s="1016">
        <v>1535</v>
      </c>
      <c r="H93" s="1016">
        <v>1040</v>
      </c>
      <c r="I93" s="629">
        <v>586</v>
      </c>
      <c r="J93" s="629">
        <v>1651</v>
      </c>
      <c r="K93" s="629">
        <v>101</v>
      </c>
      <c r="L93" s="629">
        <v>2575</v>
      </c>
      <c r="M93" s="629">
        <v>263</v>
      </c>
    </row>
    <row r="94" spans="1:13" s="630" customFormat="1">
      <c r="A94" s="632" t="s">
        <v>228</v>
      </c>
      <c r="B94" s="628" t="s">
        <v>229</v>
      </c>
      <c r="C94" s="627" t="s">
        <v>268</v>
      </c>
      <c r="D94" s="1016">
        <v>5174</v>
      </c>
      <c r="E94" s="1016">
        <v>4827</v>
      </c>
      <c r="F94" s="1016">
        <v>1168</v>
      </c>
      <c r="G94" s="1016">
        <v>6501</v>
      </c>
      <c r="H94" s="1016">
        <v>4668</v>
      </c>
      <c r="I94" s="629">
        <v>10070</v>
      </c>
      <c r="J94" s="629">
        <v>405</v>
      </c>
      <c r="K94" s="629">
        <v>298</v>
      </c>
      <c r="L94" s="629">
        <v>11169</v>
      </c>
      <c r="M94" s="629">
        <v>3369</v>
      </c>
    </row>
    <row r="95" spans="1:13" s="630" customFormat="1">
      <c r="A95" s="632" t="s">
        <v>232</v>
      </c>
      <c r="B95" s="628" t="s">
        <v>233</v>
      </c>
      <c r="C95" s="627" t="s">
        <v>267</v>
      </c>
      <c r="D95" s="1016">
        <v>3657</v>
      </c>
      <c r="E95" s="1016">
        <v>2518</v>
      </c>
      <c r="F95" s="1016">
        <v>503</v>
      </c>
      <c r="G95" s="1016">
        <v>3902</v>
      </c>
      <c r="H95" s="1016">
        <v>2776</v>
      </c>
      <c r="I95" s="629">
        <v>4907</v>
      </c>
      <c r="J95" s="629">
        <v>652</v>
      </c>
      <c r="K95" s="629">
        <v>666</v>
      </c>
      <c r="L95" s="629">
        <v>6678</v>
      </c>
      <c r="M95" s="629">
        <v>1958</v>
      </c>
    </row>
    <row r="96" spans="1:13" s="630" customFormat="1">
      <c r="A96" s="632" t="s">
        <v>234</v>
      </c>
      <c r="B96" s="628" t="s">
        <v>235</v>
      </c>
      <c r="C96" s="627" t="s">
        <v>268</v>
      </c>
      <c r="D96" s="1016">
        <v>5179</v>
      </c>
      <c r="E96" s="1016">
        <v>4939</v>
      </c>
      <c r="F96" s="1016">
        <v>1294</v>
      </c>
      <c r="G96" s="1016">
        <v>6683</v>
      </c>
      <c r="H96" s="1016">
        <v>4729</v>
      </c>
      <c r="I96" s="629">
        <v>10527</v>
      </c>
      <c r="J96" s="629">
        <v>247</v>
      </c>
      <c r="K96" s="629">
        <v>357</v>
      </c>
      <c r="L96" s="629">
        <v>11412</v>
      </c>
      <c r="M96" s="629">
        <v>3827</v>
      </c>
    </row>
    <row r="97" spans="1:13" s="630" customFormat="1">
      <c r="A97" s="632" t="s">
        <v>236</v>
      </c>
      <c r="B97" s="628" t="s">
        <v>237</v>
      </c>
      <c r="C97" s="627" t="s">
        <v>266</v>
      </c>
      <c r="D97" s="1016">
        <v>2055</v>
      </c>
      <c r="E97" s="1016">
        <v>1501</v>
      </c>
      <c r="F97" s="1016">
        <v>561</v>
      </c>
      <c r="G97" s="1016">
        <v>2423</v>
      </c>
      <c r="H97" s="1016">
        <v>1694</v>
      </c>
      <c r="I97" s="629">
        <v>1733</v>
      </c>
      <c r="J97" s="629">
        <v>1717</v>
      </c>
      <c r="K97" s="629">
        <v>363</v>
      </c>
      <c r="L97" s="629">
        <v>4117</v>
      </c>
      <c r="M97" s="629">
        <v>884</v>
      </c>
    </row>
    <row r="98" spans="1:13" s="630" customFormat="1">
      <c r="A98" s="632" t="s">
        <v>242</v>
      </c>
      <c r="B98" s="628" t="s">
        <v>243</v>
      </c>
      <c r="C98" s="627" t="s">
        <v>268</v>
      </c>
      <c r="D98" s="1016">
        <v>5467</v>
      </c>
      <c r="E98" s="1016">
        <v>5652</v>
      </c>
      <c r="F98" s="1016">
        <v>1107</v>
      </c>
      <c r="G98" s="1016">
        <v>7099</v>
      </c>
      <c r="H98" s="1016">
        <v>5127</v>
      </c>
      <c r="I98" s="629">
        <v>10922</v>
      </c>
      <c r="J98" s="629">
        <v>297</v>
      </c>
      <c r="K98" s="629">
        <v>379</v>
      </c>
      <c r="L98" s="629">
        <v>12226</v>
      </c>
      <c r="M98" s="629">
        <v>3422</v>
      </c>
    </row>
    <row r="99" spans="1:13" s="630" customFormat="1">
      <c r="A99" s="632" t="s">
        <v>244</v>
      </c>
      <c r="B99" s="628" t="s">
        <v>245</v>
      </c>
      <c r="C99" s="627" t="s">
        <v>268</v>
      </c>
      <c r="D99" s="1016">
        <v>3051</v>
      </c>
      <c r="E99" s="1016">
        <v>2817</v>
      </c>
      <c r="F99" s="1016">
        <v>801</v>
      </c>
      <c r="G99" s="1016">
        <v>3902</v>
      </c>
      <c r="H99" s="1016">
        <v>2767</v>
      </c>
      <c r="I99" s="629">
        <v>5809</v>
      </c>
      <c r="J99" s="629">
        <v>336</v>
      </c>
      <c r="K99" s="629">
        <v>278</v>
      </c>
      <c r="L99" s="629">
        <v>6669</v>
      </c>
      <c r="M99" s="629">
        <v>2217</v>
      </c>
    </row>
    <row r="100" spans="1:13" s="630" customFormat="1">
      <c r="A100" s="632" t="s">
        <v>246</v>
      </c>
      <c r="B100" s="628" t="s">
        <v>247</v>
      </c>
      <c r="C100" s="627" t="s">
        <v>264</v>
      </c>
      <c r="D100" s="1016">
        <v>3245</v>
      </c>
      <c r="E100" s="1016">
        <v>2041</v>
      </c>
      <c r="F100" s="1016">
        <v>412</v>
      </c>
      <c r="G100" s="1016">
        <v>3390</v>
      </c>
      <c r="H100" s="1016">
        <v>2307</v>
      </c>
      <c r="I100" s="629">
        <v>3160</v>
      </c>
      <c r="J100" s="629">
        <v>1674</v>
      </c>
      <c r="K100" s="629">
        <v>691</v>
      </c>
      <c r="L100" s="629">
        <v>5698</v>
      </c>
      <c r="M100" s="629">
        <v>1717</v>
      </c>
    </row>
    <row r="101" spans="1:13" s="630" customFormat="1">
      <c r="A101" s="632" t="s">
        <v>14</v>
      </c>
      <c r="B101" s="628" t="s">
        <v>15</v>
      </c>
      <c r="C101" s="627" t="s">
        <v>267</v>
      </c>
      <c r="D101" s="1016">
        <v>10664</v>
      </c>
      <c r="E101" s="1016">
        <v>4176</v>
      </c>
      <c r="F101" s="1016">
        <v>1507</v>
      </c>
      <c r="G101" s="1016">
        <v>9121</v>
      </c>
      <c r="H101" s="1016">
        <v>7226</v>
      </c>
      <c r="I101" s="629">
        <v>4199</v>
      </c>
      <c r="J101" s="629">
        <v>6589</v>
      </c>
      <c r="K101" s="629">
        <v>3954</v>
      </c>
      <c r="L101" s="629">
        <v>16347</v>
      </c>
      <c r="M101" s="629">
        <v>6826</v>
      </c>
    </row>
    <row r="102" spans="1:13" s="630" customFormat="1">
      <c r="A102" s="632" t="s">
        <v>34</v>
      </c>
      <c r="B102" s="628" t="s">
        <v>35</v>
      </c>
      <c r="C102" s="627" t="s">
        <v>268</v>
      </c>
      <c r="D102" s="1016">
        <v>2822</v>
      </c>
      <c r="E102" s="1016">
        <v>2640</v>
      </c>
      <c r="F102" s="1016">
        <v>544</v>
      </c>
      <c r="G102" s="1016">
        <v>3534</v>
      </c>
      <c r="H102" s="1016">
        <v>2472</v>
      </c>
      <c r="I102" s="629">
        <v>4951</v>
      </c>
      <c r="J102" s="629">
        <v>574</v>
      </c>
      <c r="K102" s="629">
        <v>260</v>
      </c>
      <c r="L102" s="629">
        <v>6006</v>
      </c>
      <c r="M102" s="629">
        <v>1329</v>
      </c>
    </row>
    <row r="103" spans="1:13" s="630" customFormat="1">
      <c r="A103" s="632" t="s">
        <v>52</v>
      </c>
      <c r="B103" s="628" t="s">
        <v>53</v>
      </c>
      <c r="C103" s="627" t="s">
        <v>265</v>
      </c>
      <c r="D103" s="1016">
        <v>3719</v>
      </c>
      <c r="E103" s="1016">
        <v>3185</v>
      </c>
      <c r="F103" s="1016">
        <v>593</v>
      </c>
      <c r="G103" s="1016">
        <v>4239</v>
      </c>
      <c r="H103" s="1016">
        <v>3258</v>
      </c>
      <c r="I103" s="629">
        <v>2349</v>
      </c>
      <c r="J103" s="629">
        <v>3968</v>
      </c>
      <c r="K103" s="629">
        <v>939</v>
      </c>
      <c r="L103" s="629">
        <v>7497</v>
      </c>
      <c r="M103" s="629">
        <v>1430</v>
      </c>
    </row>
    <row r="104" spans="1:13" s="630" customFormat="1">
      <c r="A104" s="632" t="s">
        <v>54</v>
      </c>
      <c r="B104" s="628" t="s">
        <v>55</v>
      </c>
      <c r="C104" s="627" t="s">
        <v>264</v>
      </c>
      <c r="D104" s="1016">
        <v>19340</v>
      </c>
      <c r="E104" s="1016">
        <v>12650</v>
      </c>
      <c r="F104" s="1016">
        <v>2114</v>
      </c>
      <c r="G104" s="1016">
        <v>20342</v>
      </c>
      <c r="H104" s="1016">
        <v>13762</v>
      </c>
      <c r="I104" s="629">
        <v>11187</v>
      </c>
      <c r="J104" s="629">
        <v>18561</v>
      </c>
      <c r="K104" s="629">
        <v>2651</v>
      </c>
      <c r="L104" s="629">
        <v>34104</v>
      </c>
      <c r="M104" s="629">
        <v>6129</v>
      </c>
    </row>
    <row r="105" spans="1:13" s="630" customFormat="1">
      <c r="A105" s="632" t="s">
        <v>66</v>
      </c>
      <c r="B105" s="628" t="s">
        <v>67</v>
      </c>
      <c r="C105" s="627" t="s">
        <v>265</v>
      </c>
      <c r="D105" s="1016">
        <v>7705</v>
      </c>
      <c r="E105" s="1016">
        <v>7045</v>
      </c>
      <c r="F105" s="1016">
        <v>1811</v>
      </c>
      <c r="G105" s="1016">
        <v>10092</v>
      </c>
      <c r="H105" s="1016">
        <v>6469</v>
      </c>
      <c r="I105" s="629">
        <v>4316</v>
      </c>
      <c r="J105" s="629">
        <v>10420</v>
      </c>
      <c r="K105" s="629">
        <v>780</v>
      </c>
      <c r="L105" s="629">
        <v>16561</v>
      </c>
      <c r="M105" s="629">
        <v>2273</v>
      </c>
    </row>
    <row r="106" spans="1:13" s="630" customFormat="1">
      <c r="A106" s="632" t="s">
        <v>82</v>
      </c>
      <c r="B106" s="628" t="s">
        <v>83</v>
      </c>
      <c r="C106" s="627" t="s">
        <v>264</v>
      </c>
      <c r="D106" s="1016">
        <v>1578</v>
      </c>
      <c r="E106" s="1016">
        <v>1445</v>
      </c>
      <c r="F106" s="1016">
        <v>288</v>
      </c>
      <c r="G106" s="1016">
        <v>2069</v>
      </c>
      <c r="H106" s="1016">
        <v>1241</v>
      </c>
      <c r="I106" s="629">
        <v>339</v>
      </c>
      <c r="J106" s="629">
        <v>2652</v>
      </c>
      <c r="K106" s="629">
        <v>126</v>
      </c>
      <c r="L106" s="629">
        <v>3311</v>
      </c>
      <c r="M106" s="629">
        <v>181</v>
      </c>
    </row>
    <row r="107" spans="1:13" s="630" customFormat="1">
      <c r="A107" s="632" t="s">
        <v>88</v>
      </c>
      <c r="B107" s="628" t="s">
        <v>89</v>
      </c>
      <c r="C107" s="627" t="s">
        <v>267</v>
      </c>
      <c r="D107" s="1016">
        <v>3498</v>
      </c>
      <c r="E107" s="1016">
        <v>2416</v>
      </c>
      <c r="F107" s="1016">
        <v>410</v>
      </c>
      <c r="G107" s="1016">
        <v>3699</v>
      </c>
      <c r="H107" s="1016">
        <v>2625</v>
      </c>
      <c r="I107" s="629">
        <v>2258</v>
      </c>
      <c r="J107" s="629">
        <v>2597</v>
      </c>
      <c r="K107" s="629">
        <v>926</v>
      </c>
      <c r="L107" s="629">
        <v>6324</v>
      </c>
      <c r="M107" s="629">
        <v>1502</v>
      </c>
    </row>
    <row r="108" spans="1:13" s="630" customFormat="1">
      <c r="A108" s="632" t="s">
        <v>90</v>
      </c>
      <c r="B108" s="628" t="s">
        <v>91</v>
      </c>
      <c r="C108" s="627" t="s">
        <v>268</v>
      </c>
      <c r="D108" s="1016">
        <v>1347</v>
      </c>
      <c r="E108" s="1016">
        <v>992</v>
      </c>
      <c r="F108" s="1016">
        <v>343</v>
      </c>
      <c r="G108" s="1016">
        <v>1601</v>
      </c>
      <c r="H108" s="1016">
        <v>1081</v>
      </c>
      <c r="I108" s="629">
        <v>2061</v>
      </c>
      <c r="J108" s="629">
        <v>257</v>
      </c>
      <c r="K108" s="629">
        <v>191</v>
      </c>
      <c r="L108" s="629">
        <v>2682</v>
      </c>
      <c r="M108" s="629">
        <v>1029</v>
      </c>
    </row>
    <row r="109" spans="1:13" s="630" customFormat="1">
      <c r="A109" s="632" t="s">
        <v>106</v>
      </c>
      <c r="B109" s="628" t="s">
        <v>107</v>
      </c>
      <c r="C109" s="627" t="s">
        <v>264</v>
      </c>
      <c r="D109" s="1016">
        <v>16144</v>
      </c>
      <c r="E109" s="1016">
        <v>11706</v>
      </c>
      <c r="F109" s="1016">
        <v>1687</v>
      </c>
      <c r="G109" s="1016">
        <v>17832</v>
      </c>
      <c r="H109" s="1016">
        <v>11706</v>
      </c>
      <c r="I109" s="629">
        <v>6059</v>
      </c>
      <c r="J109" s="629">
        <v>18952</v>
      </c>
      <c r="K109" s="629">
        <v>2035</v>
      </c>
      <c r="L109" s="629">
        <v>29538</v>
      </c>
      <c r="M109" s="629">
        <v>3206</v>
      </c>
    </row>
    <row r="110" spans="1:13" s="630" customFormat="1">
      <c r="A110" s="632" t="s">
        <v>116</v>
      </c>
      <c r="B110" s="628" t="s">
        <v>117</v>
      </c>
      <c r="C110" s="627" t="s">
        <v>266</v>
      </c>
      <c r="D110" s="1016">
        <v>4610</v>
      </c>
      <c r="E110" s="1016">
        <v>3239</v>
      </c>
      <c r="F110" s="1016">
        <v>443</v>
      </c>
      <c r="G110" s="1016">
        <v>4905</v>
      </c>
      <c r="H110" s="1016">
        <v>3387</v>
      </c>
      <c r="I110" s="629">
        <v>2881</v>
      </c>
      <c r="J110" s="629">
        <v>4297</v>
      </c>
      <c r="K110" s="629">
        <v>454</v>
      </c>
      <c r="L110" s="629">
        <v>8292</v>
      </c>
      <c r="M110" s="629">
        <v>1184</v>
      </c>
    </row>
    <row r="111" spans="1:13" s="630" customFormat="1">
      <c r="A111" s="632" t="s">
        <v>138</v>
      </c>
      <c r="B111" s="628" t="s">
        <v>139</v>
      </c>
      <c r="C111" s="627" t="s">
        <v>265</v>
      </c>
      <c r="D111" s="1016">
        <v>8983</v>
      </c>
      <c r="E111" s="1016">
        <v>7261</v>
      </c>
      <c r="F111" s="1016">
        <v>1481</v>
      </c>
      <c r="G111" s="1016">
        <v>10435</v>
      </c>
      <c r="H111" s="1016">
        <v>7290</v>
      </c>
      <c r="I111" s="629">
        <v>5633</v>
      </c>
      <c r="J111" s="629">
        <v>9846</v>
      </c>
      <c r="K111" s="629">
        <v>962</v>
      </c>
      <c r="L111" s="629">
        <v>17725</v>
      </c>
      <c r="M111" s="629">
        <v>2677</v>
      </c>
    </row>
    <row r="112" spans="1:13" s="630" customFormat="1">
      <c r="A112" s="632" t="s">
        <v>142</v>
      </c>
      <c r="B112" s="628" t="s">
        <v>143</v>
      </c>
      <c r="C112" s="627" t="s">
        <v>267</v>
      </c>
      <c r="D112" s="1016">
        <v>6341</v>
      </c>
      <c r="E112" s="1016">
        <v>1779</v>
      </c>
      <c r="F112" s="1016">
        <v>256</v>
      </c>
      <c r="G112" s="1016">
        <v>4569</v>
      </c>
      <c r="H112" s="1016">
        <v>3807</v>
      </c>
      <c r="I112" s="629">
        <v>3085</v>
      </c>
      <c r="J112" s="629">
        <v>1443</v>
      </c>
      <c r="K112" s="629">
        <v>2817</v>
      </c>
      <c r="L112" s="629">
        <v>8376</v>
      </c>
      <c r="M112" s="629">
        <v>5139</v>
      </c>
    </row>
    <row r="113" spans="1:13" s="630" customFormat="1">
      <c r="A113" s="632" t="s">
        <v>144</v>
      </c>
      <c r="B113" s="628" t="s">
        <v>145</v>
      </c>
      <c r="C113" s="627" t="s">
        <v>267</v>
      </c>
      <c r="D113" s="1016">
        <v>2099</v>
      </c>
      <c r="E113" s="1016">
        <v>513</v>
      </c>
      <c r="F113" s="1016">
        <v>136</v>
      </c>
      <c r="G113" s="1016">
        <v>1464</v>
      </c>
      <c r="H113" s="1016">
        <v>1284</v>
      </c>
      <c r="I113" s="629">
        <v>948</v>
      </c>
      <c r="J113" s="629">
        <v>286</v>
      </c>
      <c r="K113" s="629">
        <v>1255</v>
      </c>
      <c r="L113" s="629">
        <v>2748</v>
      </c>
      <c r="M113" s="629">
        <v>1627</v>
      </c>
    </row>
    <row r="114" spans="1:13" s="630" customFormat="1">
      <c r="A114" s="632" t="s">
        <v>158</v>
      </c>
      <c r="B114" s="628" t="s">
        <v>159</v>
      </c>
      <c r="C114" s="627" t="s">
        <v>264</v>
      </c>
      <c r="D114" s="1016">
        <v>24819</v>
      </c>
      <c r="E114" s="1016">
        <v>16847</v>
      </c>
      <c r="F114" s="1016">
        <v>2496</v>
      </c>
      <c r="G114" s="1016">
        <v>26629</v>
      </c>
      <c r="H114" s="1016">
        <v>17533</v>
      </c>
      <c r="I114" s="629">
        <v>8486</v>
      </c>
      <c r="J114" s="629">
        <v>28603</v>
      </c>
      <c r="K114" s="629">
        <v>4104</v>
      </c>
      <c r="L114" s="629">
        <v>44162</v>
      </c>
      <c r="M114" s="629">
        <v>6176</v>
      </c>
    </row>
    <row r="115" spans="1:13" s="630" customFormat="1">
      <c r="A115" s="632" t="s">
        <v>160</v>
      </c>
      <c r="B115" s="628" t="s">
        <v>161</v>
      </c>
      <c r="C115" s="627" t="s">
        <v>264</v>
      </c>
      <c r="D115" s="1016">
        <v>31257</v>
      </c>
      <c r="E115" s="1016">
        <v>22406</v>
      </c>
      <c r="F115" s="1016">
        <v>3986</v>
      </c>
      <c r="G115" s="1016">
        <v>34817</v>
      </c>
      <c r="H115" s="1016">
        <v>22832</v>
      </c>
      <c r="I115" s="629">
        <v>9836</v>
      </c>
      <c r="J115" s="629">
        <v>40882</v>
      </c>
      <c r="K115" s="629">
        <v>3679</v>
      </c>
      <c r="L115" s="629">
        <v>57649</v>
      </c>
      <c r="M115" s="629">
        <v>6090</v>
      </c>
    </row>
    <row r="116" spans="1:13" s="630" customFormat="1">
      <c r="A116" s="632" t="s">
        <v>166</v>
      </c>
      <c r="B116" s="628" t="s">
        <v>167</v>
      </c>
      <c r="C116" s="627" t="s">
        <v>268</v>
      </c>
      <c r="D116" s="1016">
        <v>630</v>
      </c>
      <c r="E116" s="1016">
        <v>719</v>
      </c>
      <c r="F116" s="1016">
        <v>145</v>
      </c>
      <c r="G116" s="1016">
        <v>919</v>
      </c>
      <c r="H116" s="1016">
        <v>575</v>
      </c>
      <c r="I116" s="629">
        <v>1230</v>
      </c>
      <c r="J116" s="629">
        <v>124</v>
      </c>
      <c r="K116" s="629">
        <v>80</v>
      </c>
      <c r="L116" s="629">
        <v>1494</v>
      </c>
      <c r="M116" s="629">
        <v>366</v>
      </c>
    </row>
    <row r="117" spans="1:13" s="630" customFormat="1">
      <c r="A117" s="632" t="s">
        <v>176</v>
      </c>
      <c r="B117" s="628" t="s">
        <v>177</v>
      </c>
      <c r="C117" s="627" t="s">
        <v>266</v>
      </c>
      <c r="D117" s="1016">
        <v>6151</v>
      </c>
      <c r="E117" s="1016">
        <v>5034</v>
      </c>
      <c r="F117" s="1016">
        <v>1001</v>
      </c>
      <c r="G117" s="1016">
        <v>7102</v>
      </c>
      <c r="H117" s="1016">
        <v>5084</v>
      </c>
      <c r="I117" s="629">
        <v>933</v>
      </c>
      <c r="J117" s="629">
        <v>10063</v>
      </c>
      <c r="K117" s="629">
        <v>513</v>
      </c>
      <c r="L117" s="629">
        <v>12186</v>
      </c>
      <c r="M117" s="629">
        <v>751</v>
      </c>
    </row>
    <row r="118" spans="1:13" s="630" customFormat="1">
      <c r="A118" s="632" t="s">
        <v>180</v>
      </c>
      <c r="B118" s="628" t="s">
        <v>181</v>
      </c>
      <c r="C118" s="627" t="s">
        <v>264</v>
      </c>
      <c r="D118" s="1016">
        <v>15465</v>
      </c>
      <c r="E118" s="1016">
        <v>11183</v>
      </c>
      <c r="F118" s="1016">
        <v>1815</v>
      </c>
      <c r="G118" s="1016">
        <v>16948</v>
      </c>
      <c r="H118" s="1016">
        <v>11519</v>
      </c>
      <c r="I118" s="629">
        <v>4571</v>
      </c>
      <c r="J118" s="629">
        <v>21099</v>
      </c>
      <c r="K118" s="629">
        <v>1228</v>
      </c>
      <c r="L118" s="629">
        <v>28467</v>
      </c>
      <c r="M118" s="629">
        <v>2195</v>
      </c>
    </row>
    <row r="119" spans="1:13" s="630" customFormat="1">
      <c r="A119" s="632" t="s">
        <v>192</v>
      </c>
      <c r="B119" s="628" t="s">
        <v>193</v>
      </c>
      <c r="C119" s="627" t="s">
        <v>268</v>
      </c>
      <c r="D119" s="1016">
        <v>1220</v>
      </c>
      <c r="E119" s="1016">
        <v>1101</v>
      </c>
      <c r="F119" s="1016">
        <v>146</v>
      </c>
      <c r="G119" s="1016">
        <v>1505</v>
      </c>
      <c r="H119" s="1016">
        <v>962</v>
      </c>
      <c r="I119" s="629">
        <v>1741</v>
      </c>
      <c r="J119" s="629">
        <v>400</v>
      </c>
      <c r="K119" s="629">
        <v>152</v>
      </c>
      <c r="L119" s="629">
        <v>2467</v>
      </c>
      <c r="M119" s="629">
        <v>616</v>
      </c>
    </row>
    <row r="120" spans="1:13" s="630" customFormat="1">
      <c r="A120" s="632" t="s">
        <v>196</v>
      </c>
      <c r="B120" s="628" t="s">
        <v>197</v>
      </c>
      <c r="C120" s="627" t="s">
        <v>266</v>
      </c>
      <c r="D120" s="1016">
        <v>31180</v>
      </c>
      <c r="E120" s="1016">
        <v>22519</v>
      </c>
      <c r="F120" s="1016">
        <v>4567</v>
      </c>
      <c r="G120" s="1016">
        <v>34207</v>
      </c>
      <c r="H120" s="1016">
        <v>24058</v>
      </c>
      <c r="I120" s="629">
        <v>5766</v>
      </c>
      <c r="J120" s="629">
        <v>44165</v>
      </c>
      <c r="K120" s="629">
        <v>4298</v>
      </c>
      <c r="L120" s="629">
        <v>58266</v>
      </c>
      <c r="M120" s="629">
        <v>6444</v>
      </c>
    </row>
    <row r="121" spans="1:13" s="630" customFormat="1">
      <c r="A121" s="632" t="s">
        <v>200</v>
      </c>
      <c r="B121" s="628" t="s">
        <v>201</v>
      </c>
      <c r="C121" s="627" t="s">
        <v>265</v>
      </c>
      <c r="D121" s="1016">
        <v>16027</v>
      </c>
      <c r="E121" s="1016">
        <v>12734</v>
      </c>
      <c r="F121" s="1016">
        <v>2322</v>
      </c>
      <c r="G121" s="1016">
        <v>18086</v>
      </c>
      <c r="H121" s="1016">
        <v>12995</v>
      </c>
      <c r="I121" s="629">
        <v>13624</v>
      </c>
      <c r="J121" s="629">
        <v>13254</v>
      </c>
      <c r="K121" s="629">
        <v>2589</v>
      </c>
      <c r="L121" s="629">
        <v>31083</v>
      </c>
      <c r="M121" s="629">
        <v>6282</v>
      </c>
    </row>
    <row r="122" spans="1:13" s="630" customFormat="1">
      <c r="A122" s="632" t="s">
        <v>222</v>
      </c>
      <c r="B122" s="628" t="s">
        <v>223</v>
      </c>
      <c r="C122" s="627" t="s">
        <v>264</v>
      </c>
      <c r="D122" s="1016">
        <v>8561</v>
      </c>
      <c r="E122" s="1016">
        <v>6860</v>
      </c>
      <c r="F122" s="1016">
        <v>1463</v>
      </c>
      <c r="G122" s="1016">
        <v>10216</v>
      </c>
      <c r="H122" s="1016">
        <v>6668</v>
      </c>
      <c r="I122" s="629">
        <v>3624</v>
      </c>
      <c r="J122" s="629">
        <v>11708</v>
      </c>
      <c r="K122" s="629">
        <v>738</v>
      </c>
      <c r="L122" s="629">
        <v>16884</v>
      </c>
      <c r="M122" s="629">
        <v>1759</v>
      </c>
    </row>
    <row r="123" spans="1:13" s="630" customFormat="1">
      <c r="A123" s="632" t="s">
        <v>230</v>
      </c>
      <c r="B123" s="628" t="s">
        <v>231</v>
      </c>
      <c r="C123" s="627" t="s">
        <v>264</v>
      </c>
      <c r="D123" s="1016">
        <v>31039</v>
      </c>
      <c r="E123" s="1016">
        <v>18406</v>
      </c>
      <c r="F123" s="1016">
        <v>3349</v>
      </c>
      <c r="G123" s="1016">
        <v>31060</v>
      </c>
      <c r="H123" s="1016">
        <v>21734</v>
      </c>
      <c r="I123" s="629">
        <v>19179</v>
      </c>
      <c r="J123" s="629">
        <v>21064</v>
      </c>
      <c r="K123" s="629">
        <v>7537</v>
      </c>
      <c r="L123" s="629">
        <v>52794</v>
      </c>
      <c r="M123" s="629">
        <v>12547</v>
      </c>
    </row>
    <row r="124" spans="1:13" s="630" customFormat="1">
      <c r="A124" s="632" t="s">
        <v>238</v>
      </c>
      <c r="B124" s="628" t="s">
        <v>239</v>
      </c>
      <c r="C124" s="627" t="s">
        <v>264</v>
      </c>
      <c r="D124" s="1016">
        <v>997</v>
      </c>
      <c r="E124" s="1016">
        <v>584</v>
      </c>
      <c r="F124" s="1016">
        <v>97</v>
      </c>
      <c r="G124" s="1016">
        <v>953</v>
      </c>
      <c r="H124" s="1016">
        <v>725</v>
      </c>
      <c r="I124" s="629">
        <v>647</v>
      </c>
      <c r="J124" s="629">
        <v>747</v>
      </c>
      <c r="K124" s="629">
        <v>217</v>
      </c>
      <c r="L124" s="629">
        <v>1678</v>
      </c>
      <c r="M124" s="629">
        <v>419</v>
      </c>
    </row>
    <row r="125" spans="1:13" s="630" customFormat="1">
      <c r="A125" s="632" t="s">
        <v>240</v>
      </c>
      <c r="B125" s="628" t="s">
        <v>241</v>
      </c>
      <c r="C125" s="627" t="s">
        <v>267</v>
      </c>
      <c r="D125" s="1016">
        <v>4090</v>
      </c>
      <c r="E125" s="1016">
        <v>2046</v>
      </c>
      <c r="F125" s="1016">
        <v>444</v>
      </c>
      <c r="G125" s="1016">
        <v>3622</v>
      </c>
      <c r="H125" s="1016">
        <v>2958</v>
      </c>
      <c r="I125" s="629">
        <v>3952</v>
      </c>
      <c r="J125" s="629">
        <v>1160</v>
      </c>
      <c r="K125" s="629">
        <v>983</v>
      </c>
      <c r="L125" s="629">
        <v>6580</v>
      </c>
      <c r="M125" s="629">
        <v>2768</v>
      </c>
    </row>
    <row r="126" spans="1:13">
      <c r="B126" s="529"/>
      <c r="C126" s="529"/>
      <c r="D126" s="529"/>
      <c r="E126" s="529"/>
      <c r="F126" s="529"/>
      <c r="G126" s="529"/>
      <c r="H126" s="529"/>
    </row>
    <row r="128" spans="1:13" ht="15.75" customHeight="1">
      <c r="A128" s="1345" t="s">
        <v>998</v>
      </c>
      <c r="B128" s="1344"/>
      <c r="C128" s="1344"/>
      <c r="D128" s="1344"/>
      <c r="E128" s="1344"/>
      <c r="F128" s="1344"/>
      <c r="G128" s="1318"/>
      <c r="H128" s="1318"/>
    </row>
    <row r="130" spans="1:8" s="428" customFormat="1">
      <c r="A130" s="428" t="s">
        <v>248</v>
      </c>
    </row>
    <row r="131" spans="1:8" s="428" customFormat="1">
      <c r="A131" s="429" t="s">
        <v>249</v>
      </c>
      <c r="B131" s="430" t="s">
        <v>250</v>
      </c>
      <c r="C131" s="430"/>
      <c r="D131" s="430"/>
      <c r="E131" s="430"/>
      <c r="F131" s="430"/>
      <c r="G131" s="430"/>
      <c r="H131" s="430"/>
    </row>
  </sheetData>
  <autoFilter ref="A4:C4"/>
  <sortState ref="A6:M125">
    <sortCondition ref="A6:A125"/>
  </sortState>
  <mergeCells count="3">
    <mergeCell ref="D3:F3"/>
    <mergeCell ref="G3:H3"/>
    <mergeCell ref="I3:K3"/>
  </mergeCells>
  <hyperlinks>
    <hyperlink ref="B131" r:id="rId1"/>
  </hyperlinks>
  <pageMargins left="0.7" right="0.7" top="0.75" bottom="0.75" header="0.3" footer="0.3"/>
</worksheet>
</file>

<file path=xl/worksheets/sheet32.xml><?xml version="1.0" encoding="utf-8"?>
<worksheet xmlns="http://schemas.openxmlformats.org/spreadsheetml/2006/main" xmlns:r="http://schemas.openxmlformats.org/officeDocument/2006/relationships">
  <dimension ref="A1:X125"/>
  <sheetViews>
    <sheetView workbookViewId="0">
      <selection activeCell="B5" sqref="B5"/>
    </sheetView>
  </sheetViews>
  <sheetFormatPr defaultRowHeight="12.75"/>
  <cols>
    <col min="1" max="1" width="5" style="328" bestFit="1" customWidth="1"/>
    <col min="2" max="2" width="26.375" style="328" customWidth="1"/>
    <col min="3" max="3" width="8.75" style="93" customWidth="1"/>
    <col min="4" max="16384" width="9" style="93"/>
  </cols>
  <sheetData>
    <row r="1" spans="1:24">
      <c r="A1" s="93"/>
      <c r="B1" s="93"/>
    </row>
    <row r="2" spans="1:24">
      <c r="A2" s="93"/>
      <c r="B2" s="93"/>
      <c r="C2" s="1922" t="s">
        <v>813</v>
      </c>
      <c r="D2" s="1922"/>
      <c r="E2" s="1922"/>
      <c r="F2" s="1922"/>
      <c r="G2" s="1922" t="s">
        <v>814</v>
      </c>
      <c r="H2" s="1922"/>
      <c r="I2" s="1922"/>
      <c r="J2" s="1922"/>
      <c r="K2" s="1922" t="s">
        <v>816</v>
      </c>
      <c r="L2" s="1922"/>
      <c r="M2" s="1922"/>
      <c r="N2" s="1922"/>
      <c r="P2" s="1921" t="s">
        <v>747</v>
      </c>
      <c r="Q2" s="1921"/>
      <c r="R2" s="1921"/>
      <c r="S2" s="1921" t="s">
        <v>815</v>
      </c>
      <c r="T2" s="1921"/>
      <c r="U2" s="1921"/>
      <c r="V2" s="1921" t="s">
        <v>7</v>
      </c>
      <c r="W2" s="1921"/>
      <c r="X2" s="1921"/>
    </row>
    <row r="3" spans="1:24">
      <c r="A3" s="327" t="s">
        <v>4</v>
      </c>
      <c r="B3" s="327" t="s">
        <v>5</v>
      </c>
      <c r="C3" s="329" t="s">
        <v>281</v>
      </c>
      <c r="D3" s="329" t="s">
        <v>2</v>
      </c>
      <c r="E3" s="329" t="s">
        <v>450</v>
      </c>
      <c r="F3" s="329" t="s">
        <v>451</v>
      </c>
      <c r="G3" s="329" t="s">
        <v>281</v>
      </c>
      <c r="H3" s="329" t="s">
        <v>2</v>
      </c>
      <c r="I3" s="329" t="s">
        <v>450</v>
      </c>
      <c r="J3" s="329" t="s">
        <v>451</v>
      </c>
      <c r="K3" s="329" t="s">
        <v>281</v>
      </c>
      <c r="L3" s="329" t="s">
        <v>2</v>
      </c>
      <c r="M3" s="329" t="s">
        <v>450</v>
      </c>
      <c r="N3" s="329" t="s">
        <v>451</v>
      </c>
      <c r="P3" s="93" t="s">
        <v>2</v>
      </c>
      <c r="Q3" s="93" t="s">
        <v>450</v>
      </c>
      <c r="R3" s="93" t="s">
        <v>451</v>
      </c>
      <c r="S3" s="93" t="s">
        <v>2</v>
      </c>
      <c r="T3" s="93" t="s">
        <v>450</v>
      </c>
      <c r="U3" s="93" t="s">
        <v>451</v>
      </c>
      <c r="V3" s="93" t="s">
        <v>2</v>
      </c>
      <c r="W3" s="93" t="s">
        <v>450</v>
      </c>
      <c r="X3" s="93" t="s">
        <v>451</v>
      </c>
    </row>
    <row r="4" spans="1:24">
      <c r="A4" s="327"/>
      <c r="B4" s="327" t="s">
        <v>9</v>
      </c>
      <c r="C4" s="93">
        <f>SUM(C5:C125)</f>
        <v>22002</v>
      </c>
      <c r="D4" s="93">
        <f t="shared" ref="D4:N4" si="0">SUM(D5:D125)</f>
        <v>19535</v>
      </c>
      <c r="E4" s="93">
        <f t="shared" si="0"/>
        <v>1592</v>
      </c>
      <c r="F4" s="93">
        <f t="shared" si="0"/>
        <v>902</v>
      </c>
      <c r="G4" s="93">
        <f t="shared" si="0"/>
        <v>424404</v>
      </c>
      <c r="H4" s="93">
        <f t="shared" si="0"/>
        <v>366184</v>
      </c>
      <c r="I4" s="93">
        <f t="shared" si="0"/>
        <v>34432</v>
      </c>
      <c r="J4" s="93">
        <f t="shared" si="0"/>
        <v>24382</v>
      </c>
      <c r="K4" s="93">
        <f t="shared" si="0"/>
        <v>214324</v>
      </c>
      <c r="L4" s="93">
        <f t="shared" si="0"/>
        <v>178956</v>
      </c>
      <c r="M4" s="93">
        <f t="shared" si="0"/>
        <v>22489</v>
      </c>
      <c r="N4" s="93">
        <f t="shared" si="0"/>
        <v>13188</v>
      </c>
      <c r="P4" s="93">
        <f>D4/C4</f>
        <v>0.8878738296518498</v>
      </c>
      <c r="Q4" s="93">
        <f>E4/C4</f>
        <v>7.235705844923189E-2</v>
      </c>
      <c r="R4" s="93">
        <f>F4/C4</f>
        <v>4.0996273066084901E-2</v>
      </c>
      <c r="S4" s="93">
        <f>H4/G4</f>
        <v>0.86281938907267608</v>
      </c>
      <c r="T4" s="93">
        <f>I4/G4</f>
        <v>8.1130243824280635E-2</v>
      </c>
      <c r="U4" s="93">
        <f>J4/G4</f>
        <v>5.7449976908794449E-2</v>
      </c>
      <c r="V4" s="93">
        <f>L4/K4</f>
        <v>0.83497881711800825</v>
      </c>
      <c r="W4" s="93">
        <f>M4/K4</f>
        <v>0.10492991918777178</v>
      </c>
      <c r="X4" s="93">
        <f>N4/K4</f>
        <v>6.1533006102909613E-2</v>
      </c>
    </row>
    <row r="5" spans="1:24">
      <c r="A5" s="328">
        <v>1</v>
      </c>
      <c r="B5" s="93" t="s">
        <v>455</v>
      </c>
      <c r="C5" s="93">
        <v>57</v>
      </c>
      <c r="D5" s="93">
        <v>48</v>
      </c>
      <c r="E5" s="93">
        <v>6</v>
      </c>
      <c r="F5" s="93">
        <f>C5-D5-E5</f>
        <v>3</v>
      </c>
      <c r="G5" s="93">
        <v>1743</v>
      </c>
      <c r="H5" s="93">
        <v>1596</v>
      </c>
      <c r="I5" s="93">
        <v>71</v>
      </c>
      <c r="J5" s="93">
        <f>G5-H5-I5</f>
        <v>76</v>
      </c>
      <c r="K5" s="93">
        <v>1235</v>
      </c>
      <c r="L5" s="93">
        <v>1115</v>
      </c>
      <c r="M5" s="93">
        <v>57</v>
      </c>
      <c r="N5" s="93">
        <f>K5-L5-M5</f>
        <v>63</v>
      </c>
      <c r="P5" s="93">
        <f t="shared" ref="P5:P68" si="1">D5/C5</f>
        <v>0.84210526315789469</v>
      </c>
      <c r="Q5" s="93">
        <f t="shared" ref="Q5:Q68" si="2">E5/C5</f>
        <v>0.10526315789473684</v>
      </c>
      <c r="R5" s="93">
        <f t="shared" ref="R5:R68" si="3">F5/C5</f>
        <v>5.2631578947368418E-2</v>
      </c>
      <c r="S5" s="93">
        <f t="shared" ref="S5:S68" si="4">H5/G5</f>
        <v>0.91566265060240959</v>
      </c>
      <c r="T5" s="93">
        <f t="shared" ref="T5:T68" si="5">I5/G5</f>
        <v>4.0734366035570853E-2</v>
      </c>
      <c r="U5" s="93">
        <f t="shared" ref="U5:U68" si="6">J5/G5</f>
        <v>4.360298336201951E-2</v>
      </c>
      <c r="V5" s="93">
        <f t="shared" ref="V5:V68" si="7">L5/K5</f>
        <v>0.90283400809716596</v>
      </c>
      <c r="W5" s="93">
        <f t="shared" ref="W5:W68" si="8">M5/K5</f>
        <v>4.6153846153846156E-2</v>
      </c>
      <c r="X5" s="93">
        <f t="shared" ref="X5:X68" si="9">N5/K5</f>
        <v>5.1012145748987853E-2</v>
      </c>
    </row>
    <row r="6" spans="1:24">
      <c r="A6" s="328">
        <v>3</v>
      </c>
      <c r="B6" s="93" t="s">
        <v>456</v>
      </c>
      <c r="C6" s="93">
        <v>153</v>
      </c>
      <c r="D6" s="93">
        <v>146</v>
      </c>
      <c r="E6" s="93">
        <v>3</v>
      </c>
      <c r="F6" s="93">
        <f t="shared" ref="F6:F69" si="10">C6-D6-E6</f>
        <v>4</v>
      </c>
      <c r="G6" s="93">
        <v>3666</v>
      </c>
      <c r="H6" s="93">
        <v>3182</v>
      </c>
      <c r="I6" s="93">
        <v>233</v>
      </c>
      <c r="J6" s="93">
        <f t="shared" ref="J6:J69" si="11">G6-H6-I6</f>
        <v>251</v>
      </c>
      <c r="K6" s="93">
        <v>1832</v>
      </c>
      <c r="L6" s="93">
        <v>1586</v>
      </c>
      <c r="M6" s="93">
        <v>122</v>
      </c>
      <c r="N6" s="93">
        <f t="shared" ref="N6:N69" si="12">K6-L6-M6</f>
        <v>124</v>
      </c>
      <c r="P6" s="93">
        <f t="shared" si="1"/>
        <v>0.95424836601307195</v>
      </c>
      <c r="Q6" s="93">
        <f t="shared" si="2"/>
        <v>1.9607843137254902E-2</v>
      </c>
      <c r="R6" s="93">
        <f t="shared" si="3"/>
        <v>2.6143790849673203E-2</v>
      </c>
      <c r="S6" s="93">
        <f t="shared" si="4"/>
        <v>0.86797599563557015</v>
      </c>
      <c r="T6" s="93">
        <f t="shared" si="5"/>
        <v>6.3557010365520999E-2</v>
      </c>
      <c r="U6" s="93">
        <f t="shared" si="6"/>
        <v>6.846699399890889E-2</v>
      </c>
      <c r="V6" s="93">
        <f t="shared" si="7"/>
        <v>0.86572052401746724</v>
      </c>
      <c r="W6" s="93">
        <f t="shared" si="8"/>
        <v>6.6593886462882099E-2</v>
      </c>
      <c r="X6" s="93">
        <f t="shared" si="9"/>
        <v>6.768558951965066E-2</v>
      </c>
    </row>
    <row r="7" spans="1:24">
      <c r="A7" s="328">
        <v>5</v>
      </c>
      <c r="B7" s="93" t="s">
        <v>707</v>
      </c>
      <c r="C7" s="93">
        <v>32</v>
      </c>
      <c r="D7" s="93">
        <v>30</v>
      </c>
      <c r="E7" s="93">
        <v>1</v>
      </c>
      <c r="F7" s="93">
        <f>(C7-D7-E7)+0</f>
        <v>1</v>
      </c>
      <c r="G7" s="93">
        <v>158</v>
      </c>
      <c r="H7" s="93">
        <v>142</v>
      </c>
      <c r="I7" s="93">
        <v>10</v>
      </c>
      <c r="J7" s="93">
        <f>(G7-H7-I7)+1</f>
        <v>7</v>
      </c>
      <c r="K7" s="93">
        <v>103</v>
      </c>
      <c r="L7" s="93">
        <v>93</v>
      </c>
      <c r="M7" s="93">
        <v>10</v>
      </c>
      <c r="N7" s="93">
        <f>(K7-L7-M7)+0</f>
        <v>0</v>
      </c>
      <c r="P7" s="93">
        <f t="shared" si="1"/>
        <v>0.9375</v>
      </c>
      <c r="Q7" s="93">
        <f t="shared" si="2"/>
        <v>3.125E-2</v>
      </c>
      <c r="R7" s="93">
        <f t="shared" si="3"/>
        <v>3.125E-2</v>
      </c>
      <c r="S7" s="93">
        <f t="shared" si="4"/>
        <v>0.89873417721518989</v>
      </c>
      <c r="T7" s="93">
        <f t="shared" si="5"/>
        <v>6.3291139240506333E-2</v>
      </c>
      <c r="U7" s="93">
        <f t="shared" si="6"/>
        <v>4.4303797468354431E-2</v>
      </c>
      <c r="V7" s="93">
        <f t="shared" si="7"/>
        <v>0.90291262135922334</v>
      </c>
      <c r="W7" s="93">
        <f t="shared" si="8"/>
        <v>9.7087378640776698E-2</v>
      </c>
      <c r="X7" s="93">
        <f t="shared" si="9"/>
        <v>0</v>
      </c>
    </row>
    <row r="8" spans="1:24">
      <c r="A8" s="328">
        <v>7</v>
      </c>
      <c r="B8" s="93" t="s">
        <v>457</v>
      </c>
      <c r="C8" s="93">
        <v>15</v>
      </c>
      <c r="D8" s="93">
        <v>13</v>
      </c>
      <c r="E8" s="93">
        <v>2</v>
      </c>
      <c r="F8" s="93">
        <f t="shared" si="10"/>
        <v>0</v>
      </c>
      <c r="G8" s="93">
        <v>218</v>
      </c>
      <c r="H8" s="93">
        <v>178</v>
      </c>
      <c r="I8" s="93">
        <v>6</v>
      </c>
      <c r="J8" s="93">
        <f t="shared" si="11"/>
        <v>34</v>
      </c>
      <c r="K8" s="93">
        <v>90</v>
      </c>
      <c r="L8" s="93">
        <v>72</v>
      </c>
      <c r="M8" s="93">
        <v>3</v>
      </c>
      <c r="N8" s="93">
        <f t="shared" si="12"/>
        <v>15</v>
      </c>
      <c r="P8" s="93">
        <f t="shared" si="1"/>
        <v>0.8666666666666667</v>
      </c>
      <c r="Q8" s="93">
        <f t="shared" si="2"/>
        <v>0.13333333333333333</v>
      </c>
      <c r="R8" s="93">
        <f t="shared" si="3"/>
        <v>0</v>
      </c>
      <c r="S8" s="93">
        <f t="shared" si="4"/>
        <v>0.8165137614678899</v>
      </c>
      <c r="T8" s="93">
        <f t="shared" si="5"/>
        <v>2.7522935779816515E-2</v>
      </c>
      <c r="U8" s="93">
        <f t="shared" si="6"/>
        <v>0.15596330275229359</v>
      </c>
      <c r="V8" s="93">
        <f t="shared" si="7"/>
        <v>0.8</v>
      </c>
      <c r="W8" s="93">
        <f t="shared" si="8"/>
        <v>3.3333333333333333E-2</v>
      </c>
      <c r="X8" s="93">
        <f t="shared" si="9"/>
        <v>0.16666666666666666</v>
      </c>
    </row>
    <row r="9" spans="1:24">
      <c r="A9" s="328">
        <v>9</v>
      </c>
      <c r="B9" s="93" t="s">
        <v>458</v>
      </c>
      <c r="C9" s="93">
        <v>41</v>
      </c>
      <c r="D9" s="93">
        <v>33</v>
      </c>
      <c r="E9" s="93">
        <v>7</v>
      </c>
      <c r="F9" s="93">
        <f t="shared" si="10"/>
        <v>1</v>
      </c>
      <c r="G9" s="93">
        <v>397</v>
      </c>
      <c r="H9" s="93">
        <v>339</v>
      </c>
      <c r="I9" s="93">
        <v>45</v>
      </c>
      <c r="J9" s="93">
        <f t="shared" si="11"/>
        <v>13</v>
      </c>
      <c r="K9" s="93">
        <v>202</v>
      </c>
      <c r="L9" s="93">
        <v>185</v>
      </c>
      <c r="M9" s="93">
        <v>16</v>
      </c>
      <c r="N9" s="93">
        <f t="shared" si="12"/>
        <v>1</v>
      </c>
      <c r="P9" s="93">
        <f t="shared" si="1"/>
        <v>0.80487804878048785</v>
      </c>
      <c r="Q9" s="93">
        <f t="shared" si="2"/>
        <v>0.17073170731707318</v>
      </c>
      <c r="R9" s="93">
        <f t="shared" si="3"/>
        <v>2.4390243902439025E-2</v>
      </c>
      <c r="S9" s="93">
        <f t="shared" si="4"/>
        <v>0.853904282115869</v>
      </c>
      <c r="T9" s="93">
        <f t="shared" si="5"/>
        <v>0.11335012594458438</v>
      </c>
      <c r="U9" s="93">
        <f t="shared" si="6"/>
        <v>3.2745591939546598E-2</v>
      </c>
      <c r="V9" s="93">
        <f t="shared" si="7"/>
        <v>0.91584158415841588</v>
      </c>
      <c r="W9" s="93">
        <f t="shared" si="8"/>
        <v>7.9207920792079209E-2</v>
      </c>
      <c r="X9" s="93">
        <f t="shared" si="9"/>
        <v>4.9504950495049506E-3</v>
      </c>
    </row>
    <row r="10" spans="1:24">
      <c r="A10" s="328">
        <v>11</v>
      </c>
      <c r="B10" s="93" t="s">
        <v>459</v>
      </c>
      <c r="C10" s="93">
        <v>14</v>
      </c>
      <c r="D10" s="93">
        <v>14</v>
      </c>
      <c r="E10" s="93">
        <v>0</v>
      </c>
      <c r="F10" s="93">
        <f t="shared" si="10"/>
        <v>0</v>
      </c>
      <c r="G10" s="93">
        <v>115</v>
      </c>
      <c r="H10" s="93">
        <v>95</v>
      </c>
      <c r="I10" s="93">
        <v>11</v>
      </c>
      <c r="J10" s="93">
        <f t="shared" si="11"/>
        <v>9</v>
      </c>
      <c r="K10" s="93">
        <v>60</v>
      </c>
      <c r="L10" s="93">
        <v>51</v>
      </c>
      <c r="M10" s="93">
        <v>6</v>
      </c>
      <c r="N10" s="93">
        <f t="shared" si="12"/>
        <v>3</v>
      </c>
      <c r="P10" s="93">
        <f t="shared" si="1"/>
        <v>1</v>
      </c>
      <c r="Q10" s="93">
        <f t="shared" si="2"/>
        <v>0</v>
      </c>
      <c r="R10" s="93">
        <f t="shared" si="3"/>
        <v>0</v>
      </c>
      <c r="S10" s="93">
        <f t="shared" si="4"/>
        <v>0.82608695652173914</v>
      </c>
      <c r="T10" s="93">
        <f t="shared" si="5"/>
        <v>9.5652173913043481E-2</v>
      </c>
      <c r="U10" s="93">
        <f t="shared" si="6"/>
        <v>7.8260869565217397E-2</v>
      </c>
      <c r="V10" s="93">
        <f t="shared" si="7"/>
        <v>0.85</v>
      </c>
      <c r="W10" s="93">
        <f t="shared" si="8"/>
        <v>0.1</v>
      </c>
      <c r="X10" s="93">
        <f t="shared" si="9"/>
        <v>0.05</v>
      </c>
    </row>
    <row r="11" spans="1:24">
      <c r="A11" s="328">
        <v>13</v>
      </c>
      <c r="B11" s="93" t="s">
        <v>460</v>
      </c>
      <c r="C11" s="93">
        <v>1535</v>
      </c>
      <c r="D11" s="93">
        <v>1418</v>
      </c>
      <c r="E11" s="93">
        <v>55</v>
      </c>
      <c r="F11" s="93">
        <f t="shared" si="10"/>
        <v>62</v>
      </c>
      <c r="G11" s="93">
        <v>23449</v>
      </c>
      <c r="H11" s="93">
        <v>20976</v>
      </c>
      <c r="I11" s="93">
        <v>983</v>
      </c>
      <c r="J11" s="93">
        <f t="shared" si="11"/>
        <v>1490</v>
      </c>
      <c r="K11" s="93">
        <v>7809</v>
      </c>
      <c r="L11" s="93">
        <v>6853</v>
      </c>
      <c r="M11" s="93">
        <v>414</v>
      </c>
      <c r="N11" s="93">
        <f t="shared" si="12"/>
        <v>542</v>
      </c>
      <c r="P11" s="93">
        <f t="shared" si="1"/>
        <v>0.92377850162866448</v>
      </c>
      <c r="Q11" s="93">
        <f t="shared" si="2"/>
        <v>3.5830618892508145E-2</v>
      </c>
      <c r="R11" s="93">
        <f t="shared" si="3"/>
        <v>4.0390879478827364E-2</v>
      </c>
      <c r="S11" s="93">
        <f t="shared" si="4"/>
        <v>0.89453708047251479</v>
      </c>
      <c r="T11" s="93">
        <f t="shared" si="5"/>
        <v>4.1920764211693461E-2</v>
      </c>
      <c r="U11" s="93">
        <f t="shared" si="6"/>
        <v>6.3542155315791715E-2</v>
      </c>
      <c r="V11" s="93">
        <f t="shared" si="7"/>
        <v>0.87757715456524521</v>
      </c>
      <c r="W11" s="93">
        <f t="shared" si="8"/>
        <v>5.3015751056473298E-2</v>
      </c>
      <c r="X11" s="93">
        <f t="shared" si="9"/>
        <v>6.9407094378281464E-2</v>
      </c>
    </row>
    <row r="12" spans="1:24">
      <c r="A12" s="328">
        <v>15</v>
      </c>
      <c r="B12" s="93" t="s">
        <v>817</v>
      </c>
      <c r="C12" s="93">
        <v>132</v>
      </c>
      <c r="D12" s="93">
        <v>115</v>
      </c>
      <c r="E12" s="93">
        <v>10</v>
      </c>
      <c r="F12" s="93">
        <f>((C12-D12-E12)+3)+1</f>
        <v>11</v>
      </c>
      <c r="G12" s="93">
        <v>2063</v>
      </c>
      <c r="H12" s="93">
        <v>1815</v>
      </c>
      <c r="I12" s="93">
        <v>162</v>
      </c>
      <c r="J12" s="93">
        <f>((G12-H12-I12)+21)+24</f>
        <v>131</v>
      </c>
      <c r="K12" s="93">
        <v>1405</v>
      </c>
      <c r="L12" s="93">
        <v>1224</v>
      </c>
      <c r="M12" s="93">
        <v>125</v>
      </c>
      <c r="N12" s="93">
        <f>((K12-L12-M12)+3)+22</f>
        <v>81</v>
      </c>
      <c r="P12" s="93">
        <f t="shared" si="1"/>
        <v>0.87121212121212122</v>
      </c>
      <c r="Q12" s="93">
        <f t="shared" si="2"/>
        <v>7.575757575757576E-2</v>
      </c>
      <c r="R12" s="93">
        <f t="shared" si="3"/>
        <v>8.3333333333333329E-2</v>
      </c>
      <c r="S12" s="93">
        <f t="shared" si="4"/>
        <v>0.87978671837130396</v>
      </c>
      <c r="T12" s="93">
        <f t="shared" si="5"/>
        <v>7.8526417838099855E-2</v>
      </c>
      <c r="U12" s="93">
        <f t="shared" si="6"/>
        <v>6.3499757634512849E-2</v>
      </c>
      <c r="V12" s="93">
        <f t="shared" si="7"/>
        <v>0.87117437722419933</v>
      </c>
      <c r="W12" s="93">
        <f t="shared" si="8"/>
        <v>8.8967971530249115E-2</v>
      </c>
      <c r="X12" s="93">
        <f t="shared" si="9"/>
        <v>5.7651245551601421E-2</v>
      </c>
    </row>
    <row r="13" spans="1:24">
      <c r="A13" s="328">
        <v>17</v>
      </c>
      <c r="B13" s="93" t="s">
        <v>461</v>
      </c>
      <c r="C13" s="93">
        <v>11</v>
      </c>
      <c r="D13" s="93">
        <v>10</v>
      </c>
      <c r="E13" s="93">
        <v>1</v>
      </c>
      <c r="F13" s="93">
        <f t="shared" si="10"/>
        <v>0</v>
      </c>
      <c r="G13" s="93">
        <v>54</v>
      </c>
      <c r="H13" s="93">
        <v>44</v>
      </c>
      <c r="I13" s="93">
        <v>8</v>
      </c>
      <c r="J13" s="93">
        <f t="shared" si="11"/>
        <v>2</v>
      </c>
      <c r="K13" s="93">
        <v>37</v>
      </c>
      <c r="L13" s="93">
        <v>26</v>
      </c>
      <c r="M13" s="93">
        <v>11</v>
      </c>
      <c r="N13" s="93">
        <f t="shared" si="12"/>
        <v>0</v>
      </c>
      <c r="P13" s="93">
        <f t="shared" si="1"/>
        <v>0.90909090909090906</v>
      </c>
      <c r="Q13" s="93">
        <f t="shared" si="2"/>
        <v>9.0909090909090912E-2</v>
      </c>
      <c r="R13" s="93">
        <f t="shared" si="3"/>
        <v>0</v>
      </c>
      <c r="S13" s="93">
        <f t="shared" si="4"/>
        <v>0.81481481481481477</v>
      </c>
      <c r="T13" s="93">
        <f t="shared" si="5"/>
        <v>0.14814814814814814</v>
      </c>
      <c r="U13" s="93">
        <f t="shared" si="6"/>
        <v>3.7037037037037035E-2</v>
      </c>
      <c r="V13" s="93">
        <f t="shared" si="7"/>
        <v>0.70270270270270274</v>
      </c>
      <c r="W13" s="93">
        <f t="shared" si="8"/>
        <v>0.29729729729729731</v>
      </c>
      <c r="X13" s="93">
        <f t="shared" si="9"/>
        <v>0</v>
      </c>
    </row>
    <row r="14" spans="1:24">
      <c r="A14" s="328">
        <v>19</v>
      </c>
      <c r="B14" s="93" t="s">
        <v>708</v>
      </c>
      <c r="C14" s="93">
        <v>87</v>
      </c>
      <c r="D14" s="93">
        <v>80</v>
      </c>
      <c r="E14" s="93">
        <v>6</v>
      </c>
      <c r="F14" s="93">
        <f>(C14-D14-E14)+0</f>
        <v>1</v>
      </c>
      <c r="G14" s="93">
        <v>760</v>
      </c>
      <c r="H14" s="93">
        <v>697</v>
      </c>
      <c r="I14" s="93">
        <v>35</v>
      </c>
      <c r="J14" s="93">
        <f>(G14-H14-I14)+4</f>
        <v>32</v>
      </c>
      <c r="K14" s="93">
        <v>515</v>
      </c>
      <c r="L14" s="93">
        <v>448</v>
      </c>
      <c r="M14" s="93">
        <v>46</v>
      </c>
      <c r="N14" s="93">
        <f>(K14-L14-M14)+2</f>
        <v>23</v>
      </c>
      <c r="P14" s="93">
        <f t="shared" si="1"/>
        <v>0.91954022988505746</v>
      </c>
      <c r="Q14" s="93">
        <f t="shared" si="2"/>
        <v>6.8965517241379309E-2</v>
      </c>
      <c r="R14" s="93">
        <f t="shared" si="3"/>
        <v>1.1494252873563218E-2</v>
      </c>
      <c r="S14" s="93">
        <f t="shared" si="4"/>
        <v>0.91710526315789476</v>
      </c>
      <c r="T14" s="93">
        <f t="shared" si="5"/>
        <v>4.6052631578947366E-2</v>
      </c>
      <c r="U14" s="93">
        <f t="shared" si="6"/>
        <v>4.2105263157894736E-2</v>
      </c>
      <c r="V14" s="93">
        <f t="shared" si="7"/>
        <v>0.86990291262135921</v>
      </c>
      <c r="W14" s="93">
        <f t="shared" si="8"/>
        <v>8.9320388349514557E-2</v>
      </c>
      <c r="X14" s="93">
        <f t="shared" si="9"/>
        <v>4.4660194174757278E-2</v>
      </c>
    </row>
    <row r="15" spans="1:24">
      <c r="A15" s="328">
        <v>21</v>
      </c>
      <c r="B15" s="93" t="s">
        <v>462</v>
      </c>
      <c r="C15" s="93">
        <v>1</v>
      </c>
      <c r="D15" s="93">
        <v>1</v>
      </c>
      <c r="E15" s="93">
        <v>0</v>
      </c>
      <c r="F15" s="93">
        <f t="shared" si="10"/>
        <v>0</v>
      </c>
      <c r="G15" s="93">
        <v>39</v>
      </c>
      <c r="H15" s="93">
        <v>37</v>
      </c>
      <c r="I15" s="93">
        <v>2</v>
      </c>
      <c r="J15" s="93">
        <f t="shared" si="11"/>
        <v>0</v>
      </c>
      <c r="K15" s="93">
        <v>10</v>
      </c>
      <c r="L15" s="93">
        <v>10</v>
      </c>
      <c r="M15" s="93">
        <v>0</v>
      </c>
      <c r="N15" s="93">
        <f t="shared" si="12"/>
        <v>0</v>
      </c>
      <c r="P15" s="93">
        <f t="shared" si="1"/>
        <v>1</v>
      </c>
      <c r="Q15" s="93">
        <f t="shared" si="2"/>
        <v>0</v>
      </c>
      <c r="R15" s="93">
        <f t="shared" si="3"/>
        <v>0</v>
      </c>
      <c r="S15" s="93">
        <f t="shared" si="4"/>
        <v>0.94871794871794868</v>
      </c>
      <c r="T15" s="93">
        <f t="shared" si="5"/>
        <v>5.128205128205128E-2</v>
      </c>
      <c r="U15" s="93">
        <f t="shared" si="6"/>
        <v>0</v>
      </c>
      <c r="V15" s="93">
        <f t="shared" si="7"/>
        <v>1</v>
      </c>
      <c r="W15" s="93">
        <f t="shared" si="8"/>
        <v>0</v>
      </c>
      <c r="X15" s="93">
        <f t="shared" si="9"/>
        <v>0</v>
      </c>
    </row>
    <row r="16" spans="1:24">
      <c r="A16" s="328">
        <v>23</v>
      </c>
      <c r="B16" s="93" t="s">
        <v>463</v>
      </c>
      <c r="C16" s="93">
        <v>16</v>
      </c>
      <c r="D16" s="93">
        <v>16</v>
      </c>
      <c r="E16" s="93">
        <v>0</v>
      </c>
      <c r="F16" s="93">
        <f t="shared" si="10"/>
        <v>0</v>
      </c>
      <c r="G16" s="93">
        <v>212</v>
      </c>
      <c r="H16" s="93">
        <v>184</v>
      </c>
      <c r="I16" s="93">
        <v>13</v>
      </c>
      <c r="J16" s="93">
        <f t="shared" si="11"/>
        <v>15</v>
      </c>
      <c r="K16" s="93">
        <v>167</v>
      </c>
      <c r="L16" s="93">
        <v>141</v>
      </c>
      <c r="M16" s="93">
        <v>18</v>
      </c>
      <c r="N16" s="93">
        <f t="shared" si="12"/>
        <v>8</v>
      </c>
      <c r="P16" s="93">
        <f t="shared" si="1"/>
        <v>1</v>
      </c>
      <c r="Q16" s="93">
        <f t="shared" si="2"/>
        <v>0</v>
      </c>
      <c r="R16" s="93">
        <f t="shared" si="3"/>
        <v>0</v>
      </c>
      <c r="S16" s="93">
        <f t="shared" si="4"/>
        <v>0.86792452830188682</v>
      </c>
      <c r="T16" s="93">
        <f t="shared" si="5"/>
        <v>6.1320754716981132E-2</v>
      </c>
      <c r="U16" s="93">
        <f t="shared" si="6"/>
        <v>7.0754716981132074E-2</v>
      </c>
      <c r="V16" s="93">
        <f t="shared" si="7"/>
        <v>0.84431137724550898</v>
      </c>
      <c r="W16" s="93">
        <f t="shared" si="8"/>
        <v>0.10778443113772455</v>
      </c>
      <c r="X16" s="93">
        <f t="shared" si="9"/>
        <v>4.790419161676647E-2</v>
      </c>
    </row>
    <row r="17" spans="1:24">
      <c r="A17" s="328">
        <v>25</v>
      </c>
      <c r="B17" s="93" t="s">
        <v>464</v>
      </c>
      <c r="C17" s="93">
        <v>13</v>
      </c>
      <c r="D17" s="93">
        <v>8</v>
      </c>
      <c r="E17" s="93">
        <v>4</v>
      </c>
      <c r="F17" s="93">
        <f t="shared" si="10"/>
        <v>1</v>
      </c>
      <c r="G17" s="93">
        <v>199</v>
      </c>
      <c r="H17" s="93">
        <v>145</v>
      </c>
      <c r="I17" s="93">
        <v>46</v>
      </c>
      <c r="J17" s="93">
        <f t="shared" si="11"/>
        <v>8</v>
      </c>
      <c r="K17" s="93">
        <v>104</v>
      </c>
      <c r="L17" s="93">
        <v>73</v>
      </c>
      <c r="M17" s="93">
        <v>23</v>
      </c>
      <c r="N17" s="93">
        <f t="shared" si="12"/>
        <v>8</v>
      </c>
      <c r="P17" s="93">
        <f t="shared" si="1"/>
        <v>0.61538461538461542</v>
      </c>
      <c r="Q17" s="93">
        <f t="shared" si="2"/>
        <v>0.30769230769230771</v>
      </c>
      <c r="R17" s="93">
        <f t="shared" si="3"/>
        <v>7.6923076923076927E-2</v>
      </c>
      <c r="S17" s="93">
        <f t="shared" si="4"/>
        <v>0.72864321608040206</v>
      </c>
      <c r="T17" s="93">
        <f t="shared" si="5"/>
        <v>0.23115577889447236</v>
      </c>
      <c r="U17" s="93">
        <f t="shared" si="6"/>
        <v>4.0201005025125629E-2</v>
      </c>
      <c r="V17" s="93">
        <f t="shared" si="7"/>
        <v>0.70192307692307687</v>
      </c>
      <c r="W17" s="93">
        <f t="shared" si="8"/>
        <v>0.22115384615384615</v>
      </c>
      <c r="X17" s="93">
        <f t="shared" si="9"/>
        <v>7.6923076923076927E-2</v>
      </c>
    </row>
    <row r="18" spans="1:24">
      <c r="A18" s="328">
        <v>27</v>
      </c>
      <c r="B18" s="93" t="s">
        <v>465</v>
      </c>
      <c r="C18" s="93">
        <v>8</v>
      </c>
      <c r="D18" s="93">
        <v>8</v>
      </c>
      <c r="E18" s="93">
        <v>0</v>
      </c>
      <c r="F18" s="93">
        <f t="shared" si="10"/>
        <v>0</v>
      </c>
      <c r="G18" s="93">
        <v>50</v>
      </c>
      <c r="H18" s="93">
        <v>44</v>
      </c>
      <c r="I18" s="93">
        <v>3</v>
      </c>
      <c r="J18" s="93">
        <f t="shared" si="11"/>
        <v>3</v>
      </c>
      <c r="K18" s="93">
        <v>42</v>
      </c>
      <c r="L18" s="93">
        <v>36</v>
      </c>
      <c r="M18" s="93">
        <v>2</v>
      </c>
      <c r="N18" s="93">
        <f t="shared" si="12"/>
        <v>4</v>
      </c>
      <c r="P18" s="93">
        <f t="shared" si="1"/>
        <v>1</v>
      </c>
      <c r="Q18" s="93">
        <f t="shared" si="2"/>
        <v>0</v>
      </c>
      <c r="R18" s="93">
        <f t="shared" si="3"/>
        <v>0</v>
      </c>
      <c r="S18" s="93">
        <f t="shared" si="4"/>
        <v>0.88</v>
      </c>
      <c r="T18" s="93">
        <f t="shared" si="5"/>
        <v>0.06</v>
      </c>
      <c r="U18" s="93">
        <f t="shared" si="6"/>
        <v>0.06</v>
      </c>
      <c r="V18" s="93">
        <f t="shared" si="7"/>
        <v>0.8571428571428571</v>
      </c>
      <c r="W18" s="93">
        <f t="shared" si="8"/>
        <v>4.7619047619047616E-2</v>
      </c>
      <c r="X18" s="93">
        <f t="shared" si="9"/>
        <v>9.5238095238095233E-2</v>
      </c>
    </row>
    <row r="19" spans="1:24">
      <c r="A19" s="328">
        <v>29</v>
      </c>
      <c r="B19" s="93" t="s">
        <v>466</v>
      </c>
      <c r="C19" s="93">
        <v>13</v>
      </c>
      <c r="D19" s="93">
        <v>8</v>
      </c>
      <c r="E19" s="93">
        <v>5</v>
      </c>
      <c r="F19" s="93">
        <f t="shared" si="10"/>
        <v>0</v>
      </c>
      <c r="G19" s="93">
        <v>197</v>
      </c>
      <c r="H19" s="93">
        <v>163</v>
      </c>
      <c r="I19" s="93">
        <v>27</v>
      </c>
      <c r="J19" s="93">
        <f t="shared" si="11"/>
        <v>7</v>
      </c>
      <c r="K19" s="93">
        <v>88</v>
      </c>
      <c r="L19" s="93">
        <v>72</v>
      </c>
      <c r="M19" s="93">
        <v>16</v>
      </c>
      <c r="N19" s="93">
        <f t="shared" si="12"/>
        <v>0</v>
      </c>
      <c r="P19" s="93">
        <f t="shared" si="1"/>
        <v>0.61538461538461542</v>
      </c>
      <c r="Q19" s="93">
        <f t="shared" si="2"/>
        <v>0.38461538461538464</v>
      </c>
      <c r="R19" s="93">
        <f t="shared" si="3"/>
        <v>0</v>
      </c>
      <c r="S19" s="93">
        <f t="shared" si="4"/>
        <v>0.82741116751269039</v>
      </c>
      <c r="T19" s="93">
        <f t="shared" si="5"/>
        <v>0.13705583756345177</v>
      </c>
      <c r="U19" s="93">
        <f t="shared" si="6"/>
        <v>3.553299492385787E-2</v>
      </c>
      <c r="V19" s="93">
        <f t="shared" si="7"/>
        <v>0.81818181818181823</v>
      </c>
      <c r="W19" s="93">
        <f t="shared" si="8"/>
        <v>0.18181818181818182</v>
      </c>
      <c r="X19" s="93">
        <f t="shared" si="9"/>
        <v>0</v>
      </c>
    </row>
    <row r="20" spans="1:24">
      <c r="A20" s="328">
        <v>31</v>
      </c>
      <c r="B20" s="93" t="s">
        <v>467</v>
      </c>
      <c r="C20" s="93">
        <v>37</v>
      </c>
      <c r="D20" s="93">
        <v>34</v>
      </c>
      <c r="E20" s="93">
        <v>2</v>
      </c>
      <c r="F20" s="93">
        <f t="shared" si="10"/>
        <v>1</v>
      </c>
      <c r="G20" s="93">
        <v>672</v>
      </c>
      <c r="H20" s="93">
        <v>604</v>
      </c>
      <c r="I20" s="93">
        <v>40</v>
      </c>
      <c r="J20" s="93">
        <f t="shared" si="11"/>
        <v>28</v>
      </c>
      <c r="K20" s="93">
        <v>310</v>
      </c>
      <c r="L20" s="93">
        <v>277</v>
      </c>
      <c r="M20" s="93">
        <v>26</v>
      </c>
      <c r="N20" s="93">
        <f t="shared" si="12"/>
        <v>7</v>
      </c>
      <c r="P20" s="93">
        <f t="shared" si="1"/>
        <v>0.91891891891891897</v>
      </c>
      <c r="Q20" s="93">
        <f t="shared" si="2"/>
        <v>5.4054054054054057E-2</v>
      </c>
      <c r="R20" s="93">
        <f t="shared" si="3"/>
        <v>2.7027027027027029E-2</v>
      </c>
      <c r="S20" s="93">
        <f t="shared" si="4"/>
        <v>0.89880952380952384</v>
      </c>
      <c r="T20" s="93">
        <f t="shared" si="5"/>
        <v>5.9523809523809521E-2</v>
      </c>
      <c r="U20" s="93">
        <f t="shared" si="6"/>
        <v>4.1666666666666664E-2</v>
      </c>
      <c r="V20" s="93">
        <f t="shared" si="7"/>
        <v>0.8935483870967742</v>
      </c>
      <c r="W20" s="93">
        <f t="shared" si="8"/>
        <v>8.387096774193549E-2</v>
      </c>
      <c r="X20" s="93">
        <f t="shared" si="9"/>
        <v>2.2580645161290321E-2</v>
      </c>
    </row>
    <row r="21" spans="1:24">
      <c r="A21" s="328">
        <v>33</v>
      </c>
      <c r="B21" s="93" t="s">
        <v>468</v>
      </c>
      <c r="C21" s="93">
        <v>46</v>
      </c>
      <c r="D21" s="93">
        <v>39</v>
      </c>
      <c r="E21" s="93">
        <v>6</v>
      </c>
      <c r="F21" s="93">
        <f t="shared" si="10"/>
        <v>1</v>
      </c>
      <c r="G21" s="93">
        <v>606</v>
      </c>
      <c r="H21" s="93">
        <v>501</v>
      </c>
      <c r="I21" s="93">
        <v>63</v>
      </c>
      <c r="J21" s="93">
        <f t="shared" si="11"/>
        <v>42</v>
      </c>
      <c r="K21" s="93">
        <v>364</v>
      </c>
      <c r="L21" s="93">
        <v>284</v>
      </c>
      <c r="M21" s="93">
        <v>62</v>
      </c>
      <c r="N21" s="93">
        <f t="shared" si="12"/>
        <v>18</v>
      </c>
      <c r="P21" s="93">
        <f t="shared" si="1"/>
        <v>0.84782608695652173</v>
      </c>
      <c r="Q21" s="93">
        <f t="shared" si="2"/>
        <v>0.13043478260869565</v>
      </c>
      <c r="R21" s="93">
        <f t="shared" si="3"/>
        <v>2.1739130434782608E-2</v>
      </c>
      <c r="S21" s="93">
        <f t="shared" si="4"/>
        <v>0.82673267326732669</v>
      </c>
      <c r="T21" s="93">
        <f t="shared" si="5"/>
        <v>0.10396039603960396</v>
      </c>
      <c r="U21" s="93">
        <f t="shared" si="6"/>
        <v>6.9306930693069313E-2</v>
      </c>
      <c r="V21" s="93">
        <f t="shared" si="7"/>
        <v>0.78021978021978022</v>
      </c>
      <c r="W21" s="93">
        <f t="shared" si="8"/>
        <v>0.17032967032967034</v>
      </c>
      <c r="X21" s="93">
        <f t="shared" si="9"/>
        <v>4.9450549450549448E-2</v>
      </c>
    </row>
    <row r="22" spans="1:24">
      <c r="A22" s="328">
        <v>35</v>
      </c>
      <c r="B22" s="93" t="s">
        <v>469</v>
      </c>
      <c r="C22" s="93">
        <v>34</v>
      </c>
      <c r="D22" s="93">
        <v>33</v>
      </c>
      <c r="E22" s="93">
        <v>0</v>
      </c>
      <c r="F22" s="93">
        <f t="shared" si="10"/>
        <v>1</v>
      </c>
      <c r="G22" s="93">
        <v>457</v>
      </c>
      <c r="H22" s="93">
        <v>425</v>
      </c>
      <c r="I22" s="93">
        <v>5</v>
      </c>
      <c r="J22" s="93">
        <f t="shared" si="11"/>
        <v>27</v>
      </c>
      <c r="K22" s="93">
        <v>344</v>
      </c>
      <c r="L22" s="93">
        <v>314</v>
      </c>
      <c r="M22" s="93">
        <v>6</v>
      </c>
      <c r="N22" s="93">
        <f t="shared" si="12"/>
        <v>24</v>
      </c>
      <c r="P22" s="93">
        <f t="shared" si="1"/>
        <v>0.97058823529411764</v>
      </c>
      <c r="Q22" s="93">
        <f t="shared" si="2"/>
        <v>0</v>
      </c>
      <c r="R22" s="93">
        <f t="shared" si="3"/>
        <v>2.9411764705882353E-2</v>
      </c>
      <c r="S22" s="93">
        <f t="shared" si="4"/>
        <v>0.92997811816192555</v>
      </c>
      <c r="T22" s="93">
        <f t="shared" si="5"/>
        <v>1.0940919037199124E-2</v>
      </c>
      <c r="U22" s="93">
        <f t="shared" si="6"/>
        <v>5.9080962800875277E-2</v>
      </c>
      <c r="V22" s="93">
        <f t="shared" si="7"/>
        <v>0.91279069767441856</v>
      </c>
      <c r="W22" s="93">
        <f t="shared" si="8"/>
        <v>1.7441860465116279E-2</v>
      </c>
      <c r="X22" s="93">
        <f t="shared" si="9"/>
        <v>6.9767441860465115E-2</v>
      </c>
    </row>
    <row r="23" spans="1:24">
      <c r="A23" s="328">
        <v>36</v>
      </c>
      <c r="B23" s="93" t="s">
        <v>470</v>
      </c>
      <c r="C23" s="93">
        <v>3</v>
      </c>
      <c r="D23" s="93">
        <v>3</v>
      </c>
      <c r="E23" s="93">
        <v>0</v>
      </c>
      <c r="F23" s="93">
        <f t="shared" si="10"/>
        <v>0</v>
      </c>
      <c r="G23" s="93">
        <v>78</v>
      </c>
      <c r="H23" s="93">
        <v>47</v>
      </c>
      <c r="I23" s="93">
        <v>4</v>
      </c>
      <c r="J23" s="93">
        <f t="shared" si="11"/>
        <v>27</v>
      </c>
      <c r="K23" s="93">
        <v>26</v>
      </c>
      <c r="L23" s="93">
        <v>18</v>
      </c>
      <c r="M23" s="93">
        <v>4</v>
      </c>
      <c r="N23" s="93">
        <f t="shared" si="12"/>
        <v>4</v>
      </c>
      <c r="P23" s="93">
        <f t="shared" si="1"/>
        <v>1</v>
      </c>
      <c r="Q23" s="93">
        <f t="shared" si="2"/>
        <v>0</v>
      </c>
      <c r="R23" s="93">
        <f t="shared" si="3"/>
        <v>0</v>
      </c>
      <c r="S23" s="93">
        <f t="shared" si="4"/>
        <v>0.60256410256410253</v>
      </c>
      <c r="T23" s="93">
        <f t="shared" si="5"/>
        <v>5.128205128205128E-2</v>
      </c>
      <c r="U23" s="93">
        <f t="shared" si="6"/>
        <v>0.34615384615384615</v>
      </c>
      <c r="V23" s="93">
        <f t="shared" si="7"/>
        <v>0.69230769230769229</v>
      </c>
      <c r="W23" s="93">
        <f t="shared" si="8"/>
        <v>0.15384615384615385</v>
      </c>
      <c r="X23" s="93">
        <f t="shared" si="9"/>
        <v>0.15384615384615385</v>
      </c>
    </row>
    <row r="24" spans="1:24">
      <c r="A24" s="328">
        <v>37</v>
      </c>
      <c r="B24" s="93" t="s">
        <v>471</v>
      </c>
      <c r="C24" s="93">
        <v>10</v>
      </c>
      <c r="D24" s="93">
        <v>9</v>
      </c>
      <c r="E24" s="93">
        <v>1</v>
      </c>
      <c r="F24" s="93">
        <f t="shared" si="10"/>
        <v>0</v>
      </c>
      <c r="G24" s="93">
        <v>164</v>
      </c>
      <c r="H24" s="93">
        <v>133</v>
      </c>
      <c r="I24" s="93">
        <v>22</v>
      </c>
      <c r="J24" s="93">
        <f t="shared" si="11"/>
        <v>9</v>
      </c>
      <c r="K24" s="93">
        <v>100</v>
      </c>
      <c r="L24" s="93">
        <v>75</v>
      </c>
      <c r="M24" s="93">
        <v>21</v>
      </c>
      <c r="N24" s="93">
        <f t="shared" si="12"/>
        <v>4</v>
      </c>
      <c r="P24" s="93">
        <f t="shared" si="1"/>
        <v>0.9</v>
      </c>
      <c r="Q24" s="93">
        <f t="shared" si="2"/>
        <v>0.1</v>
      </c>
      <c r="R24" s="93">
        <f t="shared" si="3"/>
        <v>0</v>
      </c>
      <c r="S24" s="93">
        <f t="shared" si="4"/>
        <v>0.81097560975609762</v>
      </c>
      <c r="T24" s="93">
        <f t="shared" si="5"/>
        <v>0.13414634146341464</v>
      </c>
      <c r="U24" s="93">
        <f t="shared" si="6"/>
        <v>5.4878048780487805E-2</v>
      </c>
      <c r="V24" s="93">
        <f t="shared" si="7"/>
        <v>0.75</v>
      </c>
      <c r="W24" s="93">
        <f t="shared" si="8"/>
        <v>0.21</v>
      </c>
      <c r="X24" s="93">
        <f t="shared" si="9"/>
        <v>0.04</v>
      </c>
    </row>
    <row r="25" spans="1:24">
      <c r="A25" s="328">
        <v>41</v>
      </c>
      <c r="B25" s="93" t="s">
        <v>709</v>
      </c>
      <c r="C25" s="93">
        <v>650</v>
      </c>
      <c r="D25" s="93">
        <v>564</v>
      </c>
      <c r="E25" s="93">
        <v>57</v>
      </c>
      <c r="F25" s="93">
        <f>(C25-D25-E25)+3</f>
        <v>32</v>
      </c>
      <c r="G25" s="93">
        <v>14927</v>
      </c>
      <c r="H25" s="93">
        <v>12410</v>
      </c>
      <c r="I25" s="93">
        <v>1545</v>
      </c>
      <c r="J25" s="93">
        <f>(G25-H25-I25)+20</f>
        <v>992</v>
      </c>
      <c r="K25" s="93">
        <v>8746</v>
      </c>
      <c r="L25" s="93">
        <v>7085</v>
      </c>
      <c r="M25" s="93">
        <v>1130</v>
      </c>
      <c r="N25" s="93">
        <f>(K25-L25-M25)+13</f>
        <v>544</v>
      </c>
      <c r="P25" s="93">
        <f t="shared" si="1"/>
        <v>0.86769230769230765</v>
      </c>
      <c r="Q25" s="93">
        <f t="shared" si="2"/>
        <v>8.7692307692307694E-2</v>
      </c>
      <c r="R25" s="93">
        <f t="shared" si="3"/>
        <v>4.9230769230769231E-2</v>
      </c>
      <c r="S25" s="93">
        <f t="shared" si="4"/>
        <v>0.83137937964761843</v>
      </c>
      <c r="T25" s="93">
        <f t="shared" si="5"/>
        <v>0.10350371809472768</v>
      </c>
      <c r="U25" s="93">
        <f t="shared" si="6"/>
        <v>6.6456756213572721E-2</v>
      </c>
      <c r="V25" s="93">
        <f t="shared" si="7"/>
        <v>0.81008461010747768</v>
      </c>
      <c r="W25" s="93">
        <f t="shared" si="8"/>
        <v>0.12920192087811572</v>
      </c>
      <c r="X25" s="93">
        <f t="shared" si="9"/>
        <v>6.2199862794420309E-2</v>
      </c>
    </row>
    <row r="26" spans="1:24">
      <c r="A26" s="328">
        <v>43</v>
      </c>
      <c r="B26" s="93" t="s">
        <v>472</v>
      </c>
      <c r="C26" s="93">
        <v>19</v>
      </c>
      <c r="D26" s="93">
        <v>17</v>
      </c>
      <c r="E26" s="93">
        <v>1</v>
      </c>
      <c r="F26" s="93">
        <f t="shared" si="10"/>
        <v>1</v>
      </c>
      <c r="G26" s="93">
        <v>304</v>
      </c>
      <c r="H26" s="93">
        <v>276</v>
      </c>
      <c r="I26" s="93">
        <v>5</v>
      </c>
      <c r="J26" s="93">
        <f t="shared" si="11"/>
        <v>23</v>
      </c>
      <c r="K26" s="93">
        <v>186</v>
      </c>
      <c r="L26" s="93">
        <v>167</v>
      </c>
      <c r="M26" s="93">
        <v>8</v>
      </c>
      <c r="N26" s="93">
        <f t="shared" si="12"/>
        <v>11</v>
      </c>
      <c r="P26" s="93">
        <f t="shared" si="1"/>
        <v>0.89473684210526316</v>
      </c>
      <c r="Q26" s="93">
        <f t="shared" si="2"/>
        <v>5.2631578947368418E-2</v>
      </c>
      <c r="R26" s="93">
        <f t="shared" si="3"/>
        <v>5.2631578947368418E-2</v>
      </c>
      <c r="S26" s="93">
        <f t="shared" si="4"/>
        <v>0.90789473684210531</v>
      </c>
      <c r="T26" s="93">
        <f t="shared" si="5"/>
        <v>1.6447368421052631E-2</v>
      </c>
      <c r="U26" s="93">
        <f t="shared" si="6"/>
        <v>7.5657894736842105E-2</v>
      </c>
      <c r="V26" s="93">
        <f t="shared" si="7"/>
        <v>0.89784946236559138</v>
      </c>
      <c r="W26" s="93">
        <f t="shared" si="8"/>
        <v>4.3010752688172046E-2</v>
      </c>
      <c r="X26" s="93">
        <f t="shared" si="9"/>
        <v>5.9139784946236562E-2</v>
      </c>
    </row>
    <row r="27" spans="1:24">
      <c r="A27" s="328">
        <v>45</v>
      </c>
      <c r="B27" s="93" t="s">
        <v>473</v>
      </c>
      <c r="C27" s="93">
        <v>5</v>
      </c>
      <c r="D27" s="93">
        <v>5</v>
      </c>
      <c r="E27" s="93">
        <v>0</v>
      </c>
      <c r="F27" s="93">
        <f t="shared" si="10"/>
        <v>0</v>
      </c>
      <c r="G27" s="93">
        <v>24</v>
      </c>
      <c r="H27" s="93">
        <v>18</v>
      </c>
      <c r="I27" s="93">
        <v>1</v>
      </c>
      <c r="J27" s="93">
        <f t="shared" si="11"/>
        <v>5</v>
      </c>
      <c r="K27" s="93">
        <v>18</v>
      </c>
      <c r="L27" s="93">
        <v>17</v>
      </c>
      <c r="M27" s="93">
        <v>0</v>
      </c>
      <c r="N27" s="93">
        <f t="shared" si="12"/>
        <v>1</v>
      </c>
      <c r="P27" s="93">
        <f t="shared" si="1"/>
        <v>1</v>
      </c>
      <c r="Q27" s="93">
        <f t="shared" si="2"/>
        <v>0</v>
      </c>
      <c r="R27" s="93">
        <f t="shared" si="3"/>
        <v>0</v>
      </c>
      <c r="S27" s="93">
        <f t="shared" si="4"/>
        <v>0.75</v>
      </c>
      <c r="T27" s="93">
        <f t="shared" si="5"/>
        <v>4.1666666666666664E-2</v>
      </c>
      <c r="U27" s="93">
        <f t="shared" si="6"/>
        <v>0.20833333333333334</v>
      </c>
      <c r="V27" s="93">
        <f t="shared" si="7"/>
        <v>0.94444444444444442</v>
      </c>
      <c r="W27" s="93">
        <f t="shared" si="8"/>
        <v>0</v>
      </c>
      <c r="X27" s="93">
        <f t="shared" si="9"/>
        <v>5.5555555555555552E-2</v>
      </c>
    </row>
    <row r="28" spans="1:24">
      <c r="A28" s="328">
        <v>47</v>
      </c>
      <c r="B28" s="93" t="s">
        <v>474</v>
      </c>
      <c r="C28" s="93">
        <v>95</v>
      </c>
      <c r="D28" s="93">
        <v>83</v>
      </c>
      <c r="E28" s="93">
        <v>7</v>
      </c>
      <c r="F28" s="93">
        <f t="shared" si="10"/>
        <v>5</v>
      </c>
      <c r="G28" s="93">
        <v>2527</v>
      </c>
      <c r="H28" s="93">
        <v>2116</v>
      </c>
      <c r="I28" s="93">
        <v>193</v>
      </c>
      <c r="J28" s="93">
        <f t="shared" si="11"/>
        <v>218</v>
      </c>
      <c r="K28" s="93">
        <v>1584</v>
      </c>
      <c r="L28" s="93">
        <v>1282</v>
      </c>
      <c r="M28" s="93">
        <v>176</v>
      </c>
      <c r="N28" s="93">
        <f t="shared" si="12"/>
        <v>126</v>
      </c>
      <c r="P28" s="93">
        <f t="shared" si="1"/>
        <v>0.87368421052631584</v>
      </c>
      <c r="Q28" s="93">
        <f t="shared" si="2"/>
        <v>7.3684210526315783E-2</v>
      </c>
      <c r="R28" s="93">
        <f t="shared" si="3"/>
        <v>5.2631578947368418E-2</v>
      </c>
      <c r="S28" s="93">
        <f t="shared" si="4"/>
        <v>0.83735654926790659</v>
      </c>
      <c r="T28" s="93">
        <f t="shared" si="5"/>
        <v>7.6375148397309064E-2</v>
      </c>
      <c r="U28" s="93">
        <f t="shared" si="6"/>
        <v>8.626830233478433E-2</v>
      </c>
      <c r="V28" s="93">
        <f t="shared" si="7"/>
        <v>0.80934343434343436</v>
      </c>
      <c r="W28" s="93">
        <f t="shared" si="8"/>
        <v>0.1111111111111111</v>
      </c>
      <c r="X28" s="93">
        <f t="shared" si="9"/>
        <v>7.9545454545454544E-2</v>
      </c>
    </row>
    <row r="29" spans="1:24">
      <c r="A29" s="328">
        <v>49</v>
      </c>
      <c r="B29" s="93" t="s">
        <v>475</v>
      </c>
      <c r="C29" s="93">
        <v>3</v>
      </c>
      <c r="D29" s="93">
        <v>1</v>
      </c>
      <c r="E29" s="93">
        <v>2</v>
      </c>
      <c r="F29" s="93">
        <f t="shared" si="10"/>
        <v>0</v>
      </c>
      <c r="G29" s="93">
        <v>111</v>
      </c>
      <c r="H29" s="93">
        <v>92</v>
      </c>
      <c r="I29" s="93">
        <v>15</v>
      </c>
      <c r="J29" s="93">
        <f t="shared" si="11"/>
        <v>4</v>
      </c>
      <c r="K29" s="93">
        <v>95</v>
      </c>
      <c r="L29" s="93">
        <v>67</v>
      </c>
      <c r="M29" s="93">
        <v>27</v>
      </c>
      <c r="N29" s="93">
        <f t="shared" si="12"/>
        <v>1</v>
      </c>
      <c r="P29" s="93">
        <f t="shared" si="1"/>
        <v>0.33333333333333331</v>
      </c>
      <c r="Q29" s="93">
        <f t="shared" si="2"/>
        <v>0.66666666666666663</v>
      </c>
      <c r="R29" s="93">
        <f t="shared" si="3"/>
        <v>0</v>
      </c>
      <c r="S29" s="93">
        <f t="shared" si="4"/>
        <v>0.8288288288288288</v>
      </c>
      <c r="T29" s="93">
        <f t="shared" si="5"/>
        <v>0.13513513513513514</v>
      </c>
      <c r="U29" s="93">
        <f t="shared" si="6"/>
        <v>3.6036036036036036E-2</v>
      </c>
      <c r="V29" s="93">
        <f t="shared" si="7"/>
        <v>0.70526315789473681</v>
      </c>
      <c r="W29" s="93">
        <f t="shared" si="8"/>
        <v>0.28421052631578947</v>
      </c>
      <c r="X29" s="93">
        <f t="shared" si="9"/>
        <v>1.0526315789473684E-2</v>
      </c>
    </row>
    <row r="30" spans="1:24">
      <c r="A30" s="328">
        <v>51</v>
      </c>
      <c r="B30" s="93" t="s">
        <v>476</v>
      </c>
      <c r="C30" s="93">
        <v>7</v>
      </c>
      <c r="D30" s="93">
        <v>7</v>
      </c>
      <c r="E30" s="93">
        <v>0</v>
      </c>
      <c r="F30" s="93">
        <f t="shared" si="10"/>
        <v>0</v>
      </c>
      <c r="G30" s="93">
        <v>53</v>
      </c>
      <c r="H30" s="93">
        <v>45</v>
      </c>
      <c r="I30" s="93">
        <v>4</v>
      </c>
      <c r="J30" s="93">
        <f t="shared" si="11"/>
        <v>4</v>
      </c>
      <c r="K30" s="93">
        <v>34</v>
      </c>
      <c r="L30" s="93">
        <v>30</v>
      </c>
      <c r="M30" s="93">
        <v>1</v>
      </c>
      <c r="N30" s="93">
        <f t="shared" si="12"/>
        <v>3</v>
      </c>
      <c r="P30" s="93">
        <f t="shared" si="1"/>
        <v>1</v>
      </c>
      <c r="Q30" s="93">
        <f t="shared" si="2"/>
        <v>0</v>
      </c>
      <c r="R30" s="93">
        <f t="shared" si="3"/>
        <v>0</v>
      </c>
      <c r="S30" s="93">
        <f t="shared" si="4"/>
        <v>0.84905660377358494</v>
      </c>
      <c r="T30" s="93">
        <f t="shared" si="5"/>
        <v>7.5471698113207544E-2</v>
      </c>
      <c r="U30" s="93">
        <f t="shared" si="6"/>
        <v>7.5471698113207544E-2</v>
      </c>
      <c r="V30" s="93">
        <f t="shared" si="7"/>
        <v>0.88235294117647056</v>
      </c>
      <c r="W30" s="93">
        <f t="shared" si="8"/>
        <v>2.9411764705882353E-2</v>
      </c>
      <c r="X30" s="93">
        <f t="shared" si="9"/>
        <v>8.8235294117647065E-2</v>
      </c>
    </row>
    <row r="31" spans="1:24">
      <c r="A31" s="328">
        <v>53</v>
      </c>
      <c r="B31" s="93" t="s">
        <v>477</v>
      </c>
      <c r="C31" s="93">
        <v>16</v>
      </c>
      <c r="D31" s="93">
        <v>7</v>
      </c>
      <c r="E31" s="93">
        <v>8</v>
      </c>
      <c r="F31" s="93">
        <f t="shared" si="10"/>
        <v>1</v>
      </c>
      <c r="G31" s="93">
        <v>425</v>
      </c>
      <c r="H31" s="93">
        <v>317</v>
      </c>
      <c r="I31" s="93">
        <v>84</v>
      </c>
      <c r="J31" s="93">
        <f t="shared" si="11"/>
        <v>24</v>
      </c>
      <c r="K31" s="93">
        <v>299</v>
      </c>
      <c r="L31" s="93">
        <v>221</v>
      </c>
      <c r="M31" s="93">
        <v>65</v>
      </c>
      <c r="N31" s="93">
        <f t="shared" si="12"/>
        <v>13</v>
      </c>
      <c r="P31" s="93">
        <f t="shared" si="1"/>
        <v>0.4375</v>
      </c>
      <c r="Q31" s="93">
        <f t="shared" si="2"/>
        <v>0.5</v>
      </c>
      <c r="R31" s="93">
        <f t="shared" si="3"/>
        <v>6.25E-2</v>
      </c>
      <c r="S31" s="93">
        <f t="shared" si="4"/>
        <v>0.74588235294117644</v>
      </c>
      <c r="T31" s="93">
        <f t="shared" si="5"/>
        <v>0.1976470588235294</v>
      </c>
      <c r="U31" s="93">
        <f t="shared" si="6"/>
        <v>5.647058823529412E-2</v>
      </c>
      <c r="V31" s="93">
        <f t="shared" si="7"/>
        <v>0.73913043478260865</v>
      </c>
      <c r="W31" s="93">
        <f t="shared" si="8"/>
        <v>0.21739130434782608</v>
      </c>
      <c r="X31" s="93">
        <f t="shared" si="9"/>
        <v>4.3478260869565216E-2</v>
      </c>
    </row>
    <row r="32" spans="1:24">
      <c r="A32" s="328">
        <v>57</v>
      </c>
      <c r="B32" s="93" t="s">
        <v>478</v>
      </c>
      <c r="C32" s="93">
        <v>19</v>
      </c>
      <c r="D32" s="93">
        <v>16</v>
      </c>
      <c r="E32" s="93">
        <v>2</v>
      </c>
      <c r="F32" s="93">
        <f t="shared" si="10"/>
        <v>1</v>
      </c>
      <c r="G32" s="93">
        <v>222</v>
      </c>
      <c r="H32" s="93">
        <v>151</v>
      </c>
      <c r="I32" s="93">
        <v>18</v>
      </c>
      <c r="J32" s="93">
        <f t="shared" si="11"/>
        <v>53</v>
      </c>
      <c r="K32" s="93">
        <v>116</v>
      </c>
      <c r="L32" s="93">
        <v>80</v>
      </c>
      <c r="M32" s="93">
        <v>22</v>
      </c>
      <c r="N32" s="93">
        <f t="shared" si="12"/>
        <v>14</v>
      </c>
      <c r="P32" s="93">
        <f t="shared" si="1"/>
        <v>0.84210526315789469</v>
      </c>
      <c r="Q32" s="93">
        <f t="shared" si="2"/>
        <v>0.10526315789473684</v>
      </c>
      <c r="R32" s="93">
        <f t="shared" si="3"/>
        <v>5.2631578947368418E-2</v>
      </c>
      <c r="S32" s="93">
        <f t="shared" si="4"/>
        <v>0.68018018018018023</v>
      </c>
      <c r="T32" s="93">
        <f t="shared" si="5"/>
        <v>8.1081081081081086E-2</v>
      </c>
      <c r="U32" s="93">
        <f t="shared" si="6"/>
        <v>0.23873873873873874</v>
      </c>
      <c r="V32" s="93">
        <f t="shared" si="7"/>
        <v>0.68965517241379315</v>
      </c>
      <c r="W32" s="93">
        <f t="shared" si="8"/>
        <v>0.18965517241379309</v>
      </c>
      <c r="X32" s="93">
        <f t="shared" si="9"/>
        <v>0.1206896551724138</v>
      </c>
    </row>
    <row r="33" spans="1:24">
      <c r="A33" s="328">
        <v>59</v>
      </c>
      <c r="B33" s="93" t="s">
        <v>296</v>
      </c>
      <c r="C33" s="93">
        <v>7248</v>
      </c>
      <c r="D33" s="93">
        <v>6757</v>
      </c>
      <c r="E33" s="93">
        <v>238</v>
      </c>
      <c r="F33" s="93">
        <f>((C33-D33-E33)+10)+2</f>
        <v>265</v>
      </c>
      <c r="G33" s="93">
        <v>118237</v>
      </c>
      <c r="H33" s="93">
        <v>107418</v>
      </c>
      <c r="I33" s="93">
        <v>4936</v>
      </c>
      <c r="J33" s="93">
        <f>((G33-H33-I33)+179)+20</f>
        <v>6082</v>
      </c>
      <c r="K33" s="93">
        <v>53198</v>
      </c>
      <c r="L33" s="93">
        <v>47298</v>
      </c>
      <c r="M33" s="93">
        <v>2831</v>
      </c>
      <c r="N33" s="93">
        <f>((K33-L33-M33)+103)+32</f>
        <v>3204</v>
      </c>
      <c r="P33" s="93">
        <f t="shared" si="1"/>
        <v>0.93225717439293598</v>
      </c>
      <c r="Q33" s="93">
        <f t="shared" si="2"/>
        <v>3.283664459161148E-2</v>
      </c>
      <c r="R33" s="93">
        <f t="shared" si="3"/>
        <v>3.6561810154525386E-2</v>
      </c>
      <c r="S33" s="93">
        <f t="shared" si="4"/>
        <v>0.9084973400881281</v>
      </c>
      <c r="T33" s="93">
        <f t="shared" si="5"/>
        <v>4.1746661366577301E-2</v>
      </c>
      <c r="U33" s="93">
        <f t="shared" si="6"/>
        <v>5.1439058839449582E-2</v>
      </c>
      <c r="V33" s="93">
        <f t="shared" si="7"/>
        <v>0.8890935749464266</v>
      </c>
      <c r="W33" s="93">
        <f t="shared" si="8"/>
        <v>5.3216286326553633E-2</v>
      </c>
      <c r="X33" s="93">
        <f t="shared" si="9"/>
        <v>6.0227828113838866E-2</v>
      </c>
    </row>
    <row r="34" spans="1:24">
      <c r="A34" s="328">
        <v>61</v>
      </c>
      <c r="B34" s="93" t="s">
        <v>479</v>
      </c>
      <c r="C34" s="93">
        <v>120</v>
      </c>
      <c r="D34" s="93">
        <v>109</v>
      </c>
      <c r="E34" s="93">
        <v>8</v>
      </c>
      <c r="F34" s="93">
        <f t="shared" si="10"/>
        <v>3</v>
      </c>
      <c r="G34" s="93">
        <v>2532</v>
      </c>
      <c r="H34" s="93">
        <v>2301</v>
      </c>
      <c r="I34" s="93">
        <v>110</v>
      </c>
      <c r="J34" s="93">
        <f t="shared" si="11"/>
        <v>121</v>
      </c>
      <c r="K34" s="93">
        <v>1632</v>
      </c>
      <c r="L34" s="93">
        <v>1440</v>
      </c>
      <c r="M34" s="93">
        <v>111</v>
      </c>
      <c r="N34" s="93">
        <f t="shared" si="12"/>
        <v>81</v>
      </c>
      <c r="P34" s="93">
        <f t="shared" si="1"/>
        <v>0.90833333333333333</v>
      </c>
      <c r="Q34" s="93">
        <f t="shared" si="2"/>
        <v>6.6666666666666666E-2</v>
      </c>
      <c r="R34" s="93">
        <f t="shared" si="3"/>
        <v>2.5000000000000001E-2</v>
      </c>
      <c r="S34" s="93">
        <f t="shared" si="4"/>
        <v>0.90876777251184837</v>
      </c>
      <c r="T34" s="93">
        <f t="shared" si="5"/>
        <v>4.3443917851500792E-2</v>
      </c>
      <c r="U34" s="93">
        <f t="shared" si="6"/>
        <v>4.7788309636650872E-2</v>
      </c>
      <c r="V34" s="93">
        <f t="shared" si="7"/>
        <v>0.88235294117647056</v>
      </c>
      <c r="W34" s="93">
        <f t="shared" si="8"/>
        <v>6.8014705882352935E-2</v>
      </c>
      <c r="X34" s="93">
        <f t="shared" si="9"/>
        <v>4.9632352941176468E-2</v>
      </c>
    </row>
    <row r="35" spans="1:24">
      <c r="A35" s="328">
        <v>63</v>
      </c>
      <c r="B35" s="93" t="s">
        <v>480</v>
      </c>
      <c r="C35" s="93">
        <v>20</v>
      </c>
      <c r="D35" s="93">
        <v>18</v>
      </c>
      <c r="E35" s="93">
        <v>2</v>
      </c>
      <c r="F35" s="93">
        <f t="shared" si="10"/>
        <v>0</v>
      </c>
      <c r="G35" s="93">
        <v>251</v>
      </c>
      <c r="H35" s="93">
        <v>230</v>
      </c>
      <c r="I35" s="93">
        <v>17</v>
      </c>
      <c r="J35" s="93">
        <f t="shared" si="11"/>
        <v>4</v>
      </c>
      <c r="K35" s="93">
        <v>142</v>
      </c>
      <c r="L35" s="93">
        <v>136</v>
      </c>
      <c r="M35" s="93">
        <v>5</v>
      </c>
      <c r="N35" s="93">
        <f t="shared" si="12"/>
        <v>1</v>
      </c>
      <c r="P35" s="93">
        <f t="shared" si="1"/>
        <v>0.9</v>
      </c>
      <c r="Q35" s="93">
        <f t="shared" si="2"/>
        <v>0.1</v>
      </c>
      <c r="R35" s="93">
        <f t="shared" si="3"/>
        <v>0</v>
      </c>
      <c r="S35" s="93">
        <f t="shared" si="4"/>
        <v>0.91633466135458164</v>
      </c>
      <c r="T35" s="93">
        <f t="shared" si="5"/>
        <v>6.7729083665338641E-2</v>
      </c>
      <c r="U35" s="93">
        <f t="shared" si="6"/>
        <v>1.5936254980079681E-2</v>
      </c>
      <c r="V35" s="93">
        <f t="shared" si="7"/>
        <v>0.95774647887323938</v>
      </c>
      <c r="W35" s="93">
        <f t="shared" si="8"/>
        <v>3.5211267605633804E-2</v>
      </c>
      <c r="X35" s="93">
        <f t="shared" si="9"/>
        <v>7.0422535211267607E-3</v>
      </c>
    </row>
    <row r="36" spans="1:24">
      <c r="A36" s="328">
        <v>65</v>
      </c>
      <c r="B36" s="93" t="s">
        <v>481</v>
      </c>
      <c r="C36" s="93">
        <v>44</v>
      </c>
      <c r="D36" s="93">
        <v>40</v>
      </c>
      <c r="E36" s="93">
        <v>2</v>
      </c>
      <c r="F36" s="93">
        <f t="shared" si="10"/>
        <v>2</v>
      </c>
      <c r="G36" s="93">
        <v>453</v>
      </c>
      <c r="H36" s="93">
        <v>414</v>
      </c>
      <c r="I36" s="93">
        <v>26</v>
      </c>
      <c r="J36" s="93">
        <f t="shared" si="11"/>
        <v>13</v>
      </c>
      <c r="K36" s="93">
        <v>296</v>
      </c>
      <c r="L36" s="93">
        <v>258</v>
      </c>
      <c r="M36" s="93">
        <v>27</v>
      </c>
      <c r="N36" s="93">
        <f t="shared" si="12"/>
        <v>11</v>
      </c>
      <c r="P36" s="93">
        <f t="shared" si="1"/>
        <v>0.90909090909090906</v>
      </c>
      <c r="Q36" s="93">
        <f t="shared" si="2"/>
        <v>4.5454545454545456E-2</v>
      </c>
      <c r="R36" s="93">
        <f t="shared" si="3"/>
        <v>4.5454545454545456E-2</v>
      </c>
      <c r="S36" s="93">
        <f t="shared" si="4"/>
        <v>0.91390728476821192</v>
      </c>
      <c r="T36" s="93">
        <f t="shared" si="5"/>
        <v>5.7395143487858721E-2</v>
      </c>
      <c r="U36" s="93">
        <f t="shared" si="6"/>
        <v>2.8697571743929361E-2</v>
      </c>
      <c r="V36" s="93">
        <f t="shared" si="7"/>
        <v>0.8716216216216216</v>
      </c>
      <c r="W36" s="93">
        <f t="shared" si="8"/>
        <v>9.1216216216216214E-2</v>
      </c>
      <c r="X36" s="93">
        <f t="shared" si="9"/>
        <v>3.7162162162162164E-2</v>
      </c>
    </row>
    <row r="37" spans="1:24">
      <c r="A37" s="328">
        <v>67</v>
      </c>
      <c r="B37" s="93" t="s">
        <v>85</v>
      </c>
      <c r="C37" s="93">
        <v>55</v>
      </c>
      <c r="D37" s="93">
        <v>50</v>
      </c>
      <c r="E37" s="93">
        <v>5</v>
      </c>
      <c r="F37" s="93">
        <f t="shared" si="10"/>
        <v>0</v>
      </c>
      <c r="G37" s="93">
        <v>850</v>
      </c>
      <c r="H37" s="93">
        <v>694</v>
      </c>
      <c r="I37" s="93">
        <v>50</v>
      </c>
      <c r="J37" s="93">
        <f t="shared" si="11"/>
        <v>106</v>
      </c>
      <c r="K37" s="93">
        <v>592</v>
      </c>
      <c r="L37" s="93">
        <v>506</v>
      </c>
      <c r="M37" s="93">
        <v>21</v>
      </c>
      <c r="N37" s="93">
        <f t="shared" si="12"/>
        <v>65</v>
      </c>
      <c r="P37" s="93">
        <f t="shared" si="1"/>
        <v>0.90909090909090906</v>
      </c>
      <c r="Q37" s="93">
        <f t="shared" si="2"/>
        <v>9.0909090909090912E-2</v>
      </c>
      <c r="R37" s="93">
        <f t="shared" si="3"/>
        <v>0</v>
      </c>
      <c r="S37" s="93">
        <f t="shared" si="4"/>
        <v>0.81647058823529417</v>
      </c>
      <c r="T37" s="93">
        <f t="shared" si="5"/>
        <v>5.8823529411764705E-2</v>
      </c>
      <c r="U37" s="93">
        <f t="shared" si="6"/>
        <v>0.12470588235294118</v>
      </c>
      <c r="V37" s="93">
        <f t="shared" si="7"/>
        <v>0.85472972972972971</v>
      </c>
      <c r="W37" s="93">
        <f t="shared" si="8"/>
        <v>3.5472972972972971E-2</v>
      </c>
      <c r="X37" s="93">
        <f t="shared" si="9"/>
        <v>0.1097972972972973</v>
      </c>
    </row>
    <row r="38" spans="1:24">
      <c r="A38" s="328">
        <v>69</v>
      </c>
      <c r="B38" s="93" t="s">
        <v>482</v>
      </c>
      <c r="C38" s="93">
        <v>129</v>
      </c>
      <c r="D38" s="93">
        <v>121</v>
      </c>
      <c r="E38" s="93">
        <v>3</v>
      </c>
      <c r="F38" s="93">
        <f t="shared" si="10"/>
        <v>5</v>
      </c>
      <c r="G38" s="93">
        <v>3136</v>
      </c>
      <c r="H38" s="93">
        <v>2869</v>
      </c>
      <c r="I38" s="93">
        <v>140</v>
      </c>
      <c r="J38" s="93">
        <f t="shared" si="11"/>
        <v>127</v>
      </c>
      <c r="K38" s="93">
        <v>2215</v>
      </c>
      <c r="L38" s="93">
        <v>1968</v>
      </c>
      <c r="M38" s="93">
        <v>152</v>
      </c>
      <c r="N38" s="93">
        <f t="shared" si="12"/>
        <v>95</v>
      </c>
      <c r="P38" s="93">
        <f t="shared" si="1"/>
        <v>0.93798449612403101</v>
      </c>
      <c r="Q38" s="93">
        <f t="shared" si="2"/>
        <v>2.3255813953488372E-2</v>
      </c>
      <c r="R38" s="93">
        <f t="shared" si="3"/>
        <v>3.875968992248062E-2</v>
      </c>
      <c r="S38" s="93">
        <f t="shared" si="4"/>
        <v>0.91485969387755106</v>
      </c>
      <c r="T38" s="93">
        <f t="shared" si="5"/>
        <v>4.4642857142857144E-2</v>
      </c>
      <c r="U38" s="93">
        <f t="shared" si="6"/>
        <v>4.0497448979591837E-2</v>
      </c>
      <c r="V38" s="93">
        <f t="shared" si="7"/>
        <v>0.8884875846501129</v>
      </c>
      <c r="W38" s="93">
        <f t="shared" si="8"/>
        <v>6.8623024830699778E-2</v>
      </c>
      <c r="X38" s="93">
        <f t="shared" si="9"/>
        <v>4.2889390519187359E-2</v>
      </c>
    </row>
    <row r="39" spans="1:24">
      <c r="A39" s="328">
        <v>71</v>
      </c>
      <c r="B39" s="93" t="s">
        <v>483</v>
      </c>
      <c r="C39" s="93">
        <v>19</v>
      </c>
      <c r="D39" s="93">
        <v>19</v>
      </c>
      <c r="E39" s="93">
        <v>0</v>
      </c>
      <c r="F39" s="93">
        <f t="shared" si="10"/>
        <v>0</v>
      </c>
      <c r="G39" s="93">
        <v>107</v>
      </c>
      <c r="H39" s="93">
        <v>100</v>
      </c>
      <c r="I39" s="93">
        <v>2</v>
      </c>
      <c r="J39" s="93">
        <f t="shared" si="11"/>
        <v>5</v>
      </c>
      <c r="K39" s="93">
        <v>87</v>
      </c>
      <c r="L39" s="93">
        <v>83</v>
      </c>
      <c r="M39" s="93">
        <v>0</v>
      </c>
      <c r="N39" s="93">
        <f t="shared" si="12"/>
        <v>4</v>
      </c>
      <c r="P39" s="93">
        <f t="shared" si="1"/>
        <v>1</v>
      </c>
      <c r="Q39" s="93">
        <f t="shared" si="2"/>
        <v>0</v>
      </c>
      <c r="R39" s="93">
        <f t="shared" si="3"/>
        <v>0</v>
      </c>
      <c r="S39" s="93">
        <f t="shared" si="4"/>
        <v>0.93457943925233644</v>
      </c>
      <c r="T39" s="93">
        <f t="shared" si="5"/>
        <v>1.8691588785046728E-2</v>
      </c>
      <c r="U39" s="93">
        <f t="shared" si="6"/>
        <v>4.6728971962616821E-2</v>
      </c>
      <c r="V39" s="93">
        <f t="shared" si="7"/>
        <v>0.95402298850574707</v>
      </c>
      <c r="W39" s="93">
        <f t="shared" si="8"/>
        <v>0</v>
      </c>
      <c r="X39" s="93">
        <f t="shared" si="9"/>
        <v>4.5977011494252873E-2</v>
      </c>
    </row>
    <row r="40" spans="1:24">
      <c r="A40" s="328">
        <v>73</v>
      </c>
      <c r="B40" s="93" t="s">
        <v>484</v>
      </c>
      <c r="C40" s="93">
        <v>55</v>
      </c>
      <c r="D40" s="93">
        <v>50</v>
      </c>
      <c r="E40" s="93">
        <v>3</v>
      </c>
      <c r="F40" s="93">
        <f t="shared" si="10"/>
        <v>2</v>
      </c>
      <c r="G40" s="93">
        <v>588</v>
      </c>
      <c r="H40" s="93">
        <v>513</v>
      </c>
      <c r="I40" s="93">
        <v>47</v>
      </c>
      <c r="J40" s="93">
        <f t="shared" si="11"/>
        <v>28</v>
      </c>
      <c r="K40" s="93">
        <v>335</v>
      </c>
      <c r="L40" s="93">
        <v>297</v>
      </c>
      <c r="M40" s="93">
        <v>26</v>
      </c>
      <c r="N40" s="93">
        <f t="shared" si="12"/>
        <v>12</v>
      </c>
      <c r="P40" s="93">
        <f t="shared" si="1"/>
        <v>0.90909090909090906</v>
      </c>
      <c r="Q40" s="93">
        <f t="shared" si="2"/>
        <v>5.4545454545454543E-2</v>
      </c>
      <c r="R40" s="93">
        <f t="shared" si="3"/>
        <v>3.6363636363636362E-2</v>
      </c>
      <c r="S40" s="93">
        <f t="shared" si="4"/>
        <v>0.87244897959183676</v>
      </c>
      <c r="T40" s="93">
        <f t="shared" si="5"/>
        <v>7.9931972789115652E-2</v>
      </c>
      <c r="U40" s="93">
        <f t="shared" si="6"/>
        <v>4.7619047619047616E-2</v>
      </c>
      <c r="V40" s="93">
        <f t="shared" si="7"/>
        <v>0.88656716417910453</v>
      </c>
      <c r="W40" s="93">
        <f t="shared" si="8"/>
        <v>7.7611940298507459E-2</v>
      </c>
      <c r="X40" s="93">
        <f t="shared" si="9"/>
        <v>3.5820895522388062E-2</v>
      </c>
    </row>
    <row r="41" spans="1:24">
      <c r="A41" s="328">
        <v>75</v>
      </c>
      <c r="B41" s="93" t="s">
        <v>485</v>
      </c>
      <c r="C41" s="93">
        <v>17</v>
      </c>
      <c r="D41" s="93">
        <v>14</v>
      </c>
      <c r="E41" s="93">
        <v>3</v>
      </c>
      <c r="F41" s="93">
        <f t="shared" si="10"/>
        <v>0</v>
      </c>
      <c r="G41" s="93">
        <v>281</v>
      </c>
      <c r="H41" s="93">
        <v>251</v>
      </c>
      <c r="I41" s="93">
        <v>20</v>
      </c>
      <c r="J41" s="93">
        <f t="shared" si="11"/>
        <v>10</v>
      </c>
      <c r="K41" s="93">
        <v>160</v>
      </c>
      <c r="L41" s="93">
        <v>135</v>
      </c>
      <c r="M41" s="93">
        <v>16</v>
      </c>
      <c r="N41" s="93">
        <f t="shared" si="12"/>
        <v>9</v>
      </c>
      <c r="P41" s="93">
        <f t="shared" si="1"/>
        <v>0.82352941176470584</v>
      </c>
      <c r="Q41" s="93">
        <f t="shared" si="2"/>
        <v>0.17647058823529413</v>
      </c>
      <c r="R41" s="93">
        <f t="shared" si="3"/>
        <v>0</v>
      </c>
      <c r="S41" s="93">
        <f t="shared" si="4"/>
        <v>0.89323843416370108</v>
      </c>
      <c r="T41" s="93">
        <f t="shared" si="5"/>
        <v>7.1174377224199295E-2</v>
      </c>
      <c r="U41" s="93">
        <f t="shared" si="6"/>
        <v>3.5587188612099648E-2</v>
      </c>
      <c r="V41" s="93">
        <f t="shared" si="7"/>
        <v>0.84375</v>
      </c>
      <c r="W41" s="93">
        <f t="shared" si="8"/>
        <v>0.1</v>
      </c>
      <c r="X41" s="93">
        <f t="shared" si="9"/>
        <v>5.6250000000000001E-2</v>
      </c>
    </row>
    <row r="42" spans="1:24">
      <c r="A42" s="328">
        <v>77</v>
      </c>
      <c r="B42" s="93" t="s">
        <v>486</v>
      </c>
      <c r="C42" s="93">
        <v>10</v>
      </c>
      <c r="D42" s="93">
        <v>9</v>
      </c>
      <c r="E42" s="93">
        <v>1</v>
      </c>
      <c r="F42" s="93">
        <f t="shared" si="10"/>
        <v>0</v>
      </c>
      <c r="G42" s="93">
        <v>252</v>
      </c>
      <c r="H42" s="93">
        <v>236</v>
      </c>
      <c r="I42" s="93">
        <v>6</v>
      </c>
      <c r="J42" s="93">
        <f t="shared" si="11"/>
        <v>10</v>
      </c>
      <c r="K42" s="93">
        <v>162</v>
      </c>
      <c r="L42" s="93">
        <v>155</v>
      </c>
      <c r="M42" s="93">
        <v>6</v>
      </c>
      <c r="N42" s="93">
        <f t="shared" si="12"/>
        <v>1</v>
      </c>
      <c r="P42" s="93">
        <f t="shared" si="1"/>
        <v>0.9</v>
      </c>
      <c r="Q42" s="93">
        <f t="shared" si="2"/>
        <v>0.1</v>
      </c>
      <c r="R42" s="93">
        <f t="shared" si="3"/>
        <v>0</v>
      </c>
      <c r="S42" s="93">
        <f t="shared" si="4"/>
        <v>0.93650793650793651</v>
      </c>
      <c r="T42" s="93">
        <f t="shared" si="5"/>
        <v>2.3809523809523808E-2</v>
      </c>
      <c r="U42" s="93">
        <f t="shared" si="6"/>
        <v>3.968253968253968E-2</v>
      </c>
      <c r="V42" s="93">
        <f t="shared" si="7"/>
        <v>0.95679012345679015</v>
      </c>
      <c r="W42" s="93">
        <f t="shared" si="8"/>
        <v>3.7037037037037035E-2</v>
      </c>
      <c r="X42" s="93">
        <f t="shared" si="9"/>
        <v>6.1728395061728392E-3</v>
      </c>
    </row>
    <row r="43" spans="1:24">
      <c r="A43" s="328">
        <v>79</v>
      </c>
      <c r="B43" s="93" t="s">
        <v>487</v>
      </c>
      <c r="C43" s="93">
        <v>21</v>
      </c>
      <c r="D43" s="93">
        <v>21</v>
      </c>
      <c r="E43" s="93">
        <v>0</v>
      </c>
      <c r="F43" s="93">
        <f t="shared" si="10"/>
        <v>0</v>
      </c>
      <c r="G43" s="93">
        <v>482</v>
      </c>
      <c r="H43" s="93">
        <v>443</v>
      </c>
      <c r="I43" s="93">
        <v>14</v>
      </c>
      <c r="J43" s="93">
        <f t="shared" si="11"/>
        <v>25</v>
      </c>
      <c r="K43" s="93">
        <v>344</v>
      </c>
      <c r="L43" s="93">
        <v>307</v>
      </c>
      <c r="M43" s="93">
        <v>22</v>
      </c>
      <c r="N43" s="93">
        <f t="shared" si="12"/>
        <v>15</v>
      </c>
      <c r="P43" s="93">
        <f t="shared" si="1"/>
        <v>1</v>
      </c>
      <c r="Q43" s="93">
        <f t="shared" si="2"/>
        <v>0</v>
      </c>
      <c r="R43" s="93">
        <f t="shared" si="3"/>
        <v>0</v>
      </c>
      <c r="S43" s="93">
        <f t="shared" si="4"/>
        <v>0.91908713692946054</v>
      </c>
      <c r="T43" s="93">
        <f t="shared" si="5"/>
        <v>2.9045643153526972E-2</v>
      </c>
      <c r="U43" s="93">
        <f t="shared" si="6"/>
        <v>5.1867219917012451E-2</v>
      </c>
      <c r="V43" s="93">
        <f t="shared" si="7"/>
        <v>0.89244186046511631</v>
      </c>
      <c r="W43" s="93">
        <f t="shared" si="8"/>
        <v>6.3953488372093026E-2</v>
      </c>
      <c r="X43" s="93">
        <f t="shared" si="9"/>
        <v>4.3604651162790699E-2</v>
      </c>
    </row>
    <row r="44" spans="1:24">
      <c r="A44" s="328">
        <v>81</v>
      </c>
      <c r="B44" s="93" t="s">
        <v>713</v>
      </c>
      <c r="C44" s="93">
        <v>12</v>
      </c>
      <c r="D44" s="93">
        <v>6</v>
      </c>
      <c r="E44" s="93">
        <v>5</v>
      </c>
      <c r="F44" s="93">
        <f>(C44-D44-E44)+1</f>
        <v>2</v>
      </c>
      <c r="G44" s="93">
        <v>328</v>
      </c>
      <c r="H44" s="93">
        <v>250</v>
      </c>
      <c r="I44" s="93">
        <v>64</v>
      </c>
      <c r="J44" s="93">
        <f>(G44-H44-I44)+12</f>
        <v>26</v>
      </c>
      <c r="K44" s="93">
        <v>143</v>
      </c>
      <c r="L44" s="93">
        <v>94</v>
      </c>
      <c r="M44" s="93">
        <v>44</v>
      </c>
      <c r="N44" s="93">
        <f>(K44-L44-M44)+4</f>
        <v>9</v>
      </c>
      <c r="P44" s="93">
        <f t="shared" si="1"/>
        <v>0.5</v>
      </c>
      <c r="Q44" s="93">
        <f t="shared" si="2"/>
        <v>0.41666666666666669</v>
      </c>
      <c r="R44" s="93">
        <f t="shared" si="3"/>
        <v>0.16666666666666666</v>
      </c>
      <c r="S44" s="93">
        <f t="shared" si="4"/>
        <v>0.76219512195121952</v>
      </c>
      <c r="T44" s="93">
        <f t="shared" si="5"/>
        <v>0.1951219512195122</v>
      </c>
      <c r="U44" s="93">
        <f t="shared" si="6"/>
        <v>7.926829268292683E-2</v>
      </c>
      <c r="V44" s="93">
        <f t="shared" si="7"/>
        <v>0.65734265734265729</v>
      </c>
      <c r="W44" s="93">
        <f t="shared" si="8"/>
        <v>0.30769230769230771</v>
      </c>
      <c r="X44" s="93">
        <f t="shared" si="9"/>
        <v>6.2937062937062943E-2</v>
      </c>
    </row>
    <row r="45" spans="1:24">
      <c r="A45" s="328">
        <v>83</v>
      </c>
      <c r="B45" s="93" t="s">
        <v>810</v>
      </c>
      <c r="C45" s="93">
        <v>41</v>
      </c>
      <c r="D45" s="93">
        <v>32</v>
      </c>
      <c r="E45" s="93">
        <v>9</v>
      </c>
      <c r="F45" s="93">
        <f t="shared" si="10"/>
        <v>0</v>
      </c>
      <c r="G45" s="93">
        <v>344</v>
      </c>
      <c r="H45" s="93">
        <v>260</v>
      </c>
      <c r="I45" s="93">
        <v>68</v>
      </c>
      <c r="J45" s="93">
        <f t="shared" si="11"/>
        <v>16</v>
      </c>
      <c r="K45" s="93">
        <v>235</v>
      </c>
      <c r="L45" s="93">
        <v>181</v>
      </c>
      <c r="M45" s="93">
        <v>48</v>
      </c>
      <c r="N45" s="93">
        <f t="shared" si="12"/>
        <v>6</v>
      </c>
      <c r="P45" s="93">
        <f t="shared" si="1"/>
        <v>0.78048780487804881</v>
      </c>
      <c r="Q45" s="93">
        <f t="shared" si="2"/>
        <v>0.21951219512195122</v>
      </c>
      <c r="R45" s="93">
        <f t="shared" si="3"/>
        <v>0</v>
      </c>
      <c r="S45" s="93">
        <f t="shared" si="4"/>
        <v>0.7558139534883721</v>
      </c>
      <c r="T45" s="93">
        <f t="shared" si="5"/>
        <v>0.19767441860465115</v>
      </c>
      <c r="U45" s="93">
        <f t="shared" si="6"/>
        <v>4.6511627906976744E-2</v>
      </c>
      <c r="V45" s="93">
        <f t="shared" si="7"/>
        <v>0.77021276595744681</v>
      </c>
      <c r="W45" s="93">
        <f t="shared" si="8"/>
        <v>0.20425531914893616</v>
      </c>
      <c r="X45" s="93">
        <f t="shared" si="9"/>
        <v>2.553191489361702E-2</v>
      </c>
    </row>
    <row r="46" spans="1:24">
      <c r="A46" s="328">
        <v>85</v>
      </c>
      <c r="B46" s="93" t="s">
        <v>488</v>
      </c>
      <c r="C46" s="93">
        <v>92</v>
      </c>
      <c r="D46" s="93">
        <v>84</v>
      </c>
      <c r="E46" s="93">
        <v>6</v>
      </c>
      <c r="F46" s="93">
        <f t="shared" si="10"/>
        <v>2</v>
      </c>
      <c r="G46" s="93">
        <v>1392</v>
      </c>
      <c r="H46" s="93">
        <v>1198</v>
      </c>
      <c r="I46" s="93">
        <v>103</v>
      </c>
      <c r="J46" s="93">
        <f t="shared" si="11"/>
        <v>91</v>
      </c>
      <c r="K46" s="93">
        <v>821</v>
      </c>
      <c r="L46" s="93">
        <v>695</v>
      </c>
      <c r="M46" s="93">
        <v>69</v>
      </c>
      <c r="N46" s="93">
        <f t="shared" si="12"/>
        <v>57</v>
      </c>
      <c r="P46" s="93">
        <f t="shared" si="1"/>
        <v>0.91304347826086951</v>
      </c>
      <c r="Q46" s="93">
        <f t="shared" si="2"/>
        <v>6.5217391304347824E-2</v>
      </c>
      <c r="R46" s="93">
        <f t="shared" si="3"/>
        <v>2.1739130434782608E-2</v>
      </c>
      <c r="S46" s="93">
        <f t="shared" si="4"/>
        <v>0.86063218390804597</v>
      </c>
      <c r="T46" s="93">
        <f t="shared" si="5"/>
        <v>7.3994252873563218E-2</v>
      </c>
      <c r="U46" s="93">
        <f t="shared" si="6"/>
        <v>6.5373563218390801E-2</v>
      </c>
      <c r="V46" s="93">
        <f t="shared" si="7"/>
        <v>0.84652862362971981</v>
      </c>
      <c r="W46" s="93">
        <f t="shared" si="8"/>
        <v>8.4043848964677217E-2</v>
      </c>
      <c r="X46" s="93">
        <f t="shared" si="9"/>
        <v>6.9427527405602929E-2</v>
      </c>
    </row>
    <row r="47" spans="1:24">
      <c r="A47" s="328">
        <v>87</v>
      </c>
      <c r="B47" s="93" t="s">
        <v>489</v>
      </c>
      <c r="C47" s="93">
        <v>547</v>
      </c>
      <c r="D47" s="93">
        <v>462</v>
      </c>
      <c r="E47" s="93">
        <v>68</v>
      </c>
      <c r="F47" s="93">
        <f t="shared" si="10"/>
        <v>17</v>
      </c>
      <c r="G47" s="93">
        <v>9871</v>
      </c>
      <c r="H47" s="93">
        <v>8145</v>
      </c>
      <c r="I47" s="93">
        <v>1289</v>
      </c>
      <c r="J47" s="93">
        <f t="shared" si="11"/>
        <v>437</v>
      </c>
      <c r="K47" s="93">
        <v>5298</v>
      </c>
      <c r="L47" s="93">
        <v>4149</v>
      </c>
      <c r="M47" s="93">
        <v>905</v>
      </c>
      <c r="N47" s="93">
        <f t="shared" si="12"/>
        <v>244</v>
      </c>
      <c r="P47" s="93">
        <f t="shared" si="1"/>
        <v>0.84460694698354666</v>
      </c>
      <c r="Q47" s="93">
        <f t="shared" si="2"/>
        <v>0.12431444241316271</v>
      </c>
      <c r="R47" s="93">
        <f t="shared" si="3"/>
        <v>3.1078610603290677E-2</v>
      </c>
      <c r="S47" s="93">
        <f t="shared" si="4"/>
        <v>0.82514436227332588</v>
      </c>
      <c r="T47" s="93">
        <f t="shared" si="5"/>
        <v>0.13058454057339683</v>
      </c>
      <c r="U47" s="93">
        <f t="shared" si="6"/>
        <v>4.4271097153277275E-2</v>
      </c>
      <c r="V47" s="93">
        <f t="shared" si="7"/>
        <v>0.78312570781426949</v>
      </c>
      <c r="W47" s="93">
        <f t="shared" si="8"/>
        <v>0.17081917704794261</v>
      </c>
      <c r="X47" s="93">
        <f t="shared" si="9"/>
        <v>4.6055115137787844E-2</v>
      </c>
    </row>
    <row r="48" spans="1:24">
      <c r="A48" s="328">
        <v>89</v>
      </c>
      <c r="B48" s="93" t="s">
        <v>811</v>
      </c>
      <c r="C48" s="93">
        <v>48</v>
      </c>
      <c r="D48" s="93">
        <v>38</v>
      </c>
      <c r="E48" s="93">
        <v>4</v>
      </c>
      <c r="F48" s="93">
        <f t="shared" si="10"/>
        <v>6</v>
      </c>
      <c r="G48" s="93">
        <v>1511</v>
      </c>
      <c r="H48" s="93">
        <v>1324</v>
      </c>
      <c r="I48" s="93">
        <v>116</v>
      </c>
      <c r="J48" s="93">
        <f t="shared" si="11"/>
        <v>71</v>
      </c>
      <c r="K48" s="93">
        <v>1126</v>
      </c>
      <c r="L48" s="93">
        <v>996</v>
      </c>
      <c r="M48" s="93">
        <v>88</v>
      </c>
      <c r="N48" s="93">
        <f t="shared" si="12"/>
        <v>42</v>
      </c>
      <c r="P48" s="93">
        <f t="shared" si="1"/>
        <v>0.79166666666666663</v>
      </c>
      <c r="Q48" s="93">
        <f t="shared" si="2"/>
        <v>8.3333333333333329E-2</v>
      </c>
      <c r="R48" s="93">
        <f t="shared" si="3"/>
        <v>0.125</v>
      </c>
      <c r="S48" s="93">
        <f t="shared" si="4"/>
        <v>0.87624090006618138</v>
      </c>
      <c r="T48" s="93">
        <f t="shared" si="5"/>
        <v>7.6770350761085376E-2</v>
      </c>
      <c r="U48" s="93">
        <f t="shared" si="6"/>
        <v>4.6988749172733289E-2</v>
      </c>
      <c r="V48" s="93">
        <f t="shared" si="7"/>
        <v>0.88454706927175841</v>
      </c>
      <c r="W48" s="93">
        <f t="shared" si="8"/>
        <v>7.8152753108348141E-2</v>
      </c>
      <c r="X48" s="93">
        <f t="shared" si="9"/>
        <v>3.7300177619893425E-2</v>
      </c>
    </row>
    <row r="49" spans="1:24">
      <c r="A49" s="328">
        <v>91</v>
      </c>
      <c r="B49" s="93" t="s">
        <v>490</v>
      </c>
      <c r="C49" s="93">
        <v>4</v>
      </c>
      <c r="D49" s="93">
        <v>3</v>
      </c>
      <c r="E49" s="93">
        <v>0</v>
      </c>
      <c r="F49" s="93">
        <f t="shared" si="10"/>
        <v>1</v>
      </c>
      <c r="G49" s="93">
        <v>12</v>
      </c>
      <c r="H49" s="93">
        <v>12</v>
      </c>
      <c r="I49" s="93">
        <v>0</v>
      </c>
      <c r="J49" s="93">
        <f t="shared" si="11"/>
        <v>0</v>
      </c>
      <c r="K49" s="93">
        <v>5</v>
      </c>
      <c r="L49" s="93">
        <v>4</v>
      </c>
      <c r="M49" s="93">
        <v>1</v>
      </c>
      <c r="N49" s="93">
        <f t="shared" si="12"/>
        <v>0</v>
      </c>
      <c r="P49" s="93">
        <f t="shared" si="1"/>
        <v>0.75</v>
      </c>
      <c r="Q49" s="93">
        <f t="shared" si="2"/>
        <v>0</v>
      </c>
      <c r="R49" s="93">
        <f t="shared" si="3"/>
        <v>0.25</v>
      </c>
      <c r="S49" s="93">
        <f t="shared" si="4"/>
        <v>1</v>
      </c>
      <c r="T49" s="93">
        <f t="shared" si="5"/>
        <v>0</v>
      </c>
      <c r="U49" s="93">
        <f t="shared" si="6"/>
        <v>0</v>
      </c>
      <c r="V49" s="93">
        <f t="shared" si="7"/>
        <v>0.8</v>
      </c>
      <c r="W49" s="93">
        <f t="shared" si="8"/>
        <v>0.2</v>
      </c>
      <c r="X49" s="93">
        <f t="shared" si="9"/>
        <v>0</v>
      </c>
    </row>
    <row r="50" spans="1:24">
      <c r="A50" s="328">
        <v>93</v>
      </c>
      <c r="B50" s="93" t="s">
        <v>491</v>
      </c>
      <c r="C50" s="93">
        <v>33</v>
      </c>
      <c r="D50" s="93">
        <v>26</v>
      </c>
      <c r="E50" s="93">
        <v>6</v>
      </c>
      <c r="F50" s="93">
        <f t="shared" si="10"/>
        <v>1</v>
      </c>
      <c r="G50" s="93">
        <v>396</v>
      </c>
      <c r="H50" s="93">
        <v>317</v>
      </c>
      <c r="I50" s="93">
        <v>45</v>
      </c>
      <c r="J50" s="93">
        <f t="shared" si="11"/>
        <v>34</v>
      </c>
      <c r="K50" s="93">
        <v>293</v>
      </c>
      <c r="L50" s="93">
        <v>226</v>
      </c>
      <c r="M50" s="93">
        <v>51</v>
      </c>
      <c r="N50" s="93">
        <f t="shared" si="12"/>
        <v>16</v>
      </c>
      <c r="P50" s="93">
        <f t="shared" si="1"/>
        <v>0.78787878787878785</v>
      </c>
      <c r="Q50" s="93">
        <f t="shared" si="2"/>
        <v>0.18181818181818182</v>
      </c>
      <c r="R50" s="93">
        <f t="shared" si="3"/>
        <v>3.0303030303030304E-2</v>
      </c>
      <c r="S50" s="93">
        <f t="shared" si="4"/>
        <v>0.8005050505050505</v>
      </c>
      <c r="T50" s="93">
        <f t="shared" si="5"/>
        <v>0.11363636363636363</v>
      </c>
      <c r="U50" s="93">
        <f t="shared" si="6"/>
        <v>8.5858585858585856E-2</v>
      </c>
      <c r="V50" s="93">
        <f t="shared" si="7"/>
        <v>0.77133105802047786</v>
      </c>
      <c r="W50" s="93">
        <f t="shared" si="8"/>
        <v>0.17406143344709898</v>
      </c>
      <c r="X50" s="93">
        <f t="shared" si="9"/>
        <v>5.4607508532423209E-2</v>
      </c>
    </row>
    <row r="51" spans="1:24">
      <c r="A51" s="328">
        <v>95</v>
      </c>
      <c r="B51" s="93" t="s">
        <v>285</v>
      </c>
      <c r="C51" s="93">
        <v>159</v>
      </c>
      <c r="D51" s="93">
        <v>143</v>
      </c>
      <c r="E51" s="93">
        <v>13</v>
      </c>
      <c r="F51" s="93">
        <f t="shared" si="10"/>
        <v>3</v>
      </c>
      <c r="G51" s="93">
        <v>1980</v>
      </c>
      <c r="H51" s="93">
        <v>1747</v>
      </c>
      <c r="I51" s="93">
        <v>167</v>
      </c>
      <c r="J51" s="93">
        <f t="shared" si="11"/>
        <v>66</v>
      </c>
      <c r="K51" s="93">
        <v>1122</v>
      </c>
      <c r="L51" s="93">
        <v>978</v>
      </c>
      <c r="M51" s="93">
        <v>103</v>
      </c>
      <c r="N51" s="93">
        <f t="shared" si="12"/>
        <v>41</v>
      </c>
      <c r="P51" s="93">
        <f t="shared" si="1"/>
        <v>0.89937106918238996</v>
      </c>
      <c r="Q51" s="93">
        <f t="shared" si="2"/>
        <v>8.1761006289308172E-2</v>
      </c>
      <c r="R51" s="93">
        <f t="shared" si="3"/>
        <v>1.8867924528301886E-2</v>
      </c>
      <c r="S51" s="93">
        <f t="shared" si="4"/>
        <v>0.88232323232323229</v>
      </c>
      <c r="T51" s="93">
        <f t="shared" si="5"/>
        <v>8.4343434343434345E-2</v>
      </c>
      <c r="U51" s="93">
        <f t="shared" si="6"/>
        <v>3.3333333333333333E-2</v>
      </c>
      <c r="V51" s="93">
        <f t="shared" si="7"/>
        <v>0.87165775401069523</v>
      </c>
      <c r="W51" s="93">
        <f t="shared" si="8"/>
        <v>9.1800356506238856E-2</v>
      </c>
      <c r="X51" s="93">
        <f t="shared" si="9"/>
        <v>3.6541889483065956E-2</v>
      </c>
    </row>
    <row r="52" spans="1:24">
      <c r="A52" s="328">
        <v>97</v>
      </c>
      <c r="B52" s="93" t="s">
        <v>492</v>
      </c>
      <c r="C52" s="93">
        <v>3</v>
      </c>
      <c r="D52" s="93">
        <v>3</v>
      </c>
      <c r="E52" s="93">
        <v>0</v>
      </c>
      <c r="F52" s="93">
        <f t="shared" si="10"/>
        <v>0</v>
      </c>
      <c r="G52" s="93">
        <v>121</v>
      </c>
      <c r="H52" s="93">
        <v>107</v>
      </c>
      <c r="I52" s="93">
        <v>8</v>
      </c>
      <c r="J52" s="93">
        <f t="shared" si="11"/>
        <v>6</v>
      </c>
      <c r="K52" s="93">
        <v>78</v>
      </c>
      <c r="L52" s="93">
        <v>63</v>
      </c>
      <c r="M52" s="93">
        <v>8</v>
      </c>
      <c r="N52" s="93">
        <f t="shared" si="12"/>
        <v>7</v>
      </c>
      <c r="P52" s="93">
        <f t="shared" si="1"/>
        <v>1</v>
      </c>
      <c r="Q52" s="93">
        <f t="shared" si="2"/>
        <v>0</v>
      </c>
      <c r="R52" s="93">
        <f t="shared" si="3"/>
        <v>0</v>
      </c>
      <c r="S52" s="93">
        <f t="shared" si="4"/>
        <v>0.88429752066115708</v>
      </c>
      <c r="T52" s="93">
        <f t="shared" si="5"/>
        <v>6.6115702479338845E-2</v>
      </c>
      <c r="U52" s="93">
        <f t="shared" si="6"/>
        <v>4.9586776859504134E-2</v>
      </c>
      <c r="V52" s="93">
        <f t="shared" si="7"/>
        <v>0.80769230769230771</v>
      </c>
      <c r="W52" s="93">
        <f t="shared" si="8"/>
        <v>0.10256410256410256</v>
      </c>
      <c r="X52" s="93">
        <f t="shared" si="9"/>
        <v>8.9743589743589744E-2</v>
      </c>
    </row>
    <row r="53" spans="1:24">
      <c r="A53" s="328">
        <v>99</v>
      </c>
      <c r="B53" s="93" t="s">
        <v>493</v>
      </c>
      <c r="C53" s="93">
        <v>25</v>
      </c>
      <c r="D53" s="93">
        <v>22</v>
      </c>
      <c r="E53" s="93">
        <v>3</v>
      </c>
      <c r="F53" s="93">
        <f t="shared" si="10"/>
        <v>0</v>
      </c>
      <c r="G53" s="93">
        <v>530</v>
      </c>
      <c r="H53" s="93">
        <v>450</v>
      </c>
      <c r="I53" s="93">
        <v>40</v>
      </c>
      <c r="J53" s="93">
        <f t="shared" si="11"/>
        <v>40</v>
      </c>
      <c r="K53" s="93">
        <v>308</v>
      </c>
      <c r="L53" s="93">
        <v>255</v>
      </c>
      <c r="M53" s="93">
        <v>40</v>
      </c>
      <c r="N53" s="93">
        <f t="shared" si="12"/>
        <v>13</v>
      </c>
      <c r="P53" s="93">
        <f t="shared" si="1"/>
        <v>0.88</v>
      </c>
      <c r="Q53" s="93">
        <f t="shared" si="2"/>
        <v>0.12</v>
      </c>
      <c r="R53" s="93">
        <f t="shared" si="3"/>
        <v>0</v>
      </c>
      <c r="S53" s="93">
        <f t="shared" si="4"/>
        <v>0.84905660377358494</v>
      </c>
      <c r="T53" s="93">
        <f t="shared" si="5"/>
        <v>7.5471698113207544E-2</v>
      </c>
      <c r="U53" s="93">
        <f t="shared" si="6"/>
        <v>7.5471698113207544E-2</v>
      </c>
      <c r="V53" s="93">
        <f t="shared" si="7"/>
        <v>0.82792207792207795</v>
      </c>
      <c r="W53" s="93">
        <f t="shared" si="8"/>
        <v>0.12987012987012986</v>
      </c>
      <c r="X53" s="93">
        <f t="shared" si="9"/>
        <v>4.2207792207792208E-2</v>
      </c>
    </row>
    <row r="54" spans="1:24">
      <c r="A54" s="328">
        <v>101</v>
      </c>
      <c r="B54" s="93" t="s">
        <v>494</v>
      </c>
      <c r="C54" s="93">
        <v>12</v>
      </c>
      <c r="D54" s="93">
        <v>10</v>
      </c>
      <c r="E54" s="93">
        <v>0</v>
      </c>
      <c r="F54" s="93">
        <f t="shared" si="10"/>
        <v>2</v>
      </c>
      <c r="G54" s="93">
        <v>204</v>
      </c>
      <c r="H54" s="93">
        <v>162</v>
      </c>
      <c r="I54" s="93">
        <v>27</v>
      </c>
      <c r="J54" s="93">
        <f t="shared" si="11"/>
        <v>15</v>
      </c>
      <c r="K54" s="93">
        <v>140</v>
      </c>
      <c r="L54" s="93">
        <v>122</v>
      </c>
      <c r="M54" s="93">
        <v>13</v>
      </c>
      <c r="N54" s="93">
        <f t="shared" si="12"/>
        <v>5</v>
      </c>
      <c r="P54" s="93">
        <f t="shared" si="1"/>
        <v>0.83333333333333337</v>
      </c>
      <c r="Q54" s="93">
        <f t="shared" si="2"/>
        <v>0</v>
      </c>
      <c r="R54" s="93">
        <f t="shared" si="3"/>
        <v>0.16666666666666666</v>
      </c>
      <c r="S54" s="93">
        <f t="shared" si="4"/>
        <v>0.79411764705882348</v>
      </c>
      <c r="T54" s="93">
        <f t="shared" si="5"/>
        <v>0.13235294117647059</v>
      </c>
      <c r="U54" s="93">
        <f t="shared" si="6"/>
        <v>7.3529411764705885E-2</v>
      </c>
      <c r="V54" s="93">
        <f t="shared" si="7"/>
        <v>0.87142857142857144</v>
      </c>
      <c r="W54" s="93">
        <f t="shared" si="8"/>
        <v>9.285714285714286E-2</v>
      </c>
      <c r="X54" s="93">
        <f t="shared" si="9"/>
        <v>3.5714285714285712E-2</v>
      </c>
    </row>
    <row r="55" spans="1:24">
      <c r="A55" s="328">
        <v>103</v>
      </c>
      <c r="B55" s="93" t="s">
        <v>495</v>
      </c>
      <c r="C55" s="93">
        <v>22</v>
      </c>
      <c r="D55" s="93">
        <v>15</v>
      </c>
      <c r="E55" s="93">
        <v>7</v>
      </c>
      <c r="F55" s="93">
        <f t="shared" si="10"/>
        <v>0</v>
      </c>
      <c r="G55" s="93">
        <v>70</v>
      </c>
      <c r="H55" s="93">
        <v>54</v>
      </c>
      <c r="I55" s="93">
        <v>7</v>
      </c>
      <c r="J55" s="93">
        <f t="shared" si="11"/>
        <v>9</v>
      </c>
      <c r="K55" s="93">
        <v>49</v>
      </c>
      <c r="L55" s="93">
        <v>34</v>
      </c>
      <c r="M55" s="93">
        <v>13</v>
      </c>
      <c r="N55" s="93">
        <f t="shared" si="12"/>
        <v>2</v>
      </c>
      <c r="P55" s="93">
        <f t="shared" si="1"/>
        <v>0.68181818181818177</v>
      </c>
      <c r="Q55" s="93">
        <f t="shared" si="2"/>
        <v>0.31818181818181818</v>
      </c>
      <c r="R55" s="93">
        <f t="shared" si="3"/>
        <v>0</v>
      </c>
      <c r="S55" s="93">
        <f t="shared" si="4"/>
        <v>0.77142857142857146</v>
      </c>
      <c r="T55" s="93">
        <f t="shared" si="5"/>
        <v>0.1</v>
      </c>
      <c r="U55" s="93">
        <f t="shared" si="6"/>
        <v>0.12857142857142856</v>
      </c>
      <c r="V55" s="93">
        <f t="shared" si="7"/>
        <v>0.69387755102040816</v>
      </c>
      <c r="W55" s="93">
        <f t="shared" si="8"/>
        <v>0.26530612244897961</v>
      </c>
      <c r="X55" s="93">
        <f t="shared" si="9"/>
        <v>4.0816326530612242E-2</v>
      </c>
    </row>
    <row r="56" spans="1:24">
      <c r="A56" s="328">
        <v>105</v>
      </c>
      <c r="B56" s="93" t="s">
        <v>496</v>
      </c>
      <c r="C56" s="93">
        <v>11</v>
      </c>
      <c r="D56" s="93">
        <v>9</v>
      </c>
      <c r="E56" s="93">
        <v>1</v>
      </c>
      <c r="F56" s="93">
        <f t="shared" si="10"/>
        <v>1</v>
      </c>
      <c r="G56" s="93">
        <v>345</v>
      </c>
      <c r="H56" s="93">
        <v>277</v>
      </c>
      <c r="I56" s="93">
        <v>55</v>
      </c>
      <c r="J56" s="93">
        <f t="shared" si="11"/>
        <v>13</v>
      </c>
      <c r="K56" s="93">
        <v>70</v>
      </c>
      <c r="L56" s="93">
        <v>67</v>
      </c>
      <c r="M56" s="93">
        <v>0</v>
      </c>
      <c r="N56" s="93">
        <f t="shared" si="12"/>
        <v>3</v>
      </c>
      <c r="P56" s="93">
        <f t="shared" si="1"/>
        <v>0.81818181818181823</v>
      </c>
      <c r="Q56" s="93">
        <f t="shared" si="2"/>
        <v>9.0909090909090912E-2</v>
      </c>
      <c r="R56" s="93">
        <f t="shared" si="3"/>
        <v>9.0909090909090912E-2</v>
      </c>
      <c r="S56" s="93">
        <f t="shared" si="4"/>
        <v>0.80289855072463767</v>
      </c>
      <c r="T56" s="93">
        <f t="shared" si="5"/>
        <v>0.15942028985507245</v>
      </c>
      <c r="U56" s="93">
        <f t="shared" si="6"/>
        <v>3.7681159420289857E-2</v>
      </c>
      <c r="V56" s="93">
        <f t="shared" si="7"/>
        <v>0.95714285714285718</v>
      </c>
      <c r="W56" s="93">
        <f t="shared" si="8"/>
        <v>0</v>
      </c>
      <c r="X56" s="93">
        <f t="shared" si="9"/>
        <v>4.2857142857142858E-2</v>
      </c>
    </row>
    <row r="57" spans="1:24">
      <c r="A57" s="328">
        <v>107</v>
      </c>
      <c r="B57" s="93" t="s">
        <v>497</v>
      </c>
      <c r="C57" s="93">
        <v>1182</v>
      </c>
      <c r="D57" s="93">
        <v>1094</v>
      </c>
      <c r="E57" s="93">
        <v>42</v>
      </c>
      <c r="F57" s="93">
        <f t="shared" si="10"/>
        <v>46</v>
      </c>
      <c r="G57" s="93">
        <v>25826</v>
      </c>
      <c r="H57" s="93">
        <v>23649</v>
      </c>
      <c r="I57" s="93">
        <v>1045</v>
      </c>
      <c r="J57" s="93">
        <f t="shared" si="11"/>
        <v>1132</v>
      </c>
      <c r="K57" s="93">
        <v>13833</v>
      </c>
      <c r="L57" s="93">
        <v>12233</v>
      </c>
      <c r="M57" s="93">
        <v>812</v>
      </c>
      <c r="N57" s="93">
        <f t="shared" si="12"/>
        <v>788</v>
      </c>
      <c r="P57" s="93">
        <f t="shared" si="1"/>
        <v>0.9255499153976311</v>
      </c>
      <c r="Q57" s="93">
        <f t="shared" si="2"/>
        <v>3.553299492385787E-2</v>
      </c>
      <c r="R57" s="93">
        <f t="shared" si="3"/>
        <v>3.8917089678510999E-2</v>
      </c>
      <c r="S57" s="93">
        <f t="shared" si="4"/>
        <v>0.91570510338418643</v>
      </c>
      <c r="T57" s="93">
        <f t="shared" si="5"/>
        <v>4.0463099202354219E-2</v>
      </c>
      <c r="U57" s="93">
        <f t="shared" si="6"/>
        <v>4.3831797413459307E-2</v>
      </c>
      <c r="V57" s="93">
        <f t="shared" si="7"/>
        <v>0.88433456227860907</v>
      </c>
      <c r="W57" s="93">
        <f t="shared" si="8"/>
        <v>5.8700209643605873E-2</v>
      </c>
      <c r="X57" s="93">
        <f t="shared" si="9"/>
        <v>5.6965228077785007E-2</v>
      </c>
    </row>
    <row r="58" spans="1:24">
      <c r="A58" s="328">
        <v>109</v>
      </c>
      <c r="B58" s="93" t="s">
        <v>498</v>
      </c>
      <c r="C58" s="93">
        <v>39</v>
      </c>
      <c r="D58" s="93">
        <v>33</v>
      </c>
      <c r="E58" s="93">
        <v>6</v>
      </c>
      <c r="F58" s="93">
        <f t="shared" si="10"/>
        <v>0</v>
      </c>
      <c r="G58" s="93">
        <v>465</v>
      </c>
      <c r="H58" s="93">
        <v>392</v>
      </c>
      <c r="I58" s="93">
        <v>48</v>
      </c>
      <c r="J58" s="93">
        <f t="shared" si="11"/>
        <v>25</v>
      </c>
      <c r="K58" s="93">
        <v>283</v>
      </c>
      <c r="L58" s="93">
        <v>251</v>
      </c>
      <c r="M58" s="93">
        <v>26</v>
      </c>
      <c r="N58" s="93">
        <f t="shared" si="12"/>
        <v>6</v>
      </c>
      <c r="P58" s="93">
        <f t="shared" si="1"/>
        <v>0.84615384615384615</v>
      </c>
      <c r="Q58" s="93">
        <f t="shared" si="2"/>
        <v>0.15384615384615385</v>
      </c>
      <c r="R58" s="93">
        <f t="shared" si="3"/>
        <v>0</v>
      </c>
      <c r="S58" s="93">
        <f t="shared" si="4"/>
        <v>0.84301075268817205</v>
      </c>
      <c r="T58" s="93">
        <f t="shared" si="5"/>
        <v>0.1032258064516129</v>
      </c>
      <c r="U58" s="93">
        <f t="shared" si="6"/>
        <v>5.3763440860215055E-2</v>
      </c>
      <c r="V58" s="93">
        <f t="shared" si="7"/>
        <v>0.88692579505300351</v>
      </c>
      <c r="W58" s="93">
        <f t="shared" si="8"/>
        <v>9.187279151943463E-2</v>
      </c>
      <c r="X58" s="93">
        <f t="shared" si="9"/>
        <v>2.1201413427561839E-2</v>
      </c>
    </row>
    <row r="59" spans="1:24">
      <c r="A59" s="328">
        <v>111</v>
      </c>
      <c r="B59" s="93" t="s">
        <v>499</v>
      </c>
      <c r="C59" s="93">
        <v>15</v>
      </c>
      <c r="D59" s="93">
        <v>10</v>
      </c>
      <c r="E59" s="93">
        <v>4</v>
      </c>
      <c r="F59" s="93">
        <f t="shared" si="10"/>
        <v>1</v>
      </c>
      <c r="G59" s="93">
        <v>316</v>
      </c>
      <c r="H59" s="93">
        <v>252</v>
      </c>
      <c r="I59" s="93">
        <v>47</v>
      </c>
      <c r="J59" s="93">
        <f t="shared" si="11"/>
        <v>17</v>
      </c>
      <c r="K59" s="93">
        <v>173</v>
      </c>
      <c r="L59" s="93">
        <v>135</v>
      </c>
      <c r="M59" s="93">
        <v>31</v>
      </c>
      <c r="N59" s="93">
        <f t="shared" si="12"/>
        <v>7</v>
      </c>
      <c r="P59" s="93">
        <f t="shared" si="1"/>
        <v>0.66666666666666663</v>
      </c>
      <c r="Q59" s="93">
        <f t="shared" si="2"/>
        <v>0.26666666666666666</v>
      </c>
      <c r="R59" s="93">
        <f t="shared" si="3"/>
        <v>6.6666666666666666E-2</v>
      </c>
      <c r="S59" s="93">
        <f t="shared" si="4"/>
        <v>0.79746835443037978</v>
      </c>
      <c r="T59" s="93">
        <f t="shared" si="5"/>
        <v>0.14873417721518986</v>
      </c>
      <c r="U59" s="93">
        <f t="shared" si="6"/>
        <v>5.3797468354430382E-2</v>
      </c>
      <c r="V59" s="93">
        <f t="shared" si="7"/>
        <v>0.78034682080924855</v>
      </c>
      <c r="W59" s="93">
        <f t="shared" si="8"/>
        <v>0.1791907514450867</v>
      </c>
      <c r="X59" s="93">
        <f t="shared" si="9"/>
        <v>4.046242774566474E-2</v>
      </c>
    </row>
    <row r="60" spans="1:24">
      <c r="A60" s="328">
        <v>113</v>
      </c>
      <c r="B60" s="93" t="s">
        <v>500</v>
      </c>
      <c r="C60" s="93">
        <v>12</v>
      </c>
      <c r="D60" s="93">
        <v>12</v>
      </c>
      <c r="E60" s="93">
        <v>0</v>
      </c>
      <c r="F60" s="93">
        <f t="shared" si="10"/>
        <v>0</v>
      </c>
      <c r="G60" s="93">
        <v>133</v>
      </c>
      <c r="H60" s="93">
        <v>122</v>
      </c>
      <c r="I60" s="93">
        <v>3</v>
      </c>
      <c r="J60" s="93">
        <f t="shared" si="11"/>
        <v>8</v>
      </c>
      <c r="K60" s="93">
        <v>97</v>
      </c>
      <c r="L60" s="93">
        <v>87</v>
      </c>
      <c r="M60" s="93">
        <v>10</v>
      </c>
      <c r="N60" s="93">
        <f t="shared" si="12"/>
        <v>0</v>
      </c>
      <c r="P60" s="93">
        <f t="shared" si="1"/>
        <v>1</v>
      </c>
      <c r="Q60" s="93">
        <f t="shared" si="2"/>
        <v>0</v>
      </c>
      <c r="R60" s="93">
        <f t="shared" si="3"/>
        <v>0</v>
      </c>
      <c r="S60" s="93">
        <f t="shared" si="4"/>
        <v>0.91729323308270672</v>
      </c>
      <c r="T60" s="93">
        <f t="shared" si="5"/>
        <v>2.2556390977443608E-2</v>
      </c>
      <c r="U60" s="93">
        <f t="shared" si="6"/>
        <v>6.0150375939849621E-2</v>
      </c>
      <c r="V60" s="93">
        <f t="shared" si="7"/>
        <v>0.89690721649484539</v>
      </c>
      <c r="W60" s="93">
        <f t="shared" si="8"/>
        <v>0.10309278350515463</v>
      </c>
      <c r="X60" s="93">
        <f t="shared" si="9"/>
        <v>0</v>
      </c>
    </row>
    <row r="61" spans="1:24">
      <c r="A61" s="328">
        <v>115</v>
      </c>
      <c r="B61" s="93" t="s">
        <v>501</v>
      </c>
      <c r="C61" s="93">
        <v>8</v>
      </c>
      <c r="D61" s="93">
        <v>8</v>
      </c>
      <c r="E61" s="93">
        <v>0</v>
      </c>
      <c r="F61" s="93">
        <f t="shared" si="10"/>
        <v>0</v>
      </c>
      <c r="G61" s="93">
        <v>84</v>
      </c>
      <c r="H61" s="93">
        <v>77</v>
      </c>
      <c r="I61" s="93">
        <v>2</v>
      </c>
      <c r="J61" s="93">
        <f t="shared" si="11"/>
        <v>5</v>
      </c>
      <c r="K61" s="93">
        <v>46</v>
      </c>
      <c r="L61" s="93">
        <v>46</v>
      </c>
      <c r="M61" s="93">
        <v>0</v>
      </c>
      <c r="N61" s="93">
        <f t="shared" si="12"/>
        <v>0</v>
      </c>
      <c r="P61" s="93">
        <f t="shared" si="1"/>
        <v>1</v>
      </c>
      <c r="Q61" s="93">
        <f t="shared" si="2"/>
        <v>0</v>
      </c>
      <c r="R61" s="93">
        <f t="shared" si="3"/>
        <v>0</v>
      </c>
      <c r="S61" s="93">
        <f t="shared" si="4"/>
        <v>0.91666666666666663</v>
      </c>
      <c r="T61" s="93">
        <f t="shared" si="5"/>
        <v>2.3809523809523808E-2</v>
      </c>
      <c r="U61" s="93">
        <f t="shared" si="6"/>
        <v>5.9523809523809521E-2</v>
      </c>
      <c r="V61" s="93">
        <f t="shared" si="7"/>
        <v>1</v>
      </c>
      <c r="W61" s="93">
        <f t="shared" si="8"/>
        <v>0</v>
      </c>
      <c r="X61" s="93">
        <f t="shared" si="9"/>
        <v>0</v>
      </c>
    </row>
    <row r="62" spans="1:24">
      <c r="A62" s="328">
        <v>117</v>
      </c>
      <c r="B62" s="93" t="s">
        <v>502</v>
      </c>
      <c r="C62" s="93">
        <v>65</v>
      </c>
      <c r="D62" s="93">
        <v>42</v>
      </c>
      <c r="E62" s="93">
        <v>16</v>
      </c>
      <c r="F62" s="93">
        <f t="shared" si="10"/>
        <v>7</v>
      </c>
      <c r="G62" s="93">
        <v>550</v>
      </c>
      <c r="H62" s="93">
        <v>453</v>
      </c>
      <c r="I62" s="93">
        <v>88</v>
      </c>
      <c r="J62" s="93">
        <f t="shared" si="11"/>
        <v>9</v>
      </c>
      <c r="K62" s="93">
        <v>256</v>
      </c>
      <c r="L62" s="93">
        <v>195</v>
      </c>
      <c r="M62" s="93">
        <v>59</v>
      </c>
      <c r="N62" s="93">
        <f t="shared" si="12"/>
        <v>2</v>
      </c>
      <c r="P62" s="93">
        <f t="shared" si="1"/>
        <v>0.64615384615384619</v>
      </c>
      <c r="Q62" s="93">
        <f t="shared" si="2"/>
        <v>0.24615384615384617</v>
      </c>
      <c r="R62" s="93">
        <f t="shared" si="3"/>
        <v>0.1076923076923077</v>
      </c>
      <c r="S62" s="93">
        <f t="shared" si="4"/>
        <v>0.82363636363636361</v>
      </c>
      <c r="T62" s="93">
        <f t="shared" si="5"/>
        <v>0.16</v>
      </c>
      <c r="U62" s="93">
        <f t="shared" si="6"/>
        <v>1.6363636363636365E-2</v>
      </c>
      <c r="V62" s="93">
        <f t="shared" si="7"/>
        <v>0.76171875</v>
      </c>
      <c r="W62" s="93">
        <f t="shared" si="8"/>
        <v>0.23046875</v>
      </c>
      <c r="X62" s="93">
        <f t="shared" si="9"/>
        <v>7.8125E-3</v>
      </c>
    </row>
    <row r="63" spans="1:24">
      <c r="A63" s="328">
        <v>119</v>
      </c>
      <c r="B63" s="93" t="s">
        <v>503</v>
      </c>
      <c r="C63" s="93">
        <v>8</v>
      </c>
      <c r="D63" s="93">
        <v>4</v>
      </c>
      <c r="E63" s="93">
        <v>2</v>
      </c>
      <c r="F63" s="93">
        <f t="shared" si="10"/>
        <v>2</v>
      </c>
      <c r="G63" s="93">
        <v>113</v>
      </c>
      <c r="H63" s="93">
        <v>94</v>
      </c>
      <c r="I63" s="93">
        <v>17</v>
      </c>
      <c r="J63" s="93">
        <f t="shared" si="11"/>
        <v>2</v>
      </c>
      <c r="K63" s="93">
        <v>49</v>
      </c>
      <c r="L63" s="93">
        <v>43</v>
      </c>
      <c r="M63" s="93">
        <v>5</v>
      </c>
      <c r="N63" s="93">
        <f t="shared" si="12"/>
        <v>1</v>
      </c>
      <c r="P63" s="93">
        <f t="shared" si="1"/>
        <v>0.5</v>
      </c>
      <c r="Q63" s="93">
        <f t="shared" si="2"/>
        <v>0.25</v>
      </c>
      <c r="R63" s="93">
        <f t="shared" si="3"/>
        <v>0.25</v>
      </c>
      <c r="S63" s="93">
        <f t="shared" si="4"/>
        <v>0.83185840707964598</v>
      </c>
      <c r="T63" s="93">
        <f t="shared" si="5"/>
        <v>0.15044247787610621</v>
      </c>
      <c r="U63" s="93">
        <f t="shared" si="6"/>
        <v>1.7699115044247787E-2</v>
      </c>
      <c r="V63" s="93">
        <f t="shared" si="7"/>
        <v>0.87755102040816324</v>
      </c>
      <c r="W63" s="93">
        <f t="shared" si="8"/>
        <v>0.10204081632653061</v>
      </c>
      <c r="X63" s="93">
        <f t="shared" si="9"/>
        <v>2.0408163265306121E-2</v>
      </c>
    </row>
    <row r="64" spans="1:24">
      <c r="A64" s="328">
        <v>121</v>
      </c>
      <c r="B64" s="93" t="s">
        <v>504</v>
      </c>
      <c r="C64" s="93">
        <v>74</v>
      </c>
      <c r="D64" s="93">
        <v>69</v>
      </c>
      <c r="E64" s="93">
        <v>4</v>
      </c>
      <c r="F64" s="93">
        <f t="shared" si="10"/>
        <v>1</v>
      </c>
      <c r="G64" s="93">
        <v>2075</v>
      </c>
      <c r="H64" s="93">
        <v>1799</v>
      </c>
      <c r="I64" s="93">
        <v>116</v>
      </c>
      <c r="J64" s="93">
        <f t="shared" si="11"/>
        <v>160</v>
      </c>
      <c r="K64" s="93">
        <v>540</v>
      </c>
      <c r="L64" s="93">
        <v>472</v>
      </c>
      <c r="M64" s="93">
        <v>31</v>
      </c>
      <c r="N64" s="93">
        <f t="shared" si="12"/>
        <v>37</v>
      </c>
      <c r="P64" s="93">
        <f t="shared" si="1"/>
        <v>0.93243243243243246</v>
      </c>
      <c r="Q64" s="93">
        <f t="shared" si="2"/>
        <v>5.4054054054054057E-2</v>
      </c>
      <c r="R64" s="93">
        <f t="shared" si="3"/>
        <v>1.3513513513513514E-2</v>
      </c>
      <c r="S64" s="93">
        <f t="shared" si="4"/>
        <v>0.86698795180722887</v>
      </c>
      <c r="T64" s="93">
        <f t="shared" si="5"/>
        <v>5.5903614457831326E-2</v>
      </c>
      <c r="U64" s="93">
        <f t="shared" si="6"/>
        <v>7.7108433734939766E-2</v>
      </c>
      <c r="V64" s="93">
        <f t="shared" si="7"/>
        <v>0.87407407407407411</v>
      </c>
      <c r="W64" s="93">
        <f t="shared" si="8"/>
        <v>5.7407407407407407E-2</v>
      </c>
      <c r="X64" s="93">
        <f t="shared" si="9"/>
        <v>6.851851851851852E-2</v>
      </c>
    </row>
    <row r="65" spans="1:24">
      <c r="A65" s="328">
        <v>125</v>
      </c>
      <c r="B65" s="93" t="s">
        <v>505</v>
      </c>
      <c r="C65" s="93">
        <v>23</v>
      </c>
      <c r="D65" s="93">
        <v>19</v>
      </c>
      <c r="E65" s="93">
        <v>2</v>
      </c>
      <c r="F65" s="93">
        <f t="shared" si="10"/>
        <v>2</v>
      </c>
      <c r="G65" s="93">
        <v>297</v>
      </c>
      <c r="H65" s="93">
        <v>254</v>
      </c>
      <c r="I65" s="93">
        <v>26</v>
      </c>
      <c r="J65" s="93">
        <f t="shared" si="11"/>
        <v>17</v>
      </c>
      <c r="K65" s="93">
        <v>187</v>
      </c>
      <c r="L65" s="93">
        <v>149</v>
      </c>
      <c r="M65" s="93">
        <v>32</v>
      </c>
      <c r="N65" s="93">
        <f t="shared" si="12"/>
        <v>6</v>
      </c>
      <c r="P65" s="93">
        <f t="shared" si="1"/>
        <v>0.82608695652173914</v>
      </c>
      <c r="Q65" s="93">
        <f t="shared" si="2"/>
        <v>8.6956521739130432E-2</v>
      </c>
      <c r="R65" s="93">
        <f t="shared" si="3"/>
        <v>8.6956521739130432E-2</v>
      </c>
      <c r="S65" s="93">
        <f t="shared" si="4"/>
        <v>0.85521885521885521</v>
      </c>
      <c r="T65" s="93">
        <f t="shared" si="5"/>
        <v>8.7542087542087546E-2</v>
      </c>
      <c r="U65" s="93">
        <f t="shared" si="6"/>
        <v>5.7239057239057242E-2</v>
      </c>
      <c r="V65" s="93">
        <f t="shared" si="7"/>
        <v>0.79679144385026734</v>
      </c>
      <c r="W65" s="93">
        <f t="shared" si="8"/>
        <v>0.17112299465240641</v>
      </c>
      <c r="X65" s="93">
        <f t="shared" si="9"/>
        <v>3.2085561497326207E-2</v>
      </c>
    </row>
    <row r="66" spans="1:24">
      <c r="A66" s="328">
        <v>127</v>
      </c>
      <c r="B66" s="93" t="s">
        <v>506</v>
      </c>
      <c r="C66" s="93">
        <v>15</v>
      </c>
      <c r="D66" s="93">
        <v>14</v>
      </c>
      <c r="E66" s="93">
        <v>0</v>
      </c>
      <c r="F66" s="93">
        <f t="shared" si="10"/>
        <v>1</v>
      </c>
      <c r="G66" s="93">
        <v>230</v>
      </c>
      <c r="H66" s="93">
        <v>202</v>
      </c>
      <c r="I66" s="93">
        <v>16</v>
      </c>
      <c r="J66" s="93">
        <f t="shared" si="11"/>
        <v>12</v>
      </c>
      <c r="K66" s="93">
        <v>165</v>
      </c>
      <c r="L66" s="93">
        <v>142</v>
      </c>
      <c r="M66" s="93">
        <v>9</v>
      </c>
      <c r="N66" s="93">
        <f t="shared" si="12"/>
        <v>14</v>
      </c>
      <c r="P66" s="93">
        <f t="shared" si="1"/>
        <v>0.93333333333333335</v>
      </c>
      <c r="Q66" s="93">
        <f t="shared" si="2"/>
        <v>0</v>
      </c>
      <c r="R66" s="93">
        <f t="shared" si="3"/>
        <v>6.6666666666666666E-2</v>
      </c>
      <c r="S66" s="93">
        <f t="shared" si="4"/>
        <v>0.87826086956521743</v>
      </c>
      <c r="T66" s="93">
        <f t="shared" si="5"/>
        <v>6.9565217391304349E-2</v>
      </c>
      <c r="U66" s="93">
        <f t="shared" si="6"/>
        <v>5.2173913043478258E-2</v>
      </c>
      <c r="V66" s="93">
        <f t="shared" si="7"/>
        <v>0.8606060606060606</v>
      </c>
      <c r="W66" s="93">
        <f t="shared" si="8"/>
        <v>5.4545454545454543E-2</v>
      </c>
      <c r="X66" s="93">
        <f t="shared" si="9"/>
        <v>8.4848484848484854E-2</v>
      </c>
    </row>
    <row r="67" spans="1:24">
      <c r="A67" s="328">
        <v>131</v>
      </c>
      <c r="B67" s="93" t="s">
        <v>507</v>
      </c>
      <c r="C67" s="93">
        <v>32</v>
      </c>
      <c r="D67" s="93">
        <v>28</v>
      </c>
      <c r="E67" s="93">
        <v>3</v>
      </c>
      <c r="F67" s="93">
        <f t="shared" si="10"/>
        <v>1</v>
      </c>
      <c r="G67" s="93">
        <v>545</v>
      </c>
      <c r="H67" s="93">
        <v>495</v>
      </c>
      <c r="I67" s="93">
        <v>30</v>
      </c>
      <c r="J67" s="93">
        <f t="shared" si="11"/>
        <v>20</v>
      </c>
      <c r="K67" s="93">
        <v>336</v>
      </c>
      <c r="L67" s="93">
        <v>304</v>
      </c>
      <c r="M67" s="93">
        <v>25</v>
      </c>
      <c r="N67" s="93">
        <f t="shared" si="12"/>
        <v>7</v>
      </c>
      <c r="P67" s="93">
        <f t="shared" si="1"/>
        <v>0.875</v>
      </c>
      <c r="Q67" s="93">
        <f t="shared" si="2"/>
        <v>9.375E-2</v>
      </c>
      <c r="R67" s="93">
        <f t="shared" si="3"/>
        <v>3.125E-2</v>
      </c>
      <c r="S67" s="93">
        <f t="shared" si="4"/>
        <v>0.90825688073394495</v>
      </c>
      <c r="T67" s="93">
        <f t="shared" si="5"/>
        <v>5.5045871559633031E-2</v>
      </c>
      <c r="U67" s="93">
        <f t="shared" si="6"/>
        <v>3.669724770642202E-2</v>
      </c>
      <c r="V67" s="93">
        <f t="shared" si="7"/>
        <v>0.90476190476190477</v>
      </c>
      <c r="W67" s="93">
        <f t="shared" si="8"/>
        <v>7.4404761904761904E-2</v>
      </c>
      <c r="X67" s="93">
        <f t="shared" si="9"/>
        <v>2.0833333333333332E-2</v>
      </c>
    </row>
    <row r="68" spans="1:24">
      <c r="A68" s="328">
        <v>133</v>
      </c>
      <c r="B68" s="93" t="s">
        <v>508</v>
      </c>
      <c r="C68" s="93">
        <v>20</v>
      </c>
      <c r="D68" s="93">
        <v>16</v>
      </c>
      <c r="E68" s="93">
        <v>4</v>
      </c>
      <c r="F68" s="93">
        <f t="shared" si="10"/>
        <v>0</v>
      </c>
      <c r="G68" s="93">
        <v>250</v>
      </c>
      <c r="H68" s="93">
        <v>221</v>
      </c>
      <c r="I68" s="93">
        <v>18</v>
      </c>
      <c r="J68" s="93">
        <f t="shared" si="11"/>
        <v>11</v>
      </c>
      <c r="K68" s="93">
        <v>130</v>
      </c>
      <c r="L68" s="93">
        <v>109</v>
      </c>
      <c r="M68" s="93">
        <v>10</v>
      </c>
      <c r="N68" s="93">
        <f t="shared" si="12"/>
        <v>11</v>
      </c>
      <c r="P68" s="93">
        <f t="shared" si="1"/>
        <v>0.8</v>
      </c>
      <c r="Q68" s="93">
        <f t="shared" si="2"/>
        <v>0.2</v>
      </c>
      <c r="R68" s="93">
        <f t="shared" si="3"/>
        <v>0</v>
      </c>
      <c r="S68" s="93">
        <f t="shared" si="4"/>
        <v>0.88400000000000001</v>
      </c>
      <c r="T68" s="93">
        <f t="shared" si="5"/>
        <v>7.1999999999999995E-2</v>
      </c>
      <c r="U68" s="93">
        <f t="shared" si="6"/>
        <v>4.3999999999999997E-2</v>
      </c>
      <c r="V68" s="93">
        <f t="shared" si="7"/>
        <v>0.83846153846153848</v>
      </c>
      <c r="W68" s="93">
        <f t="shared" si="8"/>
        <v>7.6923076923076927E-2</v>
      </c>
      <c r="X68" s="93">
        <f t="shared" si="9"/>
        <v>8.461538461538462E-2</v>
      </c>
    </row>
    <row r="69" spans="1:24">
      <c r="A69" s="328">
        <v>135</v>
      </c>
      <c r="B69" s="93" t="s">
        <v>509</v>
      </c>
      <c r="C69" s="93">
        <v>25</v>
      </c>
      <c r="D69" s="93">
        <v>11</v>
      </c>
      <c r="E69" s="93">
        <v>14</v>
      </c>
      <c r="F69" s="93">
        <f t="shared" si="10"/>
        <v>0</v>
      </c>
      <c r="G69" s="93">
        <v>415</v>
      </c>
      <c r="H69" s="93">
        <v>304</v>
      </c>
      <c r="I69" s="93">
        <v>66</v>
      </c>
      <c r="J69" s="93">
        <f t="shared" si="11"/>
        <v>45</v>
      </c>
      <c r="K69" s="93">
        <v>215</v>
      </c>
      <c r="L69" s="93">
        <v>145</v>
      </c>
      <c r="M69" s="93">
        <v>46</v>
      </c>
      <c r="N69" s="93">
        <f t="shared" si="12"/>
        <v>24</v>
      </c>
      <c r="P69" s="93">
        <f t="shared" ref="P69:P121" si="13">D69/C69</f>
        <v>0.44</v>
      </c>
      <c r="Q69" s="93">
        <f t="shared" ref="Q69:Q121" si="14">E69/C69</f>
        <v>0.56000000000000005</v>
      </c>
      <c r="R69" s="93">
        <f t="shared" ref="R69:R121" si="15">F69/C69</f>
        <v>0</v>
      </c>
      <c r="S69" s="93">
        <f t="shared" ref="S69:S121" si="16">H69/G69</f>
        <v>0.73253012048192767</v>
      </c>
      <c r="T69" s="93">
        <f t="shared" ref="T69:T121" si="17">I69/G69</f>
        <v>0.15903614457831325</v>
      </c>
      <c r="U69" s="93">
        <f t="shared" ref="U69:U121" si="18">J69/G69</f>
        <v>0.10843373493975904</v>
      </c>
      <c r="V69" s="93">
        <f t="shared" ref="V69:V121" si="19">L69/K69</f>
        <v>0.67441860465116277</v>
      </c>
      <c r="W69" s="93">
        <f t="shared" ref="W69:W121" si="20">M69/K69</f>
        <v>0.21395348837209302</v>
      </c>
      <c r="X69" s="93">
        <f t="shared" ref="X69:X121" si="21">N69/K69</f>
        <v>0.11162790697674418</v>
      </c>
    </row>
    <row r="70" spans="1:24">
      <c r="A70" s="328">
        <v>137</v>
      </c>
      <c r="B70" s="93" t="s">
        <v>510</v>
      </c>
      <c r="C70" s="93">
        <v>74</v>
      </c>
      <c r="D70" s="93">
        <v>68</v>
      </c>
      <c r="E70" s="93">
        <v>3</v>
      </c>
      <c r="F70" s="93">
        <f t="shared" ref="F70:F121" si="22">C70-D70-E70</f>
        <v>3</v>
      </c>
      <c r="G70" s="93">
        <v>690</v>
      </c>
      <c r="H70" s="93">
        <v>596</v>
      </c>
      <c r="I70" s="93">
        <v>59</v>
      </c>
      <c r="J70" s="93">
        <f t="shared" ref="J70:J121" si="23">G70-H70-I70</f>
        <v>35</v>
      </c>
      <c r="K70" s="93">
        <v>432</v>
      </c>
      <c r="L70" s="93">
        <v>368</v>
      </c>
      <c r="M70" s="93">
        <v>49</v>
      </c>
      <c r="N70" s="93">
        <f t="shared" ref="N70:N121" si="24">K70-L70-M70</f>
        <v>15</v>
      </c>
      <c r="P70" s="93">
        <f t="shared" si="13"/>
        <v>0.91891891891891897</v>
      </c>
      <c r="Q70" s="93">
        <f t="shared" si="14"/>
        <v>4.0540540540540543E-2</v>
      </c>
      <c r="R70" s="93">
        <f t="shared" si="15"/>
        <v>4.0540540540540543E-2</v>
      </c>
      <c r="S70" s="93">
        <f t="shared" si="16"/>
        <v>0.86376811594202896</v>
      </c>
      <c r="T70" s="93">
        <f t="shared" si="17"/>
        <v>8.5507246376811591E-2</v>
      </c>
      <c r="U70" s="93">
        <f t="shared" si="18"/>
        <v>5.0724637681159424E-2</v>
      </c>
      <c r="V70" s="93">
        <f t="shared" si="19"/>
        <v>0.85185185185185186</v>
      </c>
      <c r="W70" s="93">
        <f t="shared" si="20"/>
        <v>0.11342592592592593</v>
      </c>
      <c r="X70" s="93">
        <f t="shared" si="21"/>
        <v>3.4722222222222224E-2</v>
      </c>
    </row>
    <row r="71" spans="1:24">
      <c r="A71" s="328">
        <v>139</v>
      </c>
      <c r="B71" s="93" t="s">
        <v>511</v>
      </c>
      <c r="C71" s="93">
        <v>27</v>
      </c>
      <c r="D71" s="93">
        <v>25</v>
      </c>
      <c r="E71" s="93">
        <v>2</v>
      </c>
      <c r="F71" s="93">
        <f t="shared" si="22"/>
        <v>0</v>
      </c>
      <c r="G71" s="93">
        <v>217</v>
      </c>
      <c r="H71" s="93">
        <v>195</v>
      </c>
      <c r="I71" s="93">
        <v>15</v>
      </c>
      <c r="J71" s="93">
        <f t="shared" si="23"/>
        <v>7</v>
      </c>
      <c r="K71" s="93">
        <v>144</v>
      </c>
      <c r="L71" s="93">
        <v>132</v>
      </c>
      <c r="M71" s="93">
        <v>10</v>
      </c>
      <c r="N71" s="93">
        <f t="shared" si="24"/>
        <v>2</v>
      </c>
      <c r="P71" s="93">
        <f t="shared" si="13"/>
        <v>0.92592592592592593</v>
      </c>
      <c r="Q71" s="93">
        <f t="shared" si="14"/>
        <v>7.407407407407407E-2</v>
      </c>
      <c r="R71" s="93">
        <f t="shared" si="15"/>
        <v>0</v>
      </c>
      <c r="S71" s="93">
        <f t="shared" si="16"/>
        <v>0.89861751152073732</v>
      </c>
      <c r="T71" s="93">
        <f t="shared" si="17"/>
        <v>6.9124423963133647E-2</v>
      </c>
      <c r="U71" s="93">
        <f t="shared" si="18"/>
        <v>3.2258064516129031E-2</v>
      </c>
      <c r="V71" s="93">
        <f t="shared" si="19"/>
        <v>0.91666666666666663</v>
      </c>
      <c r="W71" s="93">
        <f t="shared" si="20"/>
        <v>6.9444444444444448E-2</v>
      </c>
      <c r="X71" s="93">
        <f t="shared" si="21"/>
        <v>1.3888888888888888E-2</v>
      </c>
    </row>
    <row r="72" spans="1:24">
      <c r="A72" s="328">
        <v>141</v>
      </c>
      <c r="B72" s="93" t="s">
        <v>512</v>
      </c>
      <c r="C72" s="93">
        <v>28</v>
      </c>
      <c r="D72" s="93">
        <v>26</v>
      </c>
      <c r="E72" s="93">
        <v>2</v>
      </c>
      <c r="F72" s="93">
        <f t="shared" si="22"/>
        <v>0</v>
      </c>
      <c r="G72" s="93">
        <v>270</v>
      </c>
      <c r="H72" s="93">
        <v>246</v>
      </c>
      <c r="I72" s="93">
        <v>7</v>
      </c>
      <c r="J72" s="93">
        <f t="shared" si="23"/>
        <v>17</v>
      </c>
      <c r="K72" s="93">
        <v>170</v>
      </c>
      <c r="L72" s="93">
        <v>155</v>
      </c>
      <c r="M72" s="93">
        <v>3</v>
      </c>
      <c r="N72" s="93">
        <f t="shared" si="24"/>
        <v>12</v>
      </c>
      <c r="P72" s="93">
        <f t="shared" si="13"/>
        <v>0.9285714285714286</v>
      </c>
      <c r="Q72" s="93">
        <f t="shared" si="14"/>
        <v>7.1428571428571425E-2</v>
      </c>
      <c r="R72" s="93">
        <f t="shared" si="15"/>
        <v>0</v>
      </c>
      <c r="S72" s="93">
        <f t="shared" si="16"/>
        <v>0.91111111111111109</v>
      </c>
      <c r="T72" s="93">
        <f t="shared" si="17"/>
        <v>2.5925925925925925E-2</v>
      </c>
      <c r="U72" s="93">
        <f t="shared" si="18"/>
        <v>6.2962962962962957E-2</v>
      </c>
      <c r="V72" s="93">
        <f t="shared" si="19"/>
        <v>0.91176470588235292</v>
      </c>
      <c r="W72" s="93">
        <f t="shared" si="20"/>
        <v>1.7647058823529412E-2</v>
      </c>
      <c r="X72" s="93">
        <f t="shared" si="21"/>
        <v>7.0588235294117646E-2</v>
      </c>
    </row>
    <row r="73" spans="1:24">
      <c r="A73" s="328">
        <v>143</v>
      </c>
      <c r="B73" s="93" t="s">
        <v>513</v>
      </c>
      <c r="C73" s="93">
        <v>65</v>
      </c>
      <c r="D73" s="93">
        <v>54</v>
      </c>
      <c r="E73" s="93">
        <v>9</v>
      </c>
      <c r="F73" s="93">
        <f t="shared" si="22"/>
        <v>2</v>
      </c>
      <c r="G73" s="93">
        <v>807</v>
      </c>
      <c r="H73" s="93">
        <v>722</v>
      </c>
      <c r="I73" s="93">
        <v>60</v>
      </c>
      <c r="J73" s="93">
        <f t="shared" si="23"/>
        <v>25</v>
      </c>
      <c r="K73" s="93">
        <v>541</v>
      </c>
      <c r="L73" s="93">
        <v>481</v>
      </c>
      <c r="M73" s="93">
        <v>40</v>
      </c>
      <c r="N73" s="93">
        <f t="shared" si="24"/>
        <v>20</v>
      </c>
      <c r="P73" s="93">
        <f t="shared" si="13"/>
        <v>0.83076923076923082</v>
      </c>
      <c r="Q73" s="93">
        <f t="shared" si="14"/>
        <v>0.13846153846153847</v>
      </c>
      <c r="R73" s="93">
        <f t="shared" si="15"/>
        <v>3.0769230769230771E-2</v>
      </c>
      <c r="S73" s="93">
        <f t="shared" si="16"/>
        <v>0.89467162329615857</v>
      </c>
      <c r="T73" s="93">
        <f t="shared" si="17"/>
        <v>7.434944237918216E-2</v>
      </c>
      <c r="U73" s="93">
        <f t="shared" si="18"/>
        <v>3.0978934324659233E-2</v>
      </c>
      <c r="V73" s="93">
        <f t="shared" si="19"/>
        <v>0.88909426987061002</v>
      </c>
      <c r="W73" s="93">
        <f t="shared" si="20"/>
        <v>7.3937153419593352E-2</v>
      </c>
      <c r="X73" s="93">
        <f t="shared" si="21"/>
        <v>3.6968576709796676E-2</v>
      </c>
    </row>
    <row r="74" spans="1:24">
      <c r="A74" s="328">
        <v>145</v>
      </c>
      <c r="B74" s="93" t="s">
        <v>514</v>
      </c>
      <c r="C74" s="93">
        <v>25</v>
      </c>
      <c r="D74" s="93">
        <v>23</v>
      </c>
      <c r="E74" s="93">
        <v>2</v>
      </c>
      <c r="F74" s="93">
        <f t="shared" si="22"/>
        <v>0</v>
      </c>
      <c r="G74" s="93">
        <v>340</v>
      </c>
      <c r="H74" s="93">
        <v>306</v>
      </c>
      <c r="I74" s="93">
        <v>28</v>
      </c>
      <c r="J74" s="93">
        <f t="shared" si="23"/>
        <v>6</v>
      </c>
      <c r="K74" s="93">
        <v>159</v>
      </c>
      <c r="L74" s="93">
        <v>145</v>
      </c>
      <c r="M74" s="93">
        <v>14</v>
      </c>
      <c r="N74" s="93">
        <f t="shared" si="24"/>
        <v>0</v>
      </c>
      <c r="P74" s="93">
        <f t="shared" si="13"/>
        <v>0.92</v>
      </c>
      <c r="Q74" s="93">
        <f t="shared" si="14"/>
        <v>0.08</v>
      </c>
      <c r="R74" s="93">
        <f t="shared" si="15"/>
        <v>0</v>
      </c>
      <c r="S74" s="93">
        <f t="shared" si="16"/>
        <v>0.9</v>
      </c>
      <c r="T74" s="93">
        <f t="shared" si="17"/>
        <v>8.2352941176470587E-2</v>
      </c>
      <c r="U74" s="93">
        <f t="shared" si="18"/>
        <v>1.7647058823529412E-2</v>
      </c>
      <c r="V74" s="93">
        <f t="shared" si="19"/>
        <v>0.91194968553459121</v>
      </c>
      <c r="W74" s="93">
        <f t="shared" si="20"/>
        <v>8.8050314465408799E-2</v>
      </c>
      <c r="X74" s="93">
        <f t="shared" si="21"/>
        <v>0</v>
      </c>
    </row>
    <row r="75" spans="1:24">
      <c r="A75" s="328">
        <v>147</v>
      </c>
      <c r="B75" s="93" t="s">
        <v>515</v>
      </c>
      <c r="C75" s="93">
        <v>19</v>
      </c>
      <c r="D75" s="93">
        <v>15</v>
      </c>
      <c r="E75" s="93">
        <v>3</v>
      </c>
      <c r="F75" s="93">
        <f t="shared" si="22"/>
        <v>1</v>
      </c>
      <c r="G75" s="93">
        <v>387</v>
      </c>
      <c r="H75" s="93">
        <v>288</v>
      </c>
      <c r="I75" s="93">
        <v>81</v>
      </c>
      <c r="J75" s="93">
        <f t="shared" si="23"/>
        <v>18</v>
      </c>
      <c r="K75" s="93">
        <v>138</v>
      </c>
      <c r="L75" s="93">
        <v>90</v>
      </c>
      <c r="M75" s="93">
        <v>43</v>
      </c>
      <c r="N75" s="93">
        <f t="shared" si="24"/>
        <v>5</v>
      </c>
      <c r="P75" s="93">
        <f t="shared" si="13"/>
        <v>0.78947368421052633</v>
      </c>
      <c r="Q75" s="93">
        <f t="shared" si="14"/>
        <v>0.15789473684210525</v>
      </c>
      <c r="R75" s="93">
        <f t="shared" si="15"/>
        <v>5.2631578947368418E-2</v>
      </c>
      <c r="S75" s="93">
        <f t="shared" si="16"/>
        <v>0.7441860465116279</v>
      </c>
      <c r="T75" s="93">
        <f t="shared" si="17"/>
        <v>0.20930232558139536</v>
      </c>
      <c r="U75" s="93">
        <f t="shared" si="18"/>
        <v>4.6511627906976744E-2</v>
      </c>
      <c r="V75" s="93">
        <f t="shared" si="19"/>
        <v>0.65217391304347827</v>
      </c>
      <c r="W75" s="93">
        <f t="shared" si="20"/>
        <v>0.31159420289855072</v>
      </c>
      <c r="X75" s="93">
        <f t="shared" si="21"/>
        <v>3.6231884057971016E-2</v>
      </c>
    </row>
    <row r="76" spans="1:24">
      <c r="A76" s="328">
        <v>149</v>
      </c>
      <c r="B76" s="93" t="s">
        <v>516</v>
      </c>
      <c r="C76" s="93">
        <v>42</v>
      </c>
      <c r="D76" s="93">
        <v>34</v>
      </c>
      <c r="E76" s="93">
        <v>6</v>
      </c>
      <c r="F76" s="93">
        <f t="shared" si="22"/>
        <v>2</v>
      </c>
      <c r="G76" s="93">
        <v>1603</v>
      </c>
      <c r="H76" s="93">
        <v>1198</v>
      </c>
      <c r="I76" s="93">
        <v>338</v>
      </c>
      <c r="J76" s="93">
        <f t="shared" si="23"/>
        <v>67</v>
      </c>
      <c r="K76" s="93">
        <v>739</v>
      </c>
      <c r="L76" s="93">
        <v>525</v>
      </c>
      <c r="M76" s="93">
        <v>163</v>
      </c>
      <c r="N76" s="93">
        <f t="shared" si="24"/>
        <v>51</v>
      </c>
      <c r="P76" s="93">
        <f t="shared" si="13"/>
        <v>0.80952380952380953</v>
      </c>
      <c r="Q76" s="93">
        <f t="shared" si="14"/>
        <v>0.14285714285714285</v>
      </c>
      <c r="R76" s="93">
        <f t="shared" si="15"/>
        <v>4.7619047619047616E-2</v>
      </c>
      <c r="S76" s="93">
        <f t="shared" si="16"/>
        <v>0.74734872114784778</v>
      </c>
      <c r="T76" s="93">
        <f t="shared" si="17"/>
        <v>0.21085464753587024</v>
      </c>
      <c r="U76" s="93">
        <f t="shared" si="18"/>
        <v>4.1796631316281974E-2</v>
      </c>
      <c r="V76" s="93">
        <f t="shared" si="19"/>
        <v>0.71041948579161029</v>
      </c>
      <c r="W76" s="93">
        <f t="shared" si="20"/>
        <v>0.22056833558863329</v>
      </c>
      <c r="X76" s="93">
        <f t="shared" si="21"/>
        <v>6.9012178619756434E-2</v>
      </c>
    </row>
    <row r="77" spans="1:24">
      <c r="A77" s="328">
        <v>153</v>
      </c>
      <c r="B77" s="93" t="s">
        <v>517</v>
      </c>
      <c r="C77" s="93">
        <v>2113</v>
      </c>
      <c r="D77" s="93">
        <v>1878</v>
      </c>
      <c r="E77" s="93">
        <v>119</v>
      </c>
      <c r="F77" s="93">
        <f t="shared" si="22"/>
        <v>116</v>
      </c>
      <c r="G77" s="93">
        <v>53586</v>
      </c>
      <c r="H77" s="93">
        <v>46734</v>
      </c>
      <c r="I77" s="93">
        <v>3714</v>
      </c>
      <c r="J77" s="93">
        <f t="shared" si="23"/>
        <v>3138</v>
      </c>
      <c r="K77" s="93">
        <v>30044</v>
      </c>
      <c r="L77" s="93">
        <v>25292</v>
      </c>
      <c r="M77" s="93">
        <v>2766</v>
      </c>
      <c r="N77" s="93">
        <f t="shared" si="24"/>
        <v>1986</v>
      </c>
      <c r="P77" s="93">
        <f t="shared" si="13"/>
        <v>0.88878371982962612</v>
      </c>
      <c r="Q77" s="93">
        <f t="shared" si="14"/>
        <v>5.6318031235210599E-2</v>
      </c>
      <c r="R77" s="93">
        <f t="shared" si="15"/>
        <v>5.4898248935163277E-2</v>
      </c>
      <c r="S77" s="93">
        <f t="shared" si="16"/>
        <v>0.87213078042772363</v>
      </c>
      <c r="T77" s="93">
        <f t="shared" si="17"/>
        <v>6.9309147911767996E-2</v>
      </c>
      <c r="U77" s="93">
        <f t="shared" si="18"/>
        <v>5.8560071660508341E-2</v>
      </c>
      <c r="V77" s="93">
        <f t="shared" si="19"/>
        <v>0.84183197976301427</v>
      </c>
      <c r="W77" s="93">
        <f t="shared" si="20"/>
        <v>9.2064971375316204E-2</v>
      </c>
      <c r="X77" s="93">
        <f t="shared" si="21"/>
        <v>6.6103048861669553E-2</v>
      </c>
    </row>
    <row r="78" spans="1:24">
      <c r="A78" s="328">
        <v>155</v>
      </c>
      <c r="B78" s="93" t="s">
        <v>518</v>
      </c>
      <c r="C78" s="93">
        <v>32</v>
      </c>
      <c r="D78" s="93">
        <v>31</v>
      </c>
      <c r="E78" s="93">
        <v>1</v>
      </c>
      <c r="F78" s="93">
        <f t="shared" si="22"/>
        <v>0</v>
      </c>
      <c r="G78" s="93">
        <v>264</v>
      </c>
      <c r="H78" s="93">
        <v>249</v>
      </c>
      <c r="I78" s="93">
        <v>8</v>
      </c>
      <c r="J78" s="93">
        <f t="shared" si="23"/>
        <v>7</v>
      </c>
      <c r="K78" s="93">
        <v>175</v>
      </c>
      <c r="L78" s="93">
        <v>160</v>
      </c>
      <c r="M78" s="93">
        <v>13</v>
      </c>
      <c r="N78" s="93">
        <f t="shared" si="24"/>
        <v>2</v>
      </c>
      <c r="P78" s="93">
        <f t="shared" si="13"/>
        <v>0.96875</v>
      </c>
      <c r="Q78" s="93">
        <f t="shared" si="14"/>
        <v>3.125E-2</v>
      </c>
      <c r="R78" s="93">
        <f t="shared" si="15"/>
        <v>0</v>
      </c>
      <c r="S78" s="93">
        <f t="shared" si="16"/>
        <v>0.94318181818181823</v>
      </c>
      <c r="T78" s="93">
        <f t="shared" si="17"/>
        <v>3.0303030303030304E-2</v>
      </c>
      <c r="U78" s="93">
        <f t="shared" si="18"/>
        <v>2.6515151515151516E-2</v>
      </c>
      <c r="V78" s="93">
        <f t="shared" si="19"/>
        <v>0.91428571428571426</v>
      </c>
      <c r="W78" s="93">
        <f t="shared" si="20"/>
        <v>7.4285714285714288E-2</v>
      </c>
      <c r="X78" s="93">
        <f t="shared" si="21"/>
        <v>1.1428571428571429E-2</v>
      </c>
    </row>
    <row r="79" spans="1:24">
      <c r="A79" s="328">
        <v>157</v>
      </c>
      <c r="B79" s="93" t="s">
        <v>519</v>
      </c>
      <c r="C79" s="93">
        <v>18</v>
      </c>
      <c r="D79" s="93">
        <v>18</v>
      </c>
      <c r="E79" s="93">
        <v>0</v>
      </c>
      <c r="F79" s="93">
        <f t="shared" si="22"/>
        <v>0</v>
      </c>
      <c r="G79" s="93">
        <v>143</v>
      </c>
      <c r="H79" s="93">
        <v>134</v>
      </c>
      <c r="I79" s="93">
        <v>7</v>
      </c>
      <c r="J79" s="93">
        <f t="shared" si="23"/>
        <v>2</v>
      </c>
      <c r="K79" s="93">
        <v>82</v>
      </c>
      <c r="L79" s="93">
        <v>77</v>
      </c>
      <c r="M79" s="93">
        <v>4</v>
      </c>
      <c r="N79" s="93">
        <f t="shared" si="24"/>
        <v>1</v>
      </c>
      <c r="P79" s="93">
        <f t="shared" si="13"/>
        <v>1</v>
      </c>
      <c r="Q79" s="93">
        <f t="shared" si="14"/>
        <v>0</v>
      </c>
      <c r="R79" s="93">
        <f t="shared" si="15"/>
        <v>0</v>
      </c>
      <c r="S79" s="93">
        <f t="shared" si="16"/>
        <v>0.93706293706293708</v>
      </c>
      <c r="T79" s="93">
        <f t="shared" si="17"/>
        <v>4.8951048951048952E-2</v>
      </c>
      <c r="U79" s="93">
        <f t="shared" si="18"/>
        <v>1.3986013986013986E-2</v>
      </c>
      <c r="V79" s="93">
        <f t="shared" si="19"/>
        <v>0.93902439024390238</v>
      </c>
      <c r="W79" s="93">
        <f t="shared" si="20"/>
        <v>4.878048780487805E-2</v>
      </c>
      <c r="X79" s="93">
        <f t="shared" si="21"/>
        <v>1.2195121951219513E-2</v>
      </c>
    </row>
    <row r="80" spans="1:24">
      <c r="A80" s="328">
        <v>159</v>
      </c>
      <c r="B80" s="93" t="s">
        <v>272</v>
      </c>
      <c r="C80" s="93">
        <v>20</v>
      </c>
      <c r="D80" s="93">
        <v>19</v>
      </c>
      <c r="E80" s="93">
        <v>1</v>
      </c>
      <c r="F80" s="93">
        <f t="shared" si="22"/>
        <v>0</v>
      </c>
      <c r="G80" s="93">
        <v>356</v>
      </c>
      <c r="H80" s="93">
        <v>331</v>
      </c>
      <c r="I80" s="93">
        <v>16</v>
      </c>
      <c r="J80" s="93">
        <f t="shared" si="23"/>
        <v>9</v>
      </c>
      <c r="K80" s="93">
        <v>157</v>
      </c>
      <c r="L80" s="93">
        <v>145</v>
      </c>
      <c r="M80" s="93">
        <v>9</v>
      </c>
      <c r="N80" s="93">
        <f t="shared" si="24"/>
        <v>3</v>
      </c>
      <c r="P80" s="93">
        <f t="shared" si="13"/>
        <v>0.95</v>
      </c>
      <c r="Q80" s="93">
        <f t="shared" si="14"/>
        <v>0.05</v>
      </c>
      <c r="R80" s="93">
        <f t="shared" si="15"/>
        <v>0</v>
      </c>
      <c r="S80" s="93">
        <f t="shared" si="16"/>
        <v>0.9297752808988764</v>
      </c>
      <c r="T80" s="93">
        <f t="shared" si="17"/>
        <v>4.49438202247191E-2</v>
      </c>
      <c r="U80" s="93">
        <f t="shared" si="18"/>
        <v>2.5280898876404494E-2</v>
      </c>
      <c r="V80" s="93">
        <f t="shared" si="19"/>
        <v>0.92356687898089174</v>
      </c>
      <c r="W80" s="93">
        <f t="shared" si="20"/>
        <v>5.7324840764331211E-2</v>
      </c>
      <c r="X80" s="93">
        <f t="shared" si="21"/>
        <v>1.9108280254777069E-2</v>
      </c>
    </row>
    <row r="81" spans="1:24">
      <c r="A81" s="328">
        <v>161</v>
      </c>
      <c r="B81" s="93" t="s">
        <v>301</v>
      </c>
      <c r="C81" s="93">
        <v>114</v>
      </c>
      <c r="D81" s="93">
        <v>107</v>
      </c>
      <c r="E81" s="93">
        <v>4</v>
      </c>
      <c r="F81" s="93">
        <f>(C81-D81-E81)+1</f>
        <v>4</v>
      </c>
      <c r="G81" s="93">
        <v>1628</v>
      </c>
      <c r="H81" s="93">
        <v>1460</v>
      </c>
      <c r="I81" s="93">
        <v>107</v>
      </c>
      <c r="J81" s="93">
        <f>(G81-H81-I81)+18</f>
        <v>79</v>
      </c>
      <c r="K81" s="93">
        <v>1001</v>
      </c>
      <c r="L81" s="93">
        <v>885</v>
      </c>
      <c r="M81" s="93">
        <v>86</v>
      </c>
      <c r="N81" s="93">
        <f>(K81-L81-M81)+11</f>
        <v>41</v>
      </c>
      <c r="P81" s="93">
        <f t="shared" si="13"/>
        <v>0.93859649122807021</v>
      </c>
      <c r="Q81" s="93">
        <f t="shared" si="14"/>
        <v>3.5087719298245612E-2</v>
      </c>
      <c r="R81" s="93">
        <f t="shared" si="15"/>
        <v>3.5087719298245612E-2</v>
      </c>
      <c r="S81" s="93">
        <f t="shared" si="16"/>
        <v>0.89680589680589684</v>
      </c>
      <c r="T81" s="93">
        <f t="shared" si="17"/>
        <v>6.5724815724815727E-2</v>
      </c>
      <c r="U81" s="93">
        <f t="shared" si="18"/>
        <v>4.8525798525798525E-2</v>
      </c>
      <c r="V81" s="93">
        <f t="shared" si="19"/>
        <v>0.88411588411588415</v>
      </c>
      <c r="W81" s="93">
        <f t="shared" si="20"/>
        <v>8.5914085914085919E-2</v>
      </c>
      <c r="X81" s="93">
        <f t="shared" si="21"/>
        <v>4.095904095904096E-2</v>
      </c>
    </row>
    <row r="82" spans="1:24">
      <c r="A82" s="328">
        <v>163</v>
      </c>
      <c r="B82" s="93" t="s">
        <v>711</v>
      </c>
      <c r="C82" s="93">
        <v>41</v>
      </c>
      <c r="D82" s="93">
        <v>40</v>
      </c>
      <c r="E82" s="93">
        <v>1</v>
      </c>
      <c r="F82" s="93">
        <f>((C82-D82-E82)+0)+0</f>
        <v>0</v>
      </c>
      <c r="G82" s="93">
        <v>487</v>
      </c>
      <c r="H82" s="93">
        <v>442</v>
      </c>
      <c r="I82" s="93">
        <v>24</v>
      </c>
      <c r="J82" s="93">
        <f>((G82-H82-I82)+4)+6</f>
        <v>31</v>
      </c>
      <c r="K82" s="93">
        <v>195</v>
      </c>
      <c r="L82" s="93">
        <v>175</v>
      </c>
      <c r="M82" s="93">
        <v>13</v>
      </c>
      <c r="N82" s="93">
        <f>((K82-L82-M82)+1)+0</f>
        <v>8</v>
      </c>
      <c r="P82" s="93">
        <f t="shared" si="13"/>
        <v>0.97560975609756095</v>
      </c>
      <c r="Q82" s="93">
        <f t="shared" si="14"/>
        <v>2.4390243902439025E-2</v>
      </c>
      <c r="R82" s="93">
        <f t="shared" si="15"/>
        <v>0</v>
      </c>
      <c r="S82" s="93">
        <f t="shared" si="16"/>
        <v>0.9075975359342916</v>
      </c>
      <c r="T82" s="93">
        <f t="shared" si="17"/>
        <v>4.9281314168377825E-2</v>
      </c>
      <c r="U82" s="93">
        <f t="shared" si="18"/>
        <v>6.3655030800821355E-2</v>
      </c>
      <c r="V82" s="93">
        <f t="shared" si="19"/>
        <v>0.89743589743589747</v>
      </c>
      <c r="W82" s="93">
        <f t="shared" si="20"/>
        <v>6.6666666666666666E-2</v>
      </c>
      <c r="X82" s="93">
        <f t="shared" si="21"/>
        <v>4.1025641025641026E-2</v>
      </c>
    </row>
    <row r="83" spans="1:24">
      <c r="A83" s="328">
        <v>165</v>
      </c>
      <c r="B83" s="93" t="s">
        <v>712</v>
      </c>
      <c r="C83" s="93">
        <v>215</v>
      </c>
      <c r="D83" s="93">
        <v>194</v>
      </c>
      <c r="E83" s="93">
        <v>9</v>
      </c>
      <c r="F83" s="93">
        <f>(C83-D83-E83)+6</f>
        <v>18</v>
      </c>
      <c r="G83" s="93">
        <v>7689</v>
      </c>
      <c r="H83" s="93">
        <v>6695</v>
      </c>
      <c r="I83" s="93">
        <v>485</v>
      </c>
      <c r="J83" s="93">
        <f>(G83-H83-I83)+277</f>
        <v>786</v>
      </c>
      <c r="K83" s="93">
        <v>4417</v>
      </c>
      <c r="L83" s="93">
        <v>3859</v>
      </c>
      <c r="M83" s="93">
        <v>284</v>
      </c>
      <c r="N83" s="93">
        <f>(K83-L83-M83)+114</f>
        <v>388</v>
      </c>
      <c r="P83" s="93">
        <f t="shared" si="13"/>
        <v>0.9023255813953488</v>
      </c>
      <c r="Q83" s="93">
        <f t="shared" si="14"/>
        <v>4.1860465116279069E-2</v>
      </c>
      <c r="R83" s="93">
        <f t="shared" si="15"/>
        <v>8.3720930232558138E-2</v>
      </c>
      <c r="S83" s="93">
        <f t="shared" si="16"/>
        <v>0.87072441149694368</v>
      </c>
      <c r="T83" s="93">
        <f t="shared" si="17"/>
        <v>6.3077123162960075E-2</v>
      </c>
      <c r="U83" s="93">
        <f t="shared" si="18"/>
        <v>0.10222395630120952</v>
      </c>
      <c r="V83" s="93">
        <f t="shared" si="19"/>
        <v>0.87366991170477704</v>
      </c>
      <c r="W83" s="93">
        <f t="shared" si="20"/>
        <v>6.4297034186099167E-2</v>
      </c>
      <c r="X83" s="93">
        <f t="shared" si="21"/>
        <v>8.7842426986642519E-2</v>
      </c>
    </row>
    <row r="84" spans="1:24">
      <c r="A84" s="328">
        <v>167</v>
      </c>
      <c r="B84" s="93" t="s">
        <v>520</v>
      </c>
      <c r="C84" s="93">
        <v>18</v>
      </c>
      <c r="D84" s="93">
        <v>17</v>
      </c>
      <c r="E84" s="93">
        <v>1</v>
      </c>
      <c r="F84" s="93">
        <f t="shared" si="22"/>
        <v>0</v>
      </c>
      <c r="G84" s="93">
        <v>152</v>
      </c>
      <c r="H84" s="93">
        <v>136</v>
      </c>
      <c r="I84" s="93">
        <v>8</v>
      </c>
      <c r="J84" s="93">
        <f t="shared" si="23"/>
        <v>8</v>
      </c>
      <c r="K84" s="93">
        <v>125</v>
      </c>
      <c r="L84" s="93">
        <v>110</v>
      </c>
      <c r="M84" s="93">
        <v>3</v>
      </c>
      <c r="N84" s="93">
        <f t="shared" si="24"/>
        <v>12</v>
      </c>
      <c r="P84" s="93">
        <f t="shared" si="13"/>
        <v>0.94444444444444442</v>
      </c>
      <c r="Q84" s="93">
        <f t="shared" si="14"/>
        <v>5.5555555555555552E-2</v>
      </c>
      <c r="R84" s="93">
        <f t="shared" si="15"/>
        <v>0</v>
      </c>
      <c r="S84" s="93">
        <f t="shared" si="16"/>
        <v>0.89473684210526316</v>
      </c>
      <c r="T84" s="93">
        <f t="shared" si="17"/>
        <v>5.2631578947368418E-2</v>
      </c>
      <c r="U84" s="93">
        <f t="shared" si="18"/>
        <v>5.2631578947368418E-2</v>
      </c>
      <c r="V84" s="93">
        <f t="shared" si="19"/>
        <v>0.88</v>
      </c>
      <c r="W84" s="93">
        <f t="shared" si="20"/>
        <v>2.4E-2</v>
      </c>
      <c r="X84" s="93">
        <f t="shared" si="21"/>
        <v>9.6000000000000002E-2</v>
      </c>
    </row>
    <row r="85" spans="1:24">
      <c r="A85" s="328">
        <v>169</v>
      </c>
      <c r="B85" s="93" t="s">
        <v>521</v>
      </c>
      <c r="C85" s="93">
        <v>13</v>
      </c>
      <c r="D85" s="93">
        <v>12</v>
      </c>
      <c r="E85" s="93">
        <v>1</v>
      </c>
      <c r="F85" s="93">
        <f t="shared" si="22"/>
        <v>0</v>
      </c>
      <c r="G85" s="93">
        <v>131</v>
      </c>
      <c r="H85" s="93">
        <v>119</v>
      </c>
      <c r="I85" s="93">
        <v>3</v>
      </c>
      <c r="J85" s="93">
        <f t="shared" si="23"/>
        <v>9</v>
      </c>
      <c r="K85" s="93">
        <v>104</v>
      </c>
      <c r="L85" s="93">
        <v>93</v>
      </c>
      <c r="M85" s="93">
        <v>0</v>
      </c>
      <c r="N85" s="93">
        <f t="shared" si="24"/>
        <v>11</v>
      </c>
      <c r="P85" s="93">
        <f t="shared" si="13"/>
        <v>0.92307692307692313</v>
      </c>
      <c r="Q85" s="93">
        <f t="shared" si="14"/>
        <v>7.6923076923076927E-2</v>
      </c>
      <c r="R85" s="93">
        <f t="shared" si="15"/>
        <v>0</v>
      </c>
      <c r="S85" s="93">
        <f t="shared" si="16"/>
        <v>0.90839694656488545</v>
      </c>
      <c r="T85" s="93">
        <f t="shared" si="17"/>
        <v>2.2900763358778626E-2</v>
      </c>
      <c r="U85" s="93">
        <f t="shared" si="18"/>
        <v>6.8702290076335881E-2</v>
      </c>
      <c r="V85" s="93">
        <f t="shared" si="19"/>
        <v>0.89423076923076927</v>
      </c>
      <c r="W85" s="93">
        <f t="shared" si="20"/>
        <v>0</v>
      </c>
      <c r="X85" s="93">
        <f t="shared" si="21"/>
        <v>0.10576923076923077</v>
      </c>
    </row>
    <row r="86" spans="1:24">
      <c r="A86" s="328">
        <v>171</v>
      </c>
      <c r="B86" s="93" t="s">
        <v>522</v>
      </c>
      <c r="C86" s="93">
        <v>74</v>
      </c>
      <c r="D86" s="93">
        <v>66</v>
      </c>
      <c r="E86" s="93">
        <v>1</v>
      </c>
      <c r="F86" s="93">
        <f t="shared" si="22"/>
        <v>7</v>
      </c>
      <c r="G86" s="93">
        <v>1518</v>
      </c>
      <c r="H86" s="93">
        <v>1378</v>
      </c>
      <c r="I86" s="93">
        <v>69</v>
      </c>
      <c r="J86" s="93">
        <f t="shared" si="23"/>
        <v>71</v>
      </c>
      <c r="K86" s="93">
        <v>1060</v>
      </c>
      <c r="L86" s="93">
        <v>979</v>
      </c>
      <c r="M86" s="93">
        <v>40</v>
      </c>
      <c r="N86" s="93">
        <f t="shared" si="24"/>
        <v>41</v>
      </c>
      <c r="P86" s="93">
        <f t="shared" si="13"/>
        <v>0.89189189189189189</v>
      </c>
      <c r="Q86" s="93">
        <f t="shared" si="14"/>
        <v>1.3513513513513514E-2</v>
      </c>
      <c r="R86" s="93">
        <f t="shared" si="15"/>
        <v>9.45945945945946E-2</v>
      </c>
      <c r="S86" s="93">
        <f t="shared" si="16"/>
        <v>0.90777338603425561</v>
      </c>
      <c r="T86" s="93">
        <f t="shared" si="17"/>
        <v>4.5454545454545456E-2</v>
      </c>
      <c r="U86" s="93">
        <f t="shared" si="18"/>
        <v>4.6772068511198944E-2</v>
      </c>
      <c r="V86" s="93">
        <f t="shared" si="19"/>
        <v>0.92358490566037732</v>
      </c>
      <c r="W86" s="93">
        <f t="shared" si="20"/>
        <v>3.7735849056603772E-2</v>
      </c>
      <c r="X86" s="93">
        <f t="shared" si="21"/>
        <v>3.8679245283018866E-2</v>
      </c>
    </row>
    <row r="87" spans="1:24">
      <c r="A87" s="328">
        <v>173</v>
      </c>
      <c r="B87" s="93" t="s">
        <v>523</v>
      </c>
      <c r="C87" s="93">
        <v>24</v>
      </c>
      <c r="D87" s="93">
        <v>24</v>
      </c>
      <c r="E87" s="93">
        <v>0</v>
      </c>
      <c r="F87" s="93">
        <f t="shared" si="22"/>
        <v>0</v>
      </c>
      <c r="G87" s="93">
        <v>317</v>
      </c>
      <c r="H87" s="93">
        <v>293</v>
      </c>
      <c r="I87" s="93">
        <v>15</v>
      </c>
      <c r="J87" s="93">
        <f t="shared" si="23"/>
        <v>9</v>
      </c>
      <c r="K87" s="93">
        <v>200</v>
      </c>
      <c r="L87" s="93">
        <v>187</v>
      </c>
      <c r="M87" s="93">
        <v>13</v>
      </c>
      <c r="N87" s="93">
        <f t="shared" si="24"/>
        <v>0</v>
      </c>
      <c r="P87" s="93">
        <f t="shared" si="13"/>
        <v>1</v>
      </c>
      <c r="Q87" s="93">
        <f t="shared" si="14"/>
        <v>0</v>
      </c>
      <c r="R87" s="93">
        <f t="shared" si="15"/>
        <v>0</v>
      </c>
      <c r="S87" s="93">
        <f t="shared" si="16"/>
        <v>0.9242902208201893</v>
      </c>
      <c r="T87" s="93">
        <f t="shared" si="17"/>
        <v>4.7318611987381701E-2</v>
      </c>
      <c r="U87" s="93">
        <f t="shared" si="18"/>
        <v>2.8391167192429023E-2</v>
      </c>
      <c r="V87" s="93">
        <f t="shared" si="19"/>
        <v>0.93500000000000005</v>
      </c>
      <c r="W87" s="93">
        <f t="shared" si="20"/>
        <v>6.5000000000000002E-2</v>
      </c>
      <c r="X87" s="93">
        <f t="shared" si="21"/>
        <v>0</v>
      </c>
    </row>
    <row r="88" spans="1:24">
      <c r="A88" s="328">
        <v>175</v>
      </c>
      <c r="B88" s="93" t="s">
        <v>524</v>
      </c>
      <c r="C88" s="93">
        <v>18</v>
      </c>
      <c r="D88" s="93">
        <v>13</v>
      </c>
      <c r="E88" s="93">
        <v>5</v>
      </c>
      <c r="F88" s="93">
        <f t="shared" si="22"/>
        <v>0</v>
      </c>
      <c r="G88" s="93">
        <v>118</v>
      </c>
      <c r="H88" s="93">
        <v>74</v>
      </c>
      <c r="I88" s="93">
        <v>29</v>
      </c>
      <c r="J88" s="93">
        <f t="shared" si="23"/>
        <v>15</v>
      </c>
      <c r="K88" s="93">
        <v>91</v>
      </c>
      <c r="L88" s="93">
        <v>62</v>
      </c>
      <c r="M88" s="93">
        <v>20</v>
      </c>
      <c r="N88" s="93">
        <f t="shared" si="24"/>
        <v>9</v>
      </c>
      <c r="P88" s="93">
        <f t="shared" si="13"/>
        <v>0.72222222222222221</v>
      </c>
      <c r="Q88" s="93">
        <f t="shared" si="14"/>
        <v>0.27777777777777779</v>
      </c>
      <c r="R88" s="93">
        <f t="shared" si="15"/>
        <v>0</v>
      </c>
      <c r="S88" s="93">
        <f t="shared" si="16"/>
        <v>0.6271186440677966</v>
      </c>
      <c r="T88" s="93">
        <f t="shared" si="17"/>
        <v>0.24576271186440679</v>
      </c>
      <c r="U88" s="93">
        <f t="shared" si="18"/>
        <v>0.1271186440677966</v>
      </c>
      <c r="V88" s="93">
        <f t="shared" si="19"/>
        <v>0.68131868131868134</v>
      </c>
      <c r="W88" s="93">
        <f t="shared" si="20"/>
        <v>0.21978021978021978</v>
      </c>
      <c r="X88" s="93">
        <f t="shared" si="21"/>
        <v>9.8901098901098897E-2</v>
      </c>
    </row>
    <row r="89" spans="1:24">
      <c r="A89" s="328">
        <v>177</v>
      </c>
      <c r="B89" s="93" t="s">
        <v>525</v>
      </c>
      <c r="C89" s="93">
        <v>298</v>
      </c>
      <c r="D89" s="93">
        <v>273</v>
      </c>
      <c r="E89" s="93">
        <v>15</v>
      </c>
      <c r="F89" s="93">
        <f t="shared" si="22"/>
        <v>10</v>
      </c>
      <c r="G89" s="93">
        <v>5779</v>
      </c>
      <c r="H89" s="93">
        <v>5040</v>
      </c>
      <c r="I89" s="93">
        <v>493</v>
      </c>
      <c r="J89" s="93">
        <f t="shared" si="23"/>
        <v>246</v>
      </c>
      <c r="K89" s="93">
        <v>3576</v>
      </c>
      <c r="L89" s="93">
        <v>3027</v>
      </c>
      <c r="M89" s="93">
        <v>385</v>
      </c>
      <c r="N89" s="93">
        <f t="shared" si="24"/>
        <v>164</v>
      </c>
      <c r="P89" s="93">
        <f t="shared" si="13"/>
        <v>0.91610738255033553</v>
      </c>
      <c r="Q89" s="93">
        <f t="shared" si="14"/>
        <v>5.0335570469798654E-2</v>
      </c>
      <c r="R89" s="93">
        <f t="shared" si="15"/>
        <v>3.3557046979865772E-2</v>
      </c>
      <c r="S89" s="93">
        <f t="shared" si="16"/>
        <v>0.87212320470669669</v>
      </c>
      <c r="T89" s="93">
        <f t="shared" si="17"/>
        <v>8.5308876968333627E-2</v>
      </c>
      <c r="U89" s="93">
        <f t="shared" si="18"/>
        <v>4.2567918324969721E-2</v>
      </c>
      <c r="V89" s="93">
        <f t="shared" si="19"/>
        <v>0.84647651006711411</v>
      </c>
      <c r="W89" s="93">
        <f t="shared" si="20"/>
        <v>0.10766219239373602</v>
      </c>
      <c r="X89" s="93">
        <f t="shared" si="21"/>
        <v>4.5861297539149887E-2</v>
      </c>
    </row>
    <row r="90" spans="1:24">
      <c r="A90" s="328">
        <v>179</v>
      </c>
      <c r="B90" s="93" t="s">
        <v>526</v>
      </c>
      <c r="C90" s="93">
        <v>305</v>
      </c>
      <c r="D90" s="93">
        <v>264</v>
      </c>
      <c r="E90" s="93">
        <v>26</v>
      </c>
      <c r="F90" s="93">
        <f t="shared" si="22"/>
        <v>15</v>
      </c>
      <c r="G90" s="93">
        <v>7426</v>
      </c>
      <c r="H90" s="93">
        <v>6368</v>
      </c>
      <c r="I90" s="93">
        <v>715</v>
      </c>
      <c r="J90" s="93">
        <f t="shared" si="23"/>
        <v>343</v>
      </c>
      <c r="K90" s="93">
        <v>4761</v>
      </c>
      <c r="L90" s="93">
        <v>3942</v>
      </c>
      <c r="M90" s="93">
        <v>554</v>
      </c>
      <c r="N90" s="93">
        <f t="shared" si="24"/>
        <v>265</v>
      </c>
      <c r="P90" s="93">
        <f t="shared" si="13"/>
        <v>0.86557377049180328</v>
      </c>
      <c r="Q90" s="93">
        <f t="shared" si="14"/>
        <v>8.5245901639344257E-2</v>
      </c>
      <c r="R90" s="93">
        <f t="shared" si="15"/>
        <v>4.9180327868852458E-2</v>
      </c>
      <c r="S90" s="93">
        <f t="shared" si="16"/>
        <v>0.85752760570966868</v>
      </c>
      <c r="T90" s="93">
        <f t="shared" si="17"/>
        <v>9.6283328844600058E-2</v>
      </c>
      <c r="U90" s="93">
        <f t="shared" si="18"/>
        <v>4.6189065445731217E-2</v>
      </c>
      <c r="V90" s="93">
        <f t="shared" si="19"/>
        <v>0.82797731568998112</v>
      </c>
      <c r="W90" s="93">
        <f t="shared" si="20"/>
        <v>0.11636210880067213</v>
      </c>
      <c r="X90" s="93">
        <f t="shared" si="21"/>
        <v>5.5660575509346777E-2</v>
      </c>
    </row>
    <row r="91" spans="1:24">
      <c r="A91" s="328">
        <v>181</v>
      </c>
      <c r="B91" s="93" t="s">
        <v>527</v>
      </c>
      <c r="C91" s="93">
        <v>4</v>
      </c>
      <c r="D91" s="93">
        <v>3</v>
      </c>
      <c r="E91" s="93">
        <v>1</v>
      </c>
      <c r="F91" s="93">
        <f t="shared" si="22"/>
        <v>0</v>
      </c>
      <c r="G91" s="93">
        <v>71</v>
      </c>
      <c r="H91" s="93">
        <v>49</v>
      </c>
      <c r="I91" s="93">
        <v>16</v>
      </c>
      <c r="J91" s="93">
        <f t="shared" si="23"/>
        <v>6</v>
      </c>
      <c r="K91" s="93">
        <v>24</v>
      </c>
      <c r="L91" s="93">
        <v>13</v>
      </c>
      <c r="M91" s="93">
        <v>11</v>
      </c>
      <c r="N91" s="93">
        <f t="shared" si="24"/>
        <v>0</v>
      </c>
      <c r="P91" s="93">
        <f t="shared" si="13"/>
        <v>0.75</v>
      </c>
      <c r="Q91" s="93">
        <f t="shared" si="14"/>
        <v>0.25</v>
      </c>
      <c r="R91" s="93">
        <f t="shared" si="15"/>
        <v>0</v>
      </c>
      <c r="S91" s="93">
        <f t="shared" si="16"/>
        <v>0.6901408450704225</v>
      </c>
      <c r="T91" s="93">
        <f t="shared" si="17"/>
        <v>0.22535211267605634</v>
      </c>
      <c r="U91" s="93">
        <f t="shared" si="18"/>
        <v>8.4507042253521125E-2</v>
      </c>
      <c r="V91" s="93">
        <f t="shared" si="19"/>
        <v>0.54166666666666663</v>
      </c>
      <c r="W91" s="93">
        <f t="shared" si="20"/>
        <v>0.45833333333333331</v>
      </c>
      <c r="X91" s="93">
        <f t="shared" si="21"/>
        <v>0</v>
      </c>
    </row>
    <row r="92" spans="1:24">
      <c r="A92" s="328">
        <v>183</v>
      </c>
      <c r="B92" s="93" t="s">
        <v>528</v>
      </c>
      <c r="C92" s="93">
        <v>3</v>
      </c>
      <c r="D92" s="93">
        <v>1</v>
      </c>
      <c r="E92" s="93">
        <v>2</v>
      </c>
      <c r="F92" s="93">
        <f t="shared" si="22"/>
        <v>0</v>
      </c>
      <c r="G92" s="93">
        <v>195</v>
      </c>
      <c r="H92" s="93">
        <v>148</v>
      </c>
      <c r="I92" s="93">
        <v>33</v>
      </c>
      <c r="J92" s="93">
        <f t="shared" si="23"/>
        <v>14</v>
      </c>
      <c r="K92" s="93">
        <v>88</v>
      </c>
      <c r="L92" s="93">
        <v>63</v>
      </c>
      <c r="M92" s="93">
        <v>19</v>
      </c>
      <c r="N92" s="93">
        <f t="shared" si="24"/>
        <v>6</v>
      </c>
      <c r="P92" s="93">
        <f t="shared" si="13"/>
        <v>0.33333333333333331</v>
      </c>
      <c r="Q92" s="93">
        <f t="shared" si="14"/>
        <v>0.66666666666666663</v>
      </c>
      <c r="R92" s="93">
        <f t="shared" si="15"/>
        <v>0</v>
      </c>
      <c r="S92" s="93">
        <f t="shared" si="16"/>
        <v>0.75897435897435894</v>
      </c>
      <c r="T92" s="93">
        <f t="shared" si="17"/>
        <v>0.16923076923076924</v>
      </c>
      <c r="U92" s="93">
        <f t="shared" si="18"/>
        <v>7.179487179487179E-2</v>
      </c>
      <c r="V92" s="93">
        <f t="shared" si="19"/>
        <v>0.71590909090909094</v>
      </c>
      <c r="W92" s="93">
        <f t="shared" si="20"/>
        <v>0.21590909090909091</v>
      </c>
      <c r="X92" s="93">
        <f t="shared" si="21"/>
        <v>6.8181818181818177E-2</v>
      </c>
    </row>
    <row r="93" spans="1:24">
      <c r="A93" s="328">
        <v>185</v>
      </c>
      <c r="B93" s="93" t="s">
        <v>529</v>
      </c>
      <c r="C93" s="93">
        <v>26</v>
      </c>
      <c r="D93" s="93">
        <v>26</v>
      </c>
      <c r="E93" s="93">
        <v>0</v>
      </c>
      <c r="F93" s="93">
        <f t="shared" si="22"/>
        <v>0</v>
      </c>
      <c r="G93" s="93">
        <v>215</v>
      </c>
      <c r="H93" s="93">
        <v>196</v>
      </c>
      <c r="I93" s="93">
        <v>7</v>
      </c>
      <c r="J93" s="93">
        <f t="shared" si="23"/>
        <v>12</v>
      </c>
      <c r="K93" s="93">
        <v>84</v>
      </c>
      <c r="L93" s="93">
        <v>77</v>
      </c>
      <c r="M93" s="93">
        <v>7</v>
      </c>
      <c r="N93" s="93">
        <f t="shared" si="24"/>
        <v>0</v>
      </c>
      <c r="P93" s="93">
        <f t="shared" si="13"/>
        <v>1</v>
      </c>
      <c r="Q93" s="93">
        <f t="shared" si="14"/>
        <v>0</v>
      </c>
      <c r="R93" s="93">
        <f t="shared" si="15"/>
        <v>0</v>
      </c>
      <c r="S93" s="93">
        <f t="shared" si="16"/>
        <v>0.91162790697674423</v>
      </c>
      <c r="T93" s="93">
        <f t="shared" si="17"/>
        <v>3.255813953488372E-2</v>
      </c>
      <c r="U93" s="93">
        <f t="shared" si="18"/>
        <v>5.5813953488372092E-2</v>
      </c>
      <c r="V93" s="93">
        <f t="shared" si="19"/>
        <v>0.91666666666666663</v>
      </c>
      <c r="W93" s="93">
        <f t="shared" si="20"/>
        <v>8.3333333333333329E-2</v>
      </c>
      <c r="X93" s="93">
        <f t="shared" si="21"/>
        <v>0</v>
      </c>
    </row>
    <row r="94" spans="1:24">
      <c r="A94" s="328">
        <v>187</v>
      </c>
      <c r="B94" s="93" t="s">
        <v>530</v>
      </c>
      <c r="C94" s="93">
        <v>60</v>
      </c>
      <c r="D94" s="93">
        <v>57</v>
      </c>
      <c r="E94" s="93">
        <v>0</v>
      </c>
      <c r="F94" s="93">
        <f t="shared" si="22"/>
        <v>3</v>
      </c>
      <c r="G94" s="93">
        <v>798</v>
      </c>
      <c r="H94" s="93">
        <v>733</v>
      </c>
      <c r="I94" s="93">
        <v>27</v>
      </c>
      <c r="J94" s="93">
        <f t="shared" si="23"/>
        <v>38</v>
      </c>
      <c r="K94" s="93">
        <v>549</v>
      </c>
      <c r="L94" s="93">
        <v>473</v>
      </c>
      <c r="M94" s="93">
        <v>24</v>
      </c>
      <c r="N94" s="93">
        <f t="shared" si="24"/>
        <v>52</v>
      </c>
      <c r="P94" s="93">
        <f t="shared" si="13"/>
        <v>0.95</v>
      </c>
      <c r="Q94" s="93">
        <f t="shared" si="14"/>
        <v>0</v>
      </c>
      <c r="R94" s="93">
        <f t="shared" si="15"/>
        <v>0.05</v>
      </c>
      <c r="S94" s="93">
        <f t="shared" si="16"/>
        <v>0.918546365914787</v>
      </c>
      <c r="T94" s="93">
        <f t="shared" si="17"/>
        <v>3.3834586466165412E-2</v>
      </c>
      <c r="U94" s="93">
        <f t="shared" si="18"/>
        <v>4.7619047619047616E-2</v>
      </c>
      <c r="V94" s="93">
        <f t="shared" si="19"/>
        <v>0.86156648451730422</v>
      </c>
      <c r="W94" s="93">
        <f t="shared" si="20"/>
        <v>4.3715846994535519E-2</v>
      </c>
      <c r="X94" s="93">
        <f t="shared" si="21"/>
        <v>9.4717668488160295E-2</v>
      </c>
    </row>
    <row r="95" spans="1:24">
      <c r="A95" s="328">
        <v>191</v>
      </c>
      <c r="B95" s="93" t="s">
        <v>531</v>
      </c>
      <c r="C95" s="93">
        <v>51</v>
      </c>
      <c r="D95" s="93">
        <v>49</v>
      </c>
      <c r="E95" s="93">
        <v>0</v>
      </c>
      <c r="F95" s="93">
        <f t="shared" si="22"/>
        <v>2</v>
      </c>
      <c r="G95" s="93">
        <v>483</v>
      </c>
      <c r="H95" s="93">
        <v>460</v>
      </c>
      <c r="I95" s="93">
        <v>9</v>
      </c>
      <c r="J95" s="93">
        <f t="shared" si="23"/>
        <v>14</v>
      </c>
      <c r="K95" s="93">
        <v>246</v>
      </c>
      <c r="L95" s="93">
        <v>225</v>
      </c>
      <c r="M95" s="93">
        <v>9</v>
      </c>
      <c r="N95" s="93">
        <f t="shared" si="24"/>
        <v>12</v>
      </c>
      <c r="P95" s="93">
        <f t="shared" si="13"/>
        <v>0.96078431372549022</v>
      </c>
      <c r="Q95" s="93">
        <f t="shared" si="14"/>
        <v>0</v>
      </c>
      <c r="R95" s="93">
        <f t="shared" si="15"/>
        <v>3.9215686274509803E-2</v>
      </c>
      <c r="S95" s="93">
        <f t="shared" si="16"/>
        <v>0.95238095238095233</v>
      </c>
      <c r="T95" s="93">
        <f t="shared" si="17"/>
        <v>1.8633540372670808E-2</v>
      </c>
      <c r="U95" s="93">
        <f t="shared" si="18"/>
        <v>2.8985507246376812E-2</v>
      </c>
      <c r="V95" s="93">
        <f t="shared" si="19"/>
        <v>0.91463414634146345</v>
      </c>
      <c r="W95" s="93">
        <f t="shared" si="20"/>
        <v>3.6585365853658534E-2</v>
      </c>
      <c r="X95" s="93">
        <f t="shared" si="21"/>
        <v>4.878048780487805E-2</v>
      </c>
    </row>
    <row r="96" spans="1:24">
      <c r="A96" s="328">
        <v>193</v>
      </c>
      <c r="B96" s="93" t="s">
        <v>532</v>
      </c>
      <c r="C96" s="93">
        <v>33</v>
      </c>
      <c r="D96" s="93">
        <v>23</v>
      </c>
      <c r="E96" s="93">
        <v>7</v>
      </c>
      <c r="F96" s="93">
        <f t="shared" si="22"/>
        <v>3</v>
      </c>
      <c r="G96" s="93">
        <v>663</v>
      </c>
      <c r="H96" s="93">
        <v>570</v>
      </c>
      <c r="I96" s="93">
        <v>53</v>
      </c>
      <c r="J96" s="93">
        <f t="shared" si="23"/>
        <v>40</v>
      </c>
      <c r="K96" s="93">
        <v>379</v>
      </c>
      <c r="L96" s="93">
        <v>315</v>
      </c>
      <c r="M96" s="93">
        <v>38</v>
      </c>
      <c r="N96" s="93">
        <f t="shared" si="24"/>
        <v>26</v>
      </c>
      <c r="P96" s="93">
        <f t="shared" si="13"/>
        <v>0.69696969696969702</v>
      </c>
      <c r="Q96" s="93">
        <f t="shared" si="14"/>
        <v>0.21212121212121213</v>
      </c>
      <c r="R96" s="93">
        <f t="shared" si="15"/>
        <v>9.0909090909090912E-2</v>
      </c>
      <c r="S96" s="93">
        <f t="shared" si="16"/>
        <v>0.85972850678733037</v>
      </c>
      <c r="T96" s="93">
        <f t="shared" si="17"/>
        <v>7.9939668174962286E-2</v>
      </c>
      <c r="U96" s="93">
        <f t="shared" si="18"/>
        <v>6.0331825037707391E-2</v>
      </c>
      <c r="V96" s="93">
        <f t="shared" si="19"/>
        <v>0.83113456464379942</v>
      </c>
      <c r="W96" s="93">
        <f t="shared" si="20"/>
        <v>0.10026385224274406</v>
      </c>
      <c r="X96" s="93">
        <f t="shared" si="21"/>
        <v>6.860158311345646E-2</v>
      </c>
    </row>
    <row r="97" spans="1:24">
      <c r="A97" s="328">
        <v>195</v>
      </c>
      <c r="B97" s="93" t="s">
        <v>533</v>
      </c>
      <c r="C97" s="93">
        <v>22</v>
      </c>
      <c r="D97" s="93">
        <v>22</v>
      </c>
      <c r="E97" s="93">
        <v>0</v>
      </c>
      <c r="F97" s="93">
        <f t="shared" si="22"/>
        <v>0</v>
      </c>
      <c r="G97" s="93">
        <v>339</v>
      </c>
      <c r="H97" s="93">
        <v>303</v>
      </c>
      <c r="I97" s="93">
        <v>32</v>
      </c>
      <c r="J97" s="93">
        <f t="shared" si="23"/>
        <v>4</v>
      </c>
      <c r="K97" s="93">
        <v>161</v>
      </c>
      <c r="L97" s="93">
        <v>149</v>
      </c>
      <c r="M97" s="93">
        <v>9</v>
      </c>
      <c r="N97" s="93">
        <f t="shared" si="24"/>
        <v>3</v>
      </c>
      <c r="P97" s="93">
        <f t="shared" si="13"/>
        <v>1</v>
      </c>
      <c r="Q97" s="93">
        <f t="shared" si="14"/>
        <v>0</v>
      </c>
      <c r="R97" s="93">
        <f t="shared" si="15"/>
        <v>0</v>
      </c>
      <c r="S97" s="93">
        <f t="shared" si="16"/>
        <v>0.89380530973451322</v>
      </c>
      <c r="T97" s="93">
        <f t="shared" si="17"/>
        <v>9.4395280235988199E-2</v>
      </c>
      <c r="U97" s="93">
        <f t="shared" si="18"/>
        <v>1.1799410029498525E-2</v>
      </c>
      <c r="V97" s="93">
        <f t="shared" si="19"/>
        <v>0.92546583850931674</v>
      </c>
      <c r="W97" s="93">
        <f t="shared" si="20"/>
        <v>5.5900621118012424E-2</v>
      </c>
      <c r="X97" s="93">
        <f t="shared" si="21"/>
        <v>1.8633540372670808E-2</v>
      </c>
    </row>
    <row r="98" spans="1:24">
      <c r="A98" s="328">
        <v>197</v>
      </c>
      <c r="B98" s="93" t="s">
        <v>534</v>
      </c>
      <c r="C98" s="93">
        <v>20</v>
      </c>
      <c r="D98" s="93">
        <v>20</v>
      </c>
      <c r="E98" s="93">
        <v>0</v>
      </c>
      <c r="F98" s="93">
        <f t="shared" si="22"/>
        <v>0</v>
      </c>
      <c r="G98" s="93">
        <v>168</v>
      </c>
      <c r="H98" s="93">
        <v>152</v>
      </c>
      <c r="I98" s="93">
        <v>9</v>
      </c>
      <c r="J98" s="93">
        <f t="shared" si="23"/>
        <v>7</v>
      </c>
      <c r="K98" s="93">
        <v>110</v>
      </c>
      <c r="L98" s="93">
        <v>99</v>
      </c>
      <c r="M98" s="93">
        <v>9</v>
      </c>
      <c r="N98" s="93">
        <f t="shared" si="24"/>
        <v>2</v>
      </c>
      <c r="P98" s="93">
        <f t="shared" si="13"/>
        <v>1</v>
      </c>
      <c r="Q98" s="93">
        <f t="shared" si="14"/>
        <v>0</v>
      </c>
      <c r="R98" s="93">
        <f t="shared" si="15"/>
        <v>0</v>
      </c>
      <c r="S98" s="93">
        <f t="shared" si="16"/>
        <v>0.90476190476190477</v>
      </c>
      <c r="T98" s="93">
        <f t="shared" si="17"/>
        <v>5.3571428571428568E-2</v>
      </c>
      <c r="U98" s="93">
        <f t="shared" si="18"/>
        <v>4.1666666666666664E-2</v>
      </c>
      <c r="V98" s="93">
        <f t="shared" si="19"/>
        <v>0.9</v>
      </c>
      <c r="W98" s="93">
        <f t="shared" si="20"/>
        <v>8.1818181818181818E-2</v>
      </c>
      <c r="X98" s="93">
        <f t="shared" si="21"/>
        <v>1.8181818181818181E-2</v>
      </c>
    </row>
    <row r="99" spans="1:24">
      <c r="A99" s="328">
        <v>199</v>
      </c>
      <c r="B99" s="93" t="s">
        <v>710</v>
      </c>
      <c r="C99" s="93">
        <v>101</v>
      </c>
      <c r="D99" s="93">
        <v>90</v>
      </c>
      <c r="E99" s="93">
        <v>9</v>
      </c>
      <c r="F99" s="93">
        <f>(C99-D99-E99)+0</f>
        <v>2</v>
      </c>
      <c r="G99" s="93">
        <v>2018</v>
      </c>
      <c r="H99" s="93">
        <v>1720</v>
      </c>
      <c r="I99" s="93">
        <v>163</v>
      </c>
      <c r="J99" s="93">
        <f>(G99-H99-I99)+8</f>
        <v>143</v>
      </c>
      <c r="K99" s="93">
        <v>1307</v>
      </c>
      <c r="L99" s="93">
        <v>1057</v>
      </c>
      <c r="M99" s="93">
        <v>149</v>
      </c>
      <c r="N99" s="93">
        <f>(K99-L99-M99)+4</f>
        <v>105</v>
      </c>
      <c r="P99" s="93">
        <f t="shared" si="13"/>
        <v>0.8910891089108911</v>
      </c>
      <c r="Q99" s="93">
        <f t="shared" si="14"/>
        <v>8.9108910891089105E-2</v>
      </c>
      <c r="R99" s="93">
        <f t="shared" si="15"/>
        <v>1.9801980198019802E-2</v>
      </c>
      <c r="S99" s="93">
        <f t="shared" si="16"/>
        <v>0.85232903865213083</v>
      </c>
      <c r="T99" s="93">
        <f t="shared" si="17"/>
        <v>8.0773042616451934E-2</v>
      </c>
      <c r="U99" s="93">
        <f t="shared" si="18"/>
        <v>7.0862239841427158E-2</v>
      </c>
      <c r="V99" s="93">
        <f t="shared" si="19"/>
        <v>0.8087222647283856</v>
      </c>
      <c r="W99" s="93">
        <f t="shared" si="20"/>
        <v>0.11400153022188217</v>
      </c>
      <c r="X99" s="93">
        <f t="shared" si="21"/>
        <v>8.0336648814078038E-2</v>
      </c>
    </row>
    <row r="100" spans="1:24">
      <c r="A100" s="328">
        <v>510</v>
      </c>
      <c r="B100" s="93" t="s">
        <v>690</v>
      </c>
      <c r="C100" s="93">
        <v>821</v>
      </c>
      <c r="D100" s="93">
        <v>748</v>
      </c>
      <c r="E100" s="93">
        <v>45</v>
      </c>
      <c r="F100" s="93">
        <f t="shared" si="22"/>
        <v>28</v>
      </c>
      <c r="G100" s="93">
        <v>16799</v>
      </c>
      <c r="H100" s="93">
        <v>14652</v>
      </c>
      <c r="I100" s="93">
        <v>1166</v>
      </c>
      <c r="J100" s="93">
        <f t="shared" si="23"/>
        <v>981</v>
      </c>
      <c r="K100" s="93">
        <v>6089</v>
      </c>
      <c r="L100" s="93">
        <v>5260</v>
      </c>
      <c r="M100" s="93">
        <v>488</v>
      </c>
      <c r="N100" s="93">
        <f t="shared" si="24"/>
        <v>341</v>
      </c>
      <c r="P100" s="93">
        <f t="shared" si="13"/>
        <v>0.91108404384896469</v>
      </c>
      <c r="Q100" s="93">
        <f t="shared" si="14"/>
        <v>5.4811205846528627E-2</v>
      </c>
      <c r="R100" s="93">
        <f t="shared" si="15"/>
        <v>3.4104750304506701E-2</v>
      </c>
      <c r="S100" s="93">
        <f t="shared" si="16"/>
        <v>0.87219477349842256</v>
      </c>
      <c r="T100" s="93">
        <f t="shared" si="17"/>
        <v>6.94088933865111E-2</v>
      </c>
      <c r="U100" s="93">
        <f t="shared" si="18"/>
        <v>5.8396333115066375E-2</v>
      </c>
      <c r="V100" s="93">
        <f t="shared" si="19"/>
        <v>0.8638528494005584</v>
      </c>
      <c r="W100" s="93">
        <f t="shared" si="20"/>
        <v>8.0144522910165869E-2</v>
      </c>
      <c r="X100" s="93">
        <f t="shared" si="21"/>
        <v>5.600262768927574E-2</v>
      </c>
    </row>
    <row r="101" spans="1:24">
      <c r="A101" s="328">
        <v>520</v>
      </c>
      <c r="B101" s="93" t="s">
        <v>686</v>
      </c>
      <c r="C101" s="93">
        <v>11</v>
      </c>
      <c r="D101" s="93">
        <v>7</v>
      </c>
      <c r="E101" s="93">
        <v>1</v>
      </c>
      <c r="F101" s="93">
        <f t="shared" si="22"/>
        <v>3</v>
      </c>
      <c r="G101" s="93">
        <v>145</v>
      </c>
      <c r="H101" s="93">
        <v>122</v>
      </c>
      <c r="I101" s="93">
        <v>11</v>
      </c>
      <c r="J101" s="93">
        <f t="shared" si="23"/>
        <v>12</v>
      </c>
      <c r="K101" s="93">
        <v>102</v>
      </c>
      <c r="L101" s="93">
        <v>88</v>
      </c>
      <c r="M101" s="93">
        <v>10</v>
      </c>
      <c r="N101" s="93">
        <f t="shared" si="24"/>
        <v>4</v>
      </c>
      <c r="P101" s="93">
        <f t="shared" si="13"/>
        <v>0.63636363636363635</v>
      </c>
      <c r="Q101" s="93">
        <f t="shared" si="14"/>
        <v>9.0909090909090912E-2</v>
      </c>
      <c r="R101" s="93">
        <f t="shared" si="15"/>
        <v>0.27272727272727271</v>
      </c>
      <c r="S101" s="93">
        <f t="shared" si="16"/>
        <v>0.8413793103448276</v>
      </c>
      <c r="T101" s="93">
        <f t="shared" si="17"/>
        <v>7.586206896551724E-2</v>
      </c>
      <c r="U101" s="93">
        <f t="shared" si="18"/>
        <v>8.2758620689655171E-2</v>
      </c>
      <c r="V101" s="93">
        <f t="shared" si="19"/>
        <v>0.86274509803921573</v>
      </c>
      <c r="W101" s="93">
        <f t="shared" si="20"/>
        <v>9.8039215686274508E-2</v>
      </c>
      <c r="X101" s="93">
        <f t="shared" si="21"/>
        <v>3.9215686274509803E-2</v>
      </c>
    </row>
    <row r="102" spans="1:24">
      <c r="A102" s="328">
        <v>540</v>
      </c>
      <c r="B102" s="93" t="s">
        <v>692</v>
      </c>
      <c r="C102" s="93">
        <v>61</v>
      </c>
      <c r="D102" s="93">
        <v>54</v>
      </c>
      <c r="E102" s="93">
        <v>3</v>
      </c>
      <c r="F102" s="93">
        <f t="shared" si="22"/>
        <v>4</v>
      </c>
      <c r="G102" s="93">
        <v>1629</v>
      </c>
      <c r="H102" s="93">
        <v>1384</v>
      </c>
      <c r="I102" s="93">
        <v>143</v>
      </c>
      <c r="J102" s="93">
        <f t="shared" si="23"/>
        <v>102</v>
      </c>
      <c r="K102" s="93">
        <v>538</v>
      </c>
      <c r="L102" s="93">
        <v>443</v>
      </c>
      <c r="M102" s="93">
        <v>69</v>
      </c>
      <c r="N102" s="93">
        <f t="shared" si="24"/>
        <v>26</v>
      </c>
      <c r="P102" s="93">
        <f t="shared" si="13"/>
        <v>0.88524590163934425</v>
      </c>
      <c r="Q102" s="93">
        <f t="shared" si="14"/>
        <v>4.9180327868852458E-2</v>
      </c>
      <c r="R102" s="93">
        <f t="shared" si="15"/>
        <v>6.5573770491803282E-2</v>
      </c>
      <c r="S102" s="93">
        <f t="shared" si="16"/>
        <v>0.84960098219766733</v>
      </c>
      <c r="T102" s="93">
        <f t="shared" si="17"/>
        <v>8.7783916513198279E-2</v>
      </c>
      <c r="U102" s="93">
        <f t="shared" si="18"/>
        <v>6.2615101289134445E-2</v>
      </c>
      <c r="V102" s="93">
        <f t="shared" si="19"/>
        <v>0.82342007434944242</v>
      </c>
      <c r="W102" s="93">
        <f t="shared" si="20"/>
        <v>0.12825278810408922</v>
      </c>
      <c r="X102" s="93">
        <f t="shared" si="21"/>
        <v>4.8327137546468404E-2</v>
      </c>
    </row>
    <row r="103" spans="1:24">
      <c r="A103" s="328">
        <v>550</v>
      </c>
      <c r="B103" s="93" t="s">
        <v>698</v>
      </c>
      <c r="C103" s="93">
        <v>358</v>
      </c>
      <c r="D103" s="93">
        <v>280</v>
      </c>
      <c r="E103" s="93">
        <v>60</v>
      </c>
      <c r="F103" s="93">
        <f t="shared" si="22"/>
        <v>18</v>
      </c>
      <c r="G103" s="93">
        <v>6149</v>
      </c>
      <c r="H103" s="93">
        <v>4728</v>
      </c>
      <c r="I103" s="93">
        <v>985</v>
      </c>
      <c r="J103" s="93">
        <f t="shared" si="23"/>
        <v>436</v>
      </c>
      <c r="K103" s="93">
        <v>3821</v>
      </c>
      <c r="L103" s="93">
        <v>2776</v>
      </c>
      <c r="M103" s="93">
        <v>784</v>
      </c>
      <c r="N103" s="93">
        <f t="shared" si="24"/>
        <v>261</v>
      </c>
      <c r="P103" s="93">
        <f t="shared" si="13"/>
        <v>0.78212290502793291</v>
      </c>
      <c r="Q103" s="93">
        <f t="shared" si="14"/>
        <v>0.16759776536312848</v>
      </c>
      <c r="R103" s="93">
        <f t="shared" si="15"/>
        <v>5.027932960893855E-2</v>
      </c>
      <c r="S103" s="93">
        <f t="shared" si="16"/>
        <v>0.76890551309155963</v>
      </c>
      <c r="T103" s="93">
        <f t="shared" si="17"/>
        <v>0.16018864856074158</v>
      </c>
      <c r="U103" s="93">
        <f t="shared" si="18"/>
        <v>7.0905838347698813E-2</v>
      </c>
      <c r="V103" s="93">
        <f t="shared" si="19"/>
        <v>0.72651138445433128</v>
      </c>
      <c r="W103" s="93">
        <f t="shared" si="20"/>
        <v>0.20518188955770741</v>
      </c>
      <c r="X103" s="93">
        <f t="shared" si="21"/>
        <v>6.8306725987961267E-2</v>
      </c>
    </row>
    <row r="104" spans="1:24">
      <c r="A104" s="328">
        <v>590</v>
      </c>
      <c r="B104" s="93" t="s">
        <v>694</v>
      </c>
      <c r="C104" s="93">
        <v>42</v>
      </c>
      <c r="D104" s="93">
        <v>30</v>
      </c>
      <c r="E104" s="93">
        <v>11</v>
      </c>
      <c r="F104" s="93">
        <f t="shared" si="22"/>
        <v>1</v>
      </c>
      <c r="G104" s="93">
        <v>741</v>
      </c>
      <c r="H104" s="93">
        <v>604</v>
      </c>
      <c r="I104" s="93">
        <v>81</v>
      </c>
      <c r="J104" s="93">
        <f t="shared" si="23"/>
        <v>56</v>
      </c>
      <c r="K104" s="93">
        <v>508</v>
      </c>
      <c r="L104" s="93">
        <v>422</v>
      </c>
      <c r="M104" s="93">
        <v>60</v>
      </c>
      <c r="N104" s="93">
        <f t="shared" si="24"/>
        <v>26</v>
      </c>
      <c r="P104" s="93">
        <f t="shared" si="13"/>
        <v>0.7142857142857143</v>
      </c>
      <c r="Q104" s="93">
        <f t="shared" si="14"/>
        <v>0.26190476190476192</v>
      </c>
      <c r="R104" s="93">
        <f t="shared" si="15"/>
        <v>2.3809523809523808E-2</v>
      </c>
      <c r="S104" s="93">
        <f t="shared" si="16"/>
        <v>0.81511470985155199</v>
      </c>
      <c r="T104" s="93">
        <f t="shared" si="17"/>
        <v>0.10931174089068826</v>
      </c>
      <c r="U104" s="93">
        <f t="shared" si="18"/>
        <v>7.5573549257759789E-2</v>
      </c>
      <c r="V104" s="93">
        <f t="shared" si="19"/>
        <v>0.8307086614173228</v>
      </c>
      <c r="W104" s="93">
        <f t="shared" si="20"/>
        <v>0.11811023622047244</v>
      </c>
      <c r="X104" s="93">
        <f t="shared" si="21"/>
        <v>5.1181102362204724E-2</v>
      </c>
    </row>
    <row r="105" spans="1:24">
      <c r="A105" s="328">
        <v>620</v>
      </c>
      <c r="B105" s="93" t="s">
        <v>83</v>
      </c>
      <c r="C105" s="93">
        <v>8</v>
      </c>
      <c r="D105" s="93">
        <v>8</v>
      </c>
      <c r="E105" s="93">
        <v>0</v>
      </c>
      <c r="F105" s="93">
        <f t="shared" si="22"/>
        <v>0</v>
      </c>
      <c r="G105" s="93">
        <v>90</v>
      </c>
      <c r="H105" s="93">
        <v>67</v>
      </c>
      <c r="I105" s="93">
        <v>20</v>
      </c>
      <c r="J105" s="93">
        <f t="shared" si="23"/>
        <v>3</v>
      </c>
      <c r="K105" s="93">
        <v>63</v>
      </c>
      <c r="L105" s="93">
        <v>48</v>
      </c>
      <c r="M105" s="93">
        <v>15</v>
      </c>
      <c r="N105" s="93">
        <f t="shared" si="24"/>
        <v>0</v>
      </c>
      <c r="P105" s="93">
        <f t="shared" si="13"/>
        <v>1</v>
      </c>
      <c r="Q105" s="93">
        <f t="shared" si="14"/>
        <v>0</v>
      </c>
      <c r="R105" s="93">
        <f t="shared" si="15"/>
        <v>0</v>
      </c>
      <c r="S105" s="93">
        <f t="shared" si="16"/>
        <v>0.74444444444444446</v>
      </c>
      <c r="T105" s="93">
        <f t="shared" si="17"/>
        <v>0.22222222222222221</v>
      </c>
      <c r="U105" s="93">
        <f t="shared" si="18"/>
        <v>3.3333333333333333E-2</v>
      </c>
      <c r="V105" s="93">
        <f t="shared" si="19"/>
        <v>0.76190476190476186</v>
      </c>
      <c r="W105" s="93">
        <f t="shared" si="20"/>
        <v>0.23809523809523808</v>
      </c>
      <c r="X105" s="93">
        <f t="shared" si="21"/>
        <v>0</v>
      </c>
    </row>
    <row r="106" spans="1:24">
      <c r="A106" s="328">
        <v>630</v>
      </c>
      <c r="B106" s="93" t="s">
        <v>695</v>
      </c>
      <c r="C106" s="93">
        <v>63</v>
      </c>
      <c r="D106" s="93">
        <v>57</v>
      </c>
      <c r="E106" s="93">
        <v>2</v>
      </c>
      <c r="F106" s="93">
        <f t="shared" si="22"/>
        <v>4</v>
      </c>
      <c r="G106" s="93">
        <v>1774</v>
      </c>
      <c r="H106" s="93">
        <v>1444</v>
      </c>
      <c r="I106" s="93">
        <v>196</v>
      </c>
      <c r="J106" s="93">
        <f t="shared" si="23"/>
        <v>134</v>
      </c>
      <c r="K106" s="93">
        <v>987</v>
      </c>
      <c r="L106" s="93">
        <v>762</v>
      </c>
      <c r="M106" s="93">
        <v>149</v>
      </c>
      <c r="N106" s="93">
        <f t="shared" si="24"/>
        <v>76</v>
      </c>
      <c r="P106" s="93">
        <f t="shared" si="13"/>
        <v>0.90476190476190477</v>
      </c>
      <c r="Q106" s="93">
        <f t="shared" si="14"/>
        <v>3.1746031746031744E-2</v>
      </c>
      <c r="R106" s="93">
        <f t="shared" si="15"/>
        <v>6.3492063492063489E-2</v>
      </c>
      <c r="S106" s="93">
        <f t="shared" si="16"/>
        <v>0.81397970687711385</v>
      </c>
      <c r="T106" s="93">
        <f t="shared" si="17"/>
        <v>0.1104847801578354</v>
      </c>
      <c r="U106" s="93">
        <f t="shared" si="18"/>
        <v>7.5535512965050733E-2</v>
      </c>
      <c r="V106" s="93">
        <f t="shared" si="19"/>
        <v>0.77203647416413379</v>
      </c>
      <c r="W106" s="93">
        <f t="shared" si="20"/>
        <v>0.15096251266464034</v>
      </c>
      <c r="X106" s="93">
        <f t="shared" si="21"/>
        <v>7.7001013171225943E-2</v>
      </c>
    </row>
    <row r="107" spans="1:24">
      <c r="A107" s="328">
        <v>640</v>
      </c>
      <c r="B107" s="93" t="s">
        <v>687</v>
      </c>
      <c r="C107" s="93">
        <v>16</v>
      </c>
      <c r="D107" s="93">
        <v>13</v>
      </c>
      <c r="E107" s="93">
        <v>3</v>
      </c>
      <c r="F107" s="93">
        <f t="shared" si="22"/>
        <v>0</v>
      </c>
      <c r="G107" s="93">
        <v>481</v>
      </c>
      <c r="H107" s="93">
        <v>446</v>
      </c>
      <c r="I107" s="93">
        <v>13</v>
      </c>
      <c r="J107" s="93">
        <f t="shared" si="23"/>
        <v>22</v>
      </c>
      <c r="K107" s="93">
        <v>445</v>
      </c>
      <c r="L107" s="93">
        <v>399</v>
      </c>
      <c r="M107" s="93">
        <v>37</v>
      </c>
      <c r="N107" s="93">
        <f t="shared" si="24"/>
        <v>9</v>
      </c>
      <c r="P107" s="93">
        <f t="shared" si="13"/>
        <v>0.8125</v>
      </c>
      <c r="Q107" s="93">
        <f t="shared" si="14"/>
        <v>0.1875</v>
      </c>
      <c r="R107" s="93">
        <f t="shared" si="15"/>
        <v>0</v>
      </c>
      <c r="S107" s="93">
        <f t="shared" si="16"/>
        <v>0.92723492723492729</v>
      </c>
      <c r="T107" s="93">
        <f t="shared" si="17"/>
        <v>2.7027027027027029E-2</v>
      </c>
      <c r="U107" s="93">
        <f t="shared" si="18"/>
        <v>4.5738045738045741E-2</v>
      </c>
      <c r="V107" s="93">
        <f t="shared" si="19"/>
        <v>0.89662921348314606</v>
      </c>
      <c r="W107" s="93">
        <f t="shared" si="20"/>
        <v>8.3146067415730343E-2</v>
      </c>
      <c r="X107" s="93">
        <f t="shared" si="21"/>
        <v>2.0224719101123594E-2</v>
      </c>
    </row>
    <row r="108" spans="1:24">
      <c r="A108" s="328">
        <v>650</v>
      </c>
      <c r="B108" s="93" t="s">
        <v>703</v>
      </c>
      <c r="C108" s="93">
        <v>258</v>
      </c>
      <c r="D108" s="93">
        <v>165</v>
      </c>
      <c r="E108" s="93">
        <v>86</v>
      </c>
      <c r="F108" s="93">
        <f t="shared" si="22"/>
        <v>7</v>
      </c>
      <c r="G108" s="93">
        <v>4089</v>
      </c>
      <c r="H108" s="93">
        <v>2678</v>
      </c>
      <c r="I108" s="93">
        <v>1155</v>
      </c>
      <c r="J108" s="93">
        <f t="shared" si="23"/>
        <v>256</v>
      </c>
      <c r="K108" s="93">
        <v>2117</v>
      </c>
      <c r="L108" s="93">
        <v>1225</v>
      </c>
      <c r="M108" s="93">
        <v>724</v>
      </c>
      <c r="N108" s="93">
        <f t="shared" si="24"/>
        <v>168</v>
      </c>
      <c r="P108" s="93">
        <f t="shared" si="13"/>
        <v>0.63953488372093026</v>
      </c>
      <c r="Q108" s="93">
        <f t="shared" si="14"/>
        <v>0.33333333333333331</v>
      </c>
      <c r="R108" s="93">
        <f t="shared" si="15"/>
        <v>2.7131782945736434E-2</v>
      </c>
      <c r="S108" s="93">
        <f t="shared" si="16"/>
        <v>0.65492785522132546</v>
      </c>
      <c r="T108" s="93">
        <f t="shared" si="17"/>
        <v>0.28246515040352166</v>
      </c>
      <c r="U108" s="93">
        <f t="shared" si="18"/>
        <v>6.2606994375152852E-2</v>
      </c>
      <c r="V108" s="93">
        <f t="shared" si="19"/>
        <v>0.5786490316485593</v>
      </c>
      <c r="W108" s="93">
        <f t="shared" si="20"/>
        <v>0.34199338686820974</v>
      </c>
      <c r="X108" s="93">
        <f t="shared" si="21"/>
        <v>7.9357581483230993E-2</v>
      </c>
    </row>
    <row r="109" spans="1:24">
      <c r="A109" s="328">
        <v>670</v>
      </c>
      <c r="B109" s="93" t="s">
        <v>696</v>
      </c>
      <c r="C109" s="93">
        <v>50</v>
      </c>
      <c r="D109" s="93">
        <v>42</v>
      </c>
      <c r="E109" s="93">
        <v>6</v>
      </c>
      <c r="F109" s="93">
        <f t="shared" si="22"/>
        <v>2</v>
      </c>
      <c r="G109" s="93">
        <v>974</v>
      </c>
      <c r="H109" s="93">
        <v>711</v>
      </c>
      <c r="I109" s="93">
        <v>215</v>
      </c>
      <c r="J109" s="93">
        <f t="shared" si="23"/>
        <v>48</v>
      </c>
      <c r="K109" s="93">
        <v>494</v>
      </c>
      <c r="L109" s="93">
        <v>350</v>
      </c>
      <c r="M109" s="93">
        <v>130</v>
      </c>
      <c r="N109" s="93">
        <f t="shared" si="24"/>
        <v>14</v>
      </c>
      <c r="P109" s="93">
        <f t="shared" si="13"/>
        <v>0.84</v>
      </c>
      <c r="Q109" s="93">
        <f t="shared" si="14"/>
        <v>0.12</v>
      </c>
      <c r="R109" s="93">
        <f t="shared" si="15"/>
        <v>0.04</v>
      </c>
      <c r="S109" s="93">
        <f t="shared" si="16"/>
        <v>0.72997946611909648</v>
      </c>
      <c r="T109" s="93">
        <f t="shared" si="17"/>
        <v>0.22073921971252566</v>
      </c>
      <c r="U109" s="93">
        <f t="shared" si="18"/>
        <v>4.9281314168377825E-2</v>
      </c>
      <c r="V109" s="93">
        <f t="shared" si="19"/>
        <v>0.708502024291498</v>
      </c>
      <c r="W109" s="93">
        <f t="shared" si="20"/>
        <v>0.26315789473684209</v>
      </c>
      <c r="X109" s="93">
        <f t="shared" si="21"/>
        <v>2.8340080971659919E-2</v>
      </c>
    </row>
    <row r="110" spans="1:24">
      <c r="A110" s="328">
        <v>680</v>
      </c>
      <c r="B110" s="93" t="s">
        <v>693</v>
      </c>
      <c r="C110" s="93">
        <v>78</v>
      </c>
      <c r="D110" s="93">
        <v>67</v>
      </c>
      <c r="E110" s="93">
        <v>11</v>
      </c>
      <c r="F110" s="93">
        <f t="shared" si="22"/>
        <v>0</v>
      </c>
      <c r="G110" s="93">
        <v>1695</v>
      </c>
      <c r="H110" s="93">
        <v>1374</v>
      </c>
      <c r="I110" s="93">
        <v>219</v>
      </c>
      <c r="J110" s="93">
        <f t="shared" si="23"/>
        <v>102</v>
      </c>
      <c r="K110" s="93">
        <v>649</v>
      </c>
      <c r="L110" s="93">
        <v>508</v>
      </c>
      <c r="M110" s="93">
        <v>96</v>
      </c>
      <c r="N110" s="93">
        <f t="shared" si="24"/>
        <v>45</v>
      </c>
      <c r="P110" s="93">
        <f t="shared" si="13"/>
        <v>0.85897435897435892</v>
      </c>
      <c r="Q110" s="93">
        <f t="shared" si="14"/>
        <v>0.14102564102564102</v>
      </c>
      <c r="R110" s="93">
        <f t="shared" si="15"/>
        <v>0</v>
      </c>
      <c r="S110" s="93">
        <f t="shared" si="16"/>
        <v>0.81061946902654869</v>
      </c>
      <c r="T110" s="93">
        <f t="shared" si="17"/>
        <v>0.12920353982300886</v>
      </c>
      <c r="U110" s="93">
        <f t="shared" si="18"/>
        <v>6.0176991150442477E-2</v>
      </c>
      <c r="V110" s="93">
        <f t="shared" si="19"/>
        <v>0.78274268104776579</v>
      </c>
      <c r="W110" s="93">
        <f t="shared" si="20"/>
        <v>0.14791987673343607</v>
      </c>
      <c r="X110" s="93">
        <f t="shared" si="21"/>
        <v>6.9337442218798145E-2</v>
      </c>
    </row>
    <row r="111" spans="1:24">
      <c r="A111" s="328">
        <v>683</v>
      </c>
      <c r="B111" s="93" t="s">
        <v>273</v>
      </c>
      <c r="C111" s="93">
        <v>178</v>
      </c>
      <c r="D111" s="93">
        <v>162</v>
      </c>
      <c r="E111" s="93">
        <v>11</v>
      </c>
      <c r="F111" s="93">
        <f t="shared" si="22"/>
        <v>5</v>
      </c>
      <c r="G111" s="93">
        <v>7551</v>
      </c>
      <c r="H111" s="93">
        <v>6855</v>
      </c>
      <c r="I111" s="93">
        <v>405</v>
      </c>
      <c r="J111" s="93">
        <f t="shared" si="23"/>
        <v>291</v>
      </c>
      <c r="K111" s="93">
        <v>4648</v>
      </c>
      <c r="L111" s="93">
        <v>4150</v>
      </c>
      <c r="M111" s="93">
        <v>305</v>
      </c>
      <c r="N111" s="93">
        <f t="shared" si="24"/>
        <v>193</v>
      </c>
      <c r="P111" s="93">
        <f t="shared" si="13"/>
        <v>0.9101123595505618</v>
      </c>
      <c r="Q111" s="93">
        <f t="shared" si="14"/>
        <v>6.1797752808988762E-2</v>
      </c>
      <c r="R111" s="93">
        <f t="shared" si="15"/>
        <v>2.8089887640449437E-2</v>
      </c>
      <c r="S111" s="93">
        <f t="shared" si="16"/>
        <v>0.9078267779102106</v>
      </c>
      <c r="T111" s="93">
        <f t="shared" si="17"/>
        <v>5.3635280095351609E-2</v>
      </c>
      <c r="U111" s="93">
        <f t="shared" si="18"/>
        <v>3.8537941994437823E-2</v>
      </c>
      <c r="V111" s="93">
        <f t="shared" si="19"/>
        <v>0.8928571428571429</v>
      </c>
      <c r="W111" s="93">
        <f t="shared" si="20"/>
        <v>6.561962134251291E-2</v>
      </c>
      <c r="X111" s="93">
        <f t="shared" si="21"/>
        <v>4.1523235800344234E-2</v>
      </c>
    </row>
    <row r="112" spans="1:24">
      <c r="A112" s="328">
        <v>685</v>
      </c>
      <c r="B112" s="93" t="s">
        <v>691</v>
      </c>
      <c r="C112" s="93">
        <v>99</v>
      </c>
      <c r="D112" s="93">
        <v>93</v>
      </c>
      <c r="E112" s="93">
        <v>2</v>
      </c>
      <c r="F112" s="93">
        <f t="shared" si="22"/>
        <v>4</v>
      </c>
      <c r="G112" s="93">
        <v>3242</v>
      </c>
      <c r="H112" s="93">
        <v>2913</v>
      </c>
      <c r="I112" s="93">
        <v>169</v>
      </c>
      <c r="J112" s="93">
        <f t="shared" si="23"/>
        <v>160</v>
      </c>
      <c r="K112" s="93">
        <v>1789</v>
      </c>
      <c r="L112" s="93">
        <v>1579</v>
      </c>
      <c r="M112" s="93">
        <v>126</v>
      </c>
      <c r="N112" s="93">
        <f t="shared" si="24"/>
        <v>84</v>
      </c>
      <c r="P112" s="93">
        <f t="shared" si="13"/>
        <v>0.93939393939393945</v>
      </c>
      <c r="Q112" s="93">
        <f t="shared" si="14"/>
        <v>2.0202020202020204E-2</v>
      </c>
      <c r="R112" s="93">
        <f t="shared" si="15"/>
        <v>4.0404040404040407E-2</v>
      </c>
      <c r="S112" s="93">
        <f t="shared" si="16"/>
        <v>0.89851943244910548</v>
      </c>
      <c r="T112" s="93">
        <f t="shared" si="17"/>
        <v>5.2128315854410856E-2</v>
      </c>
      <c r="U112" s="93">
        <f t="shared" si="18"/>
        <v>4.9352251696483655E-2</v>
      </c>
      <c r="V112" s="93">
        <f t="shared" si="19"/>
        <v>0.88261598658468421</v>
      </c>
      <c r="W112" s="93">
        <f t="shared" si="20"/>
        <v>7.0430408049189486E-2</v>
      </c>
      <c r="X112" s="93">
        <f t="shared" si="21"/>
        <v>4.6953605366126326E-2</v>
      </c>
    </row>
    <row r="113" spans="1:24">
      <c r="A113" s="328">
        <v>690</v>
      </c>
      <c r="B113" s="93" t="s">
        <v>812</v>
      </c>
      <c r="C113" s="93">
        <v>13</v>
      </c>
      <c r="D113" s="93">
        <v>10</v>
      </c>
      <c r="E113" s="93">
        <v>3</v>
      </c>
      <c r="F113" s="93">
        <f t="shared" si="22"/>
        <v>0</v>
      </c>
      <c r="G113" s="93">
        <v>287</v>
      </c>
      <c r="H113" s="93">
        <v>241</v>
      </c>
      <c r="I113" s="93">
        <v>30</v>
      </c>
      <c r="J113" s="93">
        <f t="shared" si="23"/>
        <v>16</v>
      </c>
      <c r="K113" s="93">
        <v>230</v>
      </c>
      <c r="L113" s="93">
        <v>189</v>
      </c>
      <c r="M113" s="93">
        <v>29</v>
      </c>
      <c r="N113" s="93">
        <f t="shared" si="24"/>
        <v>12</v>
      </c>
      <c r="P113" s="93">
        <f t="shared" si="13"/>
        <v>0.76923076923076927</v>
      </c>
      <c r="Q113" s="93">
        <f t="shared" si="14"/>
        <v>0.23076923076923078</v>
      </c>
      <c r="R113" s="93">
        <f t="shared" si="15"/>
        <v>0</v>
      </c>
      <c r="S113" s="93">
        <f t="shared" si="16"/>
        <v>0.83972125435540068</v>
      </c>
      <c r="T113" s="93">
        <f t="shared" si="17"/>
        <v>0.10452961672473868</v>
      </c>
      <c r="U113" s="93">
        <f t="shared" si="18"/>
        <v>5.5749128919860627E-2</v>
      </c>
      <c r="V113" s="93">
        <f t="shared" si="19"/>
        <v>0.82173913043478264</v>
      </c>
      <c r="W113" s="93">
        <f t="shared" si="20"/>
        <v>0.12608695652173912</v>
      </c>
      <c r="X113" s="93">
        <f t="shared" si="21"/>
        <v>5.2173913043478258E-2</v>
      </c>
    </row>
    <row r="114" spans="1:24">
      <c r="A114" s="328">
        <v>700</v>
      </c>
      <c r="B114" s="93" t="s">
        <v>704</v>
      </c>
      <c r="C114" s="93">
        <v>422</v>
      </c>
      <c r="D114" s="93">
        <v>327</v>
      </c>
      <c r="E114" s="93">
        <v>87</v>
      </c>
      <c r="F114" s="93">
        <f t="shared" si="22"/>
        <v>8</v>
      </c>
      <c r="G114" s="93">
        <v>8740</v>
      </c>
      <c r="H114" s="93">
        <v>6397</v>
      </c>
      <c r="I114" s="93">
        <v>1812</v>
      </c>
      <c r="J114" s="93">
        <f t="shared" si="23"/>
        <v>531</v>
      </c>
      <c r="K114" s="93">
        <v>4571</v>
      </c>
      <c r="L114" s="93">
        <v>2995</v>
      </c>
      <c r="M114" s="93">
        <v>1269</v>
      </c>
      <c r="N114" s="93">
        <f t="shared" si="24"/>
        <v>307</v>
      </c>
      <c r="P114" s="93">
        <f t="shared" si="13"/>
        <v>0.77488151658767768</v>
      </c>
      <c r="Q114" s="93">
        <f t="shared" si="14"/>
        <v>0.20616113744075829</v>
      </c>
      <c r="R114" s="93">
        <f t="shared" si="15"/>
        <v>1.8957345971563982E-2</v>
      </c>
      <c r="S114" s="93">
        <f t="shared" si="16"/>
        <v>0.73192219679633863</v>
      </c>
      <c r="T114" s="93">
        <f t="shared" si="17"/>
        <v>0.20732265446224257</v>
      </c>
      <c r="U114" s="93">
        <f t="shared" si="18"/>
        <v>6.0755148741418762E-2</v>
      </c>
      <c r="V114" s="93">
        <f t="shared" si="19"/>
        <v>0.65521767665718667</v>
      </c>
      <c r="W114" s="93">
        <f t="shared" si="20"/>
        <v>0.27761977685408007</v>
      </c>
      <c r="X114" s="93">
        <f t="shared" si="21"/>
        <v>6.7162546488733321E-2</v>
      </c>
    </row>
    <row r="115" spans="1:24">
      <c r="A115" s="328">
        <v>710</v>
      </c>
      <c r="B115" s="93" t="s">
        <v>699</v>
      </c>
      <c r="C115" s="93">
        <v>397</v>
      </c>
      <c r="D115" s="93">
        <v>289</v>
      </c>
      <c r="E115" s="93">
        <v>86</v>
      </c>
      <c r="F115" s="93">
        <f t="shared" si="22"/>
        <v>22</v>
      </c>
      <c r="G115" s="93">
        <v>11906</v>
      </c>
      <c r="H115" s="93">
        <v>8602</v>
      </c>
      <c r="I115" s="93">
        <v>2487</v>
      </c>
      <c r="J115" s="93">
        <f t="shared" si="23"/>
        <v>817</v>
      </c>
      <c r="K115" s="93">
        <v>4411</v>
      </c>
      <c r="L115" s="93">
        <v>2909</v>
      </c>
      <c r="M115" s="93">
        <v>1197</v>
      </c>
      <c r="N115" s="93">
        <f t="shared" si="24"/>
        <v>305</v>
      </c>
      <c r="P115" s="93">
        <f t="shared" si="13"/>
        <v>0.72795969773299751</v>
      </c>
      <c r="Q115" s="93">
        <f t="shared" si="14"/>
        <v>0.21662468513853905</v>
      </c>
      <c r="R115" s="93">
        <f t="shared" si="15"/>
        <v>5.5415617128463476E-2</v>
      </c>
      <c r="S115" s="93">
        <f t="shared" si="16"/>
        <v>0.72249286074248276</v>
      </c>
      <c r="T115" s="93">
        <f t="shared" si="17"/>
        <v>0.20888627582731395</v>
      </c>
      <c r="U115" s="93">
        <f t="shared" si="18"/>
        <v>6.8620863430203252E-2</v>
      </c>
      <c r="V115" s="93">
        <f t="shared" si="19"/>
        <v>0.65948764452505104</v>
      </c>
      <c r="W115" s="93">
        <f t="shared" si="20"/>
        <v>0.27136703695307185</v>
      </c>
      <c r="X115" s="93">
        <f t="shared" si="21"/>
        <v>6.9145318521877122E-2</v>
      </c>
    </row>
    <row r="116" spans="1:24">
      <c r="A116" s="328">
        <v>720</v>
      </c>
      <c r="B116" s="93" t="s">
        <v>685</v>
      </c>
      <c r="C116" s="93">
        <v>2</v>
      </c>
      <c r="D116" s="93">
        <v>2</v>
      </c>
      <c r="E116" s="93">
        <v>0</v>
      </c>
      <c r="F116" s="93">
        <f t="shared" si="22"/>
        <v>0</v>
      </c>
      <c r="G116" s="93">
        <v>62</v>
      </c>
      <c r="H116" s="93">
        <v>59</v>
      </c>
      <c r="I116" s="93">
        <v>0</v>
      </c>
      <c r="J116" s="93">
        <f t="shared" si="23"/>
        <v>3</v>
      </c>
      <c r="K116" s="93">
        <v>26</v>
      </c>
      <c r="L116" s="93">
        <v>24</v>
      </c>
      <c r="M116" s="93">
        <v>1</v>
      </c>
      <c r="N116" s="93">
        <f t="shared" si="24"/>
        <v>1</v>
      </c>
      <c r="P116" s="93">
        <f t="shared" si="13"/>
        <v>1</v>
      </c>
      <c r="Q116" s="93">
        <f t="shared" si="14"/>
        <v>0</v>
      </c>
      <c r="R116" s="93">
        <f t="shared" si="15"/>
        <v>0</v>
      </c>
      <c r="S116" s="93">
        <f t="shared" si="16"/>
        <v>0.95161290322580649</v>
      </c>
      <c r="T116" s="93">
        <f t="shared" si="17"/>
        <v>0</v>
      </c>
      <c r="U116" s="93">
        <f t="shared" si="18"/>
        <v>4.8387096774193547E-2</v>
      </c>
      <c r="V116" s="93">
        <f t="shared" si="19"/>
        <v>0.92307692307692313</v>
      </c>
      <c r="W116" s="93">
        <f t="shared" si="20"/>
        <v>3.8461538461538464E-2</v>
      </c>
      <c r="X116" s="93">
        <f t="shared" si="21"/>
        <v>3.8461538461538464E-2</v>
      </c>
    </row>
    <row r="117" spans="1:24">
      <c r="A117" s="328">
        <v>730</v>
      </c>
      <c r="B117" s="93" t="s">
        <v>697</v>
      </c>
      <c r="C117" s="93">
        <v>48</v>
      </c>
      <c r="D117" s="93">
        <v>24</v>
      </c>
      <c r="E117" s="93">
        <v>24</v>
      </c>
      <c r="F117" s="93">
        <f t="shared" si="22"/>
        <v>0</v>
      </c>
      <c r="G117" s="93">
        <v>844</v>
      </c>
      <c r="H117" s="93">
        <v>552</v>
      </c>
      <c r="I117" s="93">
        <v>254</v>
      </c>
      <c r="J117" s="93">
        <f t="shared" si="23"/>
        <v>38</v>
      </c>
      <c r="K117" s="93">
        <v>426</v>
      </c>
      <c r="L117" s="93">
        <v>265</v>
      </c>
      <c r="M117" s="93">
        <v>136</v>
      </c>
      <c r="N117" s="93">
        <f t="shared" si="24"/>
        <v>25</v>
      </c>
      <c r="P117" s="93">
        <f t="shared" si="13"/>
        <v>0.5</v>
      </c>
      <c r="Q117" s="93">
        <f t="shared" si="14"/>
        <v>0.5</v>
      </c>
      <c r="R117" s="93">
        <f t="shared" si="15"/>
        <v>0</v>
      </c>
      <c r="S117" s="93">
        <f t="shared" si="16"/>
        <v>0.65402843601895733</v>
      </c>
      <c r="T117" s="93">
        <f t="shared" si="17"/>
        <v>0.3009478672985782</v>
      </c>
      <c r="U117" s="93">
        <f t="shared" si="18"/>
        <v>4.5023696682464455E-2</v>
      </c>
      <c r="V117" s="93">
        <f t="shared" si="19"/>
        <v>0.6220657276995305</v>
      </c>
      <c r="W117" s="93">
        <f t="shared" si="20"/>
        <v>0.31924882629107981</v>
      </c>
      <c r="X117" s="93">
        <f t="shared" si="21"/>
        <v>5.8685446009389672E-2</v>
      </c>
    </row>
    <row r="118" spans="1:24">
      <c r="A118" s="328">
        <v>740</v>
      </c>
      <c r="B118" s="93" t="s">
        <v>700</v>
      </c>
      <c r="C118" s="93">
        <v>94</v>
      </c>
      <c r="D118" s="93">
        <v>49</v>
      </c>
      <c r="E118" s="93">
        <v>36</v>
      </c>
      <c r="F118" s="93">
        <f t="shared" si="22"/>
        <v>9</v>
      </c>
      <c r="G118" s="93">
        <v>2014</v>
      </c>
      <c r="H118" s="93">
        <v>1383</v>
      </c>
      <c r="I118" s="93">
        <v>499</v>
      </c>
      <c r="J118" s="93">
        <f t="shared" si="23"/>
        <v>132</v>
      </c>
      <c r="K118" s="93">
        <v>1004</v>
      </c>
      <c r="L118" s="93">
        <v>611</v>
      </c>
      <c r="M118" s="93">
        <v>313</v>
      </c>
      <c r="N118" s="93">
        <f t="shared" si="24"/>
        <v>80</v>
      </c>
      <c r="P118" s="93">
        <f t="shared" si="13"/>
        <v>0.52127659574468088</v>
      </c>
      <c r="Q118" s="93">
        <f t="shared" si="14"/>
        <v>0.38297872340425532</v>
      </c>
      <c r="R118" s="93">
        <f t="shared" si="15"/>
        <v>9.5744680851063829E-2</v>
      </c>
      <c r="S118" s="93">
        <f t="shared" si="16"/>
        <v>0.68669314796425029</v>
      </c>
      <c r="T118" s="93">
        <f t="shared" si="17"/>
        <v>0.2477656405163853</v>
      </c>
      <c r="U118" s="93">
        <f t="shared" si="18"/>
        <v>6.5541211519364442E-2</v>
      </c>
      <c r="V118" s="93">
        <f t="shared" si="19"/>
        <v>0.60856573705179284</v>
      </c>
      <c r="W118" s="93">
        <f t="shared" si="20"/>
        <v>0.31175298804780877</v>
      </c>
      <c r="X118" s="93">
        <f t="shared" si="21"/>
        <v>7.9681274900398405E-2</v>
      </c>
    </row>
    <row r="119" spans="1:24">
      <c r="A119" s="328">
        <v>750</v>
      </c>
      <c r="B119" s="93" t="s">
        <v>688</v>
      </c>
      <c r="C119" s="93">
        <v>8</v>
      </c>
      <c r="D119" s="93">
        <v>6</v>
      </c>
      <c r="E119" s="93">
        <v>0</v>
      </c>
      <c r="F119" s="93">
        <f t="shared" si="22"/>
        <v>2</v>
      </c>
      <c r="G119" s="93">
        <v>328</v>
      </c>
      <c r="H119" s="93">
        <v>281</v>
      </c>
      <c r="I119" s="93">
        <v>12</v>
      </c>
      <c r="J119" s="93">
        <f t="shared" si="23"/>
        <v>35</v>
      </c>
      <c r="K119" s="93">
        <v>60</v>
      </c>
      <c r="L119" s="93">
        <v>42</v>
      </c>
      <c r="M119" s="93">
        <v>13</v>
      </c>
      <c r="N119" s="93">
        <f t="shared" si="24"/>
        <v>5</v>
      </c>
      <c r="P119" s="93">
        <f t="shared" si="13"/>
        <v>0.75</v>
      </c>
      <c r="Q119" s="93">
        <f t="shared" si="14"/>
        <v>0</v>
      </c>
      <c r="R119" s="93">
        <f t="shared" si="15"/>
        <v>0.25</v>
      </c>
      <c r="S119" s="93">
        <f t="shared" si="16"/>
        <v>0.85670731707317072</v>
      </c>
      <c r="T119" s="93">
        <f t="shared" si="17"/>
        <v>3.6585365853658534E-2</v>
      </c>
      <c r="U119" s="93">
        <f t="shared" si="18"/>
        <v>0.10670731707317073</v>
      </c>
      <c r="V119" s="93">
        <f t="shared" si="19"/>
        <v>0.7</v>
      </c>
      <c r="W119" s="93">
        <f t="shared" si="20"/>
        <v>0.21666666666666667</v>
      </c>
      <c r="X119" s="93">
        <f t="shared" si="21"/>
        <v>8.3333333333333329E-2</v>
      </c>
    </row>
    <row r="120" spans="1:24">
      <c r="A120" s="328">
        <v>760</v>
      </c>
      <c r="B120" s="93" t="s">
        <v>197</v>
      </c>
      <c r="C120" s="93">
        <v>287</v>
      </c>
      <c r="D120" s="93">
        <v>198</v>
      </c>
      <c r="E120" s="93">
        <v>67</v>
      </c>
      <c r="F120" s="93">
        <f t="shared" si="22"/>
        <v>22</v>
      </c>
      <c r="G120" s="93">
        <v>8984</v>
      </c>
      <c r="H120" s="93">
        <v>6482</v>
      </c>
      <c r="I120" s="93">
        <v>1537</v>
      </c>
      <c r="J120" s="93">
        <f t="shared" si="23"/>
        <v>965</v>
      </c>
      <c r="K120" s="93">
        <v>3767</v>
      </c>
      <c r="L120" s="93">
        <v>2448</v>
      </c>
      <c r="M120" s="93">
        <v>866</v>
      </c>
      <c r="N120" s="93">
        <f t="shared" si="24"/>
        <v>453</v>
      </c>
      <c r="P120" s="93">
        <f t="shared" si="13"/>
        <v>0.68989547038327526</v>
      </c>
      <c r="Q120" s="93">
        <f t="shared" si="14"/>
        <v>0.23344947735191637</v>
      </c>
      <c r="R120" s="93">
        <f t="shared" si="15"/>
        <v>7.6655052264808357E-2</v>
      </c>
      <c r="S120" s="93">
        <f t="shared" si="16"/>
        <v>0.72150489759572578</v>
      </c>
      <c r="T120" s="93">
        <f t="shared" si="17"/>
        <v>0.17108192341941228</v>
      </c>
      <c r="U120" s="93">
        <f t="shared" si="18"/>
        <v>0.10741317898486198</v>
      </c>
      <c r="V120" s="93">
        <f t="shared" si="19"/>
        <v>0.64985399522166176</v>
      </c>
      <c r="W120" s="93">
        <f t="shared" si="20"/>
        <v>0.22989116007432969</v>
      </c>
      <c r="X120" s="93">
        <f t="shared" si="21"/>
        <v>0.12025484470400849</v>
      </c>
    </row>
    <row r="121" spans="1:24">
      <c r="A121" s="328">
        <v>770</v>
      </c>
      <c r="B121" s="93" t="s">
        <v>201</v>
      </c>
      <c r="C121" s="93">
        <v>153</v>
      </c>
      <c r="D121" s="93">
        <v>127</v>
      </c>
      <c r="E121" s="93">
        <v>20</v>
      </c>
      <c r="F121" s="93">
        <f t="shared" si="22"/>
        <v>6</v>
      </c>
      <c r="G121" s="93">
        <v>3374</v>
      </c>
      <c r="H121" s="93">
        <v>2778</v>
      </c>
      <c r="I121" s="93">
        <v>409</v>
      </c>
      <c r="J121" s="93">
        <f t="shared" si="23"/>
        <v>187</v>
      </c>
      <c r="K121" s="93">
        <v>1894</v>
      </c>
      <c r="L121" s="93">
        <v>1494</v>
      </c>
      <c r="M121" s="93">
        <v>306</v>
      </c>
      <c r="N121" s="93">
        <f t="shared" si="24"/>
        <v>94</v>
      </c>
      <c r="P121" s="93">
        <f t="shared" si="13"/>
        <v>0.83006535947712423</v>
      </c>
      <c r="Q121" s="93">
        <f t="shared" si="14"/>
        <v>0.13071895424836602</v>
      </c>
      <c r="R121" s="93">
        <f t="shared" si="15"/>
        <v>3.9215686274509803E-2</v>
      </c>
      <c r="S121" s="93">
        <f t="shared" si="16"/>
        <v>0.82335506816834614</v>
      </c>
      <c r="T121" s="93">
        <f t="shared" si="17"/>
        <v>0.12122110254890338</v>
      </c>
      <c r="U121" s="93">
        <f t="shared" si="18"/>
        <v>5.5423829282750442E-2</v>
      </c>
      <c r="V121" s="93">
        <f t="shared" si="19"/>
        <v>0.78880675818373813</v>
      </c>
      <c r="W121" s="93">
        <f t="shared" si="20"/>
        <v>0.16156282998944033</v>
      </c>
      <c r="X121" s="93">
        <f t="shared" si="21"/>
        <v>4.9630411826821541E-2</v>
      </c>
    </row>
    <row r="122" spans="1:24">
      <c r="A122" s="328">
        <v>800</v>
      </c>
      <c r="B122" s="93" t="s">
        <v>701</v>
      </c>
      <c r="C122" s="93">
        <v>86</v>
      </c>
      <c r="D122" s="93">
        <v>61</v>
      </c>
      <c r="E122" s="93">
        <v>17</v>
      </c>
      <c r="F122" s="93">
        <f>C122-D122-E122</f>
        <v>8</v>
      </c>
      <c r="G122" s="93">
        <v>1594</v>
      </c>
      <c r="H122" s="93">
        <v>1210</v>
      </c>
      <c r="I122" s="93">
        <v>298</v>
      </c>
      <c r="J122" s="93">
        <f>G122-H122-I122</f>
        <v>86</v>
      </c>
      <c r="K122" s="93">
        <v>1012</v>
      </c>
      <c r="L122" s="93">
        <v>660</v>
      </c>
      <c r="M122" s="93">
        <v>293</v>
      </c>
      <c r="N122" s="93">
        <f>K122-L122-M122</f>
        <v>59</v>
      </c>
      <c r="P122" s="93">
        <f>D122/C122</f>
        <v>0.70930232558139539</v>
      </c>
      <c r="Q122" s="93">
        <f>E122/C122</f>
        <v>0.19767441860465115</v>
      </c>
      <c r="R122" s="93">
        <f>F122/C122</f>
        <v>9.3023255813953487E-2</v>
      </c>
      <c r="S122" s="93">
        <f>H122/G122</f>
        <v>0.75909661229611036</v>
      </c>
      <c r="T122" s="93">
        <f>I122/G122</f>
        <v>0.18695106649937265</v>
      </c>
      <c r="U122" s="93">
        <f>J122/G122</f>
        <v>5.3952321204516936E-2</v>
      </c>
      <c r="V122" s="93">
        <f>L122/K122</f>
        <v>0.65217391304347827</v>
      </c>
      <c r="W122" s="93">
        <f>M122/K122</f>
        <v>0.28952569169960474</v>
      </c>
      <c r="X122" s="93">
        <f>N122/K122</f>
        <v>5.8300395256916999E-2</v>
      </c>
    </row>
    <row r="123" spans="1:24">
      <c r="A123" s="328">
        <v>810</v>
      </c>
      <c r="B123" s="93" t="s">
        <v>702</v>
      </c>
      <c r="C123" s="93">
        <v>1121</v>
      </c>
      <c r="D123" s="93">
        <v>954</v>
      </c>
      <c r="E123" s="93">
        <v>107</v>
      </c>
      <c r="F123" s="93">
        <f>C123-D123-E123</f>
        <v>60</v>
      </c>
      <c r="G123" s="93">
        <v>19305</v>
      </c>
      <c r="H123" s="93">
        <v>15155</v>
      </c>
      <c r="I123" s="93">
        <v>2957</v>
      </c>
      <c r="J123" s="93">
        <f>G123-H123-I123</f>
        <v>1193</v>
      </c>
      <c r="K123" s="93">
        <v>10512</v>
      </c>
      <c r="L123" s="93">
        <v>7732</v>
      </c>
      <c r="M123" s="93">
        <v>2027</v>
      </c>
      <c r="N123" s="93">
        <f>K123-L123-M123</f>
        <v>753</v>
      </c>
      <c r="P123" s="93">
        <f>D123/C123</f>
        <v>0.85102586975914363</v>
      </c>
      <c r="Q123" s="93">
        <f>E123/C123</f>
        <v>9.5450490633363069E-2</v>
      </c>
      <c r="R123" s="93">
        <f>F123/C123</f>
        <v>5.352363960749331E-2</v>
      </c>
      <c r="S123" s="93">
        <f>H123/G123</f>
        <v>0.78502978502978504</v>
      </c>
      <c r="T123" s="93">
        <f>I123/G123</f>
        <v>0.15317275317275317</v>
      </c>
      <c r="U123" s="93">
        <f>J123/G123</f>
        <v>6.1797461797461796E-2</v>
      </c>
      <c r="V123" s="93">
        <f>L123/K123</f>
        <v>0.73554033485540338</v>
      </c>
      <c r="W123" s="93">
        <f>M123/K123</f>
        <v>0.19282724505327245</v>
      </c>
      <c r="X123" s="93">
        <f>N123/K123</f>
        <v>7.16324200913242E-2</v>
      </c>
    </row>
    <row r="124" spans="1:24">
      <c r="A124" s="328">
        <v>830</v>
      </c>
      <c r="B124" s="93" t="s">
        <v>705</v>
      </c>
      <c r="C124" s="93">
        <v>18</v>
      </c>
      <c r="D124" s="93">
        <v>16</v>
      </c>
      <c r="E124" s="93">
        <v>2</v>
      </c>
      <c r="F124" s="93">
        <f>C124-D124-E124</f>
        <v>0</v>
      </c>
      <c r="G124" s="93">
        <v>797</v>
      </c>
      <c r="H124" s="93">
        <v>698</v>
      </c>
      <c r="I124" s="93">
        <v>59</v>
      </c>
      <c r="J124" s="93">
        <f>G124-H124-I124</f>
        <v>40</v>
      </c>
      <c r="K124" s="93">
        <v>181</v>
      </c>
      <c r="L124" s="93">
        <v>143</v>
      </c>
      <c r="M124" s="93">
        <v>31</v>
      </c>
      <c r="N124" s="93">
        <f>K124-L124-M124</f>
        <v>7</v>
      </c>
      <c r="P124" s="93">
        <f>D124/C124</f>
        <v>0.88888888888888884</v>
      </c>
      <c r="Q124" s="93">
        <f>E124/C124</f>
        <v>0.1111111111111111</v>
      </c>
      <c r="R124" s="93">
        <f>F124/C124</f>
        <v>0</v>
      </c>
      <c r="S124" s="93">
        <f>H124/G124</f>
        <v>0.87578419071518199</v>
      </c>
      <c r="T124" s="93">
        <f>I124/G124</f>
        <v>7.4027603513174403E-2</v>
      </c>
      <c r="U124" s="93">
        <f>J124/G124</f>
        <v>5.0188205771643665E-2</v>
      </c>
      <c r="V124" s="93">
        <f>L124/K124</f>
        <v>0.79005524861878451</v>
      </c>
      <c r="W124" s="93">
        <f>M124/K124</f>
        <v>0.17127071823204421</v>
      </c>
      <c r="X124" s="93">
        <f>N124/K124</f>
        <v>3.8674033149171269E-2</v>
      </c>
    </row>
    <row r="125" spans="1:24">
      <c r="A125" s="328">
        <v>840</v>
      </c>
      <c r="B125" s="93" t="s">
        <v>689</v>
      </c>
      <c r="C125" s="93">
        <v>70</v>
      </c>
      <c r="D125" s="93">
        <v>67</v>
      </c>
      <c r="E125" s="93">
        <v>2</v>
      </c>
      <c r="F125" s="93">
        <f>C125-D125-E125</f>
        <v>1</v>
      </c>
      <c r="G125" s="93">
        <v>2490</v>
      </c>
      <c r="H125" s="93">
        <v>2175</v>
      </c>
      <c r="I125" s="93">
        <v>137</v>
      </c>
      <c r="J125" s="93">
        <f>G125-H125-I125</f>
        <v>178</v>
      </c>
      <c r="K125" s="93">
        <v>1639</v>
      </c>
      <c r="L125" s="93">
        <v>1414</v>
      </c>
      <c r="M125" s="93">
        <v>115</v>
      </c>
      <c r="N125" s="93">
        <f>K125-L125-M125</f>
        <v>110</v>
      </c>
      <c r="P125" s="93">
        <f>D125/C125</f>
        <v>0.95714285714285718</v>
      </c>
      <c r="Q125" s="93">
        <f>E125/C125</f>
        <v>2.8571428571428571E-2</v>
      </c>
      <c r="R125" s="93">
        <f>F125/C125</f>
        <v>1.4285714285714285E-2</v>
      </c>
      <c r="S125" s="93">
        <f>H125/G125</f>
        <v>0.87349397590361444</v>
      </c>
      <c r="T125" s="93">
        <f>I125/G125</f>
        <v>5.5020080321285143E-2</v>
      </c>
      <c r="U125" s="93">
        <f>J125/G125</f>
        <v>7.1485943775100397E-2</v>
      </c>
      <c r="V125" s="93">
        <f>L125/K125</f>
        <v>0.86272117144600369</v>
      </c>
      <c r="W125" s="93">
        <f>M125/K125</f>
        <v>7.0164734594264797E-2</v>
      </c>
      <c r="X125" s="93">
        <f>N125/K125</f>
        <v>6.7114093959731544E-2</v>
      </c>
    </row>
  </sheetData>
  <mergeCells count="6">
    <mergeCell ref="V2:X2"/>
    <mergeCell ref="C2:F2"/>
    <mergeCell ref="G2:J2"/>
    <mergeCell ref="K2:N2"/>
    <mergeCell ref="P2:R2"/>
    <mergeCell ref="S2:U2"/>
  </mergeCell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dimension ref="A1:M131"/>
  <sheetViews>
    <sheetView workbookViewId="0">
      <pane xSplit="3" ySplit="5" topLeftCell="D6" activePane="bottomRight" state="frozen"/>
      <selection pane="topRight" activeCell="D1" sqref="D1"/>
      <selection pane="bottomLeft" activeCell="A6" sqref="A6"/>
      <selection pane="bottomRight" activeCell="A6" sqref="A6:XFD125"/>
    </sheetView>
  </sheetViews>
  <sheetFormatPr defaultColWidth="14.375" defaultRowHeight="15.75"/>
  <cols>
    <col min="1" max="1" width="14.375" style="524"/>
    <col min="2" max="2" width="32.25" style="524" customWidth="1"/>
    <col min="3" max="3" width="14.5" style="524" customWidth="1"/>
    <col min="4" max="4" width="11.875" style="524" customWidth="1"/>
    <col min="5" max="5" width="11.125" style="524" customWidth="1"/>
    <col min="6" max="6" width="14.5" style="524" customWidth="1"/>
    <col min="7" max="8" width="9.75" style="524" customWidth="1"/>
    <col min="9" max="12" width="11.125" style="524" customWidth="1"/>
    <col min="13" max="13" width="12.375" style="524" customWidth="1"/>
    <col min="14" max="16384" width="14.375" style="524"/>
  </cols>
  <sheetData>
    <row r="1" spans="1:13">
      <c r="A1" s="257" t="s">
        <v>929</v>
      </c>
    </row>
    <row r="2" spans="1:13">
      <c r="B2" s="525"/>
      <c r="C2" s="525"/>
      <c r="D2" s="525"/>
      <c r="E2" s="525"/>
      <c r="F2" s="525"/>
      <c r="G2" s="525"/>
      <c r="H2" s="525"/>
    </row>
    <row r="3" spans="1:13">
      <c r="A3" s="526"/>
      <c r="B3" s="527"/>
      <c r="C3" s="631"/>
      <c r="D3" s="1920" t="s">
        <v>924</v>
      </c>
      <c r="E3" s="1920"/>
      <c r="F3" s="1920"/>
      <c r="G3" s="1920" t="s">
        <v>917</v>
      </c>
      <c r="H3" s="1920"/>
      <c r="I3" s="1920" t="s">
        <v>798</v>
      </c>
      <c r="J3" s="1920"/>
      <c r="K3" s="1920"/>
      <c r="L3" s="1317"/>
      <c r="M3" s="528" t="s">
        <v>867</v>
      </c>
    </row>
    <row r="4" spans="1:13" ht="47.25">
      <c r="A4" s="528" t="s">
        <v>4</v>
      </c>
      <c r="B4" s="527" t="s">
        <v>5</v>
      </c>
      <c r="C4" s="631" t="s">
        <v>251</v>
      </c>
      <c r="D4" s="1317" t="s">
        <v>628</v>
      </c>
      <c r="E4" s="1317" t="s">
        <v>740</v>
      </c>
      <c r="F4" s="1317" t="s">
        <v>813</v>
      </c>
      <c r="G4" s="1317" t="s">
        <v>554</v>
      </c>
      <c r="H4" s="1317" t="s">
        <v>553</v>
      </c>
      <c r="I4" s="631" t="s">
        <v>2</v>
      </c>
      <c r="J4" s="631" t="s">
        <v>450</v>
      </c>
      <c r="K4" s="631" t="s">
        <v>868</v>
      </c>
      <c r="L4" s="1317" t="s">
        <v>281</v>
      </c>
      <c r="M4" s="528" t="s">
        <v>556</v>
      </c>
    </row>
    <row r="5" spans="1:13">
      <c r="A5" s="1339" t="s">
        <v>8</v>
      </c>
      <c r="B5" s="1340" t="s">
        <v>9</v>
      </c>
      <c r="C5" s="1341"/>
      <c r="D5" s="1342">
        <f>SUM(D6:D125)</f>
        <v>817765</v>
      </c>
      <c r="E5" s="1342">
        <f t="shared" ref="E5:F5" si="0">SUM(E6:E125)</f>
        <v>826967</v>
      </c>
      <c r="F5" s="1342">
        <f t="shared" si="0"/>
        <v>127261</v>
      </c>
      <c r="G5" s="1342">
        <v>127261</v>
      </c>
      <c r="H5" s="1342">
        <v>127261</v>
      </c>
      <c r="I5" s="1343">
        <v>127261</v>
      </c>
      <c r="J5" s="1343">
        <v>127261</v>
      </c>
      <c r="K5" s="1343">
        <v>127261</v>
      </c>
      <c r="L5" s="1343">
        <v>127261</v>
      </c>
      <c r="M5" s="1343">
        <v>127261</v>
      </c>
    </row>
    <row r="6" spans="1:13" s="630" customFormat="1">
      <c r="A6" s="632" t="s">
        <v>10</v>
      </c>
      <c r="B6" s="628" t="s">
        <v>11</v>
      </c>
      <c r="C6" s="627" t="s">
        <v>264</v>
      </c>
      <c r="D6" s="1016">
        <v>5476</v>
      </c>
      <c r="E6" s="1016">
        <v>5475</v>
      </c>
      <c r="F6" s="1016">
        <v>1047</v>
      </c>
      <c r="G6" s="1016">
        <v>6606</v>
      </c>
      <c r="H6" s="1016">
        <v>5393</v>
      </c>
      <c r="I6" s="629">
        <v>5610</v>
      </c>
      <c r="J6" s="629">
        <v>5627</v>
      </c>
      <c r="K6" s="629">
        <v>537</v>
      </c>
      <c r="L6" s="629">
        <v>11999</v>
      </c>
      <c r="M6" s="629">
        <v>2713</v>
      </c>
    </row>
    <row r="7" spans="1:13" s="630" customFormat="1">
      <c r="A7" s="632" t="s">
        <v>12</v>
      </c>
      <c r="B7" s="628" t="s">
        <v>13</v>
      </c>
      <c r="C7" s="627" t="s">
        <v>265</v>
      </c>
      <c r="D7" s="1016">
        <v>6696</v>
      </c>
      <c r="E7" s="1016">
        <v>6215</v>
      </c>
      <c r="F7" s="1016">
        <v>1038</v>
      </c>
      <c r="G7" s="1016">
        <v>7687</v>
      </c>
      <c r="H7" s="1016">
        <v>6262</v>
      </c>
      <c r="I7" s="629">
        <v>7080</v>
      </c>
      <c r="J7" s="629">
        <v>3431</v>
      </c>
      <c r="K7" s="629">
        <v>1804</v>
      </c>
      <c r="L7" s="629">
        <v>13949</v>
      </c>
      <c r="M7" s="629">
        <v>3642</v>
      </c>
    </row>
    <row r="8" spans="1:13" s="630" customFormat="1">
      <c r="A8" s="632" t="s">
        <v>16</v>
      </c>
      <c r="B8" s="628" t="s">
        <v>297</v>
      </c>
      <c r="C8" s="627" t="s">
        <v>265</v>
      </c>
      <c r="D8" s="1016">
        <v>2840</v>
      </c>
      <c r="E8" s="1016">
        <v>3635</v>
      </c>
      <c r="F8" s="1016">
        <v>654</v>
      </c>
      <c r="G8" s="1016">
        <v>3924</v>
      </c>
      <c r="H8" s="1016">
        <v>3204</v>
      </c>
      <c r="I8" s="629">
        <v>5722</v>
      </c>
      <c r="J8" s="629">
        <v>653</v>
      </c>
      <c r="K8" s="629">
        <v>455</v>
      </c>
      <c r="L8" s="629">
        <v>7129</v>
      </c>
      <c r="M8" s="629">
        <v>1723</v>
      </c>
    </row>
    <row r="9" spans="1:13" s="630" customFormat="1">
      <c r="A9" s="632" t="s">
        <v>18</v>
      </c>
      <c r="B9" s="628" t="s">
        <v>19</v>
      </c>
      <c r="C9" s="627" t="s">
        <v>266</v>
      </c>
      <c r="D9" s="1016">
        <v>1466</v>
      </c>
      <c r="E9" s="1016">
        <v>1775</v>
      </c>
      <c r="F9" s="1016">
        <v>330</v>
      </c>
      <c r="G9" s="1016">
        <v>1965</v>
      </c>
      <c r="H9" s="1016">
        <v>1606</v>
      </c>
      <c r="I9" s="629">
        <v>2122</v>
      </c>
      <c r="J9" s="629">
        <v>1244</v>
      </c>
      <c r="K9" s="629">
        <v>149</v>
      </c>
      <c r="L9" s="629">
        <v>3571</v>
      </c>
      <c r="M9" s="629">
        <v>582</v>
      </c>
    </row>
    <row r="10" spans="1:13" s="630" customFormat="1">
      <c r="A10" s="632" t="s">
        <v>20</v>
      </c>
      <c r="B10" s="628" t="s">
        <v>21</v>
      </c>
      <c r="C10" s="627" t="s">
        <v>265</v>
      </c>
      <c r="D10" s="1016">
        <v>3393</v>
      </c>
      <c r="E10" s="1016">
        <v>3846</v>
      </c>
      <c r="F10" s="1016">
        <v>663</v>
      </c>
      <c r="G10" s="1016">
        <v>4384</v>
      </c>
      <c r="H10" s="1016">
        <v>3518</v>
      </c>
      <c r="I10" s="629">
        <v>4842</v>
      </c>
      <c r="J10" s="629">
        <v>2016</v>
      </c>
      <c r="K10" s="629">
        <v>461</v>
      </c>
      <c r="L10" s="629">
        <v>7902</v>
      </c>
      <c r="M10" s="629">
        <v>1584</v>
      </c>
    </row>
    <row r="11" spans="1:13" s="630" customFormat="1">
      <c r="A11" s="632" t="s">
        <v>22</v>
      </c>
      <c r="B11" s="628" t="s">
        <v>23</v>
      </c>
      <c r="C11" s="627" t="s">
        <v>265</v>
      </c>
      <c r="D11" s="1016">
        <v>1924</v>
      </c>
      <c r="E11" s="1016">
        <v>2411</v>
      </c>
      <c r="F11" s="1016">
        <v>438</v>
      </c>
      <c r="G11" s="1016">
        <v>2655</v>
      </c>
      <c r="H11" s="1016">
        <v>2118</v>
      </c>
      <c r="I11" s="629">
        <v>2910</v>
      </c>
      <c r="J11" s="629">
        <v>1663</v>
      </c>
      <c r="K11" s="629">
        <v>149</v>
      </c>
      <c r="L11" s="629">
        <v>4773</v>
      </c>
      <c r="M11" s="629">
        <v>786</v>
      </c>
    </row>
    <row r="12" spans="1:13" s="630" customFormat="1">
      <c r="A12" s="632" t="s">
        <v>24</v>
      </c>
      <c r="B12" s="628" t="s">
        <v>25</v>
      </c>
      <c r="C12" s="627" t="s">
        <v>267</v>
      </c>
      <c r="D12" s="1016">
        <v>10282</v>
      </c>
      <c r="E12" s="1016">
        <v>6365</v>
      </c>
      <c r="F12" s="1016">
        <v>2334</v>
      </c>
      <c r="G12" s="1016">
        <v>10263</v>
      </c>
      <c r="H12" s="1016">
        <v>8718</v>
      </c>
      <c r="I12" s="629">
        <v>6779</v>
      </c>
      <c r="J12" s="629">
        <v>4818</v>
      </c>
      <c r="K12" s="629">
        <v>5399</v>
      </c>
      <c r="L12" s="629">
        <v>18981</v>
      </c>
      <c r="M12" s="629">
        <v>8990</v>
      </c>
    </row>
    <row r="13" spans="1:13" s="630" customFormat="1">
      <c r="A13" s="632" t="s">
        <v>26</v>
      </c>
      <c r="B13" s="628" t="s">
        <v>706</v>
      </c>
      <c r="C13" s="627" t="s">
        <v>265</v>
      </c>
      <c r="D13" s="1016">
        <v>13410</v>
      </c>
      <c r="E13" s="1016">
        <v>15540</v>
      </c>
      <c r="F13" s="1016">
        <v>2182</v>
      </c>
      <c r="G13" s="1016">
        <v>17395</v>
      </c>
      <c r="H13" s="1016">
        <v>13737</v>
      </c>
      <c r="I13" s="629">
        <v>23366</v>
      </c>
      <c r="J13" s="629">
        <v>3933</v>
      </c>
      <c r="K13" s="629">
        <v>1746</v>
      </c>
      <c r="L13" s="629">
        <v>31132</v>
      </c>
      <c r="M13" s="629">
        <v>8203</v>
      </c>
    </row>
    <row r="14" spans="1:13" s="630" customFormat="1">
      <c r="A14" s="632" t="s">
        <v>27</v>
      </c>
      <c r="B14" s="628" t="s">
        <v>28</v>
      </c>
      <c r="C14" s="627" t="s">
        <v>265</v>
      </c>
      <c r="D14" s="1016">
        <v>417</v>
      </c>
      <c r="E14" s="1016">
        <v>441</v>
      </c>
      <c r="F14" s="1016">
        <v>124</v>
      </c>
      <c r="G14" s="1016">
        <v>547</v>
      </c>
      <c r="H14" s="1016">
        <v>435</v>
      </c>
      <c r="I14" s="629">
        <v>882</v>
      </c>
      <c r="J14" s="629">
        <v>49</v>
      </c>
      <c r="K14" s="629">
        <v>46</v>
      </c>
      <c r="L14" s="629">
        <v>982</v>
      </c>
      <c r="M14" s="629">
        <v>299</v>
      </c>
    </row>
    <row r="15" spans="1:13" s="630" customFormat="1">
      <c r="A15" s="632" t="s">
        <v>29</v>
      </c>
      <c r="B15" s="628" t="s">
        <v>1012</v>
      </c>
      <c r="C15" s="627" t="s">
        <v>265</v>
      </c>
      <c r="D15" s="1016">
        <v>6984</v>
      </c>
      <c r="E15" s="1016">
        <v>7729</v>
      </c>
      <c r="F15" s="1016">
        <v>1143</v>
      </c>
      <c r="G15" s="1016">
        <v>8752</v>
      </c>
      <c r="H15" s="1016">
        <v>7104</v>
      </c>
      <c r="I15" s="629">
        <v>11625</v>
      </c>
      <c r="J15" s="629">
        <v>2500</v>
      </c>
      <c r="K15" s="629">
        <v>752</v>
      </c>
      <c r="L15" s="629">
        <v>15856</v>
      </c>
      <c r="M15" s="629">
        <v>3926</v>
      </c>
    </row>
    <row r="16" spans="1:13" s="630" customFormat="1">
      <c r="A16" s="632" t="s">
        <v>30</v>
      </c>
      <c r="B16" s="628" t="s">
        <v>31</v>
      </c>
      <c r="C16" s="627" t="s">
        <v>268</v>
      </c>
      <c r="D16" s="1016">
        <v>523</v>
      </c>
      <c r="E16" s="1016">
        <v>693</v>
      </c>
      <c r="F16" s="1016">
        <v>151</v>
      </c>
      <c r="G16" s="1016">
        <v>758</v>
      </c>
      <c r="H16" s="1016">
        <v>609</v>
      </c>
      <c r="I16" s="629">
        <v>1221</v>
      </c>
      <c r="J16" s="629">
        <v>21</v>
      </c>
      <c r="K16" s="629">
        <v>31</v>
      </c>
      <c r="L16" s="629">
        <v>1367</v>
      </c>
      <c r="M16" s="629">
        <v>432</v>
      </c>
    </row>
    <row r="17" spans="1:13" s="630" customFormat="1">
      <c r="A17" s="632" t="s">
        <v>32</v>
      </c>
      <c r="B17" s="628" t="s">
        <v>33</v>
      </c>
      <c r="C17" s="627" t="s">
        <v>265</v>
      </c>
      <c r="D17" s="1016">
        <v>1859</v>
      </c>
      <c r="E17" s="1016">
        <v>1968</v>
      </c>
      <c r="F17" s="1016">
        <v>381</v>
      </c>
      <c r="G17" s="1016">
        <v>2303</v>
      </c>
      <c r="H17" s="1016">
        <v>1905</v>
      </c>
      <c r="I17" s="629">
        <v>3703</v>
      </c>
      <c r="J17" s="629">
        <v>183</v>
      </c>
      <c r="K17" s="629">
        <v>239</v>
      </c>
      <c r="L17" s="629">
        <v>4208</v>
      </c>
      <c r="M17" s="629">
        <v>1438</v>
      </c>
    </row>
    <row r="18" spans="1:13" s="630" customFormat="1">
      <c r="A18" s="632" t="s">
        <v>36</v>
      </c>
      <c r="B18" s="628" t="s">
        <v>37</v>
      </c>
      <c r="C18" s="627" t="s">
        <v>264</v>
      </c>
      <c r="D18" s="1016">
        <v>2353</v>
      </c>
      <c r="E18" s="1016">
        <v>3200</v>
      </c>
      <c r="F18" s="1016">
        <v>817</v>
      </c>
      <c r="G18" s="1016">
        <v>3513</v>
      </c>
      <c r="H18" s="1016">
        <v>2857</v>
      </c>
      <c r="I18" s="629">
        <v>1518</v>
      </c>
      <c r="J18" s="629">
        <v>4558</v>
      </c>
      <c r="K18" s="629">
        <v>176</v>
      </c>
      <c r="L18" s="629">
        <v>6370</v>
      </c>
      <c r="M18" s="629">
        <v>452</v>
      </c>
    </row>
    <row r="19" spans="1:13" s="630" customFormat="1">
      <c r="A19" s="632" t="s">
        <v>38</v>
      </c>
      <c r="B19" s="628" t="s">
        <v>39</v>
      </c>
      <c r="C19" s="627" t="s">
        <v>268</v>
      </c>
      <c r="D19" s="1016">
        <v>3035</v>
      </c>
      <c r="E19" s="1016">
        <v>4893</v>
      </c>
      <c r="F19" s="1016">
        <v>666</v>
      </c>
      <c r="G19" s="1016">
        <v>4614</v>
      </c>
      <c r="H19" s="1016">
        <v>3980</v>
      </c>
      <c r="I19" s="629">
        <v>8291</v>
      </c>
      <c r="J19" s="629">
        <v>22</v>
      </c>
      <c r="K19" s="629">
        <v>84</v>
      </c>
      <c r="L19" s="629">
        <v>8594</v>
      </c>
      <c r="M19" s="629">
        <v>2240</v>
      </c>
    </row>
    <row r="20" spans="1:13" s="630" customFormat="1">
      <c r="A20" s="632" t="s">
        <v>40</v>
      </c>
      <c r="B20" s="628" t="s">
        <v>41</v>
      </c>
      <c r="C20" s="627" t="s">
        <v>266</v>
      </c>
      <c r="D20" s="1016">
        <v>2156</v>
      </c>
      <c r="E20" s="1016">
        <v>2904</v>
      </c>
      <c r="F20" s="1016">
        <v>535</v>
      </c>
      <c r="G20" s="1016">
        <v>3064</v>
      </c>
      <c r="H20" s="1016">
        <v>2531</v>
      </c>
      <c r="I20" s="629">
        <v>2724</v>
      </c>
      <c r="J20" s="629">
        <v>2412</v>
      </c>
      <c r="K20" s="629">
        <v>208</v>
      </c>
      <c r="L20" s="629">
        <v>5595</v>
      </c>
      <c r="M20" s="629">
        <v>738</v>
      </c>
    </row>
    <row r="21" spans="1:13" s="630" customFormat="1">
      <c r="A21" s="632" t="s">
        <v>42</v>
      </c>
      <c r="B21" s="628" t="s">
        <v>43</v>
      </c>
      <c r="C21" s="627" t="s">
        <v>265</v>
      </c>
      <c r="D21" s="1016">
        <v>6156</v>
      </c>
      <c r="E21" s="1016">
        <v>7536</v>
      </c>
      <c r="F21" s="1016">
        <v>1198</v>
      </c>
      <c r="G21" s="1016">
        <v>8347</v>
      </c>
      <c r="H21" s="1016">
        <v>6543</v>
      </c>
      <c r="I21" s="629">
        <v>9711</v>
      </c>
      <c r="J21" s="629">
        <v>3499</v>
      </c>
      <c r="K21" s="629">
        <v>693</v>
      </c>
      <c r="L21" s="629">
        <v>14890</v>
      </c>
      <c r="M21" s="629">
        <v>2970</v>
      </c>
    </row>
    <row r="22" spans="1:13" s="630" customFormat="1">
      <c r="A22" s="632" t="s">
        <v>44</v>
      </c>
      <c r="B22" s="628" t="s">
        <v>45</v>
      </c>
      <c r="C22" s="627" t="s">
        <v>266</v>
      </c>
      <c r="D22" s="1016">
        <v>3932</v>
      </c>
      <c r="E22" s="1016">
        <v>4260</v>
      </c>
      <c r="F22" s="1016">
        <v>536</v>
      </c>
      <c r="G22" s="1016">
        <v>4850</v>
      </c>
      <c r="H22" s="1016">
        <v>3878</v>
      </c>
      <c r="I22" s="629">
        <v>4274</v>
      </c>
      <c r="J22" s="629">
        <v>3008</v>
      </c>
      <c r="K22" s="629">
        <v>493</v>
      </c>
      <c r="L22" s="629">
        <v>8728</v>
      </c>
      <c r="M22" s="629">
        <v>1172</v>
      </c>
    </row>
    <row r="23" spans="1:13" s="630" customFormat="1">
      <c r="A23" s="632" t="s">
        <v>46</v>
      </c>
      <c r="B23" s="628" t="s">
        <v>47</v>
      </c>
      <c r="C23" s="627" t="s">
        <v>268</v>
      </c>
      <c r="D23" s="1016">
        <v>3807</v>
      </c>
      <c r="E23" s="1016">
        <v>5030</v>
      </c>
      <c r="F23" s="1016">
        <v>1155</v>
      </c>
      <c r="G23" s="1016">
        <v>5387</v>
      </c>
      <c r="H23" s="1016">
        <v>4606</v>
      </c>
      <c r="I23" s="629">
        <v>8672</v>
      </c>
      <c r="J23" s="629">
        <v>152</v>
      </c>
      <c r="K23" s="629">
        <v>361</v>
      </c>
      <c r="L23" s="629">
        <v>9993</v>
      </c>
      <c r="M23" s="629">
        <v>2496</v>
      </c>
    </row>
    <row r="24" spans="1:13" s="630" customFormat="1">
      <c r="A24" s="632" t="s">
        <v>48</v>
      </c>
      <c r="B24" s="628" t="s">
        <v>269</v>
      </c>
      <c r="C24" s="627" t="s">
        <v>266</v>
      </c>
      <c r="D24" s="1016">
        <v>713</v>
      </c>
      <c r="E24" s="1016">
        <v>1019</v>
      </c>
      <c r="F24" s="1016">
        <v>175</v>
      </c>
      <c r="G24" s="1016">
        <v>1048</v>
      </c>
      <c r="H24" s="1016">
        <v>859</v>
      </c>
      <c r="I24" s="629">
        <v>560</v>
      </c>
      <c r="J24" s="629">
        <v>1055</v>
      </c>
      <c r="K24" s="629">
        <v>125</v>
      </c>
      <c r="L24" s="629">
        <v>1907</v>
      </c>
      <c r="M24" s="629">
        <v>146</v>
      </c>
    </row>
    <row r="25" spans="1:13" s="630" customFormat="1">
      <c r="A25" s="632" t="s">
        <v>50</v>
      </c>
      <c r="B25" s="628" t="s">
        <v>51</v>
      </c>
      <c r="C25" s="627" t="s">
        <v>265</v>
      </c>
      <c r="D25" s="1016">
        <v>1683</v>
      </c>
      <c r="E25" s="1016">
        <v>2097</v>
      </c>
      <c r="F25" s="1016">
        <v>520</v>
      </c>
      <c r="G25" s="1016">
        <v>2385</v>
      </c>
      <c r="H25" s="1016">
        <v>1915</v>
      </c>
      <c r="I25" s="629">
        <v>2072</v>
      </c>
      <c r="J25" s="629">
        <v>1978</v>
      </c>
      <c r="K25" s="629">
        <v>149</v>
      </c>
      <c r="L25" s="629">
        <v>4300</v>
      </c>
      <c r="M25" s="629">
        <v>733</v>
      </c>
    </row>
    <row r="26" spans="1:13" s="630" customFormat="1">
      <c r="A26" s="632" t="s">
        <v>56</v>
      </c>
      <c r="B26" s="628" t="s">
        <v>295</v>
      </c>
      <c r="C26" s="627" t="s">
        <v>266</v>
      </c>
      <c r="D26" s="1016">
        <v>33804</v>
      </c>
      <c r="E26" s="1016">
        <v>29225</v>
      </c>
      <c r="F26" s="1016">
        <v>2960</v>
      </c>
      <c r="G26" s="1016">
        <v>37287</v>
      </c>
      <c r="H26" s="1016">
        <v>28703</v>
      </c>
      <c r="I26" s="629">
        <v>27785</v>
      </c>
      <c r="J26" s="629">
        <v>22284</v>
      </c>
      <c r="K26" s="629">
        <v>8228</v>
      </c>
      <c r="L26" s="629">
        <v>65990</v>
      </c>
      <c r="M26" s="629">
        <v>14772</v>
      </c>
    </row>
    <row r="27" spans="1:13" s="630" customFormat="1">
      <c r="A27" s="632" t="s">
        <v>58</v>
      </c>
      <c r="B27" s="628" t="s">
        <v>59</v>
      </c>
      <c r="C27" s="627" t="s">
        <v>267</v>
      </c>
      <c r="D27" s="1016">
        <v>809</v>
      </c>
      <c r="E27" s="1016">
        <v>808</v>
      </c>
      <c r="F27" s="1016">
        <v>197</v>
      </c>
      <c r="G27" s="1016">
        <v>1012</v>
      </c>
      <c r="H27" s="1016">
        <v>802</v>
      </c>
      <c r="I27" s="629">
        <v>1363</v>
      </c>
      <c r="J27" s="629">
        <v>197</v>
      </c>
      <c r="K27" s="629">
        <v>151</v>
      </c>
      <c r="L27" s="629">
        <v>1814</v>
      </c>
      <c r="M27" s="629">
        <v>605</v>
      </c>
    </row>
    <row r="28" spans="1:13" s="630" customFormat="1">
      <c r="A28" s="632" t="s">
        <v>60</v>
      </c>
      <c r="B28" s="628" t="s">
        <v>61</v>
      </c>
      <c r="C28" s="627" t="s">
        <v>265</v>
      </c>
      <c r="D28" s="1016">
        <v>556</v>
      </c>
      <c r="E28" s="1016">
        <v>606</v>
      </c>
      <c r="F28" s="1016">
        <v>128</v>
      </c>
      <c r="G28" s="1016">
        <v>717</v>
      </c>
      <c r="H28" s="1016">
        <v>573</v>
      </c>
      <c r="I28" s="629">
        <v>1218</v>
      </c>
      <c r="J28" s="629">
        <v>5</v>
      </c>
      <c r="K28" s="629">
        <v>50</v>
      </c>
      <c r="L28" s="629">
        <v>1290</v>
      </c>
      <c r="M28" s="629">
        <v>412</v>
      </c>
    </row>
    <row r="29" spans="1:13" s="630" customFormat="1">
      <c r="A29" s="632" t="s">
        <v>62</v>
      </c>
      <c r="B29" s="628" t="s">
        <v>63</v>
      </c>
      <c r="C29" s="627" t="s">
        <v>267</v>
      </c>
      <c r="D29" s="1016">
        <v>5765</v>
      </c>
      <c r="E29" s="1016">
        <v>5002</v>
      </c>
      <c r="F29" s="1016">
        <v>736</v>
      </c>
      <c r="G29" s="1016">
        <v>6418</v>
      </c>
      <c r="H29" s="1016">
        <v>5085</v>
      </c>
      <c r="I29" s="629">
        <v>5896</v>
      </c>
      <c r="J29" s="629">
        <v>3093</v>
      </c>
      <c r="K29" s="629">
        <v>1587</v>
      </c>
      <c r="L29" s="629">
        <v>11503</v>
      </c>
      <c r="M29" s="629">
        <v>2838</v>
      </c>
    </row>
    <row r="30" spans="1:13" s="630" customFormat="1">
      <c r="A30" s="632" t="s">
        <v>64</v>
      </c>
      <c r="B30" s="628" t="s">
        <v>65</v>
      </c>
      <c r="C30" s="627" t="s">
        <v>266</v>
      </c>
      <c r="D30" s="1016">
        <v>1548</v>
      </c>
      <c r="E30" s="1016">
        <v>1959</v>
      </c>
      <c r="F30" s="1016">
        <v>378</v>
      </c>
      <c r="G30" s="1016">
        <v>2109</v>
      </c>
      <c r="H30" s="1016">
        <v>1776</v>
      </c>
      <c r="I30" s="629">
        <v>1858</v>
      </c>
      <c r="J30" s="629">
        <v>1750</v>
      </c>
      <c r="K30" s="629">
        <v>164</v>
      </c>
      <c r="L30" s="629">
        <v>3885</v>
      </c>
      <c r="M30" s="629">
        <v>490</v>
      </c>
    </row>
    <row r="31" spans="1:13" s="630" customFormat="1">
      <c r="A31" s="632" t="s">
        <v>68</v>
      </c>
      <c r="B31" s="628" t="s">
        <v>69</v>
      </c>
      <c r="C31" s="627" t="s">
        <v>268</v>
      </c>
      <c r="D31" s="1016">
        <v>2313</v>
      </c>
      <c r="E31" s="1016">
        <v>3546</v>
      </c>
      <c r="F31" s="1016">
        <v>531</v>
      </c>
      <c r="G31" s="1016">
        <v>3469</v>
      </c>
      <c r="H31" s="1016">
        <v>2921</v>
      </c>
      <c r="I31" s="629">
        <v>6061</v>
      </c>
      <c r="J31" s="629">
        <v>51</v>
      </c>
      <c r="K31" s="629">
        <v>65</v>
      </c>
      <c r="L31" s="629">
        <v>6390</v>
      </c>
      <c r="M31" s="629">
        <v>1790</v>
      </c>
    </row>
    <row r="32" spans="1:13" s="630" customFormat="1">
      <c r="A32" s="632" t="s">
        <v>70</v>
      </c>
      <c r="B32" s="628" t="s">
        <v>71</v>
      </c>
      <c r="C32" s="627" t="s">
        <v>264</v>
      </c>
      <c r="D32" s="1016">
        <v>3534</v>
      </c>
      <c r="E32" s="1016">
        <v>4129</v>
      </c>
      <c r="F32" s="1016">
        <v>608</v>
      </c>
      <c r="G32" s="1016">
        <v>4681</v>
      </c>
      <c r="H32" s="1016">
        <v>3590</v>
      </c>
      <c r="I32" s="629">
        <v>4000</v>
      </c>
      <c r="J32" s="629">
        <v>3123</v>
      </c>
      <c r="K32" s="629">
        <v>402</v>
      </c>
      <c r="L32" s="629">
        <v>8271</v>
      </c>
      <c r="M32" s="629">
        <v>1170</v>
      </c>
    </row>
    <row r="33" spans="1:13" s="630" customFormat="1">
      <c r="A33" s="632" t="s">
        <v>72</v>
      </c>
      <c r="B33" s="628" t="s">
        <v>73</v>
      </c>
      <c r="C33" s="627" t="s">
        <v>266</v>
      </c>
      <c r="D33" s="1016">
        <v>1746</v>
      </c>
      <c r="E33" s="1016">
        <v>2111</v>
      </c>
      <c r="F33" s="1016">
        <v>284</v>
      </c>
      <c r="G33" s="1016">
        <v>2345</v>
      </c>
      <c r="H33" s="1016">
        <v>1796</v>
      </c>
      <c r="I33" s="629">
        <v>1087</v>
      </c>
      <c r="J33" s="629">
        <v>2134</v>
      </c>
      <c r="K33" s="629">
        <v>213</v>
      </c>
      <c r="L33" s="629">
        <v>4141</v>
      </c>
      <c r="M33" s="629">
        <v>388</v>
      </c>
    </row>
    <row r="34" spans="1:13" s="630" customFormat="1">
      <c r="A34" s="632" t="s">
        <v>74</v>
      </c>
      <c r="B34" s="628" t="s">
        <v>296</v>
      </c>
      <c r="C34" s="627" t="s">
        <v>267</v>
      </c>
      <c r="D34" s="1016">
        <v>72208</v>
      </c>
      <c r="E34" s="1016">
        <v>37084</v>
      </c>
      <c r="F34" s="1016">
        <v>13089</v>
      </c>
      <c r="G34" s="1016">
        <v>66732</v>
      </c>
      <c r="H34" s="1016">
        <v>55648</v>
      </c>
      <c r="I34" s="629">
        <v>41124</v>
      </c>
      <c r="J34" s="629">
        <v>22501</v>
      </c>
      <c r="K34" s="629">
        <v>45724</v>
      </c>
      <c r="L34" s="629">
        <v>122381</v>
      </c>
      <c r="M34" s="629">
        <v>54956</v>
      </c>
    </row>
    <row r="35" spans="1:13" s="630" customFormat="1">
      <c r="A35" s="632" t="s">
        <v>76</v>
      </c>
      <c r="B35" s="628" t="s">
        <v>77</v>
      </c>
      <c r="C35" s="627" t="s">
        <v>267</v>
      </c>
      <c r="D35" s="1016">
        <v>4792</v>
      </c>
      <c r="E35" s="1016">
        <v>4112</v>
      </c>
      <c r="F35" s="1016">
        <v>621</v>
      </c>
      <c r="G35" s="1016">
        <v>5248</v>
      </c>
      <c r="H35" s="1016">
        <v>4277</v>
      </c>
      <c r="I35" s="629">
        <v>5495</v>
      </c>
      <c r="J35" s="629">
        <v>1979</v>
      </c>
      <c r="K35" s="629">
        <v>1389</v>
      </c>
      <c r="L35" s="629">
        <v>9525</v>
      </c>
      <c r="M35" s="629">
        <v>2970</v>
      </c>
    </row>
    <row r="36" spans="1:13" s="630" customFormat="1">
      <c r="A36" s="632" t="s">
        <v>78</v>
      </c>
      <c r="B36" s="628" t="s">
        <v>79</v>
      </c>
      <c r="C36" s="627" t="s">
        <v>268</v>
      </c>
      <c r="D36" s="1016">
        <v>1702</v>
      </c>
      <c r="E36" s="1016">
        <v>1883</v>
      </c>
      <c r="F36" s="1016">
        <v>337</v>
      </c>
      <c r="G36" s="1016">
        <v>2121</v>
      </c>
      <c r="H36" s="1016">
        <v>1801</v>
      </c>
      <c r="I36" s="629">
        <v>3422</v>
      </c>
      <c r="J36" s="629">
        <v>144</v>
      </c>
      <c r="K36" s="629">
        <v>202</v>
      </c>
      <c r="L36" s="629">
        <v>3922</v>
      </c>
      <c r="M36" s="629">
        <v>1147</v>
      </c>
    </row>
    <row r="37" spans="1:13" s="630" customFormat="1">
      <c r="A37" s="632" t="s">
        <v>80</v>
      </c>
      <c r="B37" s="628" t="s">
        <v>81</v>
      </c>
      <c r="C37" s="627" t="s">
        <v>266</v>
      </c>
      <c r="D37" s="1016">
        <v>1955</v>
      </c>
      <c r="E37" s="1016">
        <v>1829</v>
      </c>
      <c r="F37" s="1016">
        <v>303</v>
      </c>
      <c r="G37" s="1016">
        <v>2268</v>
      </c>
      <c r="H37" s="1016">
        <v>1819</v>
      </c>
      <c r="I37" s="629">
        <v>2397</v>
      </c>
      <c r="J37" s="629">
        <v>1192</v>
      </c>
      <c r="K37" s="629">
        <v>274</v>
      </c>
      <c r="L37" s="629">
        <v>4087</v>
      </c>
      <c r="M37" s="629">
        <v>1029</v>
      </c>
    </row>
    <row r="38" spans="1:13" s="630" customFormat="1">
      <c r="A38" s="632" t="s">
        <v>84</v>
      </c>
      <c r="B38" s="628" t="s">
        <v>85</v>
      </c>
      <c r="C38" s="627" t="s">
        <v>265</v>
      </c>
      <c r="D38" s="1016">
        <v>6069</v>
      </c>
      <c r="E38" s="1016">
        <v>7358</v>
      </c>
      <c r="F38" s="1016">
        <v>1111</v>
      </c>
      <c r="G38" s="1016">
        <v>7951</v>
      </c>
      <c r="H38" s="1016">
        <v>6588</v>
      </c>
      <c r="I38" s="629">
        <v>10603</v>
      </c>
      <c r="J38" s="629">
        <v>1913</v>
      </c>
      <c r="K38" s="629">
        <v>756</v>
      </c>
      <c r="L38" s="629">
        <v>14539</v>
      </c>
      <c r="M38" s="629">
        <v>2943</v>
      </c>
    </row>
    <row r="39" spans="1:13" s="630" customFormat="1">
      <c r="A39" s="632" t="s">
        <v>86</v>
      </c>
      <c r="B39" s="628" t="s">
        <v>87</v>
      </c>
      <c r="C39" s="627" t="s">
        <v>267</v>
      </c>
      <c r="D39" s="1016">
        <v>7503</v>
      </c>
      <c r="E39" s="1016">
        <v>6415</v>
      </c>
      <c r="F39" s="1016">
        <v>899</v>
      </c>
      <c r="G39" s="1016">
        <v>8193</v>
      </c>
      <c r="H39" s="1016">
        <v>6624</v>
      </c>
      <c r="I39" s="629">
        <v>10903</v>
      </c>
      <c r="J39" s="629">
        <v>1089</v>
      </c>
      <c r="K39" s="629">
        <v>1689</v>
      </c>
      <c r="L39" s="629">
        <v>14817</v>
      </c>
      <c r="M39" s="629">
        <v>5077</v>
      </c>
    </row>
    <row r="40" spans="1:13" s="630" customFormat="1">
      <c r="A40" s="632" t="s">
        <v>92</v>
      </c>
      <c r="B40" s="628" t="s">
        <v>93</v>
      </c>
      <c r="C40" s="627" t="s">
        <v>268</v>
      </c>
      <c r="D40" s="1016">
        <v>1901</v>
      </c>
      <c r="E40" s="1016">
        <v>2431</v>
      </c>
      <c r="F40" s="1016">
        <v>466</v>
      </c>
      <c r="G40" s="1016">
        <v>2637</v>
      </c>
      <c r="H40" s="1016">
        <v>2161</v>
      </c>
      <c r="I40" s="629">
        <v>4473</v>
      </c>
      <c r="J40" s="629">
        <v>88</v>
      </c>
      <c r="K40" s="629">
        <v>116</v>
      </c>
      <c r="L40" s="629">
        <v>4798</v>
      </c>
      <c r="M40" s="629">
        <v>1288</v>
      </c>
    </row>
    <row r="41" spans="1:13" s="630" customFormat="1">
      <c r="A41" s="632" t="s">
        <v>94</v>
      </c>
      <c r="B41" s="628" t="s">
        <v>95</v>
      </c>
      <c r="C41" s="627" t="s">
        <v>264</v>
      </c>
      <c r="D41" s="1016">
        <v>3430</v>
      </c>
      <c r="E41" s="1016">
        <v>4186</v>
      </c>
      <c r="F41" s="1016">
        <v>541</v>
      </c>
      <c r="G41" s="1016">
        <v>4535</v>
      </c>
      <c r="H41" s="1016">
        <v>3622</v>
      </c>
      <c r="I41" s="629">
        <v>6212</v>
      </c>
      <c r="J41" s="629">
        <v>1125</v>
      </c>
      <c r="K41" s="629">
        <v>430</v>
      </c>
      <c r="L41" s="629">
        <v>8157</v>
      </c>
      <c r="M41" s="629">
        <v>1645</v>
      </c>
    </row>
    <row r="42" spans="1:13" s="630" customFormat="1">
      <c r="A42" s="632" t="s">
        <v>96</v>
      </c>
      <c r="B42" s="628" t="s">
        <v>97</v>
      </c>
      <c r="C42" s="627" t="s">
        <v>266</v>
      </c>
      <c r="D42" s="1016">
        <v>1160</v>
      </c>
      <c r="E42" s="1016">
        <v>1323</v>
      </c>
      <c r="F42" s="1016">
        <v>250</v>
      </c>
      <c r="G42" s="1016">
        <v>1521</v>
      </c>
      <c r="H42" s="1016">
        <v>1212</v>
      </c>
      <c r="I42" s="629">
        <v>1304</v>
      </c>
      <c r="J42" s="629">
        <v>1070</v>
      </c>
      <c r="K42" s="629">
        <v>183</v>
      </c>
      <c r="L42" s="629">
        <v>2733</v>
      </c>
      <c r="M42" s="629">
        <v>595</v>
      </c>
    </row>
    <row r="43" spans="1:13" s="630" customFormat="1">
      <c r="A43" s="632" t="s">
        <v>98</v>
      </c>
      <c r="B43" s="628" t="s">
        <v>99</v>
      </c>
      <c r="C43" s="627" t="s">
        <v>268</v>
      </c>
      <c r="D43" s="1016">
        <v>2063</v>
      </c>
      <c r="E43" s="1016">
        <v>2610</v>
      </c>
      <c r="F43" s="1016">
        <v>731</v>
      </c>
      <c r="G43" s="1016">
        <v>3042</v>
      </c>
      <c r="H43" s="1016">
        <v>2362</v>
      </c>
      <c r="I43" s="629">
        <v>4824</v>
      </c>
      <c r="J43" s="629">
        <v>206</v>
      </c>
      <c r="K43" s="629">
        <v>170</v>
      </c>
      <c r="L43" s="629">
        <v>5404</v>
      </c>
      <c r="M43" s="629">
        <v>1547</v>
      </c>
    </row>
    <row r="44" spans="1:13" s="630" customFormat="1">
      <c r="A44" s="632" t="s">
        <v>100</v>
      </c>
      <c r="B44" s="628" t="s">
        <v>101</v>
      </c>
      <c r="C44" s="627" t="s">
        <v>267</v>
      </c>
      <c r="D44" s="1016">
        <v>2013</v>
      </c>
      <c r="E44" s="1016">
        <v>2003</v>
      </c>
      <c r="F44" s="1016">
        <v>290</v>
      </c>
      <c r="G44" s="1016">
        <v>2359</v>
      </c>
      <c r="H44" s="1016">
        <v>1947</v>
      </c>
      <c r="I44" s="629">
        <v>3063</v>
      </c>
      <c r="J44" s="629">
        <v>621</v>
      </c>
      <c r="K44" s="629">
        <v>393</v>
      </c>
      <c r="L44" s="629">
        <v>4306</v>
      </c>
      <c r="M44" s="629">
        <v>1095</v>
      </c>
    </row>
    <row r="45" spans="1:13" s="630" customFormat="1">
      <c r="A45" s="632" t="s">
        <v>102</v>
      </c>
      <c r="B45" s="628" t="s">
        <v>282</v>
      </c>
      <c r="C45" s="627" t="s">
        <v>264</v>
      </c>
      <c r="D45" s="1016">
        <v>2940</v>
      </c>
      <c r="E45" s="1016">
        <v>3673</v>
      </c>
      <c r="F45" s="1016">
        <v>686</v>
      </c>
      <c r="G45" s="1016">
        <v>4083</v>
      </c>
      <c r="H45" s="1016">
        <v>3216</v>
      </c>
      <c r="I45" s="629">
        <v>1116</v>
      </c>
      <c r="J45" s="629">
        <v>5682</v>
      </c>
      <c r="K45" s="629">
        <v>215</v>
      </c>
      <c r="L45" s="629">
        <v>7299</v>
      </c>
      <c r="M45" s="629">
        <v>539</v>
      </c>
    </row>
    <row r="46" spans="1:13" s="630" customFormat="1">
      <c r="A46" s="632" t="s">
        <v>104</v>
      </c>
      <c r="B46" s="628" t="s">
        <v>105</v>
      </c>
      <c r="C46" s="627" t="s">
        <v>265</v>
      </c>
      <c r="D46" s="1016">
        <v>4772</v>
      </c>
      <c r="E46" s="1016">
        <v>6075</v>
      </c>
      <c r="F46" s="1016">
        <v>1550</v>
      </c>
      <c r="G46" s="1016">
        <v>7027</v>
      </c>
      <c r="H46" s="1016">
        <v>5370</v>
      </c>
      <c r="I46" s="629">
        <v>4543</v>
      </c>
      <c r="J46" s="629">
        <v>6515</v>
      </c>
      <c r="K46" s="629">
        <v>471</v>
      </c>
      <c r="L46" s="629">
        <v>12397</v>
      </c>
      <c r="M46" s="629">
        <v>1707</v>
      </c>
    </row>
    <row r="47" spans="1:13" s="630" customFormat="1">
      <c r="A47" s="632" t="s">
        <v>108</v>
      </c>
      <c r="B47" s="628" t="s">
        <v>109</v>
      </c>
      <c r="C47" s="627" t="s">
        <v>266</v>
      </c>
      <c r="D47" s="1016">
        <v>5707</v>
      </c>
      <c r="E47" s="1016">
        <v>5741</v>
      </c>
      <c r="F47" s="1016">
        <v>827</v>
      </c>
      <c r="G47" s="1016">
        <v>6843</v>
      </c>
      <c r="H47" s="1016">
        <v>5432</v>
      </c>
      <c r="I47" s="629">
        <v>7315</v>
      </c>
      <c r="J47" s="629">
        <v>2658</v>
      </c>
      <c r="K47" s="629">
        <v>1043</v>
      </c>
      <c r="L47" s="629">
        <v>12275</v>
      </c>
      <c r="M47" s="629">
        <v>2987</v>
      </c>
    </row>
    <row r="48" spans="1:13" s="630" customFormat="1">
      <c r="A48" s="632" t="s">
        <v>110</v>
      </c>
      <c r="B48" s="628" t="s">
        <v>111</v>
      </c>
      <c r="C48" s="627" t="s">
        <v>266</v>
      </c>
      <c r="D48" s="1016">
        <v>31722</v>
      </c>
      <c r="E48" s="1016">
        <v>30178</v>
      </c>
      <c r="F48" s="1016">
        <v>3669</v>
      </c>
      <c r="G48" s="1016">
        <v>37210</v>
      </c>
      <c r="H48" s="1016">
        <v>28359</v>
      </c>
      <c r="I48" s="629">
        <v>16403</v>
      </c>
      <c r="J48" s="629">
        <v>32933</v>
      </c>
      <c r="K48" s="629">
        <v>7641</v>
      </c>
      <c r="L48" s="629">
        <v>65569</v>
      </c>
      <c r="M48" s="629">
        <v>8940</v>
      </c>
    </row>
    <row r="49" spans="1:13" s="630" customFormat="1">
      <c r="A49" s="632" t="s">
        <v>112</v>
      </c>
      <c r="B49" s="628" t="s">
        <v>300</v>
      </c>
      <c r="C49" s="627" t="s">
        <v>265</v>
      </c>
      <c r="D49" s="1016">
        <v>10994</v>
      </c>
      <c r="E49" s="1016">
        <v>14851</v>
      </c>
      <c r="F49" s="1016">
        <v>2536</v>
      </c>
      <c r="G49" s="1016">
        <v>15742</v>
      </c>
      <c r="H49" s="1016">
        <v>12639</v>
      </c>
      <c r="I49" s="629">
        <v>14594</v>
      </c>
      <c r="J49" s="629">
        <v>10020</v>
      </c>
      <c r="K49" s="629">
        <v>1075</v>
      </c>
      <c r="L49" s="629">
        <v>28381</v>
      </c>
      <c r="M49" s="629">
        <v>5453</v>
      </c>
    </row>
    <row r="50" spans="1:13" s="630" customFormat="1">
      <c r="A50" s="632" t="s">
        <v>114</v>
      </c>
      <c r="B50" s="628" t="s">
        <v>115</v>
      </c>
      <c r="C50" s="627" t="s">
        <v>265</v>
      </c>
      <c r="D50" s="1016">
        <v>181</v>
      </c>
      <c r="E50" s="1016">
        <v>233</v>
      </c>
      <c r="F50" s="1016">
        <v>50</v>
      </c>
      <c r="G50" s="1016">
        <v>264</v>
      </c>
      <c r="H50" s="1016">
        <v>200</v>
      </c>
      <c r="I50" s="629">
        <v>366</v>
      </c>
      <c r="J50" s="629">
        <v>16</v>
      </c>
      <c r="K50" s="629">
        <v>31</v>
      </c>
      <c r="L50" s="629">
        <v>464</v>
      </c>
      <c r="M50" s="629">
        <v>177</v>
      </c>
    </row>
    <row r="51" spans="1:13" s="630" customFormat="1">
      <c r="A51" s="632" t="s">
        <v>118</v>
      </c>
      <c r="B51" s="628" t="s">
        <v>270</v>
      </c>
      <c r="C51" s="627" t="s">
        <v>264</v>
      </c>
      <c r="D51" s="1016">
        <v>3088</v>
      </c>
      <c r="E51" s="1016">
        <v>3653</v>
      </c>
      <c r="F51" s="1016">
        <v>670</v>
      </c>
      <c r="G51" s="1016">
        <v>4184</v>
      </c>
      <c r="H51" s="1016">
        <v>3227</v>
      </c>
      <c r="I51" s="629">
        <v>3104</v>
      </c>
      <c r="J51" s="629">
        <v>3385</v>
      </c>
      <c r="K51" s="629">
        <v>329</v>
      </c>
      <c r="L51" s="629">
        <v>7411</v>
      </c>
      <c r="M51" s="629">
        <v>1023</v>
      </c>
    </row>
    <row r="52" spans="1:13" s="630" customFormat="1">
      <c r="A52" s="632" t="s">
        <v>120</v>
      </c>
      <c r="B52" s="628" t="s">
        <v>121</v>
      </c>
      <c r="C52" s="627" t="s">
        <v>264</v>
      </c>
      <c r="D52" s="1016">
        <v>4837</v>
      </c>
      <c r="E52" s="1016">
        <v>4433</v>
      </c>
      <c r="F52" s="1016">
        <v>520</v>
      </c>
      <c r="G52" s="1016">
        <v>5573</v>
      </c>
      <c r="H52" s="1016">
        <v>4217</v>
      </c>
      <c r="I52" s="629">
        <v>4500</v>
      </c>
      <c r="J52" s="629">
        <v>3534</v>
      </c>
      <c r="K52" s="629">
        <v>894</v>
      </c>
      <c r="L52" s="629">
        <v>9790</v>
      </c>
      <c r="M52" s="629">
        <v>2197</v>
      </c>
    </row>
    <row r="53" spans="1:13" s="630" customFormat="1">
      <c r="A53" s="632" t="s">
        <v>122</v>
      </c>
      <c r="B53" s="628" t="s">
        <v>287</v>
      </c>
      <c r="C53" s="627" t="s">
        <v>266</v>
      </c>
      <c r="D53" s="1016">
        <v>942</v>
      </c>
      <c r="E53" s="1016">
        <v>1162</v>
      </c>
      <c r="F53" s="1016">
        <v>207</v>
      </c>
      <c r="G53" s="1016">
        <v>1301</v>
      </c>
      <c r="H53" s="1016">
        <v>1010</v>
      </c>
      <c r="I53" s="629">
        <v>1100</v>
      </c>
      <c r="J53" s="629">
        <v>942</v>
      </c>
      <c r="K53" s="629">
        <v>133</v>
      </c>
      <c r="L53" s="629">
        <v>2311</v>
      </c>
      <c r="M53" s="629">
        <v>338</v>
      </c>
    </row>
    <row r="54" spans="1:13" s="630" customFormat="1">
      <c r="A54" s="632" t="s">
        <v>124</v>
      </c>
      <c r="B54" s="628" t="s">
        <v>125</v>
      </c>
      <c r="C54" s="627" t="s">
        <v>267</v>
      </c>
      <c r="D54" s="1016">
        <v>2572</v>
      </c>
      <c r="E54" s="1016">
        <v>2581</v>
      </c>
      <c r="F54" s="1016">
        <v>281</v>
      </c>
      <c r="G54" s="1016">
        <v>2987</v>
      </c>
      <c r="H54" s="1016">
        <v>2447</v>
      </c>
      <c r="I54" s="629">
        <v>2843</v>
      </c>
      <c r="J54" s="629">
        <v>1865</v>
      </c>
      <c r="K54" s="629">
        <v>363</v>
      </c>
      <c r="L54" s="629">
        <v>5434</v>
      </c>
      <c r="M54" s="629">
        <v>819</v>
      </c>
    </row>
    <row r="55" spans="1:13" s="630" customFormat="1">
      <c r="A55" s="632" t="s">
        <v>126</v>
      </c>
      <c r="B55" s="628" t="s">
        <v>127</v>
      </c>
      <c r="C55" s="627" t="s">
        <v>266</v>
      </c>
      <c r="D55" s="1016">
        <v>1648</v>
      </c>
      <c r="E55" s="1016">
        <v>1657</v>
      </c>
      <c r="F55" s="1016">
        <v>266</v>
      </c>
      <c r="G55" s="1016">
        <v>2023</v>
      </c>
      <c r="H55" s="1016">
        <v>1548</v>
      </c>
      <c r="I55" s="629">
        <v>1841</v>
      </c>
      <c r="J55" s="629">
        <v>1259</v>
      </c>
      <c r="K55" s="629">
        <v>204</v>
      </c>
      <c r="L55" s="629">
        <v>3571</v>
      </c>
      <c r="M55" s="629">
        <v>632</v>
      </c>
    </row>
    <row r="56" spans="1:13" s="630" customFormat="1">
      <c r="A56" s="632" t="s">
        <v>128</v>
      </c>
      <c r="B56" s="628" t="s">
        <v>129</v>
      </c>
      <c r="C56" s="627" t="s">
        <v>266</v>
      </c>
      <c r="D56" s="1016">
        <v>1277</v>
      </c>
      <c r="E56" s="1016">
        <v>1470</v>
      </c>
      <c r="F56" s="1016">
        <v>374</v>
      </c>
      <c r="G56" s="1016">
        <v>1766</v>
      </c>
      <c r="H56" s="1016">
        <v>1355</v>
      </c>
      <c r="I56" s="629">
        <v>1042</v>
      </c>
      <c r="J56" s="629">
        <v>1940</v>
      </c>
      <c r="K56" s="629">
        <v>106</v>
      </c>
      <c r="L56" s="629">
        <v>3121</v>
      </c>
      <c r="M56" s="629">
        <v>348</v>
      </c>
    </row>
    <row r="57" spans="1:13" s="630" customFormat="1">
      <c r="A57" s="632" t="s">
        <v>130</v>
      </c>
      <c r="B57" s="628" t="s">
        <v>131</v>
      </c>
      <c r="C57" s="627" t="s">
        <v>268</v>
      </c>
      <c r="D57" s="1016">
        <v>3683</v>
      </c>
      <c r="E57" s="1016">
        <v>5856</v>
      </c>
      <c r="F57" s="1016">
        <v>1186</v>
      </c>
      <c r="G57" s="1016">
        <v>5699</v>
      </c>
      <c r="H57" s="1016">
        <v>5026</v>
      </c>
      <c r="I57" s="629">
        <v>10203</v>
      </c>
      <c r="J57" s="629">
        <v>55</v>
      </c>
      <c r="K57" s="629">
        <v>126</v>
      </c>
      <c r="L57" s="629">
        <v>10725</v>
      </c>
      <c r="M57" s="629">
        <v>2615</v>
      </c>
    </row>
    <row r="58" spans="1:13" s="630" customFormat="1">
      <c r="A58" s="632" t="s">
        <v>132</v>
      </c>
      <c r="B58" s="628" t="s">
        <v>133</v>
      </c>
      <c r="C58" s="627" t="s">
        <v>267</v>
      </c>
      <c r="D58" s="1016">
        <v>15830</v>
      </c>
      <c r="E58" s="1016">
        <v>7968</v>
      </c>
      <c r="F58" s="1016">
        <v>2453</v>
      </c>
      <c r="G58" s="1016">
        <v>14444</v>
      </c>
      <c r="H58" s="1016">
        <v>11807</v>
      </c>
      <c r="I58" s="629">
        <v>10418</v>
      </c>
      <c r="J58" s="629">
        <v>3866</v>
      </c>
      <c r="K58" s="629">
        <v>8990</v>
      </c>
      <c r="L58" s="629">
        <v>26251</v>
      </c>
      <c r="M58" s="629">
        <v>12206</v>
      </c>
    </row>
    <row r="59" spans="1:13" s="630" customFormat="1">
      <c r="A59" s="632" t="s">
        <v>134</v>
      </c>
      <c r="B59" s="628" t="s">
        <v>135</v>
      </c>
      <c r="C59" s="627" t="s">
        <v>267</v>
      </c>
      <c r="D59" s="1016">
        <v>3679</v>
      </c>
      <c r="E59" s="1016">
        <v>4322</v>
      </c>
      <c r="F59" s="1016">
        <v>715</v>
      </c>
      <c r="G59" s="1016">
        <v>4782</v>
      </c>
      <c r="H59" s="1016">
        <v>3934</v>
      </c>
      <c r="I59" s="629">
        <v>5109</v>
      </c>
      <c r="J59" s="629">
        <v>2263</v>
      </c>
      <c r="K59" s="629">
        <v>455</v>
      </c>
      <c r="L59" s="629">
        <v>8716</v>
      </c>
      <c r="M59" s="629">
        <v>1474</v>
      </c>
    </row>
    <row r="60" spans="1:13" s="630" customFormat="1">
      <c r="A60" s="632" t="s">
        <v>136</v>
      </c>
      <c r="B60" s="628" t="s">
        <v>137</v>
      </c>
      <c r="C60" s="627" t="s">
        <v>266</v>
      </c>
      <c r="D60" s="1016">
        <v>1749</v>
      </c>
      <c r="E60" s="1016">
        <v>2126</v>
      </c>
      <c r="F60" s="1016">
        <v>534</v>
      </c>
      <c r="G60" s="1016">
        <v>2443</v>
      </c>
      <c r="H60" s="1016">
        <v>1966</v>
      </c>
      <c r="I60" s="629">
        <v>1938</v>
      </c>
      <c r="J60" s="629">
        <v>2149</v>
      </c>
      <c r="K60" s="629">
        <v>240</v>
      </c>
      <c r="L60" s="629">
        <v>4409</v>
      </c>
      <c r="M60" s="629">
        <v>642</v>
      </c>
    </row>
    <row r="61" spans="1:13" s="630" customFormat="1">
      <c r="A61" s="632" t="s">
        <v>140</v>
      </c>
      <c r="B61" s="628" t="s">
        <v>141</v>
      </c>
      <c r="C61" s="627" t="s">
        <v>267</v>
      </c>
      <c r="D61" s="1016">
        <v>1387</v>
      </c>
      <c r="E61" s="1016">
        <v>1555</v>
      </c>
      <c r="F61" s="1016">
        <v>326</v>
      </c>
      <c r="G61" s="1016">
        <v>1783</v>
      </c>
      <c r="H61" s="1016">
        <v>1485</v>
      </c>
      <c r="I61" s="629">
        <v>2424</v>
      </c>
      <c r="J61" s="629">
        <v>510</v>
      </c>
      <c r="K61" s="629">
        <v>125</v>
      </c>
      <c r="L61" s="629">
        <v>3268</v>
      </c>
      <c r="M61" s="629">
        <v>736</v>
      </c>
    </row>
    <row r="62" spans="1:13" s="630" customFormat="1">
      <c r="A62" s="632" t="s">
        <v>146</v>
      </c>
      <c r="B62" s="628" t="s">
        <v>147</v>
      </c>
      <c r="C62" s="627" t="s">
        <v>264</v>
      </c>
      <c r="D62" s="1016">
        <v>730</v>
      </c>
      <c r="E62" s="1016">
        <v>961</v>
      </c>
      <c r="F62" s="1016">
        <v>186</v>
      </c>
      <c r="G62" s="1016">
        <v>1053</v>
      </c>
      <c r="H62" s="1016">
        <v>824</v>
      </c>
      <c r="I62" s="629">
        <v>1356</v>
      </c>
      <c r="J62" s="629">
        <v>340</v>
      </c>
      <c r="K62" s="629">
        <v>67</v>
      </c>
      <c r="L62" s="629">
        <v>1877</v>
      </c>
      <c r="M62" s="629">
        <v>381</v>
      </c>
    </row>
    <row r="63" spans="1:13" s="630" customFormat="1">
      <c r="A63" s="632" t="s">
        <v>148</v>
      </c>
      <c r="B63" s="628" t="s">
        <v>149</v>
      </c>
      <c r="C63" s="627" t="s">
        <v>265</v>
      </c>
      <c r="D63" s="1016">
        <v>4095</v>
      </c>
      <c r="E63" s="1016">
        <v>5029</v>
      </c>
      <c r="F63" s="1016">
        <v>1153</v>
      </c>
      <c r="G63" s="1016">
        <v>5801</v>
      </c>
      <c r="H63" s="1016">
        <v>4476</v>
      </c>
      <c r="I63" s="629">
        <v>3883</v>
      </c>
      <c r="J63" s="629">
        <v>5782</v>
      </c>
      <c r="K63" s="629">
        <v>313</v>
      </c>
      <c r="L63" s="629">
        <v>10277</v>
      </c>
      <c r="M63" s="629">
        <v>1299</v>
      </c>
    </row>
    <row r="64" spans="1:13" s="630" customFormat="1">
      <c r="A64" s="632" t="s">
        <v>150</v>
      </c>
      <c r="B64" s="628" t="s">
        <v>151</v>
      </c>
      <c r="C64" s="627" t="s">
        <v>266</v>
      </c>
      <c r="D64" s="1016">
        <v>1131</v>
      </c>
      <c r="E64" s="1016">
        <v>1531</v>
      </c>
      <c r="F64" s="1016">
        <v>283</v>
      </c>
      <c r="G64" s="1016">
        <v>1614</v>
      </c>
      <c r="H64" s="1016">
        <v>1331</v>
      </c>
      <c r="I64" s="629">
        <v>1711</v>
      </c>
      <c r="J64" s="629">
        <v>904</v>
      </c>
      <c r="K64" s="629">
        <v>133</v>
      </c>
      <c r="L64" s="629">
        <v>2945</v>
      </c>
      <c r="M64" s="629">
        <v>459</v>
      </c>
    </row>
    <row r="65" spans="1:13" s="630" customFormat="1">
      <c r="A65" s="632" t="s">
        <v>152</v>
      </c>
      <c r="B65" s="628" t="s">
        <v>153</v>
      </c>
      <c r="C65" s="627" t="s">
        <v>268</v>
      </c>
      <c r="D65" s="1016">
        <v>6372</v>
      </c>
      <c r="E65" s="1016">
        <v>7480</v>
      </c>
      <c r="F65" s="1016">
        <v>947</v>
      </c>
      <c r="G65" s="1016">
        <v>8148</v>
      </c>
      <c r="H65" s="1016">
        <v>6651</v>
      </c>
      <c r="I65" s="629">
        <v>11419</v>
      </c>
      <c r="J65" s="629">
        <v>1132</v>
      </c>
      <c r="K65" s="629">
        <v>898</v>
      </c>
      <c r="L65" s="629">
        <v>14799</v>
      </c>
      <c r="M65" s="629">
        <v>3469</v>
      </c>
    </row>
    <row r="66" spans="1:13" s="630" customFormat="1">
      <c r="A66" s="632" t="s">
        <v>154</v>
      </c>
      <c r="B66" s="628" t="s">
        <v>155</v>
      </c>
      <c r="C66" s="627" t="s">
        <v>265</v>
      </c>
      <c r="D66" s="1016">
        <v>1736</v>
      </c>
      <c r="E66" s="1016">
        <v>2133</v>
      </c>
      <c r="F66" s="1016">
        <v>490</v>
      </c>
      <c r="G66" s="1016">
        <v>2380</v>
      </c>
      <c r="H66" s="1016">
        <v>1979</v>
      </c>
      <c r="I66" s="629">
        <v>2659</v>
      </c>
      <c r="J66" s="629">
        <v>821</v>
      </c>
      <c r="K66" s="629">
        <v>274</v>
      </c>
      <c r="L66" s="629">
        <v>4359</v>
      </c>
      <c r="M66" s="629">
        <v>899</v>
      </c>
    </row>
    <row r="67" spans="1:13" s="630" customFormat="1">
      <c r="A67" s="632" t="s">
        <v>156</v>
      </c>
      <c r="B67" s="628" t="s">
        <v>157</v>
      </c>
      <c r="C67" s="627" t="s">
        <v>266</v>
      </c>
      <c r="D67" s="1016">
        <v>1238</v>
      </c>
      <c r="E67" s="1016">
        <v>1204</v>
      </c>
      <c r="F67" s="1016">
        <v>155</v>
      </c>
      <c r="G67" s="1016">
        <v>1432</v>
      </c>
      <c r="H67" s="1016">
        <v>1165</v>
      </c>
      <c r="I67" s="629">
        <v>1802</v>
      </c>
      <c r="J67" s="629">
        <v>536</v>
      </c>
      <c r="K67" s="629">
        <v>137</v>
      </c>
      <c r="L67" s="629">
        <v>2597</v>
      </c>
      <c r="M67" s="629">
        <v>613</v>
      </c>
    </row>
    <row r="68" spans="1:13" s="630" customFormat="1">
      <c r="A68" s="632" t="s">
        <v>162</v>
      </c>
      <c r="B68" s="628" t="s">
        <v>163</v>
      </c>
      <c r="C68" s="627" t="s">
        <v>264</v>
      </c>
      <c r="D68" s="1016">
        <v>1984</v>
      </c>
      <c r="E68" s="1016">
        <v>2402</v>
      </c>
      <c r="F68" s="1016">
        <v>721</v>
      </c>
      <c r="G68" s="1016">
        <v>2832</v>
      </c>
      <c r="H68" s="1016">
        <v>2275</v>
      </c>
      <c r="I68" s="629">
        <v>1636</v>
      </c>
      <c r="J68" s="629">
        <v>3043</v>
      </c>
      <c r="K68" s="629">
        <v>206</v>
      </c>
      <c r="L68" s="629">
        <v>5107</v>
      </c>
      <c r="M68" s="629">
        <v>850</v>
      </c>
    </row>
    <row r="69" spans="1:13" s="630" customFormat="1">
      <c r="A69" s="632" t="s">
        <v>164</v>
      </c>
      <c r="B69" s="628" t="s">
        <v>165</v>
      </c>
      <c r="C69" s="627" t="s">
        <v>266</v>
      </c>
      <c r="D69" s="1016">
        <v>1359</v>
      </c>
      <c r="E69" s="1016">
        <v>1583</v>
      </c>
      <c r="F69" s="1016">
        <v>349</v>
      </c>
      <c r="G69" s="1016">
        <v>1794</v>
      </c>
      <c r="H69" s="1016">
        <v>1497</v>
      </c>
      <c r="I69" s="629">
        <v>1349</v>
      </c>
      <c r="J69" s="629">
        <v>1684</v>
      </c>
      <c r="K69" s="629">
        <v>168</v>
      </c>
      <c r="L69" s="629">
        <v>3291</v>
      </c>
      <c r="M69" s="629">
        <v>450</v>
      </c>
    </row>
    <row r="70" spans="1:13" s="630" customFormat="1">
      <c r="A70" s="632" t="s">
        <v>168</v>
      </c>
      <c r="B70" s="628" t="s">
        <v>169</v>
      </c>
      <c r="C70" s="627" t="s">
        <v>266</v>
      </c>
      <c r="D70" s="1016">
        <v>2469</v>
      </c>
      <c r="E70" s="1016">
        <v>2907</v>
      </c>
      <c r="F70" s="1016">
        <v>547</v>
      </c>
      <c r="G70" s="1016">
        <v>3341</v>
      </c>
      <c r="H70" s="1016">
        <v>2582</v>
      </c>
      <c r="I70" s="629">
        <v>2439</v>
      </c>
      <c r="J70" s="629">
        <v>3048</v>
      </c>
      <c r="K70" s="629">
        <v>213</v>
      </c>
      <c r="L70" s="629">
        <v>5923</v>
      </c>
      <c r="M70" s="629">
        <v>825</v>
      </c>
    </row>
    <row r="71" spans="1:13" s="630" customFormat="1">
      <c r="A71" s="632" t="s">
        <v>170</v>
      </c>
      <c r="B71" s="628" t="s">
        <v>171</v>
      </c>
      <c r="C71" s="627" t="s">
        <v>267</v>
      </c>
      <c r="D71" s="1016">
        <v>3514</v>
      </c>
      <c r="E71" s="1016">
        <v>3444</v>
      </c>
      <c r="F71" s="1016">
        <v>559</v>
      </c>
      <c r="G71" s="1016">
        <v>4217</v>
      </c>
      <c r="H71" s="1016">
        <v>3300</v>
      </c>
      <c r="I71" s="629">
        <v>4412</v>
      </c>
      <c r="J71" s="629">
        <v>1793</v>
      </c>
      <c r="K71" s="629">
        <v>600</v>
      </c>
      <c r="L71" s="629">
        <v>7517</v>
      </c>
      <c r="M71" s="629">
        <v>1770</v>
      </c>
    </row>
    <row r="72" spans="1:13" s="630" customFormat="1">
      <c r="A72" s="632" t="s">
        <v>172</v>
      </c>
      <c r="B72" s="628" t="s">
        <v>173</v>
      </c>
      <c r="C72" s="627" t="s">
        <v>267</v>
      </c>
      <c r="D72" s="1016">
        <v>2886</v>
      </c>
      <c r="E72" s="1016">
        <v>3772</v>
      </c>
      <c r="F72" s="1016">
        <v>697</v>
      </c>
      <c r="G72" s="1016">
        <v>4030</v>
      </c>
      <c r="H72" s="1016">
        <v>3325</v>
      </c>
      <c r="I72" s="629">
        <v>6596</v>
      </c>
      <c r="J72" s="629">
        <v>212</v>
      </c>
      <c r="K72" s="629">
        <v>184</v>
      </c>
      <c r="L72" s="629">
        <v>7355</v>
      </c>
      <c r="M72" s="629">
        <v>1861</v>
      </c>
    </row>
    <row r="73" spans="1:13" s="630" customFormat="1">
      <c r="A73" s="632" t="s">
        <v>174</v>
      </c>
      <c r="B73" s="628" t="s">
        <v>175</v>
      </c>
      <c r="C73" s="627" t="s">
        <v>268</v>
      </c>
      <c r="D73" s="1016">
        <v>2227</v>
      </c>
      <c r="E73" s="1016">
        <v>3185</v>
      </c>
      <c r="F73" s="1016">
        <v>665</v>
      </c>
      <c r="G73" s="1016">
        <v>3307</v>
      </c>
      <c r="H73" s="1016">
        <v>2770</v>
      </c>
      <c r="I73" s="629">
        <v>5090</v>
      </c>
      <c r="J73" s="629">
        <v>492</v>
      </c>
      <c r="K73" s="629">
        <v>244</v>
      </c>
      <c r="L73" s="629">
        <v>6077</v>
      </c>
      <c r="M73" s="629">
        <v>1554</v>
      </c>
    </row>
    <row r="74" spans="1:13" s="630" customFormat="1">
      <c r="A74" s="632" t="s">
        <v>178</v>
      </c>
      <c r="B74" s="628" t="s">
        <v>179</v>
      </c>
      <c r="C74" s="627" t="s">
        <v>265</v>
      </c>
      <c r="D74" s="1016">
        <v>7580</v>
      </c>
      <c r="E74" s="1016">
        <v>9514</v>
      </c>
      <c r="F74" s="1016">
        <v>2138</v>
      </c>
      <c r="G74" s="1016">
        <v>10791</v>
      </c>
      <c r="H74" s="1016">
        <v>8442</v>
      </c>
      <c r="I74" s="629">
        <v>10721</v>
      </c>
      <c r="J74" s="629">
        <v>5998</v>
      </c>
      <c r="K74" s="629">
        <v>846</v>
      </c>
      <c r="L74" s="629">
        <v>19233</v>
      </c>
      <c r="M74" s="629">
        <v>3617</v>
      </c>
    </row>
    <row r="75" spans="1:13" s="630" customFormat="1">
      <c r="A75" s="632" t="s">
        <v>182</v>
      </c>
      <c r="B75" s="628" t="s">
        <v>183</v>
      </c>
      <c r="C75" s="627" t="s">
        <v>266</v>
      </c>
      <c r="D75" s="1016">
        <v>1455</v>
      </c>
      <c r="E75" s="1016">
        <v>1538</v>
      </c>
      <c r="F75" s="1016">
        <v>224</v>
      </c>
      <c r="G75" s="1016">
        <v>1763</v>
      </c>
      <c r="H75" s="1016">
        <v>1454</v>
      </c>
      <c r="I75" s="629">
        <v>2097</v>
      </c>
      <c r="J75" s="629">
        <v>540</v>
      </c>
      <c r="K75" s="629">
        <v>185</v>
      </c>
      <c r="L75" s="629">
        <v>3217</v>
      </c>
      <c r="M75" s="629">
        <v>726</v>
      </c>
    </row>
    <row r="76" spans="1:13" s="630" customFormat="1">
      <c r="A76" s="632" t="s">
        <v>184</v>
      </c>
      <c r="B76" s="628" t="s">
        <v>185</v>
      </c>
      <c r="C76" s="627" t="s">
        <v>266</v>
      </c>
      <c r="D76" s="1016">
        <v>2682</v>
      </c>
      <c r="E76" s="1016">
        <v>3428</v>
      </c>
      <c r="F76" s="1016">
        <v>582</v>
      </c>
      <c r="G76" s="1016">
        <v>3744</v>
      </c>
      <c r="H76" s="1016">
        <v>2948</v>
      </c>
      <c r="I76" s="629">
        <v>2354</v>
      </c>
      <c r="J76" s="629">
        <v>3778</v>
      </c>
      <c r="K76" s="629">
        <v>281</v>
      </c>
      <c r="L76" s="629">
        <v>6692</v>
      </c>
      <c r="M76" s="629">
        <v>691</v>
      </c>
    </row>
    <row r="77" spans="1:13" s="630" customFormat="1">
      <c r="A77" s="632" t="s">
        <v>186</v>
      </c>
      <c r="B77" s="628" t="s">
        <v>187</v>
      </c>
      <c r="C77" s="627" t="s">
        <v>264</v>
      </c>
      <c r="D77" s="1016">
        <v>2902</v>
      </c>
      <c r="E77" s="1016">
        <v>2980</v>
      </c>
      <c r="F77" s="1016">
        <v>313</v>
      </c>
      <c r="G77" s="1016">
        <v>3567</v>
      </c>
      <c r="H77" s="1016">
        <v>2628</v>
      </c>
      <c r="I77" s="629">
        <v>3020</v>
      </c>
      <c r="J77" s="629">
        <v>2440</v>
      </c>
      <c r="K77" s="629">
        <v>388</v>
      </c>
      <c r="L77" s="629">
        <v>6195</v>
      </c>
      <c r="M77" s="629">
        <v>1016</v>
      </c>
    </row>
    <row r="78" spans="1:13" s="630" customFormat="1">
      <c r="A78" s="632" t="s">
        <v>188</v>
      </c>
      <c r="B78" s="628" t="s">
        <v>189</v>
      </c>
      <c r="C78" s="627" t="s">
        <v>267</v>
      </c>
      <c r="D78" s="1016">
        <v>43038</v>
      </c>
      <c r="E78" s="1016">
        <v>24468</v>
      </c>
      <c r="F78" s="1016">
        <v>3476</v>
      </c>
      <c r="G78" s="1016">
        <v>39347</v>
      </c>
      <c r="H78" s="1016">
        <v>31635</v>
      </c>
      <c r="I78" s="629">
        <v>25423</v>
      </c>
      <c r="J78" s="629">
        <v>19936</v>
      </c>
      <c r="K78" s="629">
        <v>19790</v>
      </c>
      <c r="L78" s="629">
        <v>70982</v>
      </c>
      <c r="M78" s="629">
        <v>29254</v>
      </c>
    </row>
    <row r="79" spans="1:13" s="630" customFormat="1">
      <c r="A79" s="632" t="s">
        <v>190</v>
      </c>
      <c r="B79" s="628" t="s">
        <v>191</v>
      </c>
      <c r="C79" s="627" t="s">
        <v>268</v>
      </c>
      <c r="D79" s="1016">
        <v>3993</v>
      </c>
      <c r="E79" s="1016">
        <v>5795</v>
      </c>
      <c r="F79" s="1016">
        <v>977</v>
      </c>
      <c r="G79" s="1016">
        <v>5878</v>
      </c>
      <c r="H79" s="1016">
        <v>4887</v>
      </c>
      <c r="I79" s="629">
        <v>9137</v>
      </c>
      <c r="J79" s="629">
        <v>981</v>
      </c>
      <c r="K79" s="629">
        <v>378</v>
      </c>
      <c r="L79" s="629">
        <v>10765</v>
      </c>
      <c r="M79" s="629">
        <v>2382</v>
      </c>
    </row>
    <row r="80" spans="1:13" s="630" customFormat="1">
      <c r="A80" s="632" t="s">
        <v>194</v>
      </c>
      <c r="B80" s="628" t="s">
        <v>195</v>
      </c>
      <c r="C80" s="627" t="s">
        <v>267</v>
      </c>
      <c r="D80" s="1016">
        <v>567</v>
      </c>
      <c r="E80" s="1016">
        <v>529</v>
      </c>
      <c r="F80" s="1016">
        <v>122</v>
      </c>
      <c r="G80" s="1016">
        <v>668</v>
      </c>
      <c r="H80" s="1016">
        <v>550</v>
      </c>
      <c r="I80" s="629">
        <v>1021</v>
      </c>
      <c r="J80" s="629">
        <v>120</v>
      </c>
      <c r="K80" s="629">
        <v>52</v>
      </c>
      <c r="L80" s="629">
        <v>1218</v>
      </c>
      <c r="M80" s="629">
        <v>460</v>
      </c>
    </row>
    <row r="81" spans="1:13" s="630" customFormat="1">
      <c r="A81" s="632" t="s">
        <v>198</v>
      </c>
      <c r="B81" s="628" t="s">
        <v>272</v>
      </c>
      <c r="C81" s="627" t="s">
        <v>266</v>
      </c>
      <c r="D81" s="1016">
        <v>1193</v>
      </c>
      <c r="E81" s="1016">
        <v>1349</v>
      </c>
      <c r="F81" s="1016">
        <v>238</v>
      </c>
      <c r="G81" s="1016">
        <v>1561</v>
      </c>
      <c r="H81" s="1016">
        <v>1219</v>
      </c>
      <c r="I81" s="629">
        <v>1159</v>
      </c>
      <c r="J81" s="629">
        <v>1221</v>
      </c>
      <c r="K81" s="629">
        <v>215</v>
      </c>
      <c r="L81" s="629">
        <v>2780</v>
      </c>
      <c r="M81" s="629">
        <v>563</v>
      </c>
    </row>
    <row r="82" spans="1:13" s="630" customFormat="1">
      <c r="A82" s="632" t="s">
        <v>202</v>
      </c>
      <c r="B82" s="628" t="s">
        <v>301</v>
      </c>
      <c r="C82" s="627" t="s">
        <v>265</v>
      </c>
      <c r="D82" s="1016">
        <v>8820</v>
      </c>
      <c r="E82" s="1016">
        <v>8617</v>
      </c>
      <c r="F82" s="1016">
        <v>1505</v>
      </c>
      <c r="G82" s="1016">
        <v>10627</v>
      </c>
      <c r="H82" s="1016">
        <v>8315</v>
      </c>
      <c r="I82" s="629">
        <v>13079</v>
      </c>
      <c r="J82" s="629">
        <v>2539</v>
      </c>
      <c r="K82" s="629">
        <v>1796</v>
      </c>
      <c r="L82" s="629">
        <v>18942</v>
      </c>
      <c r="M82" s="629">
        <v>5113</v>
      </c>
    </row>
    <row r="83" spans="1:13" s="630" customFormat="1">
      <c r="A83" s="632" t="s">
        <v>204</v>
      </c>
      <c r="B83" s="628" t="s">
        <v>293</v>
      </c>
      <c r="C83" s="627" t="s">
        <v>265</v>
      </c>
      <c r="D83" s="1016">
        <v>3506</v>
      </c>
      <c r="E83" s="1016">
        <v>4163</v>
      </c>
      <c r="F83" s="1016">
        <v>886</v>
      </c>
      <c r="G83" s="1016">
        <v>4844</v>
      </c>
      <c r="H83" s="1016">
        <v>3711</v>
      </c>
      <c r="I83" s="629">
        <v>6986</v>
      </c>
      <c r="J83" s="629">
        <v>666</v>
      </c>
      <c r="K83" s="629">
        <v>367</v>
      </c>
      <c r="L83" s="629">
        <v>8555</v>
      </c>
      <c r="M83" s="629">
        <v>2218</v>
      </c>
    </row>
    <row r="84" spans="1:13" s="630" customFormat="1">
      <c r="A84" s="632" t="s">
        <v>206</v>
      </c>
      <c r="B84" s="628" t="s">
        <v>294</v>
      </c>
      <c r="C84" s="627" t="s">
        <v>267</v>
      </c>
      <c r="D84" s="1016">
        <v>12958</v>
      </c>
      <c r="E84" s="1016">
        <v>11161</v>
      </c>
      <c r="F84" s="1016">
        <v>1707</v>
      </c>
      <c r="G84" s="1016">
        <v>14086</v>
      </c>
      <c r="H84" s="1016">
        <v>11740</v>
      </c>
      <c r="I84" s="629">
        <v>16879</v>
      </c>
      <c r="J84" s="629">
        <v>1880</v>
      </c>
      <c r="K84" s="629">
        <v>3784</v>
      </c>
      <c r="L84" s="629">
        <v>25826</v>
      </c>
      <c r="M84" s="629">
        <v>10688</v>
      </c>
    </row>
    <row r="85" spans="1:13" s="630" customFormat="1">
      <c r="A85" s="632" t="s">
        <v>208</v>
      </c>
      <c r="B85" s="628" t="s">
        <v>209</v>
      </c>
      <c r="C85" s="627" t="s">
        <v>268</v>
      </c>
      <c r="D85" s="1016">
        <v>3987</v>
      </c>
      <c r="E85" s="1016">
        <v>5807</v>
      </c>
      <c r="F85" s="1016">
        <v>915</v>
      </c>
      <c r="G85" s="1016">
        <v>5821</v>
      </c>
      <c r="H85" s="1016">
        <v>4888</v>
      </c>
      <c r="I85" s="629">
        <v>9375</v>
      </c>
      <c r="J85" s="629">
        <v>95</v>
      </c>
      <c r="K85" s="629">
        <v>205</v>
      </c>
      <c r="L85" s="629">
        <v>10709</v>
      </c>
      <c r="M85" s="629">
        <v>2588</v>
      </c>
    </row>
    <row r="86" spans="1:13" s="630" customFormat="1">
      <c r="A86" s="632" t="s">
        <v>210</v>
      </c>
      <c r="B86" s="628" t="s">
        <v>211</v>
      </c>
      <c r="C86" s="627" t="s">
        <v>268</v>
      </c>
      <c r="D86" s="1016">
        <v>2758</v>
      </c>
      <c r="E86" s="1016">
        <v>4001</v>
      </c>
      <c r="F86" s="1016">
        <v>952</v>
      </c>
      <c r="G86" s="1016">
        <v>4119</v>
      </c>
      <c r="H86" s="1016">
        <v>3592</v>
      </c>
      <c r="I86" s="629">
        <v>7128</v>
      </c>
      <c r="J86" s="629">
        <v>115</v>
      </c>
      <c r="K86" s="629">
        <v>161</v>
      </c>
      <c r="L86" s="629">
        <v>7711</v>
      </c>
      <c r="M86" s="629">
        <v>2070</v>
      </c>
    </row>
    <row r="87" spans="1:13" s="630" customFormat="1">
      <c r="A87" s="632" t="s">
        <v>212</v>
      </c>
      <c r="B87" s="628" t="s">
        <v>213</v>
      </c>
      <c r="C87" s="627" t="s">
        <v>267</v>
      </c>
      <c r="D87" s="1016">
        <v>4850</v>
      </c>
      <c r="E87" s="1016">
        <v>5016</v>
      </c>
      <c r="F87" s="1016">
        <v>779</v>
      </c>
      <c r="G87" s="1016">
        <v>5923</v>
      </c>
      <c r="H87" s="1016">
        <v>4722</v>
      </c>
      <c r="I87" s="629">
        <v>8782</v>
      </c>
      <c r="J87" s="629">
        <v>404</v>
      </c>
      <c r="K87" s="629">
        <v>912</v>
      </c>
      <c r="L87" s="629">
        <v>10645</v>
      </c>
      <c r="M87" s="629">
        <v>3295</v>
      </c>
    </row>
    <row r="88" spans="1:13" s="630" customFormat="1">
      <c r="A88" s="632" t="s">
        <v>214</v>
      </c>
      <c r="B88" s="628" t="s">
        <v>215</v>
      </c>
      <c r="C88" s="627" t="s">
        <v>268</v>
      </c>
      <c r="D88" s="1016">
        <v>4282</v>
      </c>
      <c r="E88" s="1016">
        <v>6166</v>
      </c>
      <c r="F88" s="1016">
        <v>1046</v>
      </c>
      <c r="G88" s="1016">
        <v>6290</v>
      </c>
      <c r="H88" s="1016">
        <v>5203</v>
      </c>
      <c r="I88" s="629">
        <v>10309</v>
      </c>
      <c r="J88" s="629">
        <v>250</v>
      </c>
      <c r="K88" s="629">
        <v>302</v>
      </c>
      <c r="L88" s="629">
        <v>11494</v>
      </c>
      <c r="M88" s="629">
        <v>2590</v>
      </c>
    </row>
    <row r="89" spans="1:13" s="630" customFormat="1">
      <c r="A89" s="632" t="s">
        <v>216</v>
      </c>
      <c r="B89" s="628" t="s">
        <v>217</v>
      </c>
      <c r="C89" s="627" t="s">
        <v>264</v>
      </c>
      <c r="D89" s="1016">
        <v>2237</v>
      </c>
      <c r="E89" s="1016">
        <v>2691</v>
      </c>
      <c r="F89" s="1016">
        <v>559</v>
      </c>
      <c r="G89" s="1016">
        <v>3142</v>
      </c>
      <c r="H89" s="1016">
        <v>2345</v>
      </c>
      <c r="I89" s="629">
        <v>1797</v>
      </c>
      <c r="J89" s="629">
        <v>2938</v>
      </c>
      <c r="K89" s="629">
        <v>193</v>
      </c>
      <c r="L89" s="629">
        <v>5487</v>
      </c>
      <c r="M89" s="629">
        <v>736</v>
      </c>
    </row>
    <row r="90" spans="1:13" s="630" customFormat="1">
      <c r="A90" s="632" t="s">
        <v>218</v>
      </c>
      <c r="B90" s="628" t="s">
        <v>219</v>
      </c>
      <c r="C90" s="627" t="s">
        <v>267</v>
      </c>
      <c r="D90" s="1016">
        <v>12710</v>
      </c>
      <c r="E90" s="1016">
        <v>11114</v>
      </c>
      <c r="F90" s="1016">
        <v>1145</v>
      </c>
      <c r="G90" s="1016">
        <v>13834</v>
      </c>
      <c r="H90" s="1016">
        <v>11135</v>
      </c>
      <c r="I90" s="629">
        <v>13800</v>
      </c>
      <c r="J90" s="629">
        <v>6321</v>
      </c>
      <c r="K90" s="629">
        <v>3123</v>
      </c>
      <c r="L90" s="629">
        <v>24969</v>
      </c>
      <c r="M90" s="629">
        <v>5855</v>
      </c>
    </row>
    <row r="91" spans="1:13" s="630" customFormat="1">
      <c r="A91" s="632" t="s">
        <v>220</v>
      </c>
      <c r="B91" s="628" t="s">
        <v>221</v>
      </c>
      <c r="C91" s="627" t="s">
        <v>267</v>
      </c>
      <c r="D91" s="1016">
        <v>11013</v>
      </c>
      <c r="E91" s="1016">
        <v>8876</v>
      </c>
      <c r="F91" s="1016">
        <v>842</v>
      </c>
      <c r="G91" s="1016">
        <v>11797</v>
      </c>
      <c r="H91" s="1016">
        <v>8934</v>
      </c>
      <c r="I91" s="629">
        <v>9255</v>
      </c>
      <c r="J91" s="629">
        <v>5427</v>
      </c>
      <c r="K91" s="629">
        <v>3355</v>
      </c>
      <c r="L91" s="629">
        <v>20731</v>
      </c>
      <c r="M91" s="629">
        <v>5249</v>
      </c>
    </row>
    <row r="92" spans="1:13" s="630" customFormat="1">
      <c r="A92" s="632" t="s">
        <v>224</v>
      </c>
      <c r="B92" s="628" t="s">
        <v>225</v>
      </c>
      <c r="C92" s="627" t="s">
        <v>264</v>
      </c>
      <c r="D92" s="1016">
        <v>795</v>
      </c>
      <c r="E92" s="1016">
        <v>975</v>
      </c>
      <c r="F92" s="1016">
        <v>171</v>
      </c>
      <c r="G92" s="1016">
        <v>1082</v>
      </c>
      <c r="H92" s="1016">
        <v>859</v>
      </c>
      <c r="I92" s="629">
        <v>691</v>
      </c>
      <c r="J92" s="629">
        <v>1165</v>
      </c>
      <c r="K92" s="629">
        <v>55</v>
      </c>
      <c r="L92" s="629">
        <v>1941</v>
      </c>
      <c r="M92" s="629">
        <v>182</v>
      </c>
    </row>
    <row r="93" spans="1:13" s="630" customFormat="1">
      <c r="A93" s="632" t="s">
        <v>226</v>
      </c>
      <c r="B93" s="628" t="s">
        <v>227</v>
      </c>
      <c r="C93" s="627" t="s">
        <v>264</v>
      </c>
      <c r="D93" s="1016">
        <v>1476</v>
      </c>
      <c r="E93" s="1016">
        <v>1795</v>
      </c>
      <c r="F93" s="1016">
        <v>355</v>
      </c>
      <c r="G93" s="1016">
        <v>2068</v>
      </c>
      <c r="H93" s="1016">
        <v>1558</v>
      </c>
      <c r="I93" s="629">
        <v>804</v>
      </c>
      <c r="J93" s="629">
        <v>2254</v>
      </c>
      <c r="K93" s="629">
        <v>103</v>
      </c>
      <c r="L93" s="629">
        <v>3626</v>
      </c>
      <c r="M93" s="629">
        <v>284</v>
      </c>
    </row>
    <row r="94" spans="1:13" s="630" customFormat="1">
      <c r="A94" s="632" t="s">
        <v>228</v>
      </c>
      <c r="B94" s="628" t="s">
        <v>229</v>
      </c>
      <c r="C94" s="627" t="s">
        <v>268</v>
      </c>
      <c r="D94" s="1016">
        <v>5694</v>
      </c>
      <c r="E94" s="1016">
        <v>8154</v>
      </c>
      <c r="F94" s="1016">
        <v>1237</v>
      </c>
      <c r="G94" s="1016">
        <v>8339</v>
      </c>
      <c r="H94" s="1016">
        <v>6746</v>
      </c>
      <c r="I94" s="629">
        <v>13555</v>
      </c>
      <c r="J94" s="629">
        <v>565</v>
      </c>
      <c r="K94" s="629">
        <v>319</v>
      </c>
      <c r="L94" s="629">
        <v>15085</v>
      </c>
      <c r="M94" s="629">
        <v>3448</v>
      </c>
    </row>
    <row r="95" spans="1:13" s="630" customFormat="1">
      <c r="A95" s="632" t="s">
        <v>232</v>
      </c>
      <c r="B95" s="628" t="s">
        <v>233</v>
      </c>
      <c r="C95" s="627" t="s">
        <v>267</v>
      </c>
      <c r="D95" s="1016">
        <v>4196</v>
      </c>
      <c r="E95" s="1016">
        <v>4709</v>
      </c>
      <c r="F95" s="1016">
        <v>559</v>
      </c>
      <c r="G95" s="1016">
        <v>5242</v>
      </c>
      <c r="H95" s="1016">
        <v>4222</v>
      </c>
      <c r="I95" s="629">
        <v>6860</v>
      </c>
      <c r="J95" s="629">
        <v>898</v>
      </c>
      <c r="K95" s="629">
        <v>729</v>
      </c>
      <c r="L95" s="629">
        <v>9464</v>
      </c>
      <c r="M95" s="629">
        <v>2049</v>
      </c>
    </row>
    <row r="96" spans="1:13" s="630" customFormat="1">
      <c r="A96" s="632" t="s">
        <v>234</v>
      </c>
      <c r="B96" s="628" t="s">
        <v>235</v>
      </c>
      <c r="C96" s="627" t="s">
        <v>268</v>
      </c>
      <c r="D96" s="1016">
        <v>5712</v>
      </c>
      <c r="E96" s="1016">
        <v>7749</v>
      </c>
      <c r="F96" s="1016">
        <v>1412</v>
      </c>
      <c r="G96" s="1016">
        <v>8301</v>
      </c>
      <c r="H96" s="1016">
        <v>6572</v>
      </c>
      <c r="I96" s="629">
        <v>13623</v>
      </c>
      <c r="J96" s="629">
        <v>313</v>
      </c>
      <c r="K96" s="629">
        <v>376</v>
      </c>
      <c r="L96" s="629">
        <v>14873</v>
      </c>
      <c r="M96" s="629">
        <v>3896</v>
      </c>
    </row>
    <row r="97" spans="1:13" s="630" customFormat="1">
      <c r="A97" s="632" t="s">
        <v>236</v>
      </c>
      <c r="B97" s="628" t="s">
        <v>237</v>
      </c>
      <c r="C97" s="627" t="s">
        <v>266</v>
      </c>
      <c r="D97" s="1016">
        <v>2331</v>
      </c>
      <c r="E97" s="1016">
        <v>2828</v>
      </c>
      <c r="F97" s="1016">
        <v>618</v>
      </c>
      <c r="G97" s="1016">
        <v>3216</v>
      </c>
      <c r="H97" s="1016">
        <v>2561</v>
      </c>
      <c r="I97" s="629">
        <v>2354</v>
      </c>
      <c r="J97" s="629">
        <v>2355</v>
      </c>
      <c r="K97" s="629">
        <v>413</v>
      </c>
      <c r="L97" s="629">
        <v>5777</v>
      </c>
      <c r="M97" s="629">
        <v>994</v>
      </c>
    </row>
    <row r="98" spans="1:13" s="630" customFormat="1">
      <c r="A98" s="632" t="s">
        <v>242</v>
      </c>
      <c r="B98" s="628" t="s">
        <v>243</v>
      </c>
      <c r="C98" s="627" t="s">
        <v>268</v>
      </c>
      <c r="D98" s="1016">
        <v>6055</v>
      </c>
      <c r="E98" s="1016">
        <v>8873</v>
      </c>
      <c r="F98" s="1016">
        <v>1173</v>
      </c>
      <c r="G98" s="1016">
        <v>8858</v>
      </c>
      <c r="H98" s="1016">
        <v>7243</v>
      </c>
      <c r="I98" s="629">
        <v>14119</v>
      </c>
      <c r="J98" s="629">
        <v>390</v>
      </c>
      <c r="K98" s="629">
        <v>392</v>
      </c>
      <c r="L98" s="629">
        <v>16101</v>
      </c>
      <c r="M98" s="629">
        <v>3473</v>
      </c>
    </row>
    <row r="99" spans="1:13" s="630" customFormat="1">
      <c r="A99" s="632" t="s">
        <v>244</v>
      </c>
      <c r="B99" s="628" t="s">
        <v>245</v>
      </c>
      <c r="C99" s="627" t="s">
        <v>268</v>
      </c>
      <c r="D99" s="1016">
        <v>3354</v>
      </c>
      <c r="E99" s="1016">
        <v>4546</v>
      </c>
      <c r="F99" s="1016">
        <v>840</v>
      </c>
      <c r="G99" s="1016">
        <v>4866</v>
      </c>
      <c r="H99" s="1016">
        <v>3875</v>
      </c>
      <c r="I99" s="629">
        <v>7531</v>
      </c>
      <c r="J99" s="629">
        <v>468</v>
      </c>
      <c r="K99" s="629">
        <v>291</v>
      </c>
      <c r="L99" s="629">
        <v>8741</v>
      </c>
      <c r="M99" s="629">
        <v>2244</v>
      </c>
    </row>
    <row r="100" spans="1:13" s="630" customFormat="1">
      <c r="A100" s="632" t="s">
        <v>246</v>
      </c>
      <c r="B100" s="628" t="s">
        <v>247</v>
      </c>
      <c r="C100" s="627" t="s">
        <v>264</v>
      </c>
      <c r="D100" s="1016">
        <v>3745</v>
      </c>
      <c r="E100" s="1016">
        <v>3596</v>
      </c>
      <c r="F100" s="1016">
        <v>465</v>
      </c>
      <c r="G100" s="1016">
        <v>4503</v>
      </c>
      <c r="H100" s="1016">
        <v>3302</v>
      </c>
      <c r="I100" s="629">
        <v>4376</v>
      </c>
      <c r="J100" s="629">
        <v>2321</v>
      </c>
      <c r="K100" s="629">
        <v>797</v>
      </c>
      <c r="L100" s="629">
        <v>7806</v>
      </c>
      <c r="M100" s="629">
        <v>1788</v>
      </c>
    </row>
    <row r="101" spans="1:13" s="630" customFormat="1">
      <c r="A101" s="632" t="s">
        <v>14</v>
      </c>
      <c r="B101" s="628" t="s">
        <v>15</v>
      </c>
      <c r="C101" s="627" t="s">
        <v>267</v>
      </c>
      <c r="D101" s="1016">
        <v>11531</v>
      </c>
      <c r="E101" s="1016">
        <v>7216</v>
      </c>
      <c r="F101" s="1016">
        <v>1722</v>
      </c>
      <c r="G101" s="1016">
        <v>11374</v>
      </c>
      <c r="H101" s="1016">
        <v>9095</v>
      </c>
      <c r="I101" s="629">
        <v>5148</v>
      </c>
      <c r="J101" s="629">
        <v>8588</v>
      </c>
      <c r="K101" s="629">
        <v>4180</v>
      </c>
      <c r="L101" s="629">
        <v>20469</v>
      </c>
      <c r="M101" s="629">
        <v>7633</v>
      </c>
    </row>
    <row r="102" spans="1:13" s="630" customFormat="1">
      <c r="A102" s="632" t="s">
        <v>34</v>
      </c>
      <c r="B102" s="628" t="s">
        <v>35</v>
      </c>
      <c r="C102" s="627" t="s">
        <v>268</v>
      </c>
      <c r="D102" s="1016">
        <v>3163</v>
      </c>
      <c r="E102" s="1016">
        <v>4437</v>
      </c>
      <c r="F102" s="1016">
        <v>592</v>
      </c>
      <c r="G102" s="1016">
        <v>4523</v>
      </c>
      <c r="H102" s="1016">
        <v>3669</v>
      </c>
      <c r="I102" s="629">
        <v>6703</v>
      </c>
      <c r="J102" s="629">
        <v>804</v>
      </c>
      <c r="K102" s="629">
        <v>297</v>
      </c>
      <c r="L102" s="629">
        <v>8192</v>
      </c>
      <c r="M102" s="629">
        <v>1372</v>
      </c>
    </row>
    <row r="103" spans="1:13" s="630" customFormat="1">
      <c r="A103" s="632" t="s">
        <v>52</v>
      </c>
      <c r="B103" s="628" t="s">
        <v>53</v>
      </c>
      <c r="C103" s="627" t="s">
        <v>265</v>
      </c>
      <c r="D103" s="1016">
        <v>4108</v>
      </c>
      <c r="E103" s="1016">
        <v>5395</v>
      </c>
      <c r="F103" s="1016">
        <v>656</v>
      </c>
      <c r="G103" s="1016">
        <v>5335</v>
      </c>
      <c r="H103" s="1016">
        <v>4824</v>
      </c>
      <c r="I103" s="629">
        <v>3240</v>
      </c>
      <c r="J103" s="629">
        <v>5350</v>
      </c>
      <c r="K103" s="629">
        <v>1127</v>
      </c>
      <c r="L103" s="629">
        <v>10159</v>
      </c>
      <c r="M103" s="629">
        <v>1509</v>
      </c>
    </row>
    <row r="104" spans="1:13" s="630" customFormat="1">
      <c r="A104" s="632" t="s">
        <v>54</v>
      </c>
      <c r="B104" s="628" t="s">
        <v>55</v>
      </c>
      <c r="C104" s="627" t="s">
        <v>264</v>
      </c>
      <c r="D104" s="1016">
        <v>22155</v>
      </c>
      <c r="E104" s="1016">
        <v>21826</v>
      </c>
      <c r="F104" s="1016">
        <v>2397</v>
      </c>
      <c r="G104" s="1016">
        <v>26890</v>
      </c>
      <c r="H104" s="1016">
        <v>19488</v>
      </c>
      <c r="I104" s="629">
        <v>15319</v>
      </c>
      <c r="J104" s="629">
        <v>24950</v>
      </c>
      <c r="K104" s="629">
        <v>3001</v>
      </c>
      <c r="L104" s="629">
        <v>46378</v>
      </c>
      <c r="M104" s="629">
        <v>6779</v>
      </c>
    </row>
    <row r="105" spans="1:13" s="630" customFormat="1">
      <c r="A105" s="632" t="s">
        <v>66</v>
      </c>
      <c r="B105" s="628" t="s">
        <v>67</v>
      </c>
      <c r="C105" s="627" t="s">
        <v>265</v>
      </c>
      <c r="D105" s="1016">
        <v>8452</v>
      </c>
      <c r="E105" s="1016">
        <v>11589</v>
      </c>
      <c r="F105" s="1016">
        <v>1934</v>
      </c>
      <c r="G105" s="1016">
        <v>12452</v>
      </c>
      <c r="H105" s="1016">
        <v>9523</v>
      </c>
      <c r="I105" s="629">
        <v>5584</v>
      </c>
      <c r="J105" s="629">
        <v>13569</v>
      </c>
      <c r="K105" s="629">
        <v>820</v>
      </c>
      <c r="L105" s="629">
        <v>21975</v>
      </c>
      <c r="M105" s="629">
        <v>2480</v>
      </c>
    </row>
    <row r="106" spans="1:13" s="630" customFormat="1">
      <c r="A106" s="632" t="s">
        <v>82</v>
      </c>
      <c r="B106" s="628" t="s">
        <v>83</v>
      </c>
      <c r="C106" s="627" t="s">
        <v>264</v>
      </c>
      <c r="D106" s="1016">
        <v>1763</v>
      </c>
      <c r="E106" s="1016">
        <v>2236</v>
      </c>
      <c r="F106" s="1016">
        <v>325</v>
      </c>
      <c r="G106" s="1016">
        <v>2521</v>
      </c>
      <c r="H106" s="1016">
        <v>1802</v>
      </c>
      <c r="I106" s="629">
        <v>471</v>
      </c>
      <c r="J106" s="629">
        <v>3405</v>
      </c>
      <c r="K106" s="629">
        <v>132</v>
      </c>
      <c r="L106" s="629">
        <v>4324</v>
      </c>
      <c r="M106" s="629">
        <v>192</v>
      </c>
    </row>
    <row r="107" spans="1:13" s="630" customFormat="1">
      <c r="A107" s="632" t="s">
        <v>88</v>
      </c>
      <c r="B107" s="628" t="s">
        <v>89</v>
      </c>
      <c r="C107" s="627" t="s">
        <v>267</v>
      </c>
      <c r="D107" s="1016">
        <v>3997</v>
      </c>
      <c r="E107" s="1016">
        <v>4368</v>
      </c>
      <c r="F107" s="1016">
        <v>469</v>
      </c>
      <c r="G107" s="1016">
        <v>4880</v>
      </c>
      <c r="H107" s="1016">
        <v>3953</v>
      </c>
      <c r="I107" s="629">
        <v>3235</v>
      </c>
      <c r="J107" s="629">
        <v>3543</v>
      </c>
      <c r="K107" s="629">
        <v>1029</v>
      </c>
      <c r="L107" s="629">
        <v>8834</v>
      </c>
      <c r="M107" s="629">
        <v>1688</v>
      </c>
    </row>
    <row r="108" spans="1:13" s="630" customFormat="1">
      <c r="A108" s="632" t="s">
        <v>90</v>
      </c>
      <c r="B108" s="628" t="s">
        <v>91</v>
      </c>
      <c r="C108" s="627" t="s">
        <v>268</v>
      </c>
      <c r="D108" s="1016">
        <v>1459</v>
      </c>
      <c r="E108" s="1016">
        <v>1681</v>
      </c>
      <c r="F108" s="1016">
        <v>358</v>
      </c>
      <c r="G108" s="1016">
        <v>1953</v>
      </c>
      <c r="H108" s="1016">
        <v>1545</v>
      </c>
      <c r="I108" s="629">
        <v>2654</v>
      </c>
      <c r="J108" s="629">
        <v>356</v>
      </c>
      <c r="K108" s="629">
        <v>199</v>
      </c>
      <c r="L108" s="629">
        <v>3498</v>
      </c>
      <c r="M108" s="629">
        <v>1083</v>
      </c>
    </row>
    <row r="109" spans="1:13" s="630" customFormat="1">
      <c r="A109" s="632" t="s">
        <v>106</v>
      </c>
      <c r="B109" s="628" t="s">
        <v>107</v>
      </c>
      <c r="C109" s="627" t="s">
        <v>264</v>
      </c>
      <c r="D109" s="1016">
        <v>18465</v>
      </c>
      <c r="E109" s="1016">
        <v>21146</v>
      </c>
      <c r="F109" s="1016">
        <v>1972</v>
      </c>
      <c r="G109" s="1016">
        <v>23878</v>
      </c>
      <c r="H109" s="1016">
        <v>17706</v>
      </c>
      <c r="I109" s="629">
        <v>8528</v>
      </c>
      <c r="J109" s="629">
        <v>25889</v>
      </c>
      <c r="K109" s="629">
        <v>2321</v>
      </c>
      <c r="L109" s="629">
        <v>41584</v>
      </c>
      <c r="M109" s="629">
        <v>3610</v>
      </c>
    </row>
    <row r="110" spans="1:13" s="630" customFormat="1">
      <c r="A110" s="632" t="s">
        <v>116</v>
      </c>
      <c r="B110" s="628" t="s">
        <v>117</v>
      </c>
      <c r="C110" s="627" t="s">
        <v>266</v>
      </c>
      <c r="D110" s="1016">
        <v>5308</v>
      </c>
      <c r="E110" s="1016">
        <v>5887</v>
      </c>
      <c r="F110" s="1016">
        <v>503</v>
      </c>
      <c r="G110" s="1016">
        <v>6593</v>
      </c>
      <c r="H110" s="1016">
        <v>5105</v>
      </c>
      <c r="I110" s="629">
        <v>4041</v>
      </c>
      <c r="J110" s="629">
        <v>5932</v>
      </c>
      <c r="K110" s="629">
        <v>514</v>
      </c>
      <c r="L110" s="629">
        <v>11698</v>
      </c>
      <c r="M110" s="629">
        <v>1306</v>
      </c>
    </row>
    <row r="111" spans="1:13" s="630" customFormat="1">
      <c r="A111" s="632" t="s">
        <v>138</v>
      </c>
      <c r="B111" s="628" t="s">
        <v>139</v>
      </c>
      <c r="C111" s="627" t="s">
        <v>265</v>
      </c>
      <c r="D111" s="1016">
        <v>10010</v>
      </c>
      <c r="E111" s="1016">
        <v>12424</v>
      </c>
      <c r="F111" s="1016">
        <v>1626</v>
      </c>
      <c r="G111" s="1016">
        <v>13441</v>
      </c>
      <c r="H111" s="1016">
        <v>10619</v>
      </c>
      <c r="I111" s="629">
        <v>7600</v>
      </c>
      <c r="J111" s="629">
        <v>13039</v>
      </c>
      <c r="K111" s="629">
        <v>1041</v>
      </c>
      <c r="L111" s="629">
        <v>24060</v>
      </c>
      <c r="M111" s="629">
        <v>2905</v>
      </c>
    </row>
    <row r="112" spans="1:13" s="630" customFormat="1">
      <c r="A112" s="632" t="s">
        <v>142</v>
      </c>
      <c r="B112" s="628" t="s">
        <v>143</v>
      </c>
      <c r="C112" s="627" t="s">
        <v>267</v>
      </c>
      <c r="D112" s="1016">
        <v>6877</v>
      </c>
      <c r="E112" s="1016">
        <v>3104</v>
      </c>
      <c r="F112" s="1016">
        <v>296</v>
      </c>
      <c r="G112" s="1016">
        <v>5579</v>
      </c>
      <c r="H112" s="1016">
        <v>4698</v>
      </c>
      <c r="I112" s="629">
        <v>3863</v>
      </c>
      <c r="J112" s="629">
        <v>1982</v>
      </c>
      <c r="K112" s="629">
        <v>3005</v>
      </c>
      <c r="L112" s="629">
        <v>10277</v>
      </c>
      <c r="M112" s="629">
        <v>5699</v>
      </c>
    </row>
    <row r="113" spans="1:13" s="630" customFormat="1">
      <c r="A113" s="632" t="s">
        <v>144</v>
      </c>
      <c r="B113" s="628" t="s">
        <v>145</v>
      </c>
      <c r="C113" s="627" t="s">
        <v>267</v>
      </c>
      <c r="D113" s="1016">
        <v>2281</v>
      </c>
      <c r="E113" s="1016">
        <v>904</v>
      </c>
      <c r="F113" s="1016">
        <v>164</v>
      </c>
      <c r="G113" s="1016">
        <v>1790</v>
      </c>
      <c r="H113" s="1016">
        <v>1559</v>
      </c>
      <c r="I113" s="629">
        <v>1204</v>
      </c>
      <c r="J113" s="629">
        <v>375</v>
      </c>
      <c r="K113" s="629">
        <v>1375</v>
      </c>
      <c r="L113" s="629">
        <v>3349</v>
      </c>
      <c r="M113" s="629">
        <v>1817</v>
      </c>
    </row>
    <row r="114" spans="1:13" s="630" customFormat="1">
      <c r="A114" s="632" t="s">
        <v>158</v>
      </c>
      <c r="B114" s="628" t="s">
        <v>159</v>
      </c>
      <c r="C114" s="627" t="s">
        <v>264</v>
      </c>
      <c r="D114" s="1016">
        <v>28189</v>
      </c>
      <c r="E114" s="1016">
        <v>31429</v>
      </c>
      <c r="F114" s="1016">
        <v>2830</v>
      </c>
      <c r="G114" s="1016">
        <v>35723</v>
      </c>
      <c r="H114" s="1016">
        <v>26725</v>
      </c>
      <c r="I114" s="629">
        <v>11986</v>
      </c>
      <c r="J114" s="629">
        <v>39932</v>
      </c>
      <c r="K114" s="629">
        <v>4764</v>
      </c>
      <c r="L114" s="629">
        <v>62448</v>
      </c>
      <c r="M114" s="629">
        <v>7153</v>
      </c>
    </row>
    <row r="115" spans="1:13" s="630" customFormat="1">
      <c r="A115" s="632" t="s">
        <v>160</v>
      </c>
      <c r="B115" s="628" t="s">
        <v>161</v>
      </c>
      <c r="C115" s="627" t="s">
        <v>264</v>
      </c>
      <c r="D115" s="1016">
        <v>35484</v>
      </c>
      <c r="E115" s="1016">
        <v>42364</v>
      </c>
      <c r="F115" s="1016">
        <v>4527</v>
      </c>
      <c r="G115" s="1016">
        <v>46881</v>
      </c>
      <c r="H115" s="1016">
        <v>35495</v>
      </c>
      <c r="I115" s="629">
        <v>14239</v>
      </c>
      <c r="J115" s="629">
        <v>57367</v>
      </c>
      <c r="K115" s="629">
        <v>4320</v>
      </c>
      <c r="L115" s="629">
        <v>82376</v>
      </c>
      <c r="M115" s="629">
        <v>7243</v>
      </c>
    </row>
    <row r="116" spans="1:13" s="630" customFormat="1">
      <c r="A116" s="632" t="s">
        <v>166</v>
      </c>
      <c r="B116" s="628" t="s">
        <v>167</v>
      </c>
      <c r="C116" s="627" t="s">
        <v>268</v>
      </c>
      <c r="D116" s="1016">
        <v>693</v>
      </c>
      <c r="E116" s="1016">
        <v>1067</v>
      </c>
      <c r="F116" s="1016">
        <v>156</v>
      </c>
      <c r="G116" s="1016">
        <v>1122</v>
      </c>
      <c r="H116" s="1016">
        <v>794</v>
      </c>
      <c r="I116" s="629">
        <v>1575</v>
      </c>
      <c r="J116" s="629">
        <v>153</v>
      </c>
      <c r="K116" s="629">
        <v>85</v>
      </c>
      <c r="L116" s="629">
        <v>1916</v>
      </c>
      <c r="M116" s="629">
        <v>376</v>
      </c>
    </row>
    <row r="117" spans="1:13" s="630" customFormat="1">
      <c r="A117" s="632" t="s">
        <v>176</v>
      </c>
      <c r="B117" s="628" t="s">
        <v>177</v>
      </c>
      <c r="C117" s="627" t="s">
        <v>266</v>
      </c>
      <c r="D117" s="1016">
        <v>7002</v>
      </c>
      <c r="E117" s="1016">
        <v>9992</v>
      </c>
      <c r="F117" s="1016">
        <v>1165</v>
      </c>
      <c r="G117" s="1016">
        <v>9934</v>
      </c>
      <c r="H117" s="1016">
        <v>8225</v>
      </c>
      <c r="I117" s="629">
        <v>1442</v>
      </c>
      <c r="J117" s="629">
        <v>14641</v>
      </c>
      <c r="K117" s="629">
        <v>575</v>
      </c>
      <c r="L117" s="629">
        <v>18159</v>
      </c>
      <c r="M117" s="629">
        <v>956</v>
      </c>
    </row>
    <row r="118" spans="1:13" s="630" customFormat="1">
      <c r="A118" s="632" t="s">
        <v>180</v>
      </c>
      <c r="B118" s="628" t="s">
        <v>181</v>
      </c>
      <c r="C118" s="627" t="s">
        <v>264</v>
      </c>
      <c r="D118" s="1016">
        <v>17522</v>
      </c>
      <c r="E118" s="1016">
        <v>20254</v>
      </c>
      <c r="F118" s="1016">
        <v>2111</v>
      </c>
      <c r="G118" s="1016">
        <v>22848</v>
      </c>
      <c r="H118" s="1016">
        <v>17047</v>
      </c>
      <c r="I118" s="629">
        <v>6559</v>
      </c>
      <c r="J118" s="629">
        <v>28774</v>
      </c>
      <c r="K118" s="629">
        <v>1340</v>
      </c>
      <c r="L118" s="629">
        <v>39895</v>
      </c>
      <c r="M118" s="629">
        <v>2465</v>
      </c>
    </row>
    <row r="119" spans="1:13" s="630" customFormat="1">
      <c r="A119" s="632" t="s">
        <v>192</v>
      </c>
      <c r="B119" s="628" t="s">
        <v>193</v>
      </c>
      <c r="C119" s="627" t="s">
        <v>268</v>
      </c>
      <c r="D119" s="1016">
        <v>1407</v>
      </c>
      <c r="E119" s="1016">
        <v>1869</v>
      </c>
      <c r="F119" s="1016">
        <v>155</v>
      </c>
      <c r="G119" s="1016">
        <v>1956</v>
      </c>
      <c r="H119" s="1016">
        <v>1475</v>
      </c>
      <c r="I119" s="629">
        <v>2405</v>
      </c>
      <c r="J119" s="629">
        <v>565</v>
      </c>
      <c r="K119" s="629">
        <v>177</v>
      </c>
      <c r="L119" s="629">
        <v>3431</v>
      </c>
      <c r="M119" s="629">
        <v>651</v>
      </c>
    </row>
    <row r="120" spans="1:13" s="630" customFormat="1">
      <c r="A120" s="632" t="s">
        <v>196</v>
      </c>
      <c r="B120" s="628" t="s">
        <v>197</v>
      </c>
      <c r="C120" s="627" t="s">
        <v>266</v>
      </c>
      <c r="D120" s="1016">
        <v>34470</v>
      </c>
      <c r="E120" s="1016">
        <v>45481</v>
      </c>
      <c r="F120" s="1016">
        <v>5273</v>
      </c>
      <c r="G120" s="1016">
        <v>46417</v>
      </c>
      <c r="H120" s="1016">
        <v>38807</v>
      </c>
      <c r="I120" s="629">
        <v>8751</v>
      </c>
      <c r="J120" s="629">
        <v>63835</v>
      </c>
      <c r="K120" s="629">
        <v>4805</v>
      </c>
      <c r="L120" s="629">
        <v>85225</v>
      </c>
      <c r="M120" s="629">
        <v>7453</v>
      </c>
    </row>
    <row r="121" spans="1:13" s="630" customFormat="1">
      <c r="A121" s="632" t="s">
        <v>200</v>
      </c>
      <c r="B121" s="628" t="s">
        <v>201</v>
      </c>
      <c r="C121" s="627" t="s">
        <v>265</v>
      </c>
      <c r="D121" s="1016">
        <v>17807</v>
      </c>
      <c r="E121" s="1016">
        <v>22210</v>
      </c>
      <c r="F121" s="1016">
        <v>2597</v>
      </c>
      <c r="G121" s="1016">
        <v>23255</v>
      </c>
      <c r="H121" s="1016">
        <v>19357</v>
      </c>
      <c r="I121" s="629">
        <v>19086</v>
      </c>
      <c r="J121" s="629">
        <v>17711</v>
      </c>
      <c r="K121" s="629">
        <v>2990</v>
      </c>
      <c r="L121" s="629">
        <v>42614</v>
      </c>
      <c r="M121" s="629">
        <v>6820</v>
      </c>
    </row>
    <row r="122" spans="1:13" s="630" customFormat="1">
      <c r="A122" s="632" t="s">
        <v>222</v>
      </c>
      <c r="B122" s="628" t="s">
        <v>223</v>
      </c>
      <c r="C122" s="627" t="s">
        <v>264</v>
      </c>
      <c r="D122" s="1016">
        <v>9718</v>
      </c>
      <c r="E122" s="1016">
        <v>11436</v>
      </c>
      <c r="F122" s="1016">
        <v>1614</v>
      </c>
      <c r="G122" s="1016">
        <v>13011</v>
      </c>
      <c r="H122" s="1016">
        <v>9757</v>
      </c>
      <c r="I122" s="629">
        <v>4961</v>
      </c>
      <c r="J122" s="629">
        <v>15426</v>
      </c>
      <c r="K122" s="629">
        <v>819</v>
      </c>
      <c r="L122" s="629">
        <v>22768</v>
      </c>
      <c r="M122" s="629">
        <v>1957</v>
      </c>
    </row>
    <row r="123" spans="1:13" s="630" customFormat="1">
      <c r="A123" s="632" t="s">
        <v>230</v>
      </c>
      <c r="B123" s="628" t="s">
        <v>231</v>
      </c>
      <c r="C123" s="627" t="s">
        <v>264</v>
      </c>
      <c r="D123" s="1016">
        <v>35620</v>
      </c>
      <c r="E123" s="1016">
        <v>34341</v>
      </c>
      <c r="F123" s="1016">
        <v>3830</v>
      </c>
      <c r="G123" s="1016">
        <v>42139</v>
      </c>
      <c r="H123" s="1016">
        <v>31652</v>
      </c>
      <c r="I123" s="629">
        <v>26574</v>
      </c>
      <c r="J123" s="629">
        <v>28882</v>
      </c>
      <c r="K123" s="629">
        <v>8639</v>
      </c>
      <c r="L123" s="629">
        <v>73791</v>
      </c>
      <c r="M123" s="629">
        <v>13796</v>
      </c>
    </row>
    <row r="124" spans="1:13" s="630" customFormat="1">
      <c r="A124" s="632" t="s">
        <v>238</v>
      </c>
      <c r="B124" s="628" t="s">
        <v>239</v>
      </c>
      <c r="C124" s="627" t="s">
        <v>264</v>
      </c>
      <c r="D124" s="1016">
        <v>1165</v>
      </c>
      <c r="E124" s="1016">
        <v>1223</v>
      </c>
      <c r="F124" s="1016">
        <v>101</v>
      </c>
      <c r="G124" s="1016">
        <v>1361</v>
      </c>
      <c r="H124" s="1016">
        <v>1128</v>
      </c>
      <c r="I124" s="629">
        <v>986</v>
      </c>
      <c r="J124" s="629">
        <v>1123</v>
      </c>
      <c r="K124" s="629">
        <v>252</v>
      </c>
      <c r="L124" s="629">
        <v>2489</v>
      </c>
      <c r="M124" s="629">
        <v>451</v>
      </c>
    </row>
    <row r="125" spans="1:13" s="630" customFormat="1">
      <c r="A125" s="632" t="s">
        <v>240</v>
      </c>
      <c r="B125" s="628" t="s">
        <v>241</v>
      </c>
      <c r="C125" s="627" t="s">
        <v>267</v>
      </c>
      <c r="D125" s="1016">
        <v>4505</v>
      </c>
      <c r="E125" s="1016">
        <v>3833</v>
      </c>
      <c r="F125" s="1016">
        <v>503</v>
      </c>
      <c r="G125" s="1016">
        <v>4692</v>
      </c>
      <c r="H125" s="1016">
        <v>4149</v>
      </c>
      <c r="I125" s="629">
        <v>5357</v>
      </c>
      <c r="J125" s="629">
        <v>1579</v>
      </c>
      <c r="K125" s="629">
        <v>1039</v>
      </c>
      <c r="L125" s="629">
        <v>8841</v>
      </c>
      <c r="M125" s="629">
        <v>2966</v>
      </c>
    </row>
    <row r="126" spans="1:13">
      <c r="B126" s="529"/>
      <c r="C126" s="529"/>
      <c r="D126" s="529"/>
      <c r="E126" s="529"/>
      <c r="F126" s="529"/>
      <c r="G126" s="529"/>
      <c r="H126" s="529"/>
    </row>
    <row r="128" spans="1:13">
      <c r="A128" s="1345" t="s">
        <v>999</v>
      </c>
      <c r="B128" s="1344"/>
      <c r="C128" s="1344"/>
      <c r="D128" s="1344"/>
      <c r="E128" s="1344"/>
      <c r="F128" s="1344"/>
      <c r="G128" s="1318"/>
      <c r="H128" s="1318"/>
    </row>
    <row r="130" spans="1:8" s="428" customFormat="1">
      <c r="A130" s="428" t="s">
        <v>248</v>
      </c>
    </row>
    <row r="131" spans="1:8" s="428" customFormat="1">
      <c r="A131" s="429" t="s">
        <v>249</v>
      </c>
      <c r="B131" s="430" t="s">
        <v>250</v>
      </c>
      <c r="C131" s="430"/>
      <c r="D131" s="430"/>
      <c r="E131" s="430"/>
      <c r="F131" s="430"/>
      <c r="G131" s="430"/>
      <c r="H131" s="430"/>
    </row>
  </sheetData>
  <sortState ref="A6:M125">
    <sortCondition ref="A6:A125"/>
  </sortState>
  <mergeCells count="3">
    <mergeCell ref="D3:F3"/>
    <mergeCell ref="G3:H3"/>
    <mergeCell ref="I3:K3"/>
  </mergeCells>
  <hyperlinks>
    <hyperlink ref="B131" r:id="rId1"/>
  </hyperlinks>
  <pageMargins left="0.7" right="0.7" top="0.75" bottom="0.75" header="0.3" footer="0.3"/>
</worksheet>
</file>

<file path=xl/worksheets/sheet34.xml><?xml version="1.0" encoding="utf-8"?>
<worksheet xmlns="http://schemas.openxmlformats.org/spreadsheetml/2006/main" xmlns:r="http://schemas.openxmlformats.org/officeDocument/2006/relationships">
  <dimension ref="A1:V130"/>
  <sheetViews>
    <sheetView zoomScaleNormal="100" workbookViewId="0">
      <pane xSplit="2" ySplit="5" topLeftCell="C6" activePane="bottomRight" state="frozen"/>
      <selection pane="topRight" activeCell="C1" sqref="C1"/>
      <selection pane="bottomLeft" activeCell="A6" sqref="A6"/>
      <selection pane="bottomRight" activeCell="A6" sqref="A6:XFD125"/>
    </sheetView>
  </sheetViews>
  <sheetFormatPr defaultRowHeight="15.75"/>
  <cols>
    <col min="1" max="1" width="6.875" style="590" bestFit="1" customWidth="1"/>
    <col min="2" max="2" width="30.875" style="594" customWidth="1"/>
    <col min="3" max="3" width="12.875" style="594" customWidth="1"/>
    <col min="4" max="4" width="7.75" style="590" bestFit="1" customWidth="1"/>
    <col min="5" max="5" width="8.875" style="590" bestFit="1" customWidth="1"/>
    <col min="6" max="9" width="9" style="590" customWidth="1"/>
    <col min="10" max="10" width="10.75" style="590" customWidth="1"/>
    <col min="11" max="11" width="9" style="590" customWidth="1"/>
    <col min="12" max="12" width="1.5" style="590" customWidth="1"/>
    <col min="13" max="13" width="9.25" style="590" customWidth="1"/>
    <col min="14" max="14" width="2.75" style="590" customWidth="1"/>
    <col min="15" max="15" width="7.125" style="590" bestFit="1" customWidth="1"/>
    <col min="16" max="17" width="9" style="590"/>
    <col min="18" max="21" width="10.875" style="590" customWidth="1"/>
    <col min="22" max="16384" width="9" style="590"/>
  </cols>
  <sheetData>
    <row r="1" spans="1:22" ht="15.75" customHeight="1">
      <c r="A1" s="1262" t="s">
        <v>1220</v>
      </c>
      <c r="B1" s="589"/>
      <c r="C1" s="589"/>
      <c r="D1" s="589"/>
      <c r="E1" s="589"/>
      <c r="F1" s="589"/>
      <c r="G1" s="589"/>
      <c r="H1" s="589"/>
      <c r="I1" s="589"/>
      <c r="J1" s="589"/>
      <c r="K1" s="589"/>
      <c r="L1" s="589"/>
      <c r="M1" s="589"/>
      <c r="N1" s="589"/>
      <c r="O1" s="589"/>
      <c r="P1" s="589"/>
    </row>
    <row r="2" spans="1:22">
      <c r="A2" s="591"/>
      <c r="B2" s="591"/>
      <c r="C2" s="591"/>
      <c r="D2" s="592"/>
      <c r="E2" s="593"/>
      <c r="F2" s="593"/>
      <c r="G2" s="1259"/>
      <c r="H2" s="1259"/>
      <c r="I2" s="1259"/>
      <c r="J2" s="1259"/>
      <c r="K2" s="593"/>
      <c r="L2" s="589"/>
      <c r="M2" s="589"/>
      <c r="N2" s="589"/>
      <c r="O2" s="593"/>
      <c r="P2" s="593"/>
    </row>
    <row r="3" spans="1:22" ht="15.75" customHeight="1">
      <c r="D3" s="1926" t="s">
        <v>789</v>
      </c>
      <c r="E3" s="1926"/>
      <c r="F3" s="1926"/>
      <c r="G3" s="1926"/>
      <c r="H3" s="1926"/>
      <c r="I3" s="1926"/>
      <c r="J3" s="1926"/>
      <c r="K3" s="1926"/>
      <c r="L3" s="595"/>
      <c r="M3" s="595"/>
      <c r="N3" s="595"/>
      <c r="O3" s="1923" t="s">
        <v>280</v>
      </c>
      <c r="P3" s="1923"/>
    </row>
    <row r="4" spans="1:22" ht="63">
      <c r="A4" s="596" t="s">
        <v>4</v>
      </c>
      <c r="B4" s="597" t="s">
        <v>5</v>
      </c>
      <c r="C4" s="592" t="s">
        <v>251</v>
      </c>
      <c r="D4" s="598" t="s">
        <v>281</v>
      </c>
      <c r="E4" s="598" t="s">
        <v>2</v>
      </c>
      <c r="F4" s="1577" t="s">
        <v>450</v>
      </c>
      <c r="G4" s="1577" t="s">
        <v>1212</v>
      </c>
      <c r="H4" s="1260" t="s">
        <v>894</v>
      </c>
      <c r="I4" s="1260" t="s">
        <v>556</v>
      </c>
      <c r="J4" s="1260" t="s">
        <v>895</v>
      </c>
      <c r="K4" s="599" t="s">
        <v>793</v>
      </c>
      <c r="L4" s="598"/>
      <c r="M4" s="1260" t="s">
        <v>451</v>
      </c>
      <c r="N4" s="1260"/>
      <c r="O4" s="598" t="s">
        <v>2</v>
      </c>
      <c r="P4" s="598" t="s">
        <v>3</v>
      </c>
      <c r="R4" s="1661" t="s">
        <v>1221</v>
      </c>
      <c r="S4" s="1661" t="s">
        <v>1222</v>
      </c>
      <c r="T4" s="1661" t="s">
        <v>1223</v>
      </c>
      <c r="U4" s="1661" t="s">
        <v>1224</v>
      </c>
      <c r="V4" s="590" t="s">
        <v>1226</v>
      </c>
    </row>
    <row r="5" spans="1:22">
      <c r="A5" s="600" t="s">
        <v>8</v>
      </c>
      <c r="B5" s="601" t="s">
        <v>9</v>
      </c>
      <c r="C5" s="601"/>
      <c r="D5" s="602">
        <f t="shared" ref="D5:K5" si="0">SUM(D6:D125)</f>
        <v>4620</v>
      </c>
      <c r="E5" s="602">
        <f t="shared" si="0"/>
        <v>2224</v>
      </c>
      <c r="F5" s="602">
        <f t="shared" si="0"/>
        <v>1455</v>
      </c>
      <c r="G5" s="602">
        <f t="shared" si="0"/>
        <v>22</v>
      </c>
      <c r="H5" s="602">
        <f t="shared" si="0"/>
        <v>4</v>
      </c>
      <c r="I5" s="602">
        <f>SUM(I6:I125)</f>
        <v>433</v>
      </c>
      <c r="J5" s="602">
        <f>SUM(J6:J125)</f>
        <v>418</v>
      </c>
      <c r="K5" s="602">
        <f t="shared" si="0"/>
        <v>64</v>
      </c>
      <c r="L5" s="603"/>
      <c r="M5" s="603">
        <f>SUM(M6:M125)</f>
        <v>941</v>
      </c>
      <c r="N5" s="603"/>
      <c r="O5" s="604">
        <f>+E5/D5</f>
        <v>0.48138528138528136</v>
      </c>
      <c r="P5" s="604">
        <f>+F5/D5</f>
        <v>0.31493506493506496</v>
      </c>
      <c r="R5" s="603">
        <f t="shared" ref="R5:V5" si="1">SUM(R6:R125)</f>
        <v>1425</v>
      </c>
      <c r="S5" s="603">
        <f t="shared" si="1"/>
        <v>991</v>
      </c>
      <c r="T5" s="603">
        <f t="shared" si="1"/>
        <v>1221</v>
      </c>
      <c r="U5" s="603">
        <f t="shared" si="1"/>
        <v>983</v>
      </c>
      <c r="V5" s="603">
        <f t="shared" si="1"/>
        <v>0</v>
      </c>
    </row>
    <row r="6" spans="1:22">
      <c r="A6" s="605" t="s">
        <v>10</v>
      </c>
      <c r="B6" s="606" t="s">
        <v>11</v>
      </c>
      <c r="C6" s="607" t="s">
        <v>264</v>
      </c>
      <c r="D6" s="608">
        <v>7</v>
      </c>
      <c r="E6" s="608">
        <v>3</v>
      </c>
      <c r="F6" s="608">
        <v>2</v>
      </c>
      <c r="G6" s="608">
        <v>0</v>
      </c>
      <c r="H6" s="608">
        <v>0</v>
      </c>
      <c r="I6" s="608">
        <v>0</v>
      </c>
      <c r="J6" s="608">
        <v>2</v>
      </c>
      <c r="K6" s="608">
        <v>0</v>
      </c>
      <c r="L6" s="609"/>
      <c r="M6" s="609">
        <f t="shared" ref="M6:M37" si="2">SUM(G6:K6)</f>
        <v>2</v>
      </c>
      <c r="N6" s="609"/>
      <c r="O6" s="610">
        <f t="shared" ref="O6:O37" si="3">IF(D6=0,"N/A",+E6/D6)</f>
        <v>0.42857142857142855</v>
      </c>
      <c r="P6" s="610">
        <f t="shared" ref="P6:P37" si="4">IF(D6=0,"N/A",+F6/D6)</f>
        <v>0.2857142857142857</v>
      </c>
      <c r="R6" s="590">
        <v>3</v>
      </c>
      <c r="S6" s="590">
        <v>1</v>
      </c>
      <c r="T6" s="590">
        <v>2</v>
      </c>
      <c r="U6" s="590">
        <v>1</v>
      </c>
      <c r="V6" s="590">
        <v>0</v>
      </c>
    </row>
    <row r="7" spans="1:22">
      <c r="A7" s="605" t="s">
        <v>12</v>
      </c>
      <c r="B7" s="606" t="s">
        <v>13</v>
      </c>
      <c r="C7" s="607" t="s">
        <v>265</v>
      </c>
      <c r="D7" s="608">
        <v>96</v>
      </c>
      <c r="E7" s="608">
        <v>47</v>
      </c>
      <c r="F7" s="608">
        <v>24</v>
      </c>
      <c r="G7" s="608">
        <v>0</v>
      </c>
      <c r="H7" s="608">
        <v>0</v>
      </c>
      <c r="I7" s="608">
        <v>18</v>
      </c>
      <c r="J7" s="608">
        <v>5</v>
      </c>
      <c r="K7" s="608">
        <v>2</v>
      </c>
      <c r="L7" s="609"/>
      <c r="M7" s="609">
        <f t="shared" si="2"/>
        <v>25</v>
      </c>
      <c r="N7" s="609"/>
      <c r="O7" s="610">
        <f t="shared" si="3"/>
        <v>0.48958333333333331</v>
      </c>
      <c r="P7" s="610">
        <f t="shared" si="4"/>
        <v>0.25</v>
      </c>
      <c r="R7" s="590">
        <v>26</v>
      </c>
      <c r="S7" s="590">
        <v>21</v>
      </c>
      <c r="T7" s="590">
        <v>24</v>
      </c>
      <c r="U7" s="590">
        <v>25</v>
      </c>
      <c r="V7" s="590">
        <v>0</v>
      </c>
    </row>
    <row r="8" spans="1:22">
      <c r="A8" s="605" t="s">
        <v>16</v>
      </c>
      <c r="B8" s="606" t="s">
        <v>17</v>
      </c>
      <c r="C8" s="607" t="s">
        <v>265</v>
      </c>
      <c r="D8" s="608">
        <v>7</v>
      </c>
      <c r="E8" s="608">
        <v>4</v>
      </c>
      <c r="F8" s="608">
        <v>1</v>
      </c>
      <c r="G8" s="608">
        <v>0</v>
      </c>
      <c r="H8" s="608">
        <v>0</v>
      </c>
      <c r="I8" s="608">
        <v>2</v>
      </c>
      <c r="J8" s="608">
        <v>0</v>
      </c>
      <c r="K8" s="608">
        <v>0</v>
      </c>
      <c r="L8" s="609"/>
      <c r="M8" s="609">
        <f t="shared" si="2"/>
        <v>2</v>
      </c>
      <c r="N8" s="609"/>
      <c r="O8" s="610">
        <f t="shared" si="3"/>
        <v>0.5714285714285714</v>
      </c>
      <c r="P8" s="610">
        <f t="shared" si="4"/>
        <v>0.14285714285714285</v>
      </c>
      <c r="R8" s="590">
        <v>0</v>
      </c>
      <c r="S8" s="590">
        <v>0</v>
      </c>
      <c r="T8" s="590">
        <v>1</v>
      </c>
      <c r="U8" s="590">
        <v>6</v>
      </c>
      <c r="V8" s="590">
        <v>0</v>
      </c>
    </row>
    <row r="9" spans="1:22">
      <c r="A9" s="605" t="s">
        <v>18</v>
      </c>
      <c r="B9" s="606" t="s">
        <v>19</v>
      </c>
      <c r="C9" s="607" t="s">
        <v>266</v>
      </c>
      <c r="D9" s="608">
        <v>1</v>
      </c>
      <c r="E9" s="608">
        <v>1</v>
      </c>
      <c r="F9" s="608">
        <v>0</v>
      </c>
      <c r="G9" s="608">
        <v>0</v>
      </c>
      <c r="H9" s="608">
        <v>0</v>
      </c>
      <c r="I9" s="608">
        <v>0</v>
      </c>
      <c r="J9" s="608">
        <v>0</v>
      </c>
      <c r="K9" s="608">
        <v>0</v>
      </c>
      <c r="L9" s="609"/>
      <c r="M9" s="609">
        <f t="shared" si="2"/>
        <v>0</v>
      </c>
      <c r="N9" s="609"/>
      <c r="O9" s="610">
        <f t="shared" si="3"/>
        <v>1</v>
      </c>
      <c r="P9" s="610">
        <f t="shared" si="4"/>
        <v>0</v>
      </c>
      <c r="R9" s="590">
        <v>0</v>
      </c>
      <c r="S9" s="590">
        <v>1</v>
      </c>
      <c r="T9" s="590">
        <v>0</v>
      </c>
      <c r="U9" s="590">
        <v>0</v>
      </c>
      <c r="V9" s="590">
        <v>0</v>
      </c>
    </row>
    <row r="10" spans="1:22">
      <c r="A10" s="605" t="s">
        <v>20</v>
      </c>
      <c r="B10" s="606" t="s">
        <v>21</v>
      </c>
      <c r="C10" s="607" t="s">
        <v>265</v>
      </c>
      <c r="D10" s="608">
        <v>16</v>
      </c>
      <c r="E10" s="608">
        <v>13</v>
      </c>
      <c r="F10" s="608">
        <v>3</v>
      </c>
      <c r="G10" s="608">
        <v>0</v>
      </c>
      <c r="H10" s="608">
        <v>0</v>
      </c>
      <c r="I10" s="608">
        <v>0</v>
      </c>
      <c r="J10" s="608">
        <v>0</v>
      </c>
      <c r="K10" s="608">
        <v>0</v>
      </c>
      <c r="L10" s="609"/>
      <c r="M10" s="609">
        <f t="shared" si="2"/>
        <v>0</v>
      </c>
      <c r="N10" s="609"/>
      <c r="O10" s="610">
        <f t="shared" si="3"/>
        <v>0.8125</v>
      </c>
      <c r="P10" s="610">
        <f t="shared" si="4"/>
        <v>0.1875</v>
      </c>
      <c r="R10" s="590">
        <v>4</v>
      </c>
      <c r="S10" s="590">
        <v>4</v>
      </c>
      <c r="T10" s="590">
        <v>5</v>
      </c>
      <c r="U10" s="590">
        <v>3</v>
      </c>
      <c r="V10" s="590">
        <v>0</v>
      </c>
    </row>
    <row r="11" spans="1:22">
      <c r="A11" s="605" t="s">
        <v>22</v>
      </c>
      <c r="B11" s="606" t="s">
        <v>23</v>
      </c>
      <c r="C11" s="607" t="s">
        <v>265</v>
      </c>
      <c r="D11" s="608">
        <v>15</v>
      </c>
      <c r="E11" s="608">
        <v>9</v>
      </c>
      <c r="F11" s="608">
        <v>2</v>
      </c>
      <c r="G11" s="608">
        <v>0</v>
      </c>
      <c r="H11" s="608">
        <v>0</v>
      </c>
      <c r="I11" s="608">
        <v>0</v>
      </c>
      <c r="J11" s="608">
        <v>4</v>
      </c>
      <c r="K11" s="608">
        <v>0</v>
      </c>
      <c r="L11" s="609"/>
      <c r="M11" s="609">
        <f t="shared" si="2"/>
        <v>4</v>
      </c>
      <c r="N11" s="609"/>
      <c r="O11" s="610">
        <f t="shared" si="3"/>
        <v>0.6</v>
      </c>
      <c r="P11" s="610">
        <f t="shared" si="4"/>
        <v>0.13333333333333333</v>
      </c>
      <c r="R11" s="590">
        <v>4</v>
      </c>
      <c r="S11" s="590">
        <v>3</v>
      </c>
      <c r="T11" s="590">
        <v>5</v>
      </c>
      <c r="U11" s="590">
        <v>3</v>
      </c>
      <c r="V11" s="590">
        <v>0</v>
      </c>
    </row>
    <row r="12" spans="1:22">
      <c r="A12" s="605" t="s">
        <v>24</v>
      </c>
      <c r="B12" s="606" t="s">
        <v>25</v>
      </c>
      <c r="C12" s="607" t="s">
        <v>267</v>
      </c>
      <c r="D12" s="608">
        <v>64</v>
      </c>
      <c r="E12" s="608">
        <v>5</v>
      </c>
      <c r="F12" s="608">
        <v>27</v>
      </c>
      <c r="G12" s="608">
        <v>3</v>
      </c>
      <c r="H12" s="608">
        <v>0</v>
      </c>
      <c r="I12" s="608">
        <v>23</v>
      </c>
      <c r="J12" s="608">
        <v>5</v>
      </c>
      <c r="K12" s="608">
        <v>1</v>
      </c>
      <c r="L12" s="609"/>
      <c r="M12" s="609">
        <f t="shared" si="2"/>
        <v>32</v>
      </c>
      <c r="N12" s="609"/>
      <c r="O12" s="610">
        <f t="shared" si="3"/>
        <v>7.8125E-2</v>
      </c>
      <c r="P12" s="610">
        <f t="shared" si="4"/>
        <v>0.421875</v>
      </c>
      <c r="R12" s="590">
        <v>20</v>
      </c>
      <c r="S12" s="590">
        <v>10</v>
      </c>
      <c r="T12" s="590">
        <v>17</v>
      </c>
      <c r="U12" s="590">
        <v>17</v>
      </c>
      <c r="V12" s="590">
        <v>0</v>
      </c>
    </row>
    <row r="13" spans="1:22">
      <c r="A13" s="605" t="s">
        <v>26</v>
      </c>
      <c r="B13" s="606" t="s">
        <v>706</v>
      </c>
      <c r="C13" s="607" t="s">
        <v>265</v>
      </c>
      <c r="D13" s="608">
        <v>178</v>
      </c>
      <c r="E13" s="608">
        <v>107</v>
      </c>
      <c r="F13" s="608">
        <v>15</v>
      </c>
      <c r="G13" s="608">
        <v>0</v>
      </c>
      <c r="H13" s="608">
        <v>0</v>
      </c>
      <c r="I13" s="608">
        <v>19</v>
      </c>
      <c r="J13" s="608">
        <v>35</v>
      </c>
      <c r="K13" s="608">
        <v>2</v>
      </c>
      <c r="L13" s="609"/>
      <c r="M13" s="609">
        <f t="shared" si="2"/>
        <v>56</v>
      </c>
      <c r="N13" s="609"/>
      <c r="O13" s="610">
        <f t="shared" si="3"/>
        <v>0.601123595505618</v>
      </c>
      <c r="P13" s="610">
        <f t="shared" si="4"/>
        <v>8.4269662921348312E-2</v>
      </c>
      <c r="R13" s="590">
        <v>70</v>
      </c>
      <c r="S13" s="590">
        <v>39</v>
      </c>
      <c r="T13" s="590">
        <v>40</v>
      </c>
      <c r="U13" s="590">
        <v>29</v>
      </c>
      <c r="V13" s="590">
        <v>0</v>
      </c>
    </row>
    <row r="14" spans="1:22">
      <c r="A14" s="611" t="s">
        <v>27</v>
      </c>
      <c r="B14" s="606" t="s">
        <v>28</v>
      </c>
      <c r="C14" s="612" t="s">
        <v>265</v>
      </c>
      <c r="D14" s="608">
        <v>5</v>
      </c>
      <c r="E14" s="608">
        <v>3</v>
      </c>
      <c r="F14" s="608">
        <v>0</v>
      </c>
      <c r="G14" s="608">
        <v>0</v>
      </c>
      <c r="H14" s="608">
        <v>0</v>
      </c>
      <c r="I14" s="608">
        <v>2</v>
      </c>
      <c r="J14" s="608">
        <v>0</v>
      </c>
      <c r="K14" s="608">
        <v>0</v>
      </c>
      <c r="L14" s="609"/>
      <c r="M14" s="609">
        <f t="shared" si="2"/>
        <v>2</v>
      </c>
      <c r="N14" s="609"/>
      <c r="O14" s="610">
        <f t="shared" si="3"/>
        <v>0.6</v>
      </c>
      <c r="P14" s="610">
        <f t="shared" si="4"/>
        <v>0</v>
      </c>
      <c r="R14" s="590">
        <v>2</v>
      </c>
      <c r="S14" s="590">
        <v>3</v>
      </c>
      <c r="T14" s="590">
        <v>0</v>
      </c>
      <c r="U14" s="590">
        <v>0</v>
      </c>
      <c r="V14" s="590">
        <v>0</v>
      </c>
    </row>
    <row r="15" spans="1:22">
      <c r="A15" s="605" t="s">
        <v>29</v>
      </c>
      <c r="B15" s="606" t="s">
        <v>1012</v>
      </c>
      <c r="C15" s="612" t="s">
        <v>265</v>
      </c>
      <c r="D15" s="608">
        <v>37</v>
      </c>
      <c r="E15" s="608">
        <v>29</v>
      </c>
      <c r="F15" s="608">
        <v>5</v>
      </c>
      <c r="G15" s="608">
        <v>0</v>
      </c>
      <c r="H15" s="608">
        <v>0</v>
      </c>
      <c r="I15" s="608">
        <v>2</v>
      </c>
      <c r="J15" s="608">
        <v>1</v>
      </c>
      <c r="K15" s="608">
        <v>0</v>
      </c>
      <c r="L15" s="609"/>
      <c r="M15" s="609">
        <f t="shared" si="2"/>
        <v>3</v>
      </c>
      <c r="N15" s="609"/>
      <c r="O15" s="610">
        <f t="shared" si="3"/>
        <v>0.78378378378378377</v>
      </c>
      <c r="P15" s="610">
        <f t="shared" si="4"/>
        <v>0.13513513513513514</v>
      </c>
      <c r="R15" s="590">
        <v>9</v>
      </c>
      <c r="S15" s="590">
        <v>6</v>
      </c>
      <c r="T15" s="590">
        <v>13</v>
      </c>
      <c r="U15" s="590">
        <v>9</v>
      </c>
      <c r="V15" s="590">
        <v>0</v>
      </c>
    </row>
    <row r="16" spans="1:22">
      <c r="A16" s="605" t="s">
        <v>30</v>
      </c>
      <c r="B16" s="606" t="s">
        <v>31</v>
      </c>
      <c r="C16" s="612" t="s">
        <v>268</v>
      </c>
      <c r="D16" s="608">
        <v>10</v>
      </c>
      <c r="E16" s="608">
        <v>10</v>
      </c>
      <c r="F16" s="608">
        <v>0</v>
      </c>
      <c r="G16" s="608">
        <v>0</v>
      </c>
      <c r="H16" s="608">
        <v>0</v>
      </c>
      <c r="I16" s="608">
        <v>0</v>
      </c>
      <c r="J16" s="608">
        <v>0</v>
      </c>
      <c r="K16" s="608">
        <v>0</v>
      </c>
      <c r="L16" s="609"/>
      <c r="M16" s="609">
        <f t="shared" si="2"/>
        <v>0</v>
      </c>
      <c r="N16" s="609"/>
      <c r="O16" s="610">
        <f t="shared" si="3"/>
        <v>1</v>
      </c>
      <c r="P16" s="610">
        <f t="shared" si="4"/>
        <v>0</v>
      </c>
      <c r="R16" s="590">
        <v>3</v>
      </c>
      <c r="S16" s="590">
        <v>3</v>
      </c>
      <c r="T16" s="590">
        <v>3</v>
      </c>
      <c r="U16" s="590">
        <v>1</v>
      </c>
      <c r="V16" s="590">
        <v>0</v>
      </c>
    </row>
    <row r="17" spans="1:22">
      <c r="A17" s="605" t="s">
        <v>32</v>
      </c>
      <c r="B17" s="606" t="s">
        <v>33</v>
      </c>
      <c r="C17" s="612" t="s">
        <v>265</v>
      </c>
      <c r="D17" s="608">
        <v>2</v>
      </c>
      <c r="E17" s="608">
        <v>2</v>
      </c>
      <c r="F17" s="608">
        <v>0</v>
      </c>
      <c r="G17" s="608">
        <v>0</v>
      </c>
      <c r="H17" s="608">
        <v>0</v>
      </c>
      <c r="I17" s="608">
        <v>0</v>
      </c>
      <c r="J17" s="608">
        <v>0</v>
      </c>
      <c r="K17" s="608">
        <v>0</v>
      </c>
      <c r="L17" s="609"/>
      <c r="M17" s="609">
        <f t="shared" si="2"/>
        <v>0</v>
      </c>
      <c r="N17" s="609"/>
      <c r="O17" s="610">
        <f t="shared" si="3"/>
        <v>1</v>
      </c>
      <c r="P17" s="610">
        <f t="shared" si="4"/>
        <v>0</v>
      </c>
      <c r="R17" s="590">
        <v>1</v>
      </c>
      <c r="S17" s="590">
        <v>0</v>
      </c>
      <c r="T17" s="590">
        <v>1</v>
      </c>
      <c r="U17" s="590">
        <v>0</v>
      </c>
      <c r="V17" s="590">
        <v>0</v>
      </c>
    </row>
    <row r="18" spans="1:22">
      <c r="A18" s="605" t="s">
        <v>36</v>
      </c>
      <c r="B18" s="606" t="s">
        <v>37</v>
      </c>
      <c r="C18" s="612" t="s">
        <v>264</v>
      </c>
      <c r="D18" s="608">
        <v>5</v>
      </c>
      <c r="E18" s="608">
        <v>0</v>
      </c>
      <c r="F18" s="608">
        <v>3</v>
      </c>
      <c r="G18" s="608">
        <v>0</v>
      </c>
      <c r="H18" s="608">
        <v>0</v>
      </c>
      <c r="I18" s="608">
        <v>0</v>
      </c>
      <c r="J18" s="608">
        <v>2</v>
      </c>
      <c r="K18" s="608">
        <v>0</v>
      </c>
      <c r="L18" s="609"/>
      <c r="M18" s="609">
        <f t="shared" si="2"/>
        <v>2</v>
      </c>
      <c r="N18" s="609"/>
      <c r="O18" s="610">
        <f t="shared" si="3"/>
        <v>0</v>
      </c>
      <c r="P18" s="610">
        <f t="shared" si="4"/>
        <v>0.6</v>
      </c>
      <c r="R18" s="590">
        <v>1</v>
      </c>
      <c r="S18" s="590">
        <v>3</v>
      </c>
      <c r="T18" s="590">
        <v>1</v>
      </c>
      <c r="U18" s="590">
        <v>0</v>
      </c>
      <c r="V18" s="590">
        <v>0</v>
      </c>
    </row>
    <row r="19" spans="1:22">
      <c r="A19" s="605" t="s">
        <v>38</v>
      </c>
      <c r="B19" s="606" t="s">
        <v>39</v>
      </c>
      <c r="C19" s="612" t="s">
        <v>268</v>
      </c>
      <c r="D19" s="608">
        <v>59</v>
      </c>
      <c r="E19" s="608">
        <v>59</v>
      </c>
      <c r="F19" s="608">
        <v>0</v>
      </c>
      <c r="G19" s="608">
        <v>0</v>
      </c>
      <c r="H19" s="608">
        <v>0</v>
      </c>
      <c r="I19" s="608">
        <v>0</v>
      </c>
      <c r="J19" s="608">
        <v>0</v>
      </c>
      <c r="K19" s="608">
        <v>0</v>
      </c>
      <c r="L19" s="609"/>
      <c r="M19" s="609">
        <f t="shared" si="2"/>
        <v>0</v>
      </c>
      <c r="N19" s="609"/>
      <c r="O19" s="610">
        <f t="shared" si="3"/>
        <v>1</v>
      </c>
      <c r="P19" s="610">
        <f t="shared" si="4"/>
        <v>0</v>
      </c>
      <c r="R19" s="590">
        <v>17</v>
      </c>
      <c r="S19" s="590">
        <v>14</v>
      </c>
      <c r="T19" s="590">
        <v>16</v>
      </c>
      <c r="U19" s="590">
        <v>12</v>
      </c>
      <c r="V19" s="590">
        <v>0</v>
      </c>
    </row>
    <row r="20" spans="1:22">
      <c r="A20" s="605" t="s">
        <v>40</v>
      </c>
      <c r="B20" s="606" t="s">
        <v>41</v>
      </c>
      <c r="C20" s="612" t="s">
        <v>266</v>
      </c>
      <c r="D20" s="608">
        <v>10</v>
      </c>
      <c r="E20" s="608">
        <v>9</v>
      </c>
      <c r="F20" s="608">
        <v>0</v>
      </c>
      <c r="G20" s="608">
        <v>0</v>
      </c>
      <c r="H20" s="608">
        <v>0</v>
      </c>
      <c r="I20" s="608">
        <v>0</v>
      </c>
      <c r="J20" s="608">
        <v>1</v>
      </c>
      <c r="K20" s="608">
        <v>0</v>
      </c>
      <c r="L20" s="609"/>
      <c r="M20" s="609">
        <f t="shared" si="2"/>
        <v>1</v>
      </c>
      <c r="N20" s="609"/>
      <c r="O20" s="610">
        <f t="shared" si="3"/>
        <v>0.9</v>
      </c>
      <c r="P20" s="610">
        <f t="shared" si="4"/>
        <v>0</v>
      </c>
      <c r="R20" s="590">
        <v>3</v>
      </c>
      <c r="S20" s="590">
        <v>1</v>
      </c>
      <c r="T20" s="590">
        <v>3</v>
      </c>
      <c r="U20" s="590">
        <v>3</v>
      </c>
      <c r="V20" s="590">
        <v>0</v>
      </c>
    </row>
    <row r="21" spans="1:22">
      <c r="A21" s="605" t="s">
        <v>42</v>
      </c>
      <c r="B21" s="606" t="s">
        <v>43</v>
      </c>
      <c r="C21" s="612" t="s">
        <v>265</v>
      </c>
      <c r="D21" s="608">
        <v>32</v>
      </c>
      <c r="E21" s="608">
        <v>26</v>
      </c>
      <c r="F21" s="608">
        <v>1</v>
      </c>
      <c r="G21" s="608">
        <v>0</v>
      </c>
      <c r="H21" s="608">
        <v>0</v>
      </c>
      <c r="I21" s="608">
        <v>1</v>
      </c>
      <c r="J21" s="608">
        <v>3</v>
      </c>
      <c r="K21" s="608">
        <v>1</v>
      </c>
      <c r="L21" s="609"/>
      <c r="M21" s="609">
        <f t="shared" si="2"/>
        <v>5</v>
      </c>
      <c r="N21" s="609"/>
      <c r="O21" s="610">
        <f t="shared" si="3"/>
        <v>0.8125</v>
      </c>
      <c r="P21" s="610">
        <f t="shared" si="4"/>
        <v>3.125E-2</v>
      </c>
      <c r="R21" s="590">
        <v>11</v>
      </c>
      <c r="S21" s="590">
        <v>4</v>
      </c>
      <c r="T21" s="590">
        <v>7</v>
      </c>
      <c r="U21" s="590">
        <v>10</v>
      </c>
      <c r="V21" s="590">
        <v>0</v>
      </c>
    </row>
    <row r="22" spans="1:22">
      <c r="A22" s="605" t="s">
        <v>44</v>
      </c>
      <c r="B22" s="606" t="s">
        <v>45</v>
      </c>
      <c r="C22" s="612" t="s">
        <v>266</v>
      </c>
      <c r="D22" s="608">
        <v>17</v>
      </c>
      <c r="E22" s="608">
        <v>10</v>
      </c>
      <c r="F22" s="608">
        <v>2</v>
      </c>
      <c r="G22" s="608">
        <v>0</v>
      </c>
      <c r="H22" s="608">
        <v>0</v>
      </c>
      <c r="I22" s="608">
        <v>1</v>
      </c>
      <c r="J22" s="608">
        <v>4</v>
      </c>
      <c r="K22" s="608">
        <v>0</v>
      </c>
      <c r="L22" s="609"/>
      <c r="M22" s="609">
        <f t="shared" si="2"/>
        <v>5</v>
      </c>
      <c r="N22" s="609"/>
      <c r="O22" s="610">
        <f t="shared" si="3"/>
        <v>0.58823529411764708</v>
      </c>
      <c r="P22" s="610">
        <f t="shared" si="4"/>
        <v>0.11764705882352941</v>
      </c>
      <c r="R22" s="590">
        <v>2</v>
      </c>
      <c r="S22" s="590">
        <v>8</v>
      </c>
      <c r="T22" s="590">
        <v>4</v>
      </c>
      <c r="U22" s="590">
        <v>3</v>
      </c>
      <c r="V22" s="590">
        <v>0</v>
      </c>
    </row>
    <row r="23" spans="1:22">
      <c r="A23" s="605" t="s">
        <v>46</v>
      </c>
      <c r="B23" s="606" t="s">
        <v>47</v>
      </c>
      <c r="C23" s="612" t="s">
        <v>268</v>
      </c>
      <c r="D23" s="608">
        <v>15</v>
      </c>
      <c r="E23" s="608">
        <v>12</v>
      </c>
      <c r="F23" s="608">
        <v>0</v>
      </c>
      <c r="G23" s="608">
        <v>0</v>
      </c>
      <c r="H23" s="608">
        <v>0</v>
      </c>
      <c r="I23" s="608">
        <v>3</v>
      </c>
      <c r="J23" s="608">
        <v>0</v>
      </c>
      <c r="K23" s="608">
        <v>0</v>
      </c>
      <c r="L23" s="609"/>
      <c r="M23" s="609">
        <f t="shared" si="2"/>
        <v>3</v>
      </c>
      <c r="N23" s="609"/>
      <c r="O23" s="610">
        <f t="shared" si="3"/>
        <v>0.8</v>
      </c>
      <c r="P23" s="610">
        <f t="shared" si="4"/>
        <v>0</v>
      </c>
      <c r="R23" s="590">
        <v>4</v>
      </c>
      <c r="S23" s="590">
        <v>2</v>
      </c>
      <c r="T23" s="590">
        <v>4</v>
      </c>
      <c r="U23" s="590">
        <v>5</v>
      </c>
      <c r="V23" s="590">
        <v>0</v>
      </c>
    </row>
    <row r="24" spans="1:22">
      <c r="A24" s="611" t="s">
        <v>48</v>
      </c>
      <c r="B24" s="606" t="s">
        <v>49</v>
      </c>
      <c r="C24" s="612" t="s">
        <v>266</v>
      </c>
      <c r="D24" s="608">
        <v>0</v>
      </c>
      <c r="E24" s="608">
        <v>0</v>
      </c>
      <c r="F24" s="608">
        <v>0</v>
      </c>
      <c r="G24" s="608">
        <v>0</v>
      </c>
      <c r="H24" s="608">
        <v>0</v>
      </c>
      <c r="I24" s="608">
        <v>0</v>
      </c>
      <c r="J24" s="608">
        <v>0</v>
      </c>
      <c r="K24" s="608">
        <v>0</v>
      </c>
      <c r="L24" s="609"/>
      <c r="M24" s="609">
        <f t="shared" si="2"/>
        <v>0</v>
      </c>
      <c r="N24" s="609"/>
      <c r="O24" s="610" t="str">
        <f t="shared" si="3"/>
        <v>N/A</v>
      </c>
      <c r="P24" s="610" t="str">
        <f t="shared" si="4"/>
        <v>N/A</v>
      </c>
      <c r="R24" s="590">
        <v>0</v>
      </c>
      <c r="S24" s="590">
        <v>0</v>
      </c>
      <c r="T24" s="590">
        <v>0</v>
      </c>
      <c r="U24" s="590">
        <v>0</v>
      </c>
      <c r="V24" s="590">
        <v>0</v>
      </c>
    </row>
    <row r="25" spans="1:22">
      <c r="A25" s="605" t="s">
        <v>50</v>
      </c>
      <c r="B25" s="606" t="s">
        <v>51</v>
      </c>
      <c r="C25" s="612" t="s">
        <v>265</v>
      </c>
      <c r="D25" s="608">
        <v>17</v>
      </c>
      <c r="E25" s="608">
        <v>8</v>
      </c>
      <c r="F25" s="608">
        <v>2</v>
      </c>
      <c r="G25" s="608">
        <v>0</v>
      </c>
      <c r="H25" s="608">
        <v>0</v>
      </c>
      <c r="I25" s="608">
        <v>0</v>
      </c>
      <c r="J25" s="608">
        <v>7</v>
      </c>
      <c r="K25" s="608">
        <v>0</v>
      </c>
      <c r="L25" s="609"/>
      <c r="M25" s="609">
        <f t="shared" si="2"/>
        <v>7</v>
      </c>
      <c r="N25" s="609"/>
      <c r="O25" s="610">
        <f t="shared" si="3"/>
        <v>0.47058823529411764</v>
      </c>
      <c r="P25" s="610">
        <f t="shared" si="4"/>
        <v>0.11764705882352941</v>
      </c>
      <c r="R25" s="590">
        <v>6</v>
      </c>
      <c r="S25" s="590">
        <v>0</v>
      </c>
      <c r="T25" s="590">
        <v>5</v>
      </c>
      <c r="U25" s="590">
        <v>6</v>
      </c>
      <c r="V25" s="590">
        <v>0</v>
      </c>
    </row>
    <row r="26" spans="1:22">
      <c r="A26" s="605" t="s">
        <v>56</v>
      </c>
      <c r="B26" s="606" t="s">
        <v>57</v>
      </c>
      <c r="C26" s="612" t="s">
        <v>266</v>
      </c>
      <c r="D26" s="608">
        <v>79</v>
      </c>
      <c r="E26" s="608">
        <v>41</v>
      </c>
      <c r="F26" s="608">
        <v>19</v>
      </c>
      <c r="G26" s="608">
        <v>0</v>
      </c>
      <c r="H26" s="608">
        <v>0</v>
      </c>
      <c r="I26" s="608">
        <v>10</v>
      </c>
      <c r="J26" s="608">
        <v>9</v>
      </c>
      <c r="K26" s="608">
        <v>0</v>
      </c>
      <c r="L26" s="609"/>
      <c r="M26" s="609">
        <f t="shared" si="2"/>
        <v>19</v>
      </c>
      <c r="N26" s="609"/>
      <c r="O26" s="610">
        <f t="shared" si="3"/>
        <v>0.51898734177215189</v>
      </c>
      <c r="P26" s="610">
        <f t="shared" si="4"/>
        <v>0.24050632911392406</v>
      </c>
      <c r="R26" s="590">
        <v>27</v>
      </c>
      <c r="S26" s="590">
        <v>23</v>
      </c>
      <c r="T26" s="590">
        <v>16</v>
      </c>
      <c r="U26" s="590">
        <v>13</v>
      </c>
      <c r="V26" s="590">
        <v>0</v>
      </c>
    </row>
    <row r="27" spans="1:22">
      <c r="A27" s="605" t="s">
        <v>58</v>
      </c>
      <c r="B27" s="606" t="s">
        <v>59</v>
      </c>
      <c r="C27" s="612" t="s">
        <v>267</v>
      </c>
      <c r="D27" s="608">
        <v>5</v>
      </c>
      <c r="E27" s="608">
        <v>5</v>
      </c>
      <c r="F27" s="608">
        <v>0</v>
      </c>
      <c r="G27" s="608">
        <v>0</v>
      </c>
      <c r="H27" s="608">
        <v>0</v>
      </c>
      <c r="I27" s="608">
        <v>0</v>
      </c>
      <c r="J27" s="608">
        <v>0</v>
      </c>
      <c r="K27" s="608">
        <v>0</v>
      </c>
      <c r="L27" s="609"/>
      <c r="M27" s="609">
        <f t="shared" si="2"/>
        <v>0</v>
      </c>
      <c r="N27" s="609"/>
      <c r="O27" s="610">
        <f t="shared" si="3"/>
        <v>1</v>
      </c>
      <c r="P27" s="610">
        <f t="shared" si="4"/>
        <v>0</v>
      </c>
      <c r="R27" s="590">
        <v>2</v>
      </c>
      <c r="S27" s="590">
        <v>2</v>
      </c>
      <c r="T27" s="590">
        <v>0</v>
      </c>
      <c r="U27" s="590">
        <v>1</v>
      </c>
      <c r="V27" s="590">
        <v>0</v>
      </c>
    </row>
    <row r="28" spans="1:22">
      <c r="A28" s="611" t="s">
        <v>60</v>
      </c>
      <c r="B28" s="606" t="s">
        <v>61</v>
      </c>
      <c r="C28" s="612" t="s">
        <v>265</v>
      </c>
      <c r="D28" s="608">
        <v>9</v>
      </c>
      <c r="E28" s="608">
        <v>8</v>
      </c>
      <c r="F28" s="608">
        <v>0</v>
      </c>
      <c r="G28" s="608">
        <v>0</v>
      </c>
      <c r="H28" s="608">
        <v>0</v>
      </c>
      <c r="I28" s="608">
        <v>1</v>
      </c>
      <c r="J28" s="608">
        <v>0</v>
      </c>
      <c r="K28" s="608">
        <v>0</v>
      </c>
      <c r="L28" s="609"/>
      <c r="M28" s="609">
        <f t="shared" si="2"/>
        <v>1</v>
      </c>
      <c r="N28" s="609"/>
      <c r="O28" s="610">
        <f t="shared" si="3"/>
        <v>0.88888888888888884</v>
      </c>
      <c r="P28" s="610">
        <f t="shared" si="4"/>
        <v>0</v>
      </c>
      <c r="R28" s="590">
        <v>2</v>
      </c>
      <c r="S28" s="590">
        <v>3</v>
      </c>
      <c r="T28" s="590">
        <v>1</v>
      </c>
      <c r="U28" s="590">
        <v>3</v>
      </c>
      <c r="V28" s="590">
        <v>0</v>
      </c>
    </row>
    <row r="29" spans="1:22">
      <c r="A29" s="605" t="s">
        <v>62</v>
      </c>
      <c r="B29" s="606" t="s">
        <v>63</v>
      </c>
      <c r="C29" s="612" t="s">
        <v>267</v>
      </c>
      <c r="D29" s="608">
        <v>59</v>
      </c>
      <c r="E29" s="608">
        <v>20</v>
      </c>
      <c r="F29" s="608">
        <v>19</v>
      </c>
      <c r="G29" s="608">
        <v>0</v>
      </c>
      <c r="H29" s="608">
        <v>0</v>
      </c>
      <c r="I29" s="608">
        <v>11</v>
      </c>
      <c r="J29" s="608">
        <v>9</v>
      </c>
      <c r="K29" s="608">
        <v>0</v>
      </c>
      <c r="L29" s="609"/>
      <c r="M29" s="609">
        <f t="shared" si="2"/>
        <v>20</v>
      </c>
      <c r="N29" s="609"/>
      <c r="O29" s="610">
        <f t="shared" si="3"/>
        <v>0.33898305084745761</v>
      </c>
      <c r="P29" s="610">
        <f t="shared" si="4"/>
        <v>0.32203389830508472</v>
      </c>
      <c r="R29" s="590">
        <v>17</v>
      </c>
      <c r="S29" s="590">
        <v>16</v>
      </c>
      <c r="T29" s="590">
        <v>15</v>
      </c>
      <c r="U29" s="590">
        <v>11</v>
      </c>
      <c r="V29" s="590">
        <v>0</v>
      </c>
    </row>
    <row r="30" spans="1:22">
      <c r="A30" s="605" t="s">
        <v>64</v>
      </c>
      <c r="B30" s="606" t="s">
        <v>65</v>
      </c>
      <c r="C30" s="612" t="s">
        <v>266</v>
      </c>
      <c r="D30" s="608">
        <v>3</v>
      </c>
      <c r="E30" s="608">
        <v>2</v>
      </c>
      <c r="F30" s="608">
        <v>1</v>
      </c>
      <c r="G30" s="608">
        <v>0</v>
      </c>
      <c r="H30" s="608">
        <v>0</v>
      </c>
      <c r="I30" s="608">
        <v>0</v>
      </c>
      <c r="J30" s="608">
        <v>0</v>
      </c>
      <c r="K30" s="608">
        <v>0</v>
      </c>
      <c r="L30" s="609"/>
      <c r="M30" s="609">
        <f t="shared" si="2"/>
        <v>0</v>
      </c>
      <c r="N30" s="609"/>
      <c r="O30" s="610">
        <f t="shared" si="3"/>
        <v>0.66666666666666663</v>
      </c>
      <c r="P30" s="610">
        <f t="shared" si="4"/>
        <v>0.33333333333333331</v>
      </c>
      <c r="R30" s="590">
        <v>1</v>
      </c>
      <c r="S30" s="590">
        <v>2</v>
      </c>
      <c r="T30" s="590">
        <v>0</v>
      </c>
      <c r="U30" s="590">
        <v>0</v>
      </c>
      <c r="V30" s="590">
        <v>0</v>
      </c>
    </row>
    <row r="31" spans="1:22">
      <c r="A31" s="605" t="s">
        <v>68</v>
      </c>
      <c r="B31" s="606" t="s">
        <v>69</v>
      </c>
      <c r="C31" s="612" t="s">
        <v>268</v>
      </c>
      <c r="D31" s="608">
        <v>70</v>
      </c>
      <c r="E31" s="608">
        <v>70</v>
      </c>
      <c r="F31" s="608">
        <v>0</v>
      </c>
      <c r="G31" s="608">
        <v>0</v>
      </c>
      <c r="H31" s="608">
        <v>0</v>
      </c>
      <c r="I31" s="608">
        <v>0</v>
      </c>
      <c r="J31" s="608">
        <v>0</v>
      </c>
      <c r="K31" s="608">
        <v>0</v>
      </c>
      <c r="L31" s="609"/>
      <c r="M31" s="609">
        <f t="shared" si="2"/>
        <v>0</v>
      </c>
      <c r="N31" s="609"/>
      <c r="O31" s="610">
        <f t="shared" si="3"/>
        <v>1</v>
      </c>
      <c r="P31" s="610">
        <f t="shared" si="4"/>
        <v>0</v>
      </c>
      <c r="R31" s="590">
        <v>28</v>
      </c>
      <c r="S31" s="590">
        <v>17</v>
      </c>
      <c r="T31" s="590">
        <v>16</v>
      </c>
      <c r="U31" s="590">
        <v>9</v>
      </c>
      <c r="V31" s="590">
        <v>0</v>
      </c>
    </row>
    <row r="32" spans="1:22">
      <c r="A32" s="605" t="s">
        <v>70</v>
      </c>
      <c r="B32" s="606" t="s">
        <v>71</v>
      </c>
      <c r="C32" s="612" t="s">
        <v>264</v>
      </c>
      <c r="D32" s="608">
        <v>16</v>
      </c>
      <c r="E32" s="608">
        <v>6</v>
      </c>
      <c r="F32" s="608">
        <v>6</v>
      </c>
      <c r="G32" s="608">
        <v>0</v>
      </c>
      <c r="H32" s="608">
        <v>0</v>
      </c>
      <c r="I32" s="608">
        <v>0</v>
      </c>
      <c r="J32" s="608">
        <v>4</v>
      </c>
      <c r="K32" s="608">
        <v>0</v>
      </c>
      <c r="L32" s="609"/>
      <c r="M32" s="609">
        <f t="shared" si="2"/>
        <v>4</v>
      </c>
      <c r="N32" s="609"/>
      <c r="O32" s="610">
        <f t="shared" si="3"/>
        <v>0.375</v>
      </c>
      <c r="P32" s="610">
        <f t="shared" si="4"/>
        <v>0.375</v>
      </c>
      <c r="R32" s="590">
        <v>8</v>
      </c>
      <c r="S32" s="590">
        <v>2</v>
      </c>
      <c r="T32" s="590">
        <v>5</v>
      </c>
      <c r="U32" s="590">
        <v>1</v>
      </c>
      <c r="V32" s="590">
        <v>0</v>
      </c>
    </row>
    <row r="33" spans="1:22">
      <c r="A33" s="605" t="s">
        <v>72</v>
      </c>
      <c r="B33" s="606" t="s">
        <v>73</v>
      </c>
      <c r="C33" s="612" t="s">
        <v>266</v>
      </c>
      <c r="D33" s="608">
        <v>5</v>
      </c>
      <c r="E33" s="608">
        <v>5</v>
      </c>
      <c r="F33" s="608">
        <v>0</v>
      </c>
      <c r="G33" s="608">
        <v>0</v>
      </c>
      <c r="H33" s="608">
        <v>0</v>
      </c>
      <c r="I33" s="608">
        <v>0</v>
      </c>
      <c r="J33" s="608">
        <v>0</v>
      </c>
      <c r="K33" s="608">
        <v>0</v>
      </c>
      <c r="L33" s="609"/>
      <c r="M33" s="609">
        <f t="shared" si="2"/>
        <v>0</v>
      </c>
      <c r="N33" s="609"/>
      <c r="O33" s="610">
        <f t="shared" si="3"/>
        <v>1</v>
      </c>
      <c r="P33" s="610">
        <f t="shared" si="4"/>
        <v>0</v>
      </c>
      <c r="R33" s="590">
        <v>0</v>
      </c>
      <c r="S33" s="590">
        <v>0</v>
      </c>
      <c r="T33" s="590">
        <v>2</v>
      </c>
      <c r="U33" s="590">
        <v>3</v>
      </c>
      <c r="V33" s="590">
        <v>0</v>
      </c>
    </row>
    <row r="34" spans="1:22">
      <c r="A34" s="605" t="s">
        <v>74</v>
      </c>
      <c r="B34" s="606" t="s">
        <v>75</v>
      </c>
      <c r="C34" s="612" t="s">
        <v>267</v>
      </c>
      <c r="D34" s="608">
        <v>212</v>
      </c>
      <c r="E34" s="608">
        <v>43</v>
      </c>
      <c r="F34" s="608">
        <v>65</v>
      </c>
      <c r="G34" s="608">
        <v>6</v>
      </c>
      <c r="H34" s="608">
        <v>0</v>
      </c>
      <c r="I34" s="608">
        <v>78</v>
      </c>
      <c r="J34" s="608">
        <v>15</v>
      </c>
      <c r="K34" s="608">
        <v>5</v>
      </c>
      <c r="L34" s="609"/>
      <c r="M34" s="609">
        <f t="shared" si="2"/>
        <v>104</v>
      </c>
      <c r="N34" s="609"/>
      <c r="O34" s="610">
        <f t="shared" si="3"/>
        <v>0.20283018867924529</v>
      </c>
      <c r="P34" s="610">
        <f t="shared" si="4"/>
        <v>0.30660377358490565</v>
      </c>
      <c r="R34" s="590">
        <v>63</v>
      </c>
      <c r="S34" s="590">
        <v>46</v>
      </c>
      <c r="T34" s="590">
        <v>50</v>
      </c>
      <c r="U34" s="590">
        <v>53</v>
      </c>
      <c r="V34" s="590">
        <v>0</v>
      </c>
    </row>
    <row r="35" spans="1:22">
      <c r="A35" s="605" t="s">
        <v>76</v>
      </c>
      <c r="B35" s="606" t="s">
        <v>77</v>
      </c>
      <c r="C35" s="612" t="s">
        <v>267</v>
      </c>
      <c r="D35" s="608">
        <v>56</v>
      </c>
      <c r="E35" s="608">
        <v>19</v>
      </c>
      <c r="F35" s="608">
        <v>19</v>
      </c>
      <c r="G35" s="608">
        <v>0</v>
      </c>
      <c r="H35" s="608">
        <v>0</v>
      </c>
      <c r="I35" s="608">
        <v>3</v>
      </c>
      <c r="J35" s="608">
        <v>15</v>
      </c>
      <c r="K35" s="608">
        <v>0</v>
      </c>
      <c r="L35" s="609"/>
      <c r="M35" s="609">
        <f t="shared" si="2"/>
        <v>18</v>
      </c>
      <c r="N35" s="609"/>
      <c r="O35" s="610">
        <f t="shared" si="3"/>
        <v>0.3392857142857143</v>
      </c>
      <c r="P35" s="610">
        <f t="shared" si="4"/>
        <v>0.3392857142857143</v>
      </c>
      <c r="R35" s="590">
        <v>23</v>
      </c>
      <c r="S35" s="590">
        <v>15</v>
      </c>
      <c r="T35" s="590">
        <v>10</v>
      </c>
      <c r="U35" s="590">
        <v>8</v>
      </c>
      <c r="V35" s="590">
        <v>0</v>
      </c>
    </row>
    <row r="36" spans="1:22">
      <c r="A36" s="605" t="s">
        <v>78</v>
      </c>
      <c r="B36" s="606" t="s">
        <v>79</v>
      </c>
      <c r="C36" s="612" t="s">
        <v>268</v>
      </c>
      <c r="D36" s="608">
        <v>11</v>
      </c>
      <c r="E36" s="608">
        <v>11</v>
      </c>
      <c r="F36" s="608">
        <v>0</v>
      </c>
      <c r="G36" s="608">
        <v>0</v>
      </c>
      <c r="H36" s="608">
        <v>0</v>
      </c>
      <c r="I36" s="608">
        <v>0</v>
      </c>
      <c r="J36" s="608">
        <v>0</v>
      </c>
      <c r="K36" s="608">
        <v>0</v>
      </c>
      <c r="L36" s="609"/>
      <c r="M36" s="609">
        <f t="shared" si="2"/>
        <v>0</v>
      </c>
      <c r="N36" s="609"/>
      <c r="O36" s="610">
        <f t="shared" si="3"/>
        <v>1</v>
      </c>
      <c r="P36" s="610">
        <f t="shared" si="4"/>
        <v>0</v>
      </c>
      <c r="R36" s="590">
        <v>3</v>
      </c>
      <c r="S36" s="590">
        <v>0</v>
      </c>
      <c r="T36" s="590">
        <v>5</v>
      </c>
      <c r="U36" s="590">
        <v>3</v>
      </c>
      <c r="V36" s="590">
        <v>0</v>
      </c>
    </row>
    <row r="37" spans="1:22">
      <c r="A37" s="605" t="s">
        <v>80</v>
      </c>
      <c r="B37" s="606" t="s">
        <v>81</v>
      </c>
      <c r="C37" s="612" t="s">
        <v>266</v>
      </c>
      <c r="D37" s="608">
        <v>4</v>
      </c>
      <c r="E37" s="608">
        <v>3</v>
      </c>
      <c r="F37" s="608">
        <v>1</v>
      </c>
      <c r="G37" s="608">
        <v>0</v>
      </c>
      <c r="H37" s="608">
        <v>0</v>
      </c>
      <c r="I37" s="608">
        <v>0</v>
      </c>
      <c r="J37" s="608">
        <v>0</v>
      </c>
      <c r="K37" s="608">
        <v>0</v>
      </c>
      <c r="L37" s="609"/>
      <c r="M37" s="609">
        <f t="shared" si="2"/>
        <v>0</v>
      </c>
      <c r="N37" s="609"/>
      <c r="O37" s="610">
        <f t="shared" si="3"/>
        <v>0.75</v>
      </c>
      <c r="P37" s="610">
        <f t="shared" si="4"/>
        <v>0.25</v>
      </c>
      <c r="R37" s="590">
        <v>1</v>
      </c>
      <c r="S37" s="590">
        <v>0</v>
      </c>
      <c r="T37" s="590">
        <v>0</v>
      </c>
      <c r="U37" s="590">
        <v>3</v>
      </c>
      <c r="V37" s="590">
        <v>0</v>
      </c>
    </row>
    <row r="38" spans="1:22">
      <c r="A38" s="605" t="s">
        <v>84</v>
      </c>
      <c r="B38" s="606" t="s">
        <v>85</v>
      </c>
      <c r="C38" s="612" t="s">
        <v>265</v>
      </c>
      <c r="D38" s="608">
        <v>66</v>
      </c>
      <c r="E38" s="608">
        <v>35</v>
      </c>
      <c r="F38" s="608">
        <v>5</v>
      </c>
      <c r="G38" s="608">
        <v>0</v>
      </c>
      <c r="H38" s="608">
        <v>0</v>
      </c>
      <c r="I38" s="608">
        <v>8</v>
      </c>
      <c r="J38" s="608">
        <v>9</v>
      </c>
      <c r="K38" s="608">
        <v>9</v>
      </c>
      <c r="L38" s="609"/>
      <c r="M38" s="609">
        <f t="shared" ref="M38:M69" si="5">SUM(G38:K38)</f>
        <v>26</v>
      </c>
      <c r="N38" s="609"/>
      <c r="O38" s="610">
        <f t="shared" ref="O38:O69" si="6">IF(D38=0,"N/A",+E38/D38)</f>
        <v>0.53030303030303028</v>
      </c>
      <c r="P38" s="610">
        <f t="shared" ref="P38:P69" si="7">IF(D38=0,"N/A",+F38/D38)</f>
        <v>7.575757575757576E-2</v>
      </c>
      <c r="R38" s="590">
        <v>13</v>
      </c>
      <c r="S38" s="590">
        <v>19</v>
      </c>
      <c r="T38" s="590">
        <v>17</v>
      </c>
      <c r="U38" s="590">
        <v>17</v>
      </c>
      <c r="V38" s="590">
        <v>0</v>
      </c>
    </row>
    <row r="39" spans="1:22">
      <c r="A39" s="605" t="s">
        <v>86</v>
      </c>
      <c r="B39" s="606" t="s">
        <v>87</v>
      </c>
      <c r="C39" s="612" t="s">
        <v>267</v>
      </c>
      <c r="D39" s="608">
        <v>36</v>
      </c>
      <c r="E39" s="608">
        <v>23</v>
      </c>
      <c r="F39" s="608">
        <v>3</v>
      </c>
      <c r="G39" s="608">
        <v>0</v>
      </c>
      <c r="H39" s="608">
        <v>0</v>
      </c>
      <c r="I39" s="608">
        <v>4</v>
      </c>
      <c r="J39" s="608">
        <v>6</v>
      </c>
      <c r="K39" s="608">
        <v>0</v>
      </c>
      <c r="L39" s="609"/>
      <c r="M39" s="609">
        <f t="shared" si="5"/>
        <v>10</v>
      </c>
      <c r="N39" s="609"/>
      <c r="O39" s="610">
        <f t="shared" si="6"/>
        <v>0.63888888888888884</v>
      </c>
      <c r="P39" s="610">
        <f t="shared" si="7"/>
        <v>8.3333333333333329E-2</v>
      </c>
      <c r="R39" s="590">
        <v>17</v>
      </c>
      <c r="S39" s="590">
        <v>7</v>
      </c>
      <c r="T39" s="590">
        <v>11</v>
      </c>
      <c r="U39" s="590">
        <v>1</v>
      </c>
      <c r="V39" s="590">
        <v>0</v>
      </c>
    </row>
    <row r="40" spans="1:22">
      <c r="A40" s="611" t="s">
        <v>92</v>
      </c>
      <c r="B40" s="606" t="s">
        <v>93</v>
      </c>
      <c r="C40" s="612" t="s">
        <v>268</v>
      </c>
      <c r="D40" s="608">
        <v>35</v>
      </c>
      <c r="E40" s="608">
        <v>32</v>
      </c>
      <c r="F40" s="608">
        <v>3</v>
      </c>
      <c r="G40" s="608">
        <v>0</v>
      </c>
      <c r="H40" s="608">
        <v>0</v>
      </c>
      <c r="I40" s="608">
        <v>0</v>
      </c>
      <c r="J40" s="608">
        <v>0</v>
      </c>
      <c r="K40" s="608">
        <v>0</v>
      </c>
      <c r="L40" s="609"/>
      <c r="M40" s="609">
        <f t="shared" si="5"/>
        <v>0</v>
      </c>
      <c r="N40" s="609"/>
      <c r="O40" s="610">
        <f t="shared" si="6"/>
        <v>0.91428571428571426</v>
      </c>
      <c r="P40" s="610">
        <f t="shared" si="7"/>
        <v>8.5714285714285715E-2</v>
      </c>
      <c r="R40" s="590">
        <v>13</v>
      </c>
      <c r="S40" s="590">
        <v>11</v>
      </c>
      <c r="T40" s="590">
        <v>7</v>
      </c>
      <c r="U40" s="590">
        <v>4</v>
      </c>
      <c r="V40" s="590">
        <v>0</v>
      </c>
    </row>
    <row r="41" spans="1:22">
      <c r="A41" s="605" t="s">
        <v>94</v>
      </c>
      <c r="B41" s="606" t="s">
        <v>95</v>
      </c>
      <c r="C41" s="612" t="s">
        <v>264</v>
      </c>
      <c r="D41" s="608">
        <v>31</v>
      </c>
      <c r="E41" s="608">
        <v>23</v>
      </c>
      <c r="F41" s="608">
        <v>3</v>
      </c>
      <c r="G41" s="608">
        <v>0</v>
      </c>
      <c r="H41" s="608">
        <v>0</v>
      </c>
      <c r="I41" s="608">
        <v>1</v>
      </c>
      <c r="J41" s="608">
        <v>4</v>
      </c>
      <c r="K41" s="608">
        <v>0</v>
      </c>
      <c r="L41" s="609"/>
      <c r="M41" s="609">
        <f t="shared" si="5"/>
        <v>5</v>
      </c>
      <c r="N41" s="609"/>
      <c r="O41" s="610">
        <f t="shared" si="6"/>
        <v>0.74193548387096775</v>
      </c>
      <c r="P41" s="610">
        <f t="shared" si="7"/>
        <v>9.6774193548387094E-2</v>
      </c>
      <c r="R41" s="590">
        <v>14</v>
      </c>
      <c r="S41" s="590">
        <v>3</v>
      </c>
      <c r="T41" s="590">
        <v>8</v>
      </c>
      <c r="U41" s="590">
        <v>6</v>
      </c>
      <c r="V41" s="590">
        <v>0</v>
      </c>
    </row>
    <row r="42" spans="1:22">
      <c r="A42" s="605" t="s">
        <v>96</v>
      </c>
      <c r="B42" s="606" t="s">
        <v>97</v>
      </c>
      <c r="C42" s="612" t="s">
        <v>266</v>
      </c>
      <c r="D42" s="608">
        <v>16</v>
      </c>
      <c r="E42" s="608">
        <v>10</v>
      </c>
      <c r="F42" s="608">
        <v>1</v>
      </c>
      <c r="G42" s="608">
        <v>0</v>
      </c>
      <c r="H42" s="608">
        <v>0</v>
      </c>
      <c r="I42" s="608">
        <v>2</v>
      </c>
      <c r="J42" s="608">
        <v>3</v>
      </c>
      <c r="K42" s="608">
        <v>0</v>
      </c>
      <c r="L42" s="609"/>
      <c r="M42" s="609">
        <f t="shared" si="5"/>
        <v>5</v>
      </c>
      <c r="N42" s="609"/>
      <c r="O42" s="610">
        <f t="shared" si="6"/>
        <v>0.625</v>
      </c>
      <c r="P42" s="610">
        <f t="shared" si="7"/>
        <v>6.25E-2</v>
      </c>
      <c r="R42" s="590">
        <v>3</v>
      </c>
      <c r="S42" s="590">
        <v>3</v>
      </c>
      <c r="T42" s="590">
        <v>6</v>
      </c>
      <c r="U42" s="590">
        <v>4</v>
      </c>
      <c r="V42" s="590">
        <v>0</v>
      </c>
    </row>
    <row r="43" spans="1:22">
      <c r="A43" s="605" t="s">
        <v>98</v>
      </c>
      <c r="B43" s="606" t="s">
        <v>99</v>
      </c>
      <c r="C43" s="612" t="s">
        <v>268</v>
      </c>
      <c r="D43" s="608">
        <v>20</v>
      </c>
      <c r="E43" s="608">
        <v>16</v>
      </c>
      <c r="F43" s="608">
        <v>1</v>
      </c>
      <c r="G43" s="608">
        <v>0</v>
      </c>
      <c r="H43" s="608">
        <v>0</v>
      </c>
      <c r="I43" s="608">
        <v>1</v>
      </c>
      <c r="J43" s="608">
        <v>2</v>
      </c>
      <c r="K43" s="608">
        <v>0</v>
      </c>
      <c r="L43" s="609"/>
      <c r="M43" s="609">
        <f t="shared" si="5"/>
        <v>3</v>
      </c>
      <c r="N43" s="609"/>
      <c r="O43" s="610">
        <f t="shared" si="6"/>
        <v>0.8</v>
      </c>
      <c r="P43" s="610">
        <f t="shared" si="7"/>
        <v>0.05</v>
      </c>
      <c r="R43" s="590">
        <v>3</v>
      </c>
      <c r="S43" s="590">
        <v>6</v>
      </c>
      <c r="T43" s="590">
        <v>6</v>
      </c>
      <c r="U43" s="590">
        <v>5</v>
      </c>
      <c r="V43" s="590">
        <v>0</v>
      </c>
    </row>
    <row r="44" spans="1:22">
      <c r="A44" s="605" t="s">
        <v>100</v>
      </c>
      <c r="B44" s="606" t="s">
        <v>101</v>
      </c>
      <c r="C44" s="612" t="s">
        <v>267</v>
      </c>
      <c r="D44" s="608">
        <v>4</v>
      </c>
      <c r="E44" s="608">
        <v>3</v>
      </c>
      <c r="F44" s="608">
        <v>0</v>
      </c>
      <c r="G44" s="608">
        <v>0</v>
      </c>
      <c r="H44" s="608">
        <v>0</v>
      </c>
      <c r="I44" s="608">
        <v>0</v>
      </c>
      <c r="J44" s="608">
        <v>1</v>
      </c>
      <c r="K44" s="608">
        <v>0</v>
      </c>
      <c r="L44" s="609"/>
      <c r="M44" s="609">
        <f t="shared" si="5"/>
        <v>1</v>
      </c>
      <c r="N44" s="609"/>
      <c r="O44" s="610">
        <f t="shared" si="6"/>
        <v>0.75</v>
      </c>
      <c r="P44" s="610">
        <f t="shared" si="7"/>
        <v>0</v>
      </c>
      <c r="R44" s="590">
        <v>1</v>
      </c>
      <c r="S44" s="590">
        <v>1</v>
      </c>
      <c r="T44" s="590">
        <v>1</v>
      </c>
      <c r="U44" s="590">
        <v>1</v>
      </c>
      <c r="V44" s="590">
        <v>0</v>
      </c>
    </row>
    <row r="45" spans="1:22">
      <c r="A45" s="605" t="s">
        <v>102</v>
      </c>
      <c r="B45" s="606" t="s">
        <v>282</v>
      </c>
      <c r="C45" s="612" t="s">
        <v>264</v>
      </c>
      <c r="D45" s="608">
        <v>10</v>
      </c>
      <c r="E45" s="608">
        <v>0</v>
      </c>
      <c r="F45" s="608">
        <v>10</v>
      </c>
      <c r="G45" s="608">
        <v>0</v>
      </c>
      <c r="H45" s="608">
        <v>0</v>
      </c>
      <c r="I45" s="608">
        <v>0</v>
      </c>
      <c r="J45" s="608">
        <v>0</v>
      </c>
      <c r="K45" s="608">
        <v>0</v>
      </c>
      <c r="L45" s="609"/>
      <c r="M45" s="609">
        <f t="shared" si="5"/>
        <v>0</v>
      </c>
      <c r="N45" s="609"/>
      <c r="O45" s="610">
        <f t="shared" si="6"/>
        <v>0</v>
      </c>
      <c r="P45" s="610">
        <f t="shared" si="7"/>
        <v>1</v>
      </c>
      <c r="R45" s="590">
        <v>4</v>
      </c>
      <c r="S45" s="590">
        <v>2</v>
      </c>
      <c r="T45" s="590">
        <v>2</v>
      </c>
      <c r="U45" s="590">
        <v>2</v>
      </c>
      <c r="V45" s="590">
        <v>0</v>
      </c>
    </row>
    <row r="46" spans="1:22">
      <c r="A46" s="605" t="s">
        <v>104</v>
      </c>
      <c r="B46" s="606" t="s">
        <v>105</v>
      </c>
      <c r="C46" s="612" t="s">
        <v>265</v>
      </c>
      <c r="D46" s="608">
        <v>24</v>
      </c>
      <c r="E46" s="608">
        <v>11</v>
      </c>
      <c r="F46" s="608">
        <v>12</v>
      </c>
      <c r="G46" s="608">
        <v>0</v>
      </c>
      <c r="H46" s="608">
        <v>0</v>
      </c>
      <c r="I46" s="608">
        <v>1</v>
      </c>
      <c r="J46" s="608">
        <v>0</v>
      </c>
      <c r="K46" s="608">
        <v>0</v>
      </c>
      <c r="L46" s="609"/>
      <c r="M46" s="609">
        <f t="shared" si="5"/>
        <v>1</v>
      </c>
      <c r="N46" s="609"/>
      <c r="O46" s="610">
        <f t="shared" si="6"/>
        <v>0.45833333333333331</v>
      </c>
      <c r="P46" s="610">
        <f t="shared" si="7"/>
        <v>0.5</v>
      </c>
      <c r="R46" s="590">
        <v>7</v>
      </c>
      <c r="S46" s="590">
        <v>1</v>
      </c>
      <c r="T46" s="590">
        <v>10</v>
      </c>
      <c r="U46" s="590">
        <v>6</v>
      </c>
      <c r="V46" s="590">
        <v>0</v>
      </c>
    </row>
    <row r="47" spans="1:22">
      <c r="A47" s="605" t="s">
        <v>108</v>
      </c>
      <c r="B47" s="606" t="s">
        <v>109</v>
      </c>
      <c r="C47" s="612" t="s">
        <v>266</v>
      </c>
      <c r="D47" s="608">
        <v>18</v>
      </c>
      <c r="E47" s="608">
        <v>16</v>
      </c>
      <c r="F47" s="608">
        <v>2</v>
      </c>
      <c r="G47" s="608">
        <v>0</v>
      </c>
      <c r="H47" s="608">
        <v>0</v>
      </c>
      <c r="I47" s="608">
        <v>0</v>
      </c>
      <c r="J47" s="608">
        <v>0</v>
      </c>
      <c r="K47" s="608">
        <v>0</v>
      </c>
      <c r="L47" s="609"/>
      <c r="M47" s="609">
        <f t="shared" si="5"/>
        <v>0</v>
      </c>
      <c r="N47" s="609"/>
      <c r="O47" s="610">
        <f t="shared" si="6"/>
        <v>0.88888888888888884</v>
      </c>
      <c r="P47" s="610">
        <f t="shared" si="7"/>
        <v>0.1111111111111111</v>
      </c>
      <c r="R47" s="590">
        <v>7</v>
      </c>
      <c r="S47" s="590">
        <v>1</v>
      </c>
      <c r="T47" s="590">
        <v>4</v>
      </c>
      <c r="U47" s="590">
        <v>6</v>
      </c>
      <c r="V47" s="590">
        <v>0</v>
      </c>
    </row>
    <row r="48" spans="1:22">
      <c r="A48" s="605" t="s">
        <v>110</v>
      </c>
      <c r="B48" s="606" t="s">
        <v>111</v>
      </c>
      <c r="C48" s="612" t="s">
        <v>266</v>
      </c>
      <c r="D48" s="608">
        <v>108</v>
      </c>
      <c r="E48" s="608">
        <v>38</v>
      </c>
      <c r="F48" s="608">
        <v>39</v>
      </c>
      <c r="G48" s="608">
        <v>0</v>
      </c>
      <c r="H48" s="608">
        <v>3</v>
      </c>
      <c r="I48" s="608">
        <v>10</v>
      </c>
      <c r="J48" s="608">
        <v>18</v>
      </c>
      <c r="K48" s="608">
        <v>0</v>
      </c>
      <c r="L48" s="609"/>
      <c r="M48" s="609">
        <f t="shared" si="5"/>
        <v>31</v>
      </c>
      <c r="N48" s="609"/>
      <c r="O48" s="610">
        <f t="shared" si="6"/>
        <v>0.35185185185185186</v>
      </c>
      <c r="P48" s="610">
        <f t="shared" si="7"/>
        <v>0.3611111111111111</v>
      </c>
      <c r="R48" s="590">
        <v>22</v>
      </c>
      <c r="S48" s="590">
        <v>24</v>
      </c>
      <c r="T48" s="590">
        <v>43</v>
      </c>
      <c r="U48" s="590">
        <v>19</v>
      </c>
      <c r="V48" s="590">
        <v>0</v>
      </c>
    </row>
    <row r="49" spans="1:22">
      <c r="A49" s="605" t="s">
        <v>112</v>
      </c>
      <c r="B49" s="606" t="s">
        <v>113</v>
      </c>
      <c r="C49" s="612" t="s">
        <v>265</v>
      </c>
      <c r="D49" s="608">
        <v>39</v>
      </c>
      <c r="E49" s="608">
        <v>19</v>
      </c>
      <c r="F49" s="608">
        <v>7</v>
      </c>
      <c r="G49" s="608">
        <v>0</v>
      </c>
      <c r="H49" s="608">
        <v>0</v>
      </c>
      <c r="I49" s="608">
        <v>6</v>
      </c>
      <c r="J49" s="608">
        <v>2</v>
      </c>
      <c r="K49" s="608">
        <v>5</v>
      </c>
      <c r="L49" s="609"/>
      <c r="M49" s="609">
        <f t="shared" si="5"/>
        <v>13</v>
      </c>
      <c r="N49" s="609"/>
      <c r="O49" s="610">
        <f t="shared" si="6"/>
        <v>0.48717948717948717</v>
      </c>
      <c r="P49" s="610">
        <f t="shared" si="7"/>
        <v>0.17948717948717949</v>
      </c>
      <c r="R49" s="590">
        <v>15</v>
      </c>
      <c r="S49" s="590">
        <v>4</v>
      </c>
      <c r="T49" s="590">
        <v>12</v>
      </c>
      <c r="U49" s="590">
        <v>8</v>
      </c>
      <c r="V49" s="590">
        <v>0</v>
      </c>
    </row>
    <row r="50" spans="1:22">
      <c r="A50" s="611" t="s">
        <v>114</v>
      </c>
      <c r="B50" s="606" t="s">
        <v>115</v>
      </c>
      <c r="C50" s="612" t="s">
        <v>265</v>
      </c>
      <c r="D50" s="608">
        <v>1</v>
      </c>
      <c r="E50" s="608">
        <v>1</v>
      </c>
      <c r="F50" s="608">
        <v>0</v>
      </c>
      <c r="G50" s="608">
        <v>0</v>
      </c>
      <c r="H50" s="608">
        <v>0</v>
      </c>
      <c r="I50" s="608">
        <v>0</v>
      </c>
      <c r="J50" s="608">
        <v>0</v>
      </c>
      <c r="K50" s="608">
        <v>0</v>
      </c>
      <c r="L50" s="609"/>
      <c r="M50" s="609">
        <f t="shared" si="5"/>
        <v>0</v>
      </c>
      <c r="N50" s="609"/>
      <c r="O50" s="610">
        <f t="shared" si="6"/>
        <v>1</v>
      </c>
      <c r="P50" s="610">
        <f t="shared" si="7"/>
        <v>0</v>
      </c>
      <c r="R50" s="590">
        <v>0</v>
      </c>
      <c r="S50" s="590">
        <v>0</v>
      </c>
      <c r="T50" s="590">
        <v>0</v>
      </c>
      <c r="U50" s="590">
        <v>1</v>
      </c>
      <c r="V50" s="590">
        <v>0</v>
      </c>
    </row>
    <row r="51" spans="1:22">
      <c r="A51" s="605" t="s">
        <v>118</v>
      </c>
      <c r="B51" s="606" t="s">
        <v>119</v>
      </c>
      <c r="C51" s="612" t="s">
        <v>264</v>
      </c>
      <c r="D51" s="608">
        <v>7</v>
      </c>
      <c r="E51" s="608">
        <v>5</v>
      </c>
      <c r="F51" s="608">
        <v>1</v>
      </c>
      <c r="G51" s="608">
        <v>0</v>
      </c>
      <c r="H51" s="608">
        <v>0</v>
      </c>
      <c r="I51" s="608">
        <v>0</v>
      </c>
      <c r="J51" s="608">
        <v>1</v>
      </c>
      <c r="K51" s="608">
        <v>0</v>
      </c>
      <c r="L51" s="609"/>
      <c r="M51" s="609">
        <f t="shared" si="5"/>
        <v>1</v>
      </c>
      <c r="N51" s="609"/>
      <c r="O51" s="610">
        <f t="shared" si="6"/>
        <v>0.7142857142857143</v>
      </c>
      <c r="P51" s="610">
        <f t="shared" si="7"/>
        <v>0.14285714285714285</v>
      </c>
      <c r="R51" s="590">
        <v>3</v>
      </c>
      <c r="S51" s="590">
        <v>2</v>
      </c>
      <c r="T51" s="590">
        <v>1</v>
      </c>
      <c r="U51" s="590">
        <v>1</v>
      </c>
      <c r="V51" s="590">
        <v>0</v>
      </c>
    </row>
    <row r="52" spans="1:22">
      <c r="A52" s="605" t="s">
        <v>120</v>
      </c>
      <c r="B52" s="606" t="s">
        <v>121</v>
      </c>
      <c r="C52" s="612" t="s">
        <v>264</v>
      </c>
      <c r="D52" s="608">
        <v>10</v>
      </c>
      <c r="E52" s="608">
        <v>5</v>
      </c>
      <c r="F52" s="608">
        <v>4</v>
      </c>
      <c r="G52" s="608">
        <v>0</v>
      </c>
      <c r="H52" s="608">
        <v>0</v>
      </c>
      <c r="I52" s="608">
        <v>0</v>
      </c>
      <c r="J52" s="608">
        <v>1</v>
      </c>
      <c r="K52" s="608">
        <v>0</v>
      </c>
      <c r="L52" s="609"/>
      <c r="M52" s="609">
        <f t="shared" si="5"/>
        <v>1</v>
      </c>
      <c r="N52" s="609"/>
      <c r="O52" s="610">
        <f t="shared" si="6"/>
        <v>0.5</v>
      </c>
      <c r="P52" s="610">
        <f t="shared" si="7"/>
        <v>0.4</v>
      </c>
      <c r="R52" s="590">
        <v>5</v>
      </c>
      <c r="S52" s="590">
        <v>2</v>
      </c>
      <c r="T52" s="590">
        <v>2</v>
      </c>
      <c r="U52" s="590">
        <v>1</v>
      </c>
      <c r="V52" s="590">
        <v>0</v>
      </c>
    </row>
    <row r="53" spans="1:22">
      <c r="A53" s="605" t="s">
        <v>122</v>
      </c>
      <c r="B53" s="606" t="s">
        <v>123</v>
      </c>
      <c r="C53" s="612" t="s">
        <v>266</v>
      </c>
      <c r="D53" s="608">
        <v>4</v>
      </c>
      <c r="E53" s="608">
        <v>3</v>
      </c>
      <c r="F53" s="608">
        <v>1</v>
      </c>
      <c r="G53" s="608">
        <v>0</v>
      </c>
      <c r="H53" s="608">
        <v>0</v>
      </c>
      <c r="I53" s="608">
        <v>0</v>
      </c>
      <c r="J53" s="608">
        <v>0</v>
      </c>
      <c r="K53" s="608">
        <v>0</v>
      </c>
      <c r="L53" s="609"/>
      <c r="M53" s="609">
        <f t="shared" si="5"/>
        <v>0</v>
      </c>
      <c r="N53" s="609"/>
      <c r="O53" s="610">
        <f t="shared" si="6"/>
        <v>0.75</v>
      </c>
      <c r="P53" s="610">
        <f t="shared" si="7"/>
        <v>0.25</v>
      </c>
      <c r="R53" s="590">
        <v>0</v>
      </c>
      <c r="S53" s="590">
        <v>0</v>
      </c>
      <c r="T53" s="590">
        <v>2</v>
      </c>
      <c r="U53" s="590">
        <v>2</v>
      </c>
      <c r="V53" s="590">
        <v>0</v>
      </c>
    </row>
    <row r="54" spans="1:22">
      <c r="A54" s="605" t="s">
        <v>124</v>
      </c>
      <c r="B54" s="606" t="s">
        <v>125</v>
      </c>
      <c r="C54" s="612" t="s">
        <v>267</v>
      </c>
      <c r="D54" s="608">
        <v>7</v>
      </c>
      <c r="E54" s="608">
        <v>2</v>
      </c>
      <c r="F54" s="608">
        <v>5</v>
      </c>
      <c r="G54" s="608">
        <v>0</v>
      </c>
      <c r="H54" s="608">
        <v>0</v>
      </c>
      <c r="I54" s="608">
        <v>0</v>
      </c>
      <c r="J54" s="608">
        <v>0</v>
      </c>
      <c r="K54" s="608">
        <v>0</v>
      </c>
      <c r="L54" s="609"/>
      <c r="M54" s="609">
        <f t="shared" si="5"/>
        <v>0</v>
      </c>
      <c r="N54" s="609"/>
      <c r="O54" s="610">
        <f t="shared" si="6"/>
        <v>0.2857142857142857</v>
      </c>
      <c r="P54" s="610">
        <f t="shared" si="7"/>
        <v>0.7142857142857143</v>
      </c>
      <c r="R54" s="590">
        <v>0</v>
      </c>
      <c r="S54" s="590">
        <v>1</v>
      </c>
      <c r="T54" s="590">
        <v>2</v>
      </c>
      <c r="U54" s="590">
        <v>4</v>
      </c>
      <c r="V54" s="590">
        <v>0</v>
      </c>
    </row>
    <row r="55" spans="1:22">
      <c r="A55" s="605" t="s">
        <v>126</v>
      </c>
      <c r="B55" s="606" t="s">
        <v>127</v>
      </c>
      <c r="C55" s="612" t="s">
        <v>266</v>
      </c>
      <c r="D55" s="608">
        <v>5</v>
      </c>
      <c r="E55" s="608">
        <v>4</v>
      </c>
      <c r="F55" s="608">
        <v>0</v>
      </c>
      <c r="G55" s="608">
        <v>0</v>
      </c>
      <c r="H55" s="608">
        <v>0</v>
      </c>
      <c r="I55" s="608">
        <v>0</v>
      </c>
      <c r="J55" s="608">
        <v>1</v>
      </c>
      <c r="K55" s="608">
        <v>0</v>
      </c>
      <c r="L55" s="609"/>
      <c r="M55" s="609">
        <f t="shared" si="5"/>
        <v>1</v>
      </c>
      <c r="N55" s="609"/>
      <c r="O55" s="610">
        <f t="shared" si="6"/>
        <v>0.8</v>
      </c>
      <c r="P55" s="610">
        <f t="shared" si="7"/>
        <v>0</v>
      </c>
      <c r="R55" s="590">
        <v>0</v>
      </c>
      <c r="S55" s="590">
        <v>0</v>
      </c>
      <c r="T55" s="590">
        <v>4</v>
      </c>
      <c r="U55" s="590">
        <v>1</v>
      </c>
      <c r="V55" s="590">
        <v>0</v>
      </c>
    </row>
    <row r="56" spans="1:22">
      <c r="A56" s="605" t="s">
        <v>128</v>
      </c>
      <c r="B56" s="606" t="s">
        <v>129</v>
      </c>
      <c r="C56" s="612" t="s">
        <v>266</v>
      </c>
      <c r="D56" s="608">
        <v>8</v>
      </c>
      <c r="E56" s="608">
        <v>5</v>
      </c>
      <c r="F56" s="608">
        <v>3</v>
      </c>
      <c r="G56" s="608">
        <v>0</v>
      </c>
      <c r="H56" s="608">
        <v>0</v>
      </c>
      <c r="I56" s="608">
        <v>0</v>
      </c>
      <c r="J56" s="608">
        <v>0</v>
      </c>
      <c r="K56" s="608">
        <v>0</v>
      </c>
      <c r="L56" s="609"/>
      <c r="M56" s="609">
        <f t="shared" si="5"/>
        <v>0</v>
      </c>
      <c r="N56" s="609"/>
      <c r="O56" s="610">
        <f t="shared" si="6"/>
        <v>0.625</v>
      </c>
      <c r="P56" s="610">
        <f t="shared" si="7"/>
        <v>0.375</v>
      </c>
      <c r="R56" s="590">
        <v>0</v>
      </c>
      <c r="S56" s="590">
        <v>1</v>
      </c>
      <c r="T56" s="590">
        <v>4</v>
      </c>
      <c r="U56" s="590">
        <v>3</v>
      </c>
      <c r="V56" s="590">
        <v>0</v>
      </c>
    </row>
    <row r="57" spans="1:22">
      <c r="A57" s="611" t="s">
        <v>130</v>
      </c>
      <c r="B57" s="606" t="s">
        <v>131</v>
      </c>
      <c r="C57" s="612" t="s">
        <v>268</v>
      </c>
      <c r="D57" s="608">
        <v>34</v>
      </c>
      <c r="E57" s="608">
        <v>34</v>
      </c>
      <c r="F57" s="608">
        <v>0</v>
      </c>
      <c r="G57" s="608">
        <v>0</v>
      </c>
      <c r="H57" s="608">
        <v>0</v>
      </c>
      <c r="I57" s="608">
        <v>0</v>
      </c>
      <c r="J57" s="608">
        <v>0</v>
      </c>
      <c r="K57" s="608">
        <v>0</v>
      </c>
      <c r="L57" s="609"/>
      <c r="M57" s="609">
        <f t="shared" si="5"/>
        <v>0</v>
      </c>
      <c r="N57" s="609"/>
      <c r="O57" s="610">
        <f t="shared" si="6"/>
        <v>1</v>
      </c>
      <c r="P57" s="610">
        <f t="shared" si="7"/>
        <v>0</v>
      </c>
      <c r="R57" s="590">
        <v>8</v>
      </c>
      <c r="S57" s="590">
        <v>10</v>
      </c>
      <c r="T57" s="590">
        <v>9</v>
      </c>
      <c r="U57" s="590">
        <v>7</v>
      </c>
      <c r="V57" s="590">
        <v>0</v>
      </c>
    </row>
    <row r="58" spans="1:22">
      <c r="A58" s="605" t="s">
        <v>132</v>
      </c>
      <c r="B58" s="606" t="s">
        <v>133</v>
      </c>
      <c r="C58" s="612" t="s">
        <v>267</v>
      </c>
      <c r="D58" s="608">
        <v>56</v>
      </c>
      <c r="E58" s="608">
        <v>15</v>
      </c>
      <c r="F58" s="608">
        <v>5</v>
      </c>
      <c r="G58" s="608">
        <v>0</v>
      </c>
      <c r="H58" s="608">
        <v>0</v>
      </c>
      <c r="I58" s="608">
        <v>22</v>
      </c>
      <c r="J58" s="608">
        <v>13</v>
      </c>
      <c r="K58" s="608">
        <v>1</v>
      </c>
      <c r="L58" s="609"/>
      <c r="M58" s="609">
        <f t="shared" si="5"/>
        <v>36</v>
      </c>
      <c r="N58" s="609"/>
      <c r="O58" s="610">
        <f t="shared" si="6"/>
        <v>0.26785714285714285</v>
      </c>
      <c r="P58" s="610">
        <f t="shared" si="7"/>
        <v>8.9285714285714288E-2</v>
      </c>
      <c r="R58" s="590">
        <v>11</v>
      </c>
      <c r="S58" s="590">
        <v>15</v>
      </c>
      <c r="T58" s="590">
        <v>20</v>
      </c>
      <c r="U58" s="590">
        <v>10</v>
      </c>
      <c r="V58" s="590">
        <v>0</v>
      </c>
    </row>
    <row r="59" spans="1:22">
      <c r="A59" s="605" t="s">
        <v>134</v>
      </c>
      <c r="B59" s="606" t="s">
        <v>135</v>
      </c>
      <c r="C59" s="612" t="s">
        <v>267</v>
      </c>
      <c r="D59" s="608">
        <v>19</v>
      </c>
      <c r="E59" s="608">
        <v>14</v>
      </c>
      <c r="F59" s="608">
        <v>2</v>
      </c>
      <c r="G59" s="608">
        <v>0</v>
      </c>
      <c r="H59" s="608">
        <v>0</v>
      </c>
      <c r="I59" s="608">
        <v>0</v>
      </c>
      <c r="J59" s="608">
        <v>3</v>
      </c>
      <c r="K59" s="608">
        <v>0</v>
      </c>
      <c r="L59" s="609"/>
      <c r="M59" s="609">
        <f t="shared" si="5"/>
        <v>3</v>
      </c>
      <c r="N59" s="609"/>
      <c r="O59" s="610">
        <f t="shared" si="6"/>
        <v>0.73684210526315785</v>
      </c>
      <c r="P59" s="610">
        <f t="shared" si="7"/>
        <v>0.10526315789473684</v>
      </c>
      <c r="R59" s="590">
        <v>2</v>
      </c>
      <c r="S59" s="590">
        <v>6</v>
      </c>
      <c r="T59" s="590">
        <v>6</v>
      </c>
      <c r="U59" s="590">
        <v>5</v>
      </c>
      <c r="V59" s="590">
        <v>0</v>
      </c>
    </row>
    <row r="60" spans="1:22">
      <c r="A60" s="605" t="s">
        <v>136</v>
      </c>
      <c r="B60" s="606" t="s">
        <v>137</v>
      </c>
      <c r="C60" s="612" t="s">
        <v>266</v>
      </c>
      <c r="D60" s="608">
        <v>10</v>
      </c>
      <c r="E60" s="608">
        <v>2</v>
      </c>
      <c r="F60" s="608">
        <v>8</v>
      </c>
      <c r="G60" s="608">
        <v>0</v>
      </c>
      <c r="H60" s="608">
        <v>0</v>
      </c>
      <c r="I60" s="608">
        <v>0</v>
      </c>
      <c r="J60" s="608">
        <v>0</v>
      </c>
      <c r="K60" s="608">
        <v>0</v>
      </c>
      <c r="L60" s="609"/>
      <c r="M60" s="609">
        <f t="shared" si="5"/>
        <v>0</v>
      </c>
      <c r="N60" s="609"/>
      <c r="O60" s="610">
        <f t="shared" si="6"/>
        <v>0.2</v>
      </c>
      <c r="P60" s="610">
        <f t="shared" si="7"/>
        <v>0.8</v>
      </c>
      <c r="R60" s="590">
        <v>2</v>
      </c>
      <c r="S60" s="590">
        <v>5</v>
      </c>
      <c r="T60" s="590">
        <v>3</v>
      </c>
      <c r="U60" s="590">
        <v>0</v>
      </c>
      <c r="V60" s="590">
        <v>0</v>
      </c>
    </row>
    <row r="61" spans="1:22">
      <c r="A61" s="605" t="s">
        <v>140</v>
      </c>
      <c r="B61" s="606" t="s">
        <v>141</v>
      </c>
      <c r="C61" s="612" t="s">
        <v>267</v>
      </c>
      <c r="D61" s="608">
        <v>37</v>
      </c>
      <c r="E61" s="608">
        <v>28</v>
      </c>
      <c r="F61" s="608">
        <v>5</v>
      </c>
      <c r="G61" s="608">
        <v>1</v>
      </c>
      <c r="H61" s="608">
        <v>0</v>
      </c>
      <c r="I61" s="608">
        <v>1</v>
      </c>
      <c r="J61" s="608">
        <v>1</v>
      </c>
      <c r="K61" s="608">
        <v>1</v>
      </c>
      <c r="L61" s="609"/>
      <c r="M61" s="609">
        <f t="shared" si="5"/>
        <v>4</v>
      </c>
      <c r="N61" s="609"/>
      <c r="O61" s="610">
        <f t="shared" si="6"/>
        <v>0.7567567567567568</v>
      </c>
      <c r="P61" s="610">
        <f t="shared" si="7"/>
        <v>0.13513513513513514</v>
      </c>
      <c r="R61" s="590">
        <v>10</v>
      </c>
      <c r="S61" s="590">
        <v>7</v>
      </c>
      <c r="T61" s="590">
        <v>15</v>
      </c>
      <c r="U61" s="590">
        <v>5</v>
      </c>
      <c r="V61" s="590">
        <v>0</v>
      </c>
    </row>
    <row r="62" spans="1:22">
      <c r="A62" s="605" t="s">
        <v>146</v>
      </c>
      <c r="B62" s="606" t="s">
        <v>147</v>
      </c>
      <c r="C62" s="612" t="s">
        <v>264</v>
      </c>
      <c r="D62" s="608">
        <v>7</v>
      </c>
      <c r="E62" s="608">
        <v>7</v>
      </c>
      <c r="F62" s="608">
        <v>0</v>
      </c>
      <c r="G62" s="608">
        <v>0</v>
      </c>
      <c r="H62" s="608">
        <v>0</v>
      </c>
      <c r="I62" s="608">
        <v>0</v>
      </c>
      <c r="J62" s="608">
        <v>0</v>
      </c>
      <c r="K62" s="608">
        <v>0</v>
      </c>
      <c r="L62" s="609"/>
      <c r="M62" s="609">
        <f t="shared" si="5"/>
        <v>0</v>
      </c>
      <c r="N62" s="609"/>
      <c r="O62" s="610">
        <f t="shared" si="6"/>
        <v>1</v>
      </c>
      <c r="P62" s="610">
        <f t="shared" si="7"/>
        <v>0</v>
      </c>
      <c r="R62" s="590">
        <v>4</v>
      </c>
      <c r="S62" s="590">
        <v>2</v>
      </c>
      <c r="T62" s="590">
        <v>1</v>
      </c>
      <c r="U62" s="590">
        <v>0</v>
      </c>
      <c r="V62" s="590">
        <v>0</v>
      </c>
    </row>
    <row r="63" spans="1:22">
      <c r="A63" s="605" t="s">
        <v>148</v>
      </c>
      <c r="B63" s="606" t="s">
        <v>149</v>
      </c>
      <c r="C63" s="612" t="s">
        <v>265</v>
      </c>
      <c r="D63" s="608">
        <v>20</v>
      </c>
      <c r="E63" s="608">
        <v>6</v>
      </c>
      <c r="F63" s="608">
        <v>10</v>
      </c>
      <c r="G63" s="608">
        <v>0</v>
      </c>
      <c r="H63" s="608">
        <v>0</v>
      </c>
      <c r="I63" s="608">
        <v>0</v>
      </c>
      <c r="J63" s="608">
        <v>2</v>
      </c>
      <c r="K63" s="608">
        <v>2</v>
      </c>
      <c r="L63" s="609"/>
      <c r="M63" s="609">
        <f t="shared" si="5"/>
        <v>4</v>
      </c>
      <c r="N63" s="609"/>
      <c r="O63" s="610">
        <f t="shared" si="6"/>
        <v>0.3</v>
      </c>
      <c r="P63" s="610">
        <f t="shared" si="7"/>
        <v>0.5</v>
      </c>
      <c r="R63" s="590">
        <v>8</v>
      </c>
      <c r="S63" s="590">
        <v>1</v>
      </c>
      <c r="T63" s="590">
        <v>9</v>
      </c>
      <c r="U63" s="590">
        <v>2</v>
      </c>
      <c r="V63" s="590">
        <v>0</v>
      </c>
    </row>
    <row r="64" spans="1:22">
      <c r="A64" s="605" t="s">
        <v>150</v>
      </c>
      <c r="B64" s="606" t="s">
        <v>151</v>
      </c>
      <c r="C64" s="612" t="s">
        <v>266</v>
      </c>
      <c r="D64" s="608">
        <v>7</v>
      </c>
      <c r="E64" s="608">
        <v>7</v>
      </c>
      <c r="F64" s="608">
        <v>0</v>
      </c>
      <c r="G64" s="608">
        <v>0</v>
      </c>
      <c r="H64" s="608">
        <v>0</v>
      </c>
      <c r="I64" s="608">
        <v>0</v>
      </c>
      <c r="J64" s="608">
        <v>0</v>
      </c>
      <c r="K64" s="608">
        <v>0</v>
      </c>
      <c r="L64" s="609"/>
      <c r="M64" s="609">
        <f t="shared" si="5"/>
        <v>0</v>
      </c>
      <c r="N64" s="609"/>
      <c r="O64" s="610">
        <f t="shared" si="6"/>
        <v>1</v>
      </c>
      <c r="P64" s="610">
        <f t="shared" si="7"/>
        <v>0</v>
      </c>
      <c r="R64" s="590">
        <v>2</v>
      </c>
      <c r="S64" s="590">
        <v>0</v>
      </c>
      <c r="T64" s="590">
        <v>2</v>
      </c>
      <c r="U64" s="590">
        <v>3</v>
      </c>
      <c r="V64" s="590">
        <v>0</v>
      </c>
    </row>
    <row r="65" spans="1:22">
      <c r="A65" s="605" t="s">
        <v>152</v>
      </c>
      <c r="B65" s="606" t="s">
        <v>153</v>
      </c>
      <c r="C65" s="612" t="s">
        <v>268</v>
      </c>
      <c r="D65" s="608">
        <v>16</v>
      </c>
      <c r="E65" s="608">
        <v>12</v>
      </c>
      <c r="F65" s="608">
        <v>2</v>
      </c>
      <c r="G65" s="608">
        <v>0</v>
      </c>
      <c r="H65" s="608">
        <v>0</v>
      </c>
      <c r="I65" s="608">
        <v>1</v>
      </c>
      <c r="J65" s="608">
        <v>1</v>
      </c>
      <c r="K65" s="608">
        <v>0</v>
      </c>
      <c r="L65" s="609"/>
      <c r="M65" s="609">
        <f t="shared" si="5"/>
        <v>2</v>
      </c>
      <c r="N65" s="609"/>
      <c r="O65" s="610">
        <f t="shared" si="6"/>
        <v>0.75</v>
      </c>
      <c r="P65" s="610">
        <f t="shared" si="7"/>
        <v>0.125</v>
      </c>
      <c r="R65" s="590">
        <v>5</v>
      </c>
      <c r="S65" s="590">
        <v>4</v>
      </c>
      <c r="T65" s="590">
        <v>2</v>
      </c>
      <c r="U65" s="590">
        <v>5</v>
      </c>
      <c r="V65" s="590">
        <v>0</v>
      </c>
    </row>
    <row r="66" spans="1:22">
      <c r="A66" s="605" t="s">
        <v>154</v>
      </c>
      <c r="B66" s="606" t="s">
        <v>155</v>
      </c>
      <c r="C66" s="612" t="s">
        <v>265</v>
      </c>
      <c r="D66" s="608">
        <v>5</v>
      </c>
      <c r="E66" s="608">
        <v>5</v>
      </c>
      <c r="F66" s="608">
        <v>0</v>
      </c>
      <c r="G66" s="608">
        <v>0</v>
      </c>
      <c r="H66" s="608">
        <v>0</v>
      </c>
      <c r="I66" s="608">
        <v>0</v>
      </c>
      <c r="J66" s="608">
        <v>0</v>
      </c>
      <c r="K66" s="608">
        <v>0</v>
      </c>
      <c r="L66" s="609"/>
      <c r="M66" s="609">
        <f t="shared" si="5"/>
        <v>0</v>
      </c>
      <c r="N66" s="609"/>
      <c r="O66" s="610">
        <f t="shared" si="6"/>
        <v>1</v>
      </c>
      <c r="P66" s="610">
        <f t="shared" si="7"/>
        <v>0</v>
      </c>
      <c r="R66" s="590">
        <v>2</v>
      </c>
      <c r="S66" s="590">
        <v>1</v>
      </c>
      <c r="T66" s="590">
        <v>1</v>
      </c>
      <c r="U66" s="590">
        <v>1</v>
      </c>
      <c r="V66" s="590">
        <v>0</v>
      </c>
    </row>
    <row r="67" spans="1:22">
      <c r="A67" s="611" t="s">
        <v>156</v>
      </c>
      <c r="B67" s="606" t="s">
        <v>157</v>
      </c>
      <c r="C67" s="612" t="s">
        <v>266</v>
      </c>
      <c r="D67" s="608">
        <v>4</v>
      </c>
      <c r="E67" s="608">
        <v>3</v>
      </c>
      <c r="F67" s="608">
        <v>0</v>
      </c>
      <c r="G67" s="608">
        <v>0</v>
      </c>
      <c r="H67" s="608">
        <v>0</v>
      </c>
      <c r="I67" s="608">
        <v>0</v>
      </c>
      <c r="J67" s="608">
        <v>1</v>
      </c>
      <c r="K67" s="608">
        <v>0</v>
      </c>
      <c r="L67" s="609"/>
      <c r="M67" s="609">
        <f t="shared" si="5"/>
        <v>1</v>
      </c>
      <c r="N67" s="609"/>
      <c r="O67" s="610">
        <f t="shared" si="6"/>
        <v>0.75</v>
      </c>
      <c r="P67" s="610">
        <f t="shared" si="7"/>
        <v>0</v>
      </c>
      <c r="R67" s="590">
        <v>0</v>
      </c>
      <c r="S67" s="590">
        <v>2</v>
      </c>
      <c r="T67" s="590">
        <v>1</v>
      </c>
      <c r="U67" s="590">
        <v>1</v>
      </c>
      <c r="V67" s="590">
        <v>0</v>
      </c>
    </row>
    <row r="68" spans="1:22">
      <c r="A68" s="605" t="s">
        <v>162</v>
      </c>
      <c r="B68" s="606" t="s">
        <v>163</v>
      </c>
      <c r="C68" s="612" t="s">
        <v>264</v>
      </c>
      <c r="D68" s="608">
        <v>2</v>
      </c>
      <c r="E68" s="608">
        <v>1</v>
      </c>
      <c r="F68" s="608">
        <v>1</v>
      </c>
      <c r="G68" s="608">
        <v>0</v>
      </c>
      <c r="H68" s="608">
        <v>0</v>
      </c>
      <c r="I68" s="608">
        <v>0</v>
      </c>
      <c r="J68" s="608">
        <v>0</v>
      </c>
      <c r="K68" s="608">
        <v>0</v>
      </c>
      <c r="L68" s="609"/>
      <c r="M68" s="609">
        <f t="shared" si="5"/>
        <v>0</v>
      </c>
      <c r="N68" s="609"/>
      <c r="O68" s="610">
        <f t="shared" si="6"/>
        <v>0.5</v>
      </c>
      <c r="P68" s="610">
        <f t="shared" si="7"/>
        <v>0.5</v>
      </c>
      <c r="R68" s="590">
        <v>0</v>
      </c>
      <c r="S68" s="590">
        <v>0</v>
      </c>
      <c r="T68" s="590">
        <v>1</v>
      </c>
      <c r="U68" s="590">
        <v>1</v>
      </c>
      <c r="V68" s="590">
        <v>0</v>
      </c>
    </row>
    <row r="69" spans="1:22">
      <c r="A69" s="605" t="s">
        <v>164</v>
      </c>
      <c r="B69" s="606" t="s">
        <v>165</v>
      </c>
      <c r="C69" s="612" t="s">
        <v>266</v>
      </c>
      <c r="D69" s="608">
        <v>9</v>
      </c>
      <c r="E69" s="608">
        <v>5</v>
      </c>
      <c r="F69" s="608">
        <v>1</v>
      </c>
      <c r="G69" s="608">
        <v>0</v>
      </c>
      <c r="H69" s="608">
        <v>0</v>
      </c>
      <c r="I69" s="608">
        <v>1</v>
      </c>
      <c r="J69" s="608">
        <v>0</v>
      </c>
      <c r="K69" s="608">
        <v>2</v>
      </c>
      <c r="L69" s="609"/>
      <c r="M69" s="609">
        <f t="shared" si="5"/>
        <v>3</v>
      </c>
      <c r="N69" s="609"/>
      <c r="O69" s="610">
        <f t="shared" si="6"/>
        <v>0.55555555555555558</v>
      </c>
      <c r="P69" s="610">
        <f t="shared" si="7"/>
        <v>0.1111111111111111</v>
      </c>
      <c r="R69" s="590">
        <v>6</v>
      </c>
      <c r="S69" s="590">
        <v>1</v>
      </c>
      <c r="T69" s="590">
        <v>2</v>
      </c>
      <c r="U69" s="590">
        <v>0</v>
      </c>
      <c r="V69" s="590">
        <v>0</v>
      </c>
    </row>
    <row r="70" spans="1:22">
      <c r="A70" s="605" t="s">
        <v>168</v>
      </c>
      <c r="B70" s="606" t="s">
        <v>169</v>
      </c>
      <c r="C70" s="612" t="s">
        <v>266</v>
      </c>
      <c r="D70" s="608">
        <v>5</v>
      </c>
      <c r="E70" s="608">
        <v>3</v>
      </c>
      <c r="F70" s="608">
        <v>2</v>
      </c>
      <c r="G70" s="608">
        <v>0</v>
      </c>
      <c r="H70" s="608">
        <v>0</v>
      </c>
      <c r="I70" s="608">
        <v>0</v>
      </c>
      <c r="J70" s="608">
        <v>0</v>
      </c>
      <c r="K70" s="608">
        <v>0</v>
      </c>
      <c r="L70" s="609"/>
      <c r="M70" s="609">
        <f t="shared" ref="M70:M101" si="8">SUM(G70:K70)</f>
        <v>0</v>
      </c>
      <c r="N70" s="609"/>
      <c r="O70" s="610">
        <f t="shared" ref="O70:O101" si="9">IF(D70=0,"N/A",+E70/D70)</f>
        <v>0.6</v>
      </c>
      <c r="P70" s="610">
        <f t="shared" ref="P70:P101" si="10">IF(D70=0,"N/A",+F70/D70)</f>
        <v>0.4</v>
      </c>
      <c r="R70" s="590">
        <v>2</v>
      </c>
      <c r="S70" s="590">
        <v>0</v>
      </c>
      <c r="T70" s="590">
        <v>0</v>
      </c>
      <c r="U70" s="590">
        <v>3</v>
      </c>
      <c r="V70" s="590">
        <v>0</v>
      </c>
    </row>
    <row r="71" spans="1:22">
      <c r="A71" s="605" t="s">
        <v>170</v>
      </c>
      <c r="B71" s="606" t="s">
        <v>171</v>
      </c>
      <c r="C71" s="612" t="s">
        <v>267</v>
      </c>
      <c r="D71" s="608">
        <v>19</v>
      </c>
      <c r="E71" s="608">
        <v>13</v>
      </c>
      <c r="F71" s="608">
        <v>4</v>
      </c>
      <c r="G71" s="608">
        <v>0</v>
      </c>
      <c r="H71" s="608">
        <v>0</v>
      </c>
      <c r="I71" s="608">
        <v>0</v>
      </c>
      <c r="J71" s="608">
        <v>1</v>
      </c>
      <c r="K71" s="608">
        <v>1</v>
      </c>
      <c r="L71" s="609"/>
      <c r="M71" s="609">
        <f t="shared" si="8"/>
        <v>2</v>
      </c>
      <c r="N71" s="609"/>
      <c r="O71" s="610">
        <f t="shared" si="9"/>
        <v>0.68421052631578949</v>
      </c>
      <c r="P71" s="610">
        <f t="shared" si="10"/>
        <v>0.21052631578947367</v>
      </c>
      <c r="R71" s="590">
        <v>4</v>
      </c>
      <c r="S71" s="590">
        <v>3</v>
      </c>
      <c r="T71" s="590">
        <v>3</v>
      </c>
      <c r="U71" s="590">
        <v>9</v>
      </c>
      <c r="V71" s="590">
        <v>0</v>
      </c>
    </row>
    <row r="72" spans="1:22">
      <c r="A72" s="611" t="s">
        <v>172</v>
      </c>
      <c r="B72" s="606" t="s">
        <v>173</v>
      </c>
      <c r="C72" s="612" t="s">
        <v>267</v>
      </c>
      <c r="D72" s="608">
        <v>11</v>
      </c>
      <c r="E72" s="608">
        <v>11</v>
      </c>
      <c r="F72" s="608">
        <v>0</v>
      </c>
      <c r="G72" s="608">
        <v>0</v>
      </c>
      <c r="H72" s="608">
        <v>0</v>
      </c>
      <c r="I72" s="608">
        <v>0</v>
      </c>
      <c r="J72" s="608">
        <v>0</v>
      </c>
      <c r="K72" s="608">
        <v>0</v>
      </c>
      <c r="L72" s="609"/>
      <c r="M72" s="609">
        <f t="shared" si="8"/>
        <v>0</v>
      </c>
      <c r="N72" s="609"/>
      <c r="O72" s="610">
        <f t="shared" si="9"/>
        <v>1</v>
      </c>
      <c r="P72" s="610">
        <f t="shared" si="10"/>
        <v>0</v>
      </c>
      <c r="R72" s="590">
        <v>5</v>
      </c>
      <c r="S72" s="590">
        <v>0</v>
      </c>
      <c r="T72" s="590">
        <v>2</v>
      </c>
      <c r="U72" s="590">
        <v>4</v>
      </c>
      <c r="V72" s="590">
        <v>0</v>
      </c>
    </row>
    <row r="73" spans="1:22">
      <c r="A73" s="611" t="s">
        <v>174</v>
      </c>
      <c r="B73" s="606" t="s">
        <v>175</v>
      </c>
      <c r="C73" s="612" t="s">
        <v>268</v>
      </c>
      <c r="D73" s="608">
        <v>8</v>
      </c>
      <c r="E73" s="608">
        <v>5</v>
      </c>
      <c r="F73" s="608">
        <v>1</v>
      </c>
      <c r="G73" s="608">
        <v>0</v>
      </c>
      <c r="H73" s="608">
        <v>0</v>
      </c>
      <c r="I73" s="608">
        <v>0</v>
      </c>
      <c r="J73" s="608">
        <v>2</v>
      </c>
      <c r="K73" s="608">
        <v>0</v>
      </c>
      <c r="L73" s="609"/>
      <c r="M73" s="609">
        <f t="shared" si="8"/>
        <v>2</v>
      </c>
      <c r="N73" s="609"/>
      <c r="O73" s="610">
        <f t="shared" si="9"/>
        <v>0.625</v>
      </c>
      <c r="P73" s="610">
        <f t="shared" si="10"/>
        <v>0.125</v>
      </c>
      <c r="R73" s="590">
        <v>3</v>
      </c>
      <c r="S73" s="590">
        <v>2</v>
      </c>
      <c r="T73" s="590">
        <v>3</v>
      </c>
      <c r="U73" s="590">
        <v>0</v>
      </c>
      <c r="V73" s="590">
        <v>0</v>
      </c>
    </row>
    <row r="74" spans="1:22">
      <c r="A74" s="605" t="s">
        <v>178</v>
      </c>
      <c r="B74" s="606" t="s">
        <v>179</v>
      </c>
      <c r="C74" s="612" t="s">
        <v>265</v>
      </c>
      <c r="D74" s="608">
        <v>9</v>
      </c>
      <c r="E74" s="608">
        <v>7</v>
      </c>
      <c r="F74" s="608">
        <v>1</v>
      </c>
      <c r="G74" s="608">
        <v>0</v>
      </c>
      <c r="H74" s="608">
        <v>0</v>
      </c>
      <c r="I74" s="608">
        <v>0</v>
      </c>
      <c r="J74" s="608">
        <v>1</v>
      </c>
      <c r="K74" s="608">
        <v>0</v>
      </c>
      <c r="L74" s="609"/>
      <c r="M74" s="609">
        <f t="shared" si="8"/>
        <v>1</v>
      </c>
      <c r="N74" s="609"/>
      <c r="O74" s="610">
        <f t="shared" si="9"/>
        <v>0.77777777777777779</v>
      </c>
      <c r="P74" s="610">
        <f t="shared" si="10"/>
        <v>0.1111111111111111</v>
      </c>
      <c r="R74" s="590">
        <v>3</v>
      </c>
      <c r="S74" s="590">
        <v>1</v>
      </c>
      <c r="T74" s="590">
        <v>3</v>
      </c>
      <c r="U74" s="590">
        <v>2</v>
      </c>
      <c r="V74" s="590">
        <v>0</v>
      </c>
    </row>
    <row r="75" spans="1:22">
      <c r="A75" s="605" t="s">
        <v>182</v>
      </c>
      <c r="B75" s="606" t="s">
        <v>183</v>
      </c>
      <c r="C75" s="612" t="s">
        <v>266</v>
      </c>
      <c r="D75" s="608">
        <v>11</v>
      </c>
      <c r="E75" s="608">
        <v>9</v>
      </c>
      <c r="F75" s="608">
        <v>2</v>
      </c>
      <c r="G75" s="608">
        <v>0</v>
      </c>
      <c r="H75" s="608">
        <v>0</v>
      </c>
      <c r="I75" s="608">
        <v>0</v>
      </c>
      <c r="J75" s="608">
        <v>0</v>
      </c>
      <c r="K75" s="608">
        <v>0</v>
      </c>
      <c r="L75" s="609"/>
      <c r="M75" s="609">
        <f t="shared" si="8"/>
        <v>0</v>
      </c>
      <c r="N75" s="609"/>
      <c r="O75" s="610">
        <f t="shared" si="9"/>
        <v>0.81818181818181823</v>
      </c>
      <c r="P75" s="610">
        <f t="shared" si="10"/>
        <v>0.18181818181818182</v>
      </c>
      <c r="R75" s="590">
        <v>0</v>
      </c>
      <c r="S75" s="590">
        <v>2</v>
      </c>
      <c r="T75" s="590">
        <v>6</v>
      </c>
      <c r="U75" s="590">
        <v>3</v>
      </c>
      <c r="V75" s="590">
        <v>0</v>
      </c>
    </row>
    <row r="76" spans="1:22">
      <c r="A76" s="605" t="s">
        <v>184</v>
      </c>
      <c r="B76" s="606" t="s">
        <v>185</v>
      </c>
      <c r="C76" s="612" t="s">
        <v>266</v>
      </c>
      <c r="D76" s="608">
        <v>13</v>
      </c>
      <c r="E76" s="608">
        <v>9</v>
      </c>
      <c r="F76" s="608">
        <v>4</v>
      </c>
      <c r="G76" s="608">
        <v>0</v>
      </c>
      <c r="H76" s="608">
        <v>0</v>
      </c>
      <c r="I76" s="608">
        <v>0</v>
      </c>
      <c r="J76" s="608">
        <v>0</v>
      </c>
      <c r="K76" s="608">
        <v>0</v>
      </c>
      <c r="L76" s="609"/>
      <c r="M76" s="609">
        <f t="shared" si="8"/>
        <v>0</v>
      </c>
      <c r="N76" s="609"/>
      <c r="O76" s="610">
        <f t="shared" si="9"/>
        <v>0.69230769230769229</v>
      </c>
      <c r="P76" s="610">
        <f t="shared" si="10"/>
        <v>0.30769230769230771</v>
      </c>
      <c r="R76" s="590">
        <v>2</v>
      </c>
      <c r="S76" s="590">
        <v>5</v>
      </c>
      <c r="T76" s="590">
        <v>5</v>
      </c>
      <c r="U76" s="590">
        <v>1</v>
      </c>
      <c r="V76" s="590">
        <v>0</v>
      </c>
    </row>
    <row r="77" spans="1:22">
      <c r="A77" s="605" t="s">
        <v>186</v>
      </c>
      <c r="B77" s="606" t="s">
        <v>187</v>
      </c>
      <c r="C77" s="612" t="s">
        <v>264</v>
      </c>
      <c r="D77" s="608">
        <v>19</v>
      </c>
      <c r="E77" s="608">
        <v>17</v>
      </c>
      <c r="F77" s="608">
        <v>1</v>
      </c>
      <c r="G77" s="608">
        <v>0</v>
      </c>
      <c r="H77" s="608">
        <v>0</v>
      </c>
      <c r="I77" s="608">
        <v>0</v>
      </c>
      <c r="J77" s="608">
        <v>1</v>
      </c>
      <c r="K77" s="608">
        <v>0</v>
      </c>
      <c r="L77" s="609"/>
      <c r="M77" s="609">
        <f t="shared" si="8"/>
        <v>1</v>
      </c>
      <c r="N77" s="609"/>
      <c r="O77" s="610">
        <f t="shared" si="9"/>
        <v>0.89473684210526316</v>
      </c>
      <c r="P77" s="610">
        <f t="shared" si="10"/>
        <v>5.2631578947368418E-2</v>
      </c>
      <c r="R77" s="590">
        <v>9</v>
      </c>
      <c r="S77" s="590">
        <v>4</v>
      </c>
      <c r="T77" s="590">
        <v>4</v>
      </c>
      <c r="U77" s="590">
        <v>2</v>
      </c>
      <c r="V77" s="590">
        <v>0</v>
      </c>
    </row>
    <row r="78" spans="1:22">
      <c r="A78" s="605" t="s">
        <v>188</v>
      </c>
      <c r="B78" s="606" t="s">
        <v>189</v>
      </c>
      <c r="C78" s="612" t="s">
        <v>267</v>
      </c>
      <c r="D78" s="608">
        <v>85</v>
      </c>
      <c r="E78" s="608">
        <v>20</v>
      </c>
      <c r="F78" s="608">
        <v>39</v>
      </c>
      <c r="G78" s="608">
        <v>1</v>
      </c>
      <c r="H78" s="608">
        <v>0</v>
      </c>
      <c r="I78" s="608">
        <v>21</v>
      </c>
      <c r="J78" s="608">
        <v>4</v>
      </c>
      <c r="K78" s="608">
        <v>0</v>
      </c>
      <c r="L78" s="609"/>
      <c r="M78" s="609">
        <f t="shared" si="8"/>
        <v>26</v>
      </c>
      <c r="N78" s="609"/>
      <c r="O78" s="610">
        <f t="shared" si="9"/>
        <v>0.23529411764705882</v>
      </c>
      <c r="P78" s="610">
        <f t="shared" si="10"/>
        <v>0.45882352941176469</v>
      </c>
      <c r="R78" s="590">
        <v>15</v>
      </c>
      <c r="S78" s="590">
        <v>17</v>
      </c>
      <c r="T78" s="590">
        <v>26</v>
      </c>
      <c r="U78" s="590">
        <v>27</v>
      </c>
      <c r="V78" s="590">
        <v>0</v>
      </c>
    </row>
    <row r="79" spans="1:22">
      <c r="A79" s="605" t="s">
        <v>190</v>
      </c>
      <c r="B79" s="606" t="s">
        <v>191</v>
      </c>
      <c r="C79" s="612" t="s">
        <v>268</v>
      </c>
      <c r="D79" s="608">
        <v>48</v>
      </c>
      <c r="E79" s="608">
        <v>37</v>
      </c>
      <c r="F79" s="608">
        <v>6</v>
      </c>
      <c r="G79" s="608">
        <v>0</v>
      </c>
      <c r="H79" s="608">
        <v>0</v>
      </c>
      <c r="I79" s="608">
        <v>1</v>
      </c>
      <c r="J79" s="608">
        <v>4</v>
      </c>
      <c r="K79" s="608">
        <v>0</v>
      </c>
      <c r="L79" s="609"/>
      <c r="M79" s="609">
        <f t="shared" si="8"/>
        <v>5</v>
      </c>
      <c r="N79" s="609"/>
      <c r="O79" s="610">
        <f t="shared" si="9"/>
        <v>0.77083333333333337</v>
      </c>
      <c r="P79" s="610">
        <f t="shared" si="10"/>
        <v>0.125</v>
      </c>
      <c r="R79" s="590">
        <v>6</v>
      </c>
      <c r="S79" s="590">
        <v>7</v>
      </c>
      <c r="T79" s="590">
        <v>14</v>
      </c>
      <c r="U79" s="590">
        <v>21</v>
      </c>
      <c r="V79" s="590">
        <v>0</v>
      </c>
    </row>
    <row r="80" spans="1:22">
      <c r="A80" s="605" t="s">
        <v>194</v>
      </c>
      <c r="B80" s="606" t="s">
        <v>195</v>
      </c>
      <c r="C80" s="612" t="s">
        <v>267</v>
      </c>
      <c r="D80" s="608">
        <v>21</v>
      </c>
      <c r="E80" s="608">
        <v>15</v>
      </c>
      <c r="F80" s="608">
        <v>1</v>
      </c>
      <c r="G80" s="608">
        <v>0</v>
      </c>
      <c r="H80" s="608">
        <v>0</v>
      </c>
      <c r="I80" s="608">
        <v>1</v>
      </c>
      <c r="J80" s="608">
        <v>4</v>
      </c>
      <c r="K80" s="608">
        <v>0</v>
      </c>
      <c r="L80" s="609"/>
      <c r="M80" s="609">
        <f t="shared" si="8"/>
        <v>5</v>
      </c>
      <c r="N80" s="609"/>
      <c r="O80" s="610">
        <f t="shared" si="9"/>
        <v>0.7142857142857143</v>
      </c>
      <c r="P80" s="610">
        <f t="shared" si="10"/>
        <v>4.7619047619047616E-2</v>
      </c>
      <c r="R80" s="590">
        <v>4</v>
      </c>
      <c r="S80" s="590">
        <v>5</v>
      </c>
      <c r="T80" s="590">
        <v>8</v>
      </c>
      <c r="U80" s="590">
        <v>4</v>
      </c>
      <c r="V80" s="590">
        <v>0</v>
      </c>
    </row>
    <row r="81" spans="1:22">
      <c r="A81" s="605" t="s">
        <v>198</v>
      </c>
      <c r="B81" s="606" t="s">
        <v>272</v>
      </c>
      <c r="C81" s="612" t="s">
        <v>266</v>
      </c>
      <c r="D81" s="608">
        <v>5</v>
      </c>
      <c r="E81" s="608">
        <v>1</v>
      </c>
      <c r="F81" s="608">
        <v>3</v>
      </c>
      <c r="G81" s="608">
        <v>0</v>
      </c>
      <c r="H81" s="608">
        <v>0</v>
      </c>
      <c r="I81" s="608">
        <v>0</v>
      </c>
      <c r="J81" s="608">
        <v>1</v>
      </c>
      <c r="K81" s="608">
        <v>0</v>
      </c>
      <c r="L81" s="609"/>
      <c r="M81" s="609">
        <f t="shared" si="8"/>
        <v>1</v>
      </c>
      <c r="N81" s="609"/>
      <c r="O81" s="610">
        <f t="shared" si="9"/>
        <v>0.2</v>
      </c>
      <c r="P81" s="610">
        <f t="shared" si="10"/>
        <v>0.6</v>
      </c>
      <c r="R81" s="590">
        <v>2</v>
      </c>
      <c r="S81" s="590">
        <v>0</v>
      </c>
      <c r="T81" s="590">
        <v>2</v>
      </c>
      <c r="U81" s="590">
        <v>1</v>
      </c>
      <c r="V81" s="590">
        <v>0</v>
      </c>
    </row>
    <row r="82" spans="1:22">
      <c r="A82" s="605" t="s">
        <v>202</v>
      </c>
      <c r="B82" s="606" t="s">
        <v>283</v>
      </c>
      <c r="C82" s="612" t="s">
        <v>265</v>
      </c>
      <c r="D82" s="608">
        <v>106</v>
      </c>
      <c r="E82" s="608">
        <v>75</v>
      </c>
      <c r="F82" s="608">
        <v>20</v>
      </c>
      <c r="G82" s="608">
        <v>1</v>
      </c>
      <c r="H82" s="608">
        <v>0</v>
      </c>
      <c r="I82" s="608">
        <v>5</v>
      </c>
      <c r="J82" s="608">
        <v>4</v>
      </c>
      <c r="K82" s="608">
        <v>1</v>
      </c>
      <c r="L82" s="609"/>
      <c r="M82" s="609">
        <f t="shared" si="8"/>
        <v>11</v>
      </c>
      <c r="N82" s="609"/>
      <c r="O82" s="610">
        <f t="shared" si="9"/>
        <v>0.70754716981132071</v>
      </c>
      <c r="P82" s="610">
        <f t="shared" si="10"/>
        <v>0.18867924528301888</v>
      </c>
      <c r="R82" s="590">
        <v>39</v>
      </c>
      <c r="S82" s="590">
        <v>25</v>
      </c>
      <c r="T82" s="590">
        <v>29</v>
      </c>
      <c r="U82" s="590">
        <v>13</v>
      </c>
      <c r="V82" s="590">
        <v>0</v>
      </c>
    </row>
    <row r="83" spans="1:22">
      <c r="A83" s="605" t="s">
        <v>204</v>
      </c>
      <c r="B83" s="606" t="s">
        <v>284</v>
      </c>
      <c r="C83" s="612" t="s">
        <v>265</v>
      </c>
      <c r="D83" s="608">
        <v>18</v>
      </c>
      <c r="E83" s="608">
        <v>15</v>
      </c>
      <c r="F83" s="608">
        <v>0</v>
      </c>
      <c r="G83" s="608">
        <v>0</v>
      </c>
      <c r="H83" s="608">
        <v>0</v>
      </c>
      <c r="I83" s="608">
        <v>1</v>
      </c>
      <c r="J83" s="608">
        <v>0</v>
      </c>
      <c r="K83" s="608">
        <v>2</v>
      </c>
      <c r="L83" s="609"/>
      <c r="M83" s="609">
        <f t="shared" si="8"/>
        <v>3</v>
      </c>
      <c r="N83" s="609"/>
      <c r="O83" s="610">
        <f t="shared" si="9"/>
        <v>0.83333333333333337</v>
      </c>
      <c r="P83" s="610">
        <f t="shared" si="10"/>
        <v>0</v>
      </c>
      <c r="R83" s="590">
        <v>6</v>
      </c>
      <c r="S83" s="590">
        <v>6</v>
      </c>
      <c r="T83" s="590">
        <v>5</v>
      </c>
      <c r="U83" s="590">
        <v>1</v>
      </c>
      <c r="V83" s="590">
        <v>0</v>
      </c>
    </row>
    <row r="84" spans="1:22">
      <c r="A84" s="605" t="s">
        <v>206</v>
      </c>
      <c r="B84" s="606" t="s">
        <v>207</v>
      </c>
      <c r="C84" s="612" t="s">
        <v>267</v>
      </c>
      <c r="D84" s="608">
        <v>152</v>
      </c>
      <c r="E84" s="608">
        <v>103</v>
      </c>
      <c r="F84" s="608">
        <v>18</v>
      </c>
      <c r="G84" s="608">
        <v>0</v>
      </c>
      <c r="H84" s="608">
        <v>0</v>
      </c>
      <c r="I84" s="608">
        <v>21</v>
      </c>
      <c r="J84" s="608">
        <v>8</v>
      </c>
      <c r="K84" s="608">
        <v>2</v>
      </c>
      <c r="L84" s="609"/>
      <c r="M84" s="609">
        <f t="shared" si="8"/>
        <v>31</v>
      </c>
      <c r="N84" s="609"/>
      <c r="O84" s="610">
        <f t="shared" si="9"/>
        <v>0.67763157894736847</v>
      </c>
      <c r="P84" s="610">
        <f t="shared" si="10"/>
        <v>0.11842105263157894</v>
      </c>
      <c r="R84" s="590">
        <v>45</v>
      </c>
      <c r="S84" s="590">
        <v>36</v>
      </c>
      <c r="T84" s="590">
        <v>41</v>
      </c>
      <c r="U84" s="590">
        <v>30</v>
      </c>
      <c r="V84" s="590">
        <v>0</v>
      </c>
    </row>
    <row r="85" spans="1:22">
      <c r="A85" s="605" t="s">
        <v>208</v>
      </c>
      <c r="B85" s="606" t="s">
        <v>209</v>
      </c>
      <c r="C85" s="612" t="s">
        <v>268</v>
      </c>
      <c r="D85" s="608">
        <v>51</v>
      </c>
      <c r="E85" s="608">
        <v>50</v>
      </c>
      <c r="F85" s="608">
        <v>0</v>
      </c>
      <c r="G85" s="608">
        <v>0</v>
      </c>
      <c r="H85" s="608">
        <v>0</v>
      </c>
      <c r="I85" s="608">
        <v>1</v>
      </c>
      <c r="J85" s="608">
        <v>0</v>
      </c>
      <c r="K85" s="608">
        <v>0</v>
      </c>
      <c r="L85" s="609"/>
      <c r="M85" s="609">
        <f t="shared" si="8"/>
        <v>1</v>
      </c>
      <c r="N85" s="609"/>
      <c r="O85" s="610">
        <f t="shared" si="9"/>
        <v>0.98039215686274506</v>
      </c>
      <c r="P85" s="610">
        <f t="shared" si="10"/>
        <v>0</v>
      </c>
      <c r="R85" s="590">
        <v>17</v>
      </c>
      <c r="S85" s="590">
        <v>6</v>
      </c>
      <c r="T85" s="590">
        <v>16</v>
      </c>
      <c r="U85" s="590">
        <v>12</v>
      </c>
      <c r="V85" s="590">
        <v>0</v>
      </c>
    </row>
    <row r="86" spans="1:22">
      <c r="A86" s="611" t="s">
        <v>210</v>
      </c>
      <c r="B86" s="606" t="s">
        <v>211</v>
      </c>
      <c r="C86" s="612" t="s">
        <v>268</v>
      </c>
      <c r="D86" s="608">
        <v>32</v>
      </c>
      <c r="E86" s="608">
        <v>27</v>
      </c>
      <c r="F86" s="608">
        <v>1</v>
      </c>
      <c r="G86" s="608">
        <v>0</v>
      </c>
      <c r="H86" s="608">
        <v>0</v>
      </c>
      <c r="I86" s="608">
        <v>2</v>
      </c>
      <c r="J86" s="608">
        <v>2</v>
      </c>
      <c r="K86" s="608">
        <v>0</v>
      </c>
      <c r="L86" s="609"/>
      <c r="M86" s="609">
        <f t="shared" si="8"/>
        <v>4</v>
      </c>
      <c r="N86" s="609"/>
      <c r="O86" s="610">
        <f t="shared" si="9"/>
        <v>0.84375</v>
      </c>
      <c r="P86" s="610">
        <f t="shared" si="10"/>
        <v>3.125E-2</v>
      </c>
      <c r="R86" s="590">
        <v>14</v>
      </c>
      <c r="S86" s="590">
        <v>9</v>
      </c>
      <c r="T86" s="590">
        <v>3</v>
      </c>
      <c r="U86" s="590">
        <v>6</v>
      </c>
      <c r="V86" s="590">
        <v>0</v>
      </c>
    </row>
    <row r="87" spans="1:22">
      <c r="A87" s="605" t="s">
        <v>212</v>
      </c>
      <c r="B87" s="606" t="s">
        <v>213</v>
      </c>
      <c r="C87" s="612" t="s">
        <v>267</v>
      </c>
      <c r="D87" s="608">
        <v>13</v>
      </c>
      <c r="E87" s="608">
        <v>11</v>
      </c>
      <c r="F87" s="608">
        <v>0</v>
      </c>
      <c r="G87" s="608">
        <v>0</v>
      </c>
      <c r="H87" s="608">
        <v>0</v>
      </c>
      <c r="I87" s="608">
        <v>2</v>
      </c>
      <c r="J87" s="608">
        <v>0</v>
      </c>
      <c r="K87" s="608">
        <v>0</v>
      </c>
      <c r="L87" s="609"/>
      <c r="M87" s="609">
        <f t="shared" si="8"/>
        <v>2</v>
      </c>
      <c r="N87" s="609"/>
      <c r="O87" s="610">
        <f t="shared" si="9"/>
        <v>0.84615384615384615</v>
      </c>
      <c r="P87" s="610">
        <f t="shared" si="10"/>
        <v>0</v>
      </c>
      <c r="R87" s="590">
        <v>4</v>
      </c>
      <c r="S87" s="590">
        <v>5</v>
      </c>
      <c r="T87" s="590">
        <v>3</v>
      </c>
      <c r="U87" s="590">
        <v>1</v>
      </c>
      <c r="V87" s="590">
        <v>0</v>
      </c>
    </row>
    <row r="88" spans="1:22">
      <c r="A88" s="605" t="s">
        <v>214</v>
      </c>
      <c r="B88" s="606" t="s">
        <v>215</v>
      </c>
      <c r="C88" s="612" t="s">
        <v>268</v>
      </c>
      <c r="D88" s="608">
        <v>17</v>
      </c>
      <c r="E88" s="608">
        <v>16</v>
      </c>
      <c r="F88" s="608">
        <v>0</v>
      </c>
      <c r="G88" s="608">
        <v>0</v>
      </c>
      <c r="H88" s="608">
        <v>0</v>
      </c>
      <c r="I88" s="608">
        <v>1</v>
      </c>
      <c r="J88" s="608">
        <v>0</v>
      </c>
      <c r="K88" s="608">
        <v>0</v>
      </c>
      <c r="L88" s="609"/>
      <c r="M88" s="609">
        <f t="shared" si="8"/>
        <v>1</v>
      </c>
      <c r="N88" s="609"/>
      <c r="O88" s="610">
        <f t="shared" si="9"/>
        <v>0.94117647058823528</v>
      </c>
      <c r="P88" s="610">
        <f t="shared" si="10"/>
        <v>0</v>
      </c>
      <c r="R88" s="590">
        <v>10</v>
      </c>
      <c r="S88" s="590">
        <v>3</v>
      </c>
      <c r="T88" s="590">
        <v>2</v>
      </c>
      <c r="U88" s="590">
        <v>2</v>
      </c>
      <c r="V88" s="590">
        <v>0</v>
      </c>
    </row>
    <row r="89" spans="1:22">
      <c r="A89" s="605" t="s">
        <v>216</v>
      </c>
      <c r="B89" s="606" t="s">
        <v>217</v>
      </c>
      <c r="C89" s="612" t="s">
        <v>264</v>
      </c>
      <c r="D89" s="608">
        <v>4</v>
      </c>
      <c r="E89" s="608">
        <v>0</v>
      </c>
      <c r="F89" s="608">
        <v>4</v>
      </c>
      <c r="G89" s="608">
        <v>0</v>
      </c>
      <c r="H89" s="608">
        <v>0</v>
      </c>
      <c r="I89" s="608">
        <v>0</v>
      </c>
      <c r="J89" s="608">
        <v>0</v>
      </c>
      <c r="K89" s="608">
        <v>0</v>
      </c>
      <c r="L89" s="609"/>
      <c r="M89" s="609">
        <f t="shared" si="8"/>
        <v>0</v>
      </c>
      <c r="N89" s="609"/>
      <c r="O89" s="610">
        <f t="shared" si="9"/>
        <v>0</v>
      </c>
      <c r="P89" s="610">
        <f t="shared" si="10"/>
        <v>1</v>
      </c>
      <c r="R89" s="590">
        <v>1</v>
      </c>
      <c r="S89" s="590">
        <v>1</v>
      </c>
      <c r="T89" s="590">
        <v>2</v>
      </c>
      <c r="U89" s="590">
        <v>0</v>
      </c>
      <c r="V89" s="590">
        <v>0</v>
      </c>
    </row>
    <row r="90" spans="1:22">
      <c r="A90" s="605" t="s">
        <v>218</v>
      </c>
      <c r="B90" s="606" t="s">
        <v>219</v>
      </c>
      <c r="C90" s="612" t="s">
        <v>267</v>
      </c>
      <c r="D90" s="608">
        <v>77</v>
      </c>
      <c r="E90" s="608">
        <v>49</v>
      </c>
      <c r="F90" s="608">
        <v>14</v>
      </c>
      <c r="G90" s="608">
        <v>0</v>
      </c>
      <c r="H90" s="608">
        <v>0</v>
      </c>
      <c r="I90" s="608">
        <v>2</v>
      </c>
      <c r="J90" s="608">
        <v>12</v>
      </c>
      <c r="K90" s="608">
        <v>0</v>
      </c>
      <c r="L90" s="609"/>
      <c r="M90" s="609">
        <f t="shared" si="8"/>
        <v>14</v>
      </c>
      <c r="N90" s="609"/>
      <c r="O90" s="610">
        <f t="shared" si="9"/>
        <v>0.63636363636363635</v>
      </c>
      <c r="P90" s="610">
        <f t="shared" si="10"/>
        <v>0.18181818181818182</v>
      </c>
      <c r="R90" s="590">
        <v>16</v>
      </c>
      <c r="S90" s="590">
        <v>13</v>
      </c>
      <c r="T90" s="590">
        <v>29</v>
      </c>
      <c r="U90" s="590">
        <v>19</v>
      </c>
      <c r="V90" s="590">
        <v>0</v>
      </c>
    </row>
    <row r="91" spans="1:22">
      <c r="A91" s="605" t="s">
        <v>220</v>
      </c>
      <c r="B91" s="606" t="s">
        <v>221</v>
      </c>
      <c r="C91" s="612" t="s">
        <v>267</v>
      </c>
      <c r="D91" s="608">
        <v>33</v>
      </c>
      <c r="E91" s="608">
        <v>16</v>
      </c>
      <c r="F91" s="608">
        <v>10</v>
      </c>
      <c r="G91" s="608">
        <v>0</v>
      </c>
      <c r="H91" s="608">
        <v>0</v>
      </c>
      <c r="I91" s="608">
        <v>1</v>
      </c>
      <c r="J91" s="608">
        <v>5</v>
      </c>
      <c r="K91" s="608">
        <v>1</v>
      </c>
      <c r="L91" s="609"/>
      <c r="M91" s="609">
        <f t="shared" si="8"/>
        <v>7</v>
      </c>
      <c r="N91" s="609"/>
      <c r="O91" s="610">
        <f t="shared" si="9"/>
        <v>0.48484848484848486</v>
      </c>
      <c r="P91" s="610">
        <f t="shared" si="10"/>
        <v>0.30303030303030304</v>
      </c>
      <c r="R91" s="590">
        <v>12</v>
      </c>
      <c r="S91" s="590">
        <v>10</v>
      </c>
      <c r="T91" s="590">
        <v>4</v>
      </c>
      <c r="U91" s="590">
        <v>7</v>
      </c>
      <c r="V91" s="590">
        <v>0</v>
      </c>
    </row>
    <row r="92" spans="1:22">
      <c r="A92" s="611" t="s">
        <v>224</v>
      </c>
      <c r="B92" s="606" t="s">
        <v>225</v>
      </c>
      <c r="C92" s="612" t="s">
        <v>264</v>
      </c>
      <c r="D92" s="608">
        <v>0</v>
      </c>
      <c r="E92" s="608">
        <v>0</v>
      </c>
      <c r="F92" s="608">
        <v>0</v>
      </c>
      <c r="G92" s="608">
        <v>0</v>
      </c>
      <c r="H92" s="608">
        <v>0</v>
      </c>
      <c r="I92" s="608">
        <v>0</v>
      </c>
      <c r="J92" s="608">
        <v>0</v>
      </c>
      <c r="K92" s="608">
        <v>0</v>
      </c>
      <c r="L92" s="609"/>
      <c r="M92" s="609">
        <f t="shared" si="8"/>
        <v>0</v>
      </c>
      <c r="N92" s="609"/>
      <c r="O92" s="610" t="str">
        <f t="shared" si="9"/>
        <v>N/A</v>
      </c>
      <c r="P92" s="610" t="str">
        <f t="shared" si="10"/>
        <v>N/A</v>
      </c>
      <c r="R92" s="590">
        <v>0</v>
      </c>
      <c r="S92" s="590">
        <v>0</v>
      </c>
      <c r="T92" s="590">
        <v>0</v>
      </c>
      <c r="U92" s="590">
        <v>0</v>
      </c>
      <c r="V92" s="590">
        <v>0</v>
      </c>
    </row>
    <row r="93" spans="1:22">
      <c r="A93" s="605" t="s">
        <v>226</v>
      </c>
      <c r="B93" s="606" t="s">
        <v>227</v>
      </c>
      <c r="C93" s="612" t="s">
        <v>264</v>
      </c>
      <c r="D93" s="608">
        <v>5</v>
      </c>
      <c r="E93" s="608">
        <v>0</v>
      </c>
      <c r="F93" s="608">
        <v>2</v>
      </c>
      <c r="G93" s="608">
        <v>0</v>
      </c>
      <c r="H93" s="608">
        <v>0</v>
      </c>
      <c r="I93" s="608">
        <v>0</v>
      </c>
      <c r="J93" s="608">
        <v>3</v>
      </c>
      <c r="K93" s="608">
        <v>0</v>
      </c>
      <c r="L93" s="609"/>
      <c r="M93" s="609">
        <f t="shared" si="8"/>
        <v>3</v>
      </c>
      <c r="N93" s="609"/>
      <c r="O93" s="610">
        <f t="shared" si="9"/>
        <v>0</v>
      </c>
      <c r="P93" s="610">
        <f t="shared" si="10"/>
        <v>0.4</v>
      </c>
      <c r="R93" s="590">
        <v>4</v>
      </c>
      <c r="S93" s="590">
        <v>0</v>
      </c>
      <c r="T93" s="590">
        <v>0</v>
      </c>
      <c r="U93" s="590">
        <v>1</v>
      </c>
      <c r="V93" s="590">
        <v>0</v>
      </c>
    </row>
    <row r="94" spans="1:22">
      <c r="A94" s="605" t="s">
        <v>228</v>
      </c>
      <c r="B94" s="606" t="s">
        <v>229</v>
      </c>
      <c r="C94" s="612" t="s">
        <v>268</v>
      </c>
      <c r="D94" s="608">
        <v>58</v>
      </c>
      <c r="E94" s="608">
        <v>55</v>
      </c>
      <c r="F94" s="608">
        <v>1</v>
      </c>
      <c r="G94" s="608">
        <v>0</v>
      </c>
      <c r="H94" s="608">
        <v>0</v>
      </c>
      <c r="I94" s="608">
        <v>1</v>
      </c>
      <c r="J94" s="608">
        <v>1</v>
      </c>
      <c r="K94" s="608">
        <v>0</v>
      </c>
      <c r="L94" s="609"/>
      <c r="M94" s="609">
        <f t="shared" si="8"/>
        <v>2</v>
      </c>
      <c r="N94" s="609"/>
      <c r="O94" s="610">
        <f t="shared" si="9"/>
        <v>0.94827586206896552</v>
      </c>
      <c r="P94" s="610">
        <f t="shared" si="10"/>
        <v>1.7241379310344827E-2</v>
      </c>
      <c r="R94" s="590">
        <v>18</v>
      </c>
      <c r="S94" s="590">
        <v>10</v>
      </c>
      <c r="T94" s="590">
        <v>17</v>
      </c>
      <c r="U94" s="590">
        <v>13</v>
      </c>
      <c r="V94" s="590">
        <v>0</v>
      </c>
    </row>
    <row r="95" spans="1:22">
      <c r="A95" s="605" t="s">
        <v>232</v>
      </c>
      <c r="B95" s="606" t="s">
        <v>233</v>
      </c>
      <c r="C95" s="612" t="s">
        <v>267</v>
      </c>
      <c r="D95" s="608">
        <v>23</v>
      </c>
      <c r="E95" s="608">
        <v>15</v>
      </c>
      <c r="F95" s="608">
        <v>3</v>
      </c>
      <c r="G95" s="608">
        <v>0</v>
      </c>
      <c r="H95" s="608">
        <v>0</v>
      </c>
      <c r="I95" s="608">
        <v>0</v>
      </c>
      <c r="J95" s="608">
        <v>3</v>
      </c>
      <c r="K95" s="608">
        <v>2</v>
      </c>
      <c r="L95" s="609"/>
      <c r="M95" s="609">
        <f t="shared" si="8"/>
        <v>5</v>
      </c>
      <c r="N95" s="609"/>
      <c r="O95" s="610">
        <f t="shared" si="9"/>
        <v>0.65217391304347827</v>
      </c>
      <c r="P95" s="610">
        <f t="shared" si="10"/>
        <v>0.13043478260869565</v>
      </c>
      <c r="R95" s="590">
        <v>4</v>
      </c>
      <c r="S95" s="590">
        <v>5</v>
      </c>
      <c r="T95" s="590">
        <v>7</v>
      </c>
      <c r="U95" s="590">
        <v>7</v>
      </c>
      <c r="V95" s="590">
        <v>0</v>
      </c>
    </row>
    <row r="96" spans="1:22">
      <c r="A96" s="605" t="s">
        <v>234</v>
      </c>
      <c r="B96" s="606" t="s">
        <v>235</v>
      </c>
      <c r="C96" s="612" t="s">
        <v>268</v>
      </c>
      <c r="D96" s="608">
        <v>34</v>
      </c>
      <c r="E96" s="608">
        <v>30</v>
      </c>
      <c r="F96" s="608">
        <v>1</v>
      </c>
      <c r="G96" s="608">
        <v>0</v>
      </c>
      <c r="H96" s="608">
        <v>0</v>
      </c>
      <c r="I96" s="608">
        <v>3</v>
      </c>
      <c r="J96" s="608">
        <v>0</v>
      </c>
      <c r="K96" s="608">
        <v>0</v>
      </c>
      <c r="L96" s="609"/>
      <c r="M96" s="609">
        <f t="shared" si="8"/>
        <v>3</v>
      </c>
      <c r="N96" s="609"/>
      <c r="O96" s="610">
        <f t="shared" si="9"/>
        <v>0.88235294117647056</v>
      </c>
      <c r="P96" s="610">
        <f t="shared" si="10"/>
        <v>2.9411764705882353E-2</v>
      </c>
      <c r="R96" s="590">
        <v>12</v>
      </c>
      <c r="S96" s="590">
        <v>10</v>
      </c>
      <c r="T96" s="590">
        <v>7</v>
      </c>
      <c r="U96" s="590">
        <v>5</v>
      </c>
      <c r="V96" s="590">
        <v>0</v>
      </c>
    </row>
    <row r="97" spans="1:22">
      <c r="A97" s="605" t="s">
        <v>236</v>
      </c>
      <c r="B97" s="606" t="s">
        <v>237</v>
      </c>
      <c r="C97" s="612" t="s">
        <v>266</v>
      </c>
      <c r="D97" s="608">
        <v>9</v>
      </c>
      <c r="E97" s="608">
        <v>8</v>
      </c>
      <c r="F97" s="608">
        <v>0</v>
      </c>
      <c r="G97" s="608">
        <v>0</v>
      </c>
      <c r="H97" s="608">
        <v>0</v>
      </c>
      <c r="I97" s="608">
        <v>0</v>
      </c>
      <c r="J97" s="608">
        <v>0</v>
      </c>
      <c r="K97" s="608">
        <v>1</v>
      </c>
      <c r="L97" s="609"/>
      <c r="M97" s="609">
        <f t="shared" si="8"/>
        <v>1</v>
      </c>
      <c r="N97" s="609"/>
      <c r="O97" s="610">
        <f t="shared" si="9"/>
        <v>0.88888888888888884</v>
      </c>
      <c r="P97" s="610">
        <f t="shared" si="10"/>
        <v>0</v>
      </c>
      <c r="R97" s="590">
        <v>2</v>
      </c>
      <c r="S97" s="590">
        <v>0</v>
      </c>
      <c r="T97" s="590">
        <v>5</v>
      </c>
      <c r="U97" s="590">
        <v>2</v>
      </c>
      <c r="V97" s="590">
        <v>0</v>
      </c>
    </row>
    <row r="98" spans="1:22">
      <c r="A98" s="605" t="s">
        <v>242</v>
      </c>
      <c r="B98" s="606" t="s">
        <v>243</v>
      </c>
      <c r="C98" s="612" t="s">
        <v>268</v>
      </c>
      <c r="D98" s="608">
        <v>105</v>
      </c>
      <c r="E98" s="608">
        <v>92</v>
      </c>
      <c r="F98" s="608">
        <v>0</v>
      </c>
      <c r="G98" s="608">
        <v>0</v>
      </c>
      <c r="H98" s="608">
        <v>0</v>
      </c>
      <c r="I98" s="608">
        <v>2</v>
      </c>
      <c r="J98" s="608">
        <v>11</v>
      </c>
      <c r="K98" s="608">
        <v>0</v>
      </c>
      <c r="L98" s="609"/>
      <c r="M98" s="609">
        <f t="shared" si="8"/>
        <v>13</v>
      </c>
      <c r="N98" s="609"/>
      <c r="O98" s="610">
        <f t="shared" si="9"/>
        <v>0.87619047619047619</v>
      </c>
      <c r="P98" s="610">
        <f t="shared" si="10"/>
        <v>0</v>
      </c>
      <c r="R98" s="590">
        <v>33</v>
      </c>
      <c r="S98" s="590">
        <v>28</v>
      </c>
      <c r="T98" s="590">
        <v>23</v>
      </c>
      <c r="U98" s="590">
        <v>21</v>
      </c>
      <c r="V98" s="590">
        <v>0</v>
      </c>
    </row>
    <row r="99" spans="1:22">
      <c r="A99" s="605" t="s">
        <v>244</v>
      </c>
      <c r="B99" s="606" t="s">
        <v>245</v>
      </c>
      <c r="C99" s="612" t="s">
        <v>268</v>
      </c>
      <c r="D99" s="608">
        <v>34</v>
      </c>
      <c r="E99" s="608">
        <v>30</v>
      </c>
      <c r="F99" s="608">
        <v>2</v>
      </c>
      <c r="G99" s="608">
        <v>0</v>
      </c>
      <c r="H99" s="608">
        <v>0</v>
      </c>
      <c r="I99" s="608">
        <v>0</v>
      </c>
      <c r="J99" s="608">
        <v>1</v>
      </c>
      <c r="K99" s="608">
        <v>1</v>
      </c>
      <c r="L99" s="609"/>
      <c r="M99" s="609">
        <f t="shared" si="8"/>
        <v>2</v>
      </c>
      <c r="N99" s="609"/>
      <c r="O99" s="610">
        <f t="shared" si="9"/>
        <v>0.88235294117647056</v>
      </c>
      <c r="P99" s="610">
        <f t="shared" si="10"/>
        <v>5.8823529411764705E-2</v>
      </c>
      <c r="R99" s="590">
        <v>10</v>
      </c>
      <c r="S99" s="590">
        <v>3</v>
      </c>
      <c r="T99" s="590">
        <v>7</v>
      </c>
      <c r="U99" s="590">
        <v>14</v>
      </c>
      <c r="V99" s="590">
        <v>0</v>
      </c>
    </row>
    <row r="100" spans="1:22">
      <c r="A100" s="1255" t="s">
        <v>246</v>
      </c>
      <c r="B100" s="1256" t="s">
        <v>247</v>
      </c>
      <c r="C100" s="612" t="s">
        <v>264</v>
      </c>
      <c r="D100" s="1257">
        <v>13</v>
      </c>
      <c r="E100" s="1257">
        <v>10</v>
      </c>
      <c r="F100" s="1257">
        <v>1</v>
      </c>
      <c r="G100" s="1257">
        <v>0</v>
      </c>
      <c r="H100" s="1257">
        <v>0</v>
      </c>
      <c r="I100" s="1257">
        <v>1</v>
      </c>
      <c r="J100" s="1257">
        <v>1</v>
      </c>
      <c r="K100" s="1257">
        <v>0</v>
      </c>
      <c r="L100" s="1258"/>
      <c r="M100" s="609">
        <f t="shared" si="8"/>
        <v>2</v>
      </c>
      <c r="N100" s="1258"/>
      <c r="O100" s="610">
        <f t="shared" si="9"/>
        <v>0.76923076923076927</v>
      </c>
      <c r="P100" s="610">
        <f t="shared" si="10"/>
        <v>7.6923076923076927E-2</v>
      </c>
      <c r="R100" s="590">
        <v>0</v>
      </c>
      <c r="S100" s="590">
        <v>2</v>
      </c>
      <c r="T100" s="590">
        <v>5</v>
      </c>
      <c r="U100" s="590">
        <v>6</v>
      </c>
      <c r="V100" s="590">
        <v>0</v>
      </c>
    </row>
    <row r="101" spans="1:22">
      <c r="A101" s="605" t="s">
        <v>14</v>
      </c>
      <c r="B101" s="606" t="s">
        <v>15</v>
      </c>
      <c r="C101" s="612" t="s">
        <v>267</v>
      </c>
      <c r="D101" s="608">
        <v>69</v>
      </c>
      <c r="E101" s="608">
        <v>6</v>
      </c>
      <c r="F101" s="608">
        <v>38</v>
      </c>
      <c r="G101" s="608">
        <v>0</v>
      </c>
      <c r="H101" s="608">
        <v>0</v>
      </c>
      <c r="I101" s="608">
        <v>21</v>
      </c>
      <c r="J101" s="608">
        <v>3</v>
      </c>
      <c r="K101" s="608">
        <v>1</v>
      </c>
      <c r="L101" s="609"/>
      <c r="M101" s="609">
        <f t="shared" si="8"/>
        <v>25</v>
      </c>
      <c r="N101" s="609"/>
      <c r="O101" s="610">
        <f t="shared" si="9"/>
        <v>8.6956521739130432E-2</v>
      </c>
      <c r="P101" s="610">
        <f t="shared" si="10"/>
        <v>0.55072463768115942</v>
      </c>
      <c r="R101" s="590">
        <v>29</v>
      </c>
      <c r="S101" s="590">
        <v>14</v>
      </c>
      <c r="T101" s="590">
        <v>16</v>
      </c>
      <c r="U101" s="590">
        <v>10</v>
      </c>
      <c r="V101" s="590">
        <v>0</v>
      </c>
    </row>
    <row r="102" spans="1:22">
      <c r="A102" s="605" t="s">
        <v>34</v>
      </c>
      <c r="B102" s="606" t="s">
        <v>35</v>
      </c>
      <c r="C102" s="612" t="s">
        <v>268</v>
      </c>
      <c r="D102" s="608">
        <v>54</v>
      </c>
      <c r="E102" s="608">
        <v>42</v>
      </c>
      <c r="F102" s="608">
        <v>6</v>
      </c>
      <c r="G102" s="608">
        <v>0</v>
      </c>
      <c r="H102" s="608">
        <v>0</v>
      </c>
      <c r="I102" s="608">
        <v>1</v>
      </c>
      <c r="J102" s="608">
        <v>4</v>
      </c>
      <c r="K102" s="608">
        <v>1</v>
      </c>
      <c r="L102" s="609"/>
      <c r="M102" s="609">
        <f t="shared" ref="M102:M125" si="11">SUM(G102:K102)</f>
        <v>6</v>
      </c>
      <c r="N102" s="609"/>
      <c r="O102" s="610">
        <f t="shared" ref="O102:O125" si="12">IF(D102=0,"N/A",+E102/D102)</f>
        <v>0.77777777777777779</v>
      </c>
      <c r="P102" s="610">
        <f t="shared" ref="P102:P125" si="13">IF(D102=0,"N/A",+F102/D102)</f>
        <v>0.1111111111111111</v>
      </c>
      <c r="R102" s="590">
        <v>14</v>
      </c>
      <c r="S102" s="590">
        <v>11</v>
      </c>
      <c r="T102" s="590">
        <v>15</v>
      </c>
      <c r="U102" s="590">
        <v>14</v>
      </c>
      <c r="V102" s="590">
        <v>0</v>
      </c>
    </row>
    <row r="103" spans="1:22">
      <c r="A103" s="605" t="s">
        <v>52</v>
      </c>
      <c r="B103" s="606" t="s">
        <v>53</v>
      </c>
      <c r="C103" s="612" t="s">
        <v>265</v>
      </c>
      <c r="D103" s="608">
        <v>90</v>
      </c>
      <c r="E103" s="608">
        <v>17</v>
      </c>
      <c r="F103" s="608">
        <v>50</v>
      </c>
      <c r="G103" s="608">
        <v>2</v>
      </c>
      <c r="H103" s="608">
        <v>0</v>
      </c>
      <c r="I103" s="608">
        <v>8</v>
      </c>
      <c r="J103" s="608">
        <v>12</v>
      </c>
      <c r="K103" s="608">
        <v>1</v>
      </c>
      <c r="L103" s="609"/>
      <c r="M103" s="609">
        <f t="shared" si="11"/>
        <v>23</v>
      </c>
      <c r="N103" s="609"/>
      <c r="O103" s="610">
        <f t="shared" si="12"/>
        <v>0.18888888888888888</v>
      </c>
      <c r="P103" s="610">
        <f t="shared" si="13"/>
        <v>0.55555555555555558</v>
      </c>
      <c r="R103" s="590">
        <v>29</v>
      </c>
      <c r="S103" s="590">
        <v>22</v>
      </c>
      <c r="T103" s="590">
        <v>22</v>
      </c>
      <c r="U103" s="590">
        <v>17</v>
      </c>
      <c r="V103" s="590">
        <v>0</v>
      </c>
    </row>
    <row r="104" spans="1:22">
      <c r="A104" s="605" t="s">
        <v>54</v>
      </c>
      <c r="B104" s="606" t="s">
        <v>55</v>
      </c>
      <c r="C104" s="612" t="s">
        <v>264</v>
      </c>
      <c r="D104" s="608">
        <v>61</v>
      </c>
      <c r="E104" s="608">
        <v>23</v>
      </c>
      <c r="F104" s="608">
        <v>27</v>
      </c>
      <c r="G104" s="608">
        <v>0</v>
      </c>
      <c r="H104" s="608">
        <v>0</v>
      </c>
      <c r="I104" s="608">
        <v>5</v>
      </c>
      <c r="J104" s="608">
        <v>6</v>
      </c>
      <c r="K104" s="608">
        <v>0</v>
      </c>
      <c r="L104" s="609"/>
      <c r="M104" s="609">
        <f t="shared" si="11"/>
        <v>11</v>
      </c>
      <c r="N104" s="609"/>
      <c r="O104" s="610">
        <f t="shared" si="12"/>
        <v>0.37704918032786883</v>
      </c>
      <c r="P104" s="610">
        <f t="shared" si="13"/>
        <v>0.44262295081967212</v>
      </c>
      <c r="R104" s="590">
        <v>13</v>
      </c>
      <c r="S104" s="590">
        <v>21</v>
      </c>
      <c r="T104" s="590">
        <v>17</v>
      </c>
      <c r="U104" s="590">
        <v>10</v>
      </c>
      <c r="V104" s="590">
        <v>0</v>
      </c>
    </row>
    <row r="105" spans="1:22">
      <c r="A105" s="605" t="s">
        <v>66</v>
      </c>
      <c r="B105" s="606" t="s">
        <v>67</v>
      </c>
      <c r="C105" s="612" t="s">
        <v>265</v>
      </c>
      <c r="D105" s="608">
        <v>44</v>
      </c>
      <c r="E105" s="608">
        <v>5</v>
      </c>
      <c r="F105" s="608">
        <v>29</v>
      </c>
      <c r="G105" s="608">
        <v>0</v>
      </c>
      <c r="H105" s="608">
        <v>0</v>
      </c>
      <c r="I105" s="608">
        <v>1</v>
      </c>
      <c r="J105" s="608">
        <v>8</v>
      </c>
      <c r="K105" s="608">
        <v>1</v>
      </c>
      <c r="L105" s="609"/>
      <c r="M105" s="609">
        <f t="shared" si="11"/>
        <v>10</v>
      </c>
      <c r="N105" s="609"/>
      <c r="O105" s="610">
        <f t="shared" si="12"/>
        <v>0.11363636363636363</v>
      </c>
      <c r="P105" s="610">
        <f t="shared" si="13"/>
        <v>0.65909090909090906</v>
      </c>
      <c r="R105" s="590">
        <v>8</v>
      </c>
      <c r="S105" s="590">
        <v>8</v>
      </c>
      <c r="T105" s="590">
        <v>10</v>
      </c>
      <c r="U105" s="590">
        <v>18</v>
      </c>
      <c r="V105" s="590">
        <v>0</v>
      </c>
    </row>
    <row r="106" spans="1:22">
      <c r="A106" s="605" t="s">
        <v>82</v>
      </c>
      <c r="B106" s="606" t="s">
        <v>83</v>
      </c>
      <c r="C106" s="612" t="s">
        <v>264</v>
      </c>
      <c r="D106" s="608">
        <v>2</v>
      </c>
      <c r="E106" s="608">
        <v>0</v>
      </c>
      <c r="F106" s="608">
        <v>1</v>
      </c>
      <c r="G106" s="608">
        <v>0</v>
      </c>
      <c r="H106" s="608">
        <v>0</v>
      </c>
      <c r="I106" s="608">
        <v>0</v>
      </c>
      <c r="J106" s="608">
        <v>1</v>
      </c>
      <c r="K106" s="608">
        <v>0</v>
      </c>
      <c r="L106" s="609"/>
      <c r="M106" s="609">
        <f t="shared" si="11"/>
        <v>1</v>
      </c>
      <c r="N106" s="609"/>
      <c r="O106" s="610">
        <f t="shared" si="12"/>
        <v>0</v>
      </c>
      <c r="P106" s="610">
        <f t="shared" si="13"/>
        <v>0.5</v>
      </c>
      <c r="R106" s="590">
        <v>0</v>
      </c>
      <c r="S106" s="590">
        <v>0</v>
      </c>
      <c r="T106" s="590">
        <v>2</v>
      </c>
      <c r="U106" s="590">
        <v>0</v>
      </c>
      <c r="V106" s="590">
        <v>0</v>
      </c>
    </row>
    <row r="107" spans="1:22">
      <c r="A107" s="605" t="s">
        <v>88</v>
      </c>
      <c r="B107" s="606" t="s">
        <v>89</v>
      </c>
      <c r="C107" s="612" t="s">
        <v>267</v>
      </c>
      <c r="D107" s="608">
        <v>17</v>
      </c>
      <c r="E107" s="608">
        <v>9</v>
      </c>
      <c r="F107" s="608">
        <v>7</v>
      </c>
      <c r="G107" s="608">
        <v>0</v>
      </c>
      <c r="H107" s="608">
        <v>0</v>
      </c>
      <c r="I107" s="608">
        <v>1</v>
      </c>
      <c r="J107" s="608">
        <v>0</v>
      </c>
      <c r="K107" s="608">
        <v>0</v>
      </c>
      <c r="L107" s="609"/>
      <c r="M107" s="609">
        <f t="shared" si="11"/>
        <v>1</v>
      </c>
      <c r="N107" s="609"/>
      <c r="O107" s="610">
        <f t="shared" si="12"/>
        <v>0.52941176470588236</v>
      </c>
      <c r="P107" s="610">
        <f t="shared" si="13"/>
        <v>0.41176470588235292</v>
      </c>
      <c r="R107" s="590">
        <v>9</v>
      </c>
      <c r="S107" s="590">
        <v>5</v>
      </c>
      <c r="T107" s="590">
        <v>1</v>
      </c>
      <c r="U107" s="590">
        <v>2</v>
      </c>
      <c r="V107" s="590">
        <v>0</v>
      </c>
    </row>
    <row r="108" spans="1:22">
      <c r="A108" s="611" t="s">
        <v>90</v>
      </c>
      <c r="B108" s="606" t="s">
        <v>91</v>
      </c>
      <c r="C108" s="612" t="s">
        <v>268</v>
      </c>
      <c r="D108" s="608">
        <v>3</v>
      </c>
      <c r="E108" s="608">
        <v>1</v>
      </c>
      <c r="F108" s="608">
        <v>2</v>
      </c>
      <c r="G108" s="608">
        <v>0</v>
      </c>
      <c r="H108" s="608">
        <v>0</v>
      </c>
      <c r="I108" s="608">
        <v>0</v>
      </c>
      <c r="J108" s="608">
        <v>0</v>
      </c>
      <c r="K108" s="608">
        <v>0</v>
      </c>
      <c r="L108" s="609"/>
      <c r="M108" s="609">
        <f t="shared" si="11"/>
        <v>0</v>
      </c>
      <c r="N108" s="609"/>
      <c r="O108" s="610">
        <f t="shared" si="12"/>
        <v>0.33333333333333331</v>
      </c>
      <c r="P108" s="610">
        <f t="shared" si="13"/>
        <v>0.66666666666666663</v>
      </c>
      <c r="R108" s="590">
        <v>1</v>
      </c>
      <c r="S108" s="590">
        <v>0</v>
      </c>
      <c r="T108" s="590">
        <v>1</v>
      </c>
      <c r="U108" s="590">
        <v>1</v>
      </c>
      <c r="V108" s="590">
        <v>0</v>
      </c>
    </row>
    <row r="109" spans="1:22">
      <c r="A109" s="605" t="s">
        <v>106</v>
      </c>
      <c r="B109" s="606" t="s">
        <v>107</v>
      </c>
      <c r="C109" s="612" t="s">
        <v>264</v>
      </c>
      <c r="D109" s="608">
        <v>46</v>
      </c>
      <c r="E109" s="608">
        <v>10</v>
      </c>
      <c r="F109" s="608">
        <v>32</v>
      </c>
      <c r="G109" s="608">
        <v>0</v>
      </c>
      <c r="H109" s="608">
        <v>0</v>
      </c>
      <c r="I109" s="608">
        <v>0</v>
      </c>
      <c r="J109" s="608">
        <v>4</v>
      </c>
      <c r="K109" s="608">
        <v>0</v>
      </c>
      <c r="L109" s="609"/>
      <c r="M109" s="609">
        <f t="shared" si="11"/>
        <v>4</v>
      </c>
      <c r="N109" s="609"/>
      <c r="O109" s="610">
        <f t="shared" si="12"/>
        <v>0.21739130434782608</v>
      </c>
      <c r="P109" s="610">
        <f t="shared" si="13"/>
        <v>0.69565217391304346</v>
      </c>
      <c r="R109" s="590">
        <v>11</v>
      </c>
      <c r="S109" s="590">
        <v>3</v>
      </c>
      <c r="T109" s="590">
        <v>21</v>
      </c>
      <c r="U109" s="590">
        <v>11</v>
      </c>
      <c r="V109" s="590">
        <v>0</v>
      </c>
    </row>
    <row r="110" spans="1:22">
      <c r="A110" s="605" t="s">
        <v>116</v>
      </c>
      <c r="B110" s="606" t="s">
        <v>117</v>
      </c>
      <c r="C110" s="612" t="s">
        <v>266</v>
      </c>
      <c r="D110" s="608">
        <v>30</v>
      </c>
      <c r="E110" s="608">
        <v>15</v>
      </c>
      <c r="F110" s="608">
        <v>15</v>
      </c>
      <c r="G110" s="608">
        <v>0</v>
      </c>
      <c r="H110" s="608">
        <v>0</v>
      </c>
      <c r="I110" s="608">
        <v>0</v>
      </c>
      <c r="J110" s="608">
        <v>0</v>
      </c>
      <c r="K110" s="608">
        <v>0</v>
      </c>
      <c r="L110" s="609"/>
      <c r="M110" s="609">
        <f t="shared" si="11"/>
        <v>0</v>
      </c>
      <c r="N110" s="609"/>
      <c r="O110" s="610">
        <f t="shared" si="12"/>
        <v>0.5</v>
      </c>
      <c r="P110" s="610">
        <f t="shared" si="13"/>
        <v>0.5</v>
      </c>
      <c r="R110" s="590">
        <v>8</v>
      </c>
      <c r="S110" s="590">
        <v>14</v>
      </c>
      <c r="T110" s="590">
        <v>3</v>
      </c>
      <c r="U110" s="590">
        <v>5</v>
      </c>
      <c r="V110" s="590">
        <v>0</v>
      </c>
    </row>
    <row r="111" spans="1:22">
      <c r="A111" s="605" t="s">
        <v>138</v>
      </c>
      <c r="B111" s="606" t="s">
        <v>139</v>
      </c>
      <c r="C111" s="612" t="s">
        <v>265</v>
      </c>
      <c r="D111" s="608">
        <v>136</v>
      </c>
      <c r="E111" s="608">
        <v>42</v>
      </c>
      <c r="F111" s="608">
        <v>70</v>
      </c>
      <c r="G111" s="608">
        <v>0</v>
      </c>
      <c r="H111" s="608">
        <v>0</v>
      </c>
      <c r="I111" s="608">
        <v>5</v>
      </c>
      <c r="J111" s="608">
        <v>19</v>
      </c>
      <c r="K111" s="608">
        <v>0</v>
      </c>
      <c r="L111" s="609"/>
      <c r="M111" s="609">
        <f t="shared" si="11"/>
        <v>24</v>
      </c>
      <c r="N111" s="609"/>
      <c r="O111" s="610">
        <f t="shared" si="12"/>
        <v>0.30882352941176472</v>
      </c>
      <c r="P111" s="610">
        <f t="shared" si="13"/>
        <v>0.51470588235294112</v>
      </c>
      <c r="R111" s="590">
        <v>38</v>
      </c>
      <c r="S111" s="590">
        <v>35</v>
      </c>
      <c r="T111" s="590">
        <v>38</v>
      </c>
      <c r="U111" s="590">
        <v>25</v>
      </c>
      <c r="V111" s="590">
        <v>0</v>
      </c>
    </row>
    <row r="112" spans="1:22">
      <c r="A112" s="605" t="s">
        <v>142</v>
      </c>
      <c r="B112" s="606" t="s">
        <v>143</v>
      </c>
      <c r="C112" s="612" t="s">
        <v>267</v>
      </c>
      <c r="D112" s="608">
        <v>21</v>
      </c>
      <c r="E112" s="608">
        <v>3</v>
      </c>
      <c r="F112" s="608">
        <v>6</v>
      </c>
      <c r="G112" s="608">
        <v>0</v>
      </c>
      <c r="H112" s="608">
        <v>0</v>
      </c>
      <c r="I112" s="608">
        <v>7</v>
      </c>
      <c r="J112" s="608">
        <v>5</v>
      </c>
      <c r="K112" s="608">
        <v>0</v>
      </c>
      <c r="L112" s="609"/>
      <c r="M112" s="609">
        <f t="shared" si="11"/>
        <v>12</v>
      </c>
      <c r="N112" s="609"/>
      <c r="O112" s="610">
        <f t="shared" si="12"/>
        <v>0.14285714285714285</v>
      </c>
      <c r="P112" s="610">
        <f t="shared" si="13"/>
        <v>0.2857142857142857</v>
      </c>
      <c r="R112" s="590">
        <v>7</v>
      </c>
      <c r="S112" s="590">
        <v>8</v>
      </c>
      <c r="T112" s="590">
        <v>3</v>
      </c>
      <c r="U112" s="590">
        <v>3</v>
      </c>
      <c r="V112" s="590">
        <v>0</v>
      </c>
    </row>
    <row r="113" spans="1:22">
      <c r="A113" s="611" t="s">
        <v>144</v>
      </c>
      <c r="B113" s="606" t="s">
        <v>145</v>
      </c>
      <c r="C113" s="612" t="s">
        <v>267</v>
      </c>
      <c r="D113" s="608">
        <v>1</v>
      </c>
      <c r="E113" s="608">
        <v>0</v>
      </c>
      <c r="F113" s="608">
        <v>0</v>
      </c>
      <c r="G113" s="608">
        <v>0</v>
      </c>
      <c r="H113" s="608">
        <v>0</v>
      </c>
      <c r="I113" s="608">
        <v>0</v>
      </c>
      <c r="J113" s="608">
        <v>1</v>
      </c>
      <c r="K113" s="608">
        <v>0</v>
      </c>
      <c r="L113" s="609"/>
      <c r="M113" s="609">
        <f t="shared" si="11"/>
        <v>1</v>
      </c>
      <c r="N113" s="609"/>
      <c r="O113" s="610">
        <f t="shared" si="12"/>
        <v>0</v>
      </c>
      <c r="P113" s="610">
        <f t="shared" si="13"/>
        <v>0</v>
      </c>
      <c r="R113" s="590">
        <v>1</v>
      </c>
      <c r="S113" s="590">
        <v>0</v>
      </c>
      <c r="T113" s="590">
        <v>0</v>
      </c>
      <c r="U113" s="590">
        <v>0</v>
      </c>
      <c r="V113" s="590">
        <v>0</v>
      </c>
    </row>
    <row r="114" spans="1:22">
      <c r="A114" s="605" t="s">
        <v>158</v>
      </c>
      <c r="B114" s="606" t="s">
        <v>159</v>
      </c>
      <c r="C114" s="612" t="s">
        <v>264</v>
      </c>
      <c r="D114" s="608">
        <v>91</v>
      </c>
      <c r="E114" s="608">
        <v>18</v>
      </c>
      <c r="F114" s="608">
        <v>52</v>
      </c>
      <c r="G114" s="608">
        <v>2</v>
      </c>
      <c r="H114" s="608">
        <v>0</v>
      </c>
      <c r="I114" s="608">
        <v>10</v>
      </c>
      <c r="J114" s="608">
        <v>9</v>
      </c>
      <c r="K114" s="608">
        <v>0</v>
      </c>
      <c r="L114" s="609"/>
      <c r="M114" s="609">
        <f t="shared" si="11"/>
        <v>21</v>
      </c>
      <c r="N114" s="609"/>
      <c r="O114" s="610">
        <f t="shared" si="12"/>
        <v>0.19780219780219779</v>
      </c>
      <c r="P114" s="610">
        <f t="shared" si="13"/>
        <v>0.5714285714285714</v>
      </c>
      <c r="R114" s="590">
        <v>24</v>
      </c>
      <c r="S114" s="590">
        <v>16</v>
      </c>
      <c r="T114" s="590">
        <v>26</v>
      </c>
      <c r="U114" s="590">
        <v>25</v>
      </c>
      <c r="V114" s="590">
        <v>0</v>
      </c>
    </row>
    <row r="115" spans="1:22">
      <c r="A115" s="605" t="s">
        <v>160</v>
      </c>
      <c r="B115" s="606" t="s">
        <v>161</v>
      </c>
      <c r="C115" s="612" t="s">
        <v>264</v>
      </c>
      <c r="D115" s="608">
        <v>244</v>
      </c>
      <c r="E115" s="608">
        <v>49</v>
      </c>
      <c r="F115" s="608">
        <v>163</v>
      </c>
      <c r="G115" s="608">
        <v>0</v>
      </c>
      <c r="H115" s="608">
        <v>1</v>
      </c>
      <c r="I115" s="608">
        <v>13</v>
      </c>
      <c r="J115" s="608">
        <v>15</v>
      </c>
      <c r="K115" s="608">
        <v>3</v>
      </c>
      <c r="L115" s="609"/>
      <c r="M115" s="609">
        <f t="shared" si="11"/>
        <v>32</v>
      </c>
      <c r="N115" s="609"/>
      <c r="O115" s="610">
        <f t="shared" si="12"/>
        <v>0.20081967213114754</v>
      </c>
      <c r="P115" s="610">
        <f t="shared" si="13"/>
        <v>0.66803278688524592</v>
      </c>
      <c r="R115" s="590">
        <v>95</v>
      </c>
      <c r="S115" s="590">
        <v>68</v>
      </c>
      <c r="T115" s="590">
        <v>60</v>
      </c>
      <c r="U115" s="590">
        <v>21</v>
      </c>
      <c r="V115" s="590">
        <v>0</v>
      </c>
    </row>
    <row r="116" spans="1:22">
      <c r="A116" s="605" t="s">
        <v>166</v>
      </c>
      <c r="B116" s="606" t="s">
        <v>167</v>
      </c>
      <c r="C116" s="612" t="s">
        <v>268</v>
      </c>
      <c r="D116" s="608">
        <v>2</v>
      </c>
      <c r="E116" s="608">
        <v>1</v>
      </c>
      <c r="F116" s="608">
        <v>0</v>
      </c>
      <c r="G116" s="608">
        <v>0</v>
      </c>
      <c r="H116" s="608">
        <v>0</v>
      </c>
      <c r="I116" s="608">
        <v>0</v>
      </c>
      <c r="J116" s="608">
        <v>1</v>
      </c>
      <c r="K116" s="608">
        <v>0</v>
      </c>
      <c r="L116" s="609"/>
      <c r="M116" s="609">
        <f t="shared" si="11"/>
        <v>1</v>
      </c>
      <c r="N116" s="609"/>
      <c r="O116" s="610">
        <f t="shared" si="12"/>
        <v>0.5</v>
      </c>
      <c r="P116" s="610">
        <f t="shared" si="13"/>
        <v>0</v>
      </c>
      <c r="R116" s="590">
        <v>0</v>
      </c>
      <c r="S116" s="590">
        <v>0</v>
      </c>
      <c r="T116" s="590">
        <v>2</v>
      </c>
      <c r="U116" s="590">
        <v>0</v>
      </c>
      <c r="V116" s="590">
        <v>0</v>
      </c>
    </row>
    <row r="117" spans="1:22">
      <c r="A117" s="605" t="s">
        <v>176</v>
      </c>
      <c r="B117" s="606" t="s">
        <v>177</v>
      </c>
      <c r="C117" s="612" t="s">
        <v>266</v>
      </c>
      <c r="D117" s="608">
        <v>66</v>
      </c>
      <c r="E117" s="608">
        <v>9</v>
      </c>
      <c r="F117" s="608">
        <v>44</v>
      </c>
      <c r="G117" s="608">
        <v>0</v>
      </c>
      <c r="H117" s="608">
        <v>0</v>
      </c>
      <c r="I117" s="608">
        <v>4</v>
      </c>
      <c r="J117" s="608">
        <v>9</v>
      </c>
      <c r="K117" s="608">
        <v>0</v>
      </c>
      <c r="L117" s="609"/>
      <c r="M117" s="609">
        <f t="shared" si="11"/>
        <v>13</v>
      </c>
      <c r="N117" s="609"/>
      <c r="O117" s="610">
        <f t="shared" si="12"/>
        <v>0.13636363636363635</v>
      </c>
      <c r="P117" s="610">
        <f t="shared" si="13"/>
        <v>0.66666666666666663</v>
      </c>
      <c r="R117" s="590">
        <v>38</v>
      </c>
      <c r="S117" s="590">
        <v>11</v>
      </c>
      <c r="T117" s="590">
        <v>10</v>
      </c>
      <c r="U117" s="590">
        <v>7</v>
      </c>
      <c r="V117" s="590">
        <v>0</v>
      </c>
    </row>
    <row r="118" spans="1:22">
      <c r="A118" s="605" t="s">
        <v>180</v>
      </c>
      <c r="B118" s="606" t="s">
        <v>181</v>
      </c>
      <c r="C118" s="612" t="s">
        <v>264</v>
      </c>
      <c r="D118" s="608">
        <v>111</v>
      </c>
      <c r="E118" s="608">
        <v>15</v>
      </c>
      <c r="F118" s="608">
        <v>81</v>
      </c>
      <c r="G118" s="608">
        <v>2</v>
      </c>
      <c r="H118" s="608">
        <v>0</v>
      </c>
      <c r="I118" s="608">
        <v>7</v>
      </c>
      <c r="J118" s="608">
        <v>5</v>
      </c>
      <c r="K118" s="608">
        <v>1</v>
      </c>
      <c r="L118" s="609"/>
      <c r="M118" s="609">
        <f t="shared" si="11"/>
        <v>15</v>
      </c>
      <c r="N118" s="609"/>
      <c r="O118" s="610">
        <f t="shared" si="12"/>
        <v>0.13513513513513514</v>
      </c>
      <c r="P118" s="610">
        <f t="shared" si="13"/>
        <v>0.72972972972972971</v>
      </c>
      <c r="R118" s="590">
        <v>41</v>
      </c>
      <c r="S118" s="590">
        <v>26</v>
      </c>
      <c r="T118" s="590">
        <v>24</v>
      </c>
      <c r="U118" s="590">
        <v>20</v>
      </c>
      <c r="V118" s="590">
        <v>0</v>
      </c>
    </row>
    <row r="119" spans="1:22">
      <c r="A119" s="605" t="s">
        <v>192</v>
      </c>
      <c r="B119" s="606" t="s">
        <v>193</v>
      </c>
      <c r="C119" s="612" t="s">
        <v>268</v>
      </c>
      <c r="D119" s="608">
        <v>21</v>
      </c>
      <c r="E119" s="608">
        <v>14</v>
      </c>
      <c r="F119" s="608">
        <v>3</v>
      </c>
      <c r="G119" s="608">
        <v>0</v>
      </c>
      <c r="H119" s="608">
        <v>0</v>
      </c>
      <c r="I119" s="608">
        <v>0</v>
      </c>
      <c r="J119" s="608">
        <v>3</v>
      </c>
      <c r="K119" s="608">
        <v>1</v>
      </c>
      <c r="L119" s="609"/>
      <c r="M119" s="609">
        <f t="shared" si="11"/>
        <v>4</v>
      </c>
      <c r="N119" s="609"/>
      <c r="O119" s="610">
        <f t="shared" si="12"/>
        <v>0.66666666666666663</v>
      </c>
      <c r="P119" s="610">
        <f t="shared" si="13"/>
        <v>0.14285714285714285</v>
      </c>
      <c r="R119" s="590">
        <v>4</v>
      </c>
      <c r="S119" s="590">
        <v>6</v>
      </c>
      <c r="T119" s="590">
        <v>4</v>
      </c>
      <c r="U119" s="590">
        <v>7</v>
      </c>
      <c r="V119" s="590">
        <v>0</v>
      </c>
    </row>
    <row r="120" spans="1:22">
      <c r="A120" s="605" t="s">
        <v>196</v>
      </c>
      <c r="B120" s="606" t="s">
        <v>197</v>
      </c>
      <c r="C120" s="612" t="s">
        <v>266</v>
      </c>
      <c r="D120" s="608">
        <v>262</v>
      </c>
      <c r="E120" s="608">
        <v>20</v>
      </c>
      <c r="F120" s="608">
        <v>216</v>
      </c>
      <c r="G120" s="608">
        <v>0</v>
      </c>
      <c r="H120" s="608">
        <v>0</v>
      </c>
      <c r="I120" s="608">
        <v>15</v>
      </c>
      <c r="J120" s="608">
        <v>10</v>
      </c>
      <c r="K120" s="608">
        <v>1</v>
      </c>
      <c r="L120" s="609"/>
      <c r="M120" s="609">
        <f t="shared" si="11"/>
        <v>26</v>
      </c>
      <c r="N120" s="609"/>
      <c r="O120" s="610">
        <f t="shared" si="12"/>
        <v>7.6335877862595422E-2</v>
      </c>
      <c r="P120" s="610">
        <f t="shared" si="13"/>
        <v>0.82442748091603058</v>
      </c>
      <c r="R120" s="590">
        <v>77</v>
      </c>
      <c r="S120" s="590">
        <v>34</v>
      </c>
      <c r="T120" s="590">
        <v>72</v>
      </c>
      <c r="U120" s="590">
        <v>79</v>
      </c>
      <c r="V120" s="590">
        <v>0</v>
      </c>
    </row>
    <row r="121" spans="1:22">
      <c r="A121" s="605" t="s">
        <v>200</v>
      </c>
      <c r="B121" s="606" t="s">
        <v>201</v>
      </c>
      <c r="C121" s="612" t="s">
        <v>265</v>
      </c>
      <c r="D121" s="608">
        <v>170</v>
      </c>
      <c r="E121" s="608">
        <v>78</v>
      </c>
      <c r="F121" s="608">
        <v>45</v>
      </c>
      <c r="G121" s="608">
        <v>0</v>
      </c>
      <c r="H121" s="608">
        <v>0</v>
      </c>
      <c r="I121" s="608">
        <v>8</v>
      </c>
      <c r="J121" s="608">
        <v>27</v>
      </c>
      <c r="K121" s="608">
        <v>12</v>
      </c>
      <c r="L121" s="609"/>
      <c r="M121" s="609">
        <f t="shared" si="11"/>
        <v>47</v>
      </c>
      <c r="N121" s="609"/>
      <c r="O121" s="610">
        <f t="shared" si="12"/>
        <v>0.45882352941176469</v>
      </c>
      <c r="P121" s="610">
        <f t="shared" si="13"/>
        <v>0.26470588235294118</v>
      </c>
      <c r="R121" s="590">
        <v>52</v>
      </c>
      <c r="S121" s="590">
        <v>35</v>
      </c>
      <c r="T121" s="590">
        <v>42</v>
      </c>
      <c r="U121" s="590">
        <v>41</v>
      </c>
      <c r="V121" s="590">
        <v>0</v>
      </c>
    </row>
    <row r="122" spans="1:22">
      <c r="A122" s="605" t="s">
        <v>222</v>
      </c>
      <c r="B122" s="606" t="s">
        <v>223</v>
      </c>
      <c r="C122" s="612" t="s">
        <v>264</v>
      </c>
      <c r="D122" s="608">
        <v>12</v>
      </c>
      <c r="E122" s="608">
        <v>2</v>
      </c>
      <c r="F122" s="608">
        <v>10</v>
      </c>
      <c r="G122" s="608">
        <v>0</v>
      </c>
      <c r="H122" s="608">
        <v>0</v>
      </c>
      <c r="I122" s="608">
        <v>0</v>
      </c>
      <c r="J122" s="608">
        <v>0</v>
      </c>
      <c r="K122" s="608">
        <v>0</v>
      </c>
      <c r="L122" s="609"/>
      <c r="M122" s="609">
        <f t="shared" si="11"/>
        <v>0</v>
      </c>
      <c r="N122" s="609"/>
      <c r="O122" s="610">
        <f t="shared" si="12"/>
        <v>0.16666666666666666</v>
      </c>
      <c r="P122" s="610">
        <f t="shared" si="13"/>
        <v>0.83333333333333337</v>
      </c>
      <c r="R122" s="590">
        <v>1</v>
      </c>
      <c r="S122" s="590">
        <v>0</v>
      </c>
      <c r="T122" s="590">
        <v>7</v>
      </c>
      <c r="U122" s="590">
        <v>4</v>
      </c>
      <c r="V122" s="590">
        <v>0</v>
      </c>
    </row>
    <row r="123" spans="1:22">
      <c r="A123" s="605" t="s">
        <v>230</v>
      </c>
      <c r="B123" s="606" t="s">
        <v>231</v>
      </c>
      <c r="C123" s="612" t="s">
        <v>264</v>
      </c>
      <c r="D123" s="608">
        <v>189</v>
      </c>
      <c r="E123" s="608">
        <v>87</v>
      </c>
      <c r="F123" s="608">
        <v>63</v>
      </c>
      <c r="G123" s="608">
        <v>4</v>
      </c>
      <c r="H123" s="608">
        <v>0</v>
      </c>
      <c r="I123" s="608">
        <v>24</v>
      </c>
      <c r="J123" s="608">
        <v>11</v>
      </c>
      <c r="K123" s="608">
        <v>0</v>
      </c>
      <c r="L123" s="609"/>
      <c r="M123" s="609">
        <f t="shared" si="11"/>
        <v>39</v>
      </c>
      <c r="N123" s="609"/>
      <c r="O123" s="610">
        <f t="shared" si="12"/>
        <v>0.46031746031746029</v>
      </c>
      <c r="P123" s="610">
        <f t="shared" si="13"/>
        <v>0.33333333333333331</v>
      </c>
      <c r="R123" s="590">
        <v>56</v>
      </c>
      <c r="S123" s="590">
        <v>33</v>
      </c>
      <c r="T123" s="590">
        <v>51</v>
      </c>
      <c r="U123" s="590">
        <v>49</v>
      </c>
      <c r="V123" s="590">
        <v>0</v>
      </c>
    </row>
    <row r="124" spans="1:22">
      <c r="A124" s="605" t="s">
        <v>238</v>
      </c>
      <c r="B124" s="606" t="s">
        <v>239</v>
      </c>
      <c r="C124" s="612" t="s">
        <v>264</v>
      </c>
      <c r="D124" s="608">
        <v>9</v>
      </c>
      <c r="E124" s="608">
        <v>7</v>
      </c>
      <c r="F124" s="608">
        <v>2</v>
      </c>
      <c r="G124" s="608">
        <v>0</v>
      </c>
      <c r="H124" s="608">
        <v>0</v>
      </c>
      <c r="I124" s="608">
        <v>0</v>
      </c>
      <c r="J124" s="608">
        <v>0</v>
      </c>
      <c r="K124" s="608">
        <v>0</v>
      </c>
      <c r="L124" s="609"/>
      <c r="M124" s="609">
        <f t="shared" si="11"/>
        <v>0</v>
      </c>
      <c r="N124" s="609"/>
      <c r="O124" s="610">
        <f t="shared" si="12"/>
        <v>0.77777777777777779</v>
      </c>
      <c r="P124" s="610">
        <f t="shared" si="13"/>
        <v>0.22222222222222221</v>
      </c>
      <c r="R124" s="590">
        <v>4</v>
      </c>
      <c r="S124" s="590">
        <v>2</v>
      </c>
      <c r="T124" s="590">
        <v>3</v>
      </c>
      <c r="U124" s="590">
        <v>0</v>
      </c>
      <c r="V124" s="590">
        <v>0</v>
      </c>
    </row>
    <row r="125" spans="1:22">
      <c r="A125" s="613" t="s">
        <v>240</v>
      </c>
      <c r="B125" s="614" t="s">
        <v>241</v>
      </c>
      <c r="C125" s="620" t="s">
        <v>267</v>
      </c>
      <c r="D125" s="1261">
        <v>34</v>
      </c>
      <c r="E125" s="1261">
        <v>22</v>
      </c>
      <c r="F125" s="1261">
        <v>1</v>
      </c>
      <c r="G125" s="1261">
        <v>0</v>
      </c>
      <c r="H125" s="1261">
        <v>0</v>
      </c>
      <c r="I125" s="1261">
        <v>5</v>
      </c>
      <c r="J125" s="1261">
        <v>6</v>
      </c>
      <c r="K125" s="1261">
        <v>0</v>
      </c>
      <c r="L125" s="615"/>
      <c r="M125" s="609">
        <f t="shared" si="11"/>
        <v>11</v>
      </c>
      <c r="N125" s="1258"/>
      <c r="O125" s="610">
        <f t="shared" si="12"/>
        <v>0.6470588235294118</v>
      </c>
      <c r="P125" s="610">
        <f t="shared" si="13"/>
        <v>2.9411764705882353E-2</v>
      </c>
      <c r="R125" s="590">
        <v>15</v>
      </c>
      <c r="S125" s="590">
        <v>10</v>
      </c>
      <c r="T125" s="590">
        <v>5</v>
      </c>
      <c r="U125" s="590">
        <v>4</v>
      </c>
      <c r="V125" s="590">
        <v>0</v>
      </c>
    </row>
    <row r="127" spans="1:22" ht="31.5" customHeight="1">
      <c r="A127" s="1924" t="s">
        <v>1219</v>
      </c>
      <c r="B127" s="1924"/>
      <c r="C127" s="1924"/>
      <c r="D127" s="1924"/>
      <c r="E127" s="1924"/>
      <c r="F127" s="1924"/>
      <c r="G127" s="1924"/>
      <c r="H127" s="1924"/>
      <c r="I127" s="1924"/>
      <c r="J127" s="1924"/>
      <c r="K127" s="1924"/>
      <c r="L127" s="1924"/>
      <c r="M127" s="1924"/>
      <c r="N127" s="1924"/>
      <c r="O127" s="1924"/>
      <c r="P127" s="1924"/>
    </row>
    <row r="128" spans="1:22" ht="15" customHeight="1">
      <c r="A128" s="619"/>
      <c r="B128" s="619"/>
      <c r="C128" s="619"/>
      <c r="D128" s="619"/>
      <c r="E128" s="619"/>
      <c r="F128" s="619"/>
      <c r="G128" s="1252"/>
      <c r="H128" s="1252"/>
      <c r="I128" s="1253"/>
      <c r="J128" s="1253"/>
      <c r="K128" s="619"/>
      <c r="L128" s="619"/>
      <c r="M128" s="1252"/>
      <c r="N128" s="1252"/>
      <c r="O128" s="619"/>
      <c r="P128" s="619"/>
    </row>
    <row r="129" spans="1:16" ht="15" customHeight="1">
      <c r="A129" s="1925" t="s">
        <v>248</v>
      </c>
      <c r="B129" s="1925"/>
      <c r="C129" s="1925"/>
      <c r="D129" s="1925"/>
      <c r="E129" s="1925"/>
      <c r="F129" s="1925"/>
      <c r="G129" s="1925"/>
      <c r="H129" s="1925"/>
      <c r="I129" s="1925"/>
      <c r="J129" s="1925"/>
      <c r="K129" s="1925"/>
      <c r="L129" s="1925"/>
      <c r="M129" s="1925"/>
      <c r="N129" s="1925"/>
      <c r="O129" s="1925"/>
      <c r="P129" s="1925"/>
    </row>
    <row r="130" spans="1:16" ht="15" customHeight="1">
      <c r="A130" s="616" t="s">
        <v>249</v>
      </c>
      <c r="B130" s="617" t="s">
        <v>250</v>
      </c>
      <c r="C130" s="617"/>
      <c r="D130" s="618"/>
      <c r="E130" s="618"/>
      <c r="F130" s="618"/>
      <c r="G130" s="618"/>
      <c r="H130" s="618"/>
      <c r="I130" s="618"/>
      <c r="J130" s="618"/>
      <c r="K130" s="618"/>
      <c r="L130" s="618"/>
      <c r="M130" s="618"/>
      <c r="N130" s="618"/>
      <c r="O130" s="618"/>
      <c r="P130" s="618"/>
    </row>
  </sheetData>
  <autoFilter ref="A4:C4"/>
  <sortState ref="A6:V125">
    <sortCondition ref="A6:A125"/>
  </sortState>
  <mergeCells count="4">
    <mergeCell ref="O3:P3"/>
    <mergeCell ref="A127:P127"/>
    <mergeCell ref="A129:P129"/>
    <mergeCell ref="D3:K3"/>
  </mergeCells>
  <hyperlinks>
    <hyperlink ref="B130" r:id="rId1"/>
  </hyperlinks>
  <pageMargins left="1" right="0" top="0.4" bottom="0.45" header="0.3" footer="0.3"/>
  <pageSetup orientation="portrait" r:id="rId2"/>
  <headerFooter>
    <oddFooter>&amp;C&amp;"Courier New,Regular"&amp;10&amp;P of &amp;N</oddFooter>
  </headerFooter>
</worksheet>
</file>

<file path=xl/worksheets/sheet35.xml><?xml version="1.0" encoding="utf-8"?>
<worksheet xmlns="http://schemas.openxmlformats.org/spreadsheetml/2006/main" xmlns:r="http://schemas.openxmlformats.org/officeDocument/2006/relationships">
  <dimension ref="A1:N130"/>
  <sheetViews>
    <sheetView workbookViewId="0">
      <pane ySplit="4" topLeftCell="A5" activePane="bottomLeft" state="frozen"/>
      <selection pane="bottomLeft" sqref="A1:IV65536"/>
    </sheetView>
  </sheetViews>
  <sheetFormatPr defaultRowHeight="15.75"/>
  <cols>
    <col min="1" max="1" width="11" style="403" customWidth="1"/>
    <col min="2" max="2" width="25.625" style="403" bestFit="1" customWidth="1"/>
    <col min="3" max="3" width="14.25" style="403" customWidth="1"/>
    <col min="4" max="7" width="7.5" style="403" customWidth="1"/>
    <col min="8" max="11" width="12.25" style="403" customWidth="1"/>
    <col min="12" max="16384" width="9" style="403"/>
  </cols>
  <sheetData>
    <row r="1" spans="1:12">
      <c r="A1" s="193" t="s">
        <v>795</v>
      </c>
    </row>
    <row r="3" spans="1:12" ht="32.25" customHeight="1">
      <c r="A3" s="677" t="s">
        <v>4</v>
      </c>
      <c r="B3" s="678" t="s">
        <v>5</v>
      </c>
      <c r="C3" s="679" t="s">
        <v>251</v>
      </c>
      <c r="D3" s="680" t="s">
        <v>281</v>
      </c>
      <c r="E3" s="681" t="s">
        <v>2</v>
      </c>
      <c r="F3" s="682" t="s">
        <v>450</v>
      </c>
      <c r="G3" s="682" t="s">
        <v>451</v>
      </c>
      <c r="H3" s="683"/>
      <c r="I3" s="683"/>
      <c r="J3" s="683"/>
      <c r="K3" s="683"/>
    </row>
    <row r="4" spans="1:12">
      <c r="A4" s="684">
        <v>999</v>
      </c>
      <c r="B4" s="685" t="s">
        <v>9</v>
      </c>
      <c r="C4" s="685"/>
      <c r="D4" s="686">
        <f>SUM(D5:D124)</f>
        <v>639</v>
      </c>
      <c r="E4" s="686">
        <f>SUM(E5:E124)</f>
        <v>314</v>
      </c>
      <c r="F4" s="686">
        <f>SUM(F5:F124)</f>
        <v>201</v>
      </c>
      <c r="G4" s="686">
        <f>SUM(G5:G124)</f>
        <v>124</v>
      </c>
      <c r="H4" s="683"/>
      <c r="I4" s="683"/>
      <c r="J4" s="683"/>
      <c r="K4" s="683"/>
    </row>
    <row r="5" spans="1:12" ht="16.5" customHeight="1">
      <c r="A5" s="687" t="s">
        <v>10</v>
      </c>
      <c r="B5" s="688" t="s">
        <v>11</v>
      </c>
      <c r="C5" s="607" t="s">
        <v>264</v>
      </c>
      <c r="D5" s="689">
        <v>1</v>
      </c>
      <c r="E5" s="690">
        <v>0</v>
      </c>
      <c r="F5" s="691">
        <v>1</v>
      </c>
      <c r="G5" s="691">
        <v>0</v>
      </c>
      <c r="H5" s="692"/>
      <c r="I5" s="693"/>
      <c r="J5" s="692"/>
      <c r="K5" s="692"/>
      <c r="L5" s="692"/>
    </row>
    <row r="6" spans="1:12" ht="16.5" customHeight="1">
      <c r="A6" s="687" t="s">
        <v>12</v>
      </c>
      <c r="B6" s="688" t="s">
        <v>13</v>
      </c>
      <c r="C6" s="607" t="s">
        <v>265</v>
      </c>
      <c r="D6" s="689">
        <v>2</v>
      </c>
      <c r="E6" s="690">
        <v>0</v>
      </c>
      <c r="F6" s="691">
        <v>2</v>
      </c>
      <c r="G6" s="691">
        <v>0</v>
      </c>
      <c r="H6" s="692"/>
      <c r="I6" s="694"/>
      <c r="J6" s="692"/>
      <c r="K6" s="692"/>
      <c r="L6" s="692"/>
    </row>
    <row r="7" spans="1:12" ht="16.5" customHeight="1">
      <c r="A7" s="687" t="s">
        <v>16</v>
      </c>
      <c r="B7" s="688" t="s">
        <v>297</v>
      </c>
      <c r="C7" s="607" t="s">
        <v>265</v>
      </c>
      <c r="D7" s="689">
        <v>5</v>
      </c>
      <c r="E7" s="690">
        <v>1</v>
      </c>
      <c r="F7" s="691">
        <v>3</v>
      </c>
      <c r="G7" s="691">
        <v>1</v>
      </c>
      <c r="H7" s="692"/>
      <c r="I7" s="694"/>
      <c r="J7" s="692"/>
      <c r="K7" s="695"/>
      <c r="L7" s="692"/>
    </row>
    <row r="8" spans="1:12" ht="16.5" customHeight="1">
      <c r="A8" s="687" t="s">
        <v>18</v>
      </c>
      <c r="B8" s="688" t="s">
        <v>19</v>
      </c>
      <c r="C8" s="607" t="s">
        <v>266</v>
      </c>
      <c r="D8" s="689">
        <v>0</v>
      </c>
      <c r="E8" s="690">
        <v>0</v>
      </c>
      <c r="F8" s="691">
        <v>0</v>
      </c>
      <c r="G8" s="691">
        <v>0</v>
      </c>
      <c r="H8" s="692"/>
      <c r="I8" s="695"/>
      <c r="J8" s="692"/>
      <c r="K8" s="692"/>
      <c r="L8" s="692"/>
    </row>
    <row r="9" spans="1:12" ht="16.5" customHeight="1">
      <c r="A9" s="687" t="s">
        <v>20</v>
      </c>
      <c r="B9" s="688" t="s">
        <v>21</v>
      </c>
      <c r="C9" s="607" t="s">
        <v>265</v>
      </c>
      <c r="D9" s="689">
        <v>0</v>
      </c>
      <c r="E9" s="690">
        <v>0</v>
      </c>
      <c r="F9" s="691">
        <v>0</v>
      </c>
      <c r="G9" s="691">
        <v>0</v>
      </c>
      <c r="H9" s="692"/>
      <c r="I9" s="696"/>
      <c r="J9" s="692"/>
      <c r="K9" s="692"/>
      <c r="L9" s="692"/>
    </row>
    <row r="10" spans="1:12" ht="16.5" customHeight="1">
      <c r="A10" s="687" t="s">
        <v>22</v>
      </c>
      <c r="B10" s="688" t="s">
        <v>23</v>
      </c>
      <c r="C10" s="607" t="s">
        <v>265</v>
      </c>
      <c r="D10" s="689">
        <v>0</v>
      </c>
      <c r="E10" s="690">
        <v>0</v>
      </c>
      <c r="F10" s="691">
        <v>0</v>
      </c>
      <c r="G10" s="697">
        <v>0</v>
      </c>
      <c r="H10" s="692"/>
      <c r="I10" s="695"/>
      <c r="J10" s="692"/>
      <c r="K10" s="692"/>
      <c r="L10" s="692"/>
    </row>
    <row r="11" spans="1:12" ht="16.5" customHeight="1">
      <c r="A11" s="687" t="s">
        <v>24</v>
      </c>
      <c r="B11" s="688" t="s">
        <v>25</v>
      </c>
      <c r="C11" s="607" t="s">
        <v>267</v>
      </c>
      <c r="D11" s="689">
        <v>12</v>
      </c>
      <c r="E11" s="690">
        <v>0</v>
      </c>
      <c r="F11" s="691">
        <v>6</v>
      </c>
      <c r="G11" s="691">
        <v>6</v>
      </c>
      <c r="H11" s="692"/>
      <c r="I11" s="696"/>
      <c r="J11" s="692"/>
      <c r="K11" s="696"/>
      <c r="L11" s="692"/>
    </row>
    <row r="12" spans="1:12" ht="16.5" customHeight="1">
      <c r="A12" s="687" t="s">
        <v>26</v>
      </c>
      <c r="B12" s="688" t="s">
        <v>706</v>
      </c>
      <c r="C12" s="607" t="s">
        <v>265</v>
      </c>
      <c r="D12" s="689">
        <v>18</v>
      </c>
      <c r="E12" s="690">
        <v>14</v>
      </c>
      <c r="F12" s="691">
        <v>2</v>
      </c>
      <c r="G12" s="691">
        <v>2</v>
      </c>
      <c r="H12" s="692"/>
      <c r="I12" s="694"/>
      <c r="J12" s="692"/>
      <c r="K12" s="695"/>
      <c r="L12" s="692"/>
    </row>
    <row r="13" spans="1:12" ht="16.5" customHeight="1">
      <c r="A13" s="687" t="s">
        <v>27</v>
      </c>
      <c r="B13" s="688" t="s">
        <v>28</v>
      </c>
      <c r="C13" s="612" t="s">
        <v>265</v>
      </c>
      <c r="D13" s="689">
        <v>0</v>
      </c>
      <c r="E13" s="698">
        <v>0</v>
      </c>
      <c r="F13" s="697">
        <v>0</v>
      </c>
      <c r="G13" s="697">
        <v>0</v>
      </c>
      <c r="H13" s="692"/>
      <c r="I13" s="694"/>
      <c r="J13" s="692"/>
      <c r="K13" s="692"/>
      <c r="L13" s="692"/>
    </row>
    <row r="14" spans="1:12" ht="16.5" customHeight="1">
      <c r="A14" s="687" t="s">
        <v>29</v>
      </c>
      <c r="B14" s="688" t="s">
        <v>307</v>
      </c>
      <c r="C14" s="612" t="s">
        <v>265</v>
      </c>
      <c r="D14" s="689">
        <v>4</v>
      </c>
      <c r="E14" s="690">
        <v>3</v>
      </c>
      <c r="F14" s="691">
        <v>1</v>
      </c>
      <c r="G14" s="691">
        <v>0</v>
      </c>
      <c r="H14" s="699"/>
      <c r="I14" s="694"/>
      <c r="J14" s="692"/>
      <c r="K14" s="692"/>
      <c r="L14" s="692"/>
    </row>
    <row r="15" spans="1:12" ht="16.5" customHeight="1">
      <c r="A15" s="687" t="s">
        <v>30</v>
      </c>
      <c r="B15" s="688" t="s">
        <v>31</v>
      </c>
      <c r="C15" s="612" t="s">
        <v>268</v>
      </c>
      <c r="D15" s="689">
        <v>4</v>
      </c>
      <c r="E15" s="690">
        <v>4</v>
      </c>
      <c r="F15" s="691">
        <v>0</v>
      </c>
      <c r="G15" s="697">
        <v>0</v>
      </c>
      <c r="H15" s="695"/>
      <c r="I15" s="694"/>
      <c r="J15" s="692"/>
      <c r="K15" s="692"/>
      <c r="L15" s="692"/>
    </row>
    <row r="16" spans="1:12" ht="16.5" customHeight="1">
      <c r="A16" s="687" t="s">
        <v>32</v>
      </c>
      <c r="B16" s="688" t="s">
        <v>33</v>
      </c>
      <c r="C16" s="612" t="s">
        <v>265</v>
      </c>
      <c r="D16" s="689">
        <v>0</v>
      </c>
      <c r="E16" s="690">
        <v>0</v>
      </c>
      <c r="F16" s="691">
        <v>0</v>
      </c>
      <c r="G16" s="691">
        <v>0</v>
      </c>
      <c r="H16" s="692"/>
      <c r="I16" s="695"/>
      <c r="J16" s="692"/>
      <c r="K16" s="692"/>
      <c r="L16" s="692"/>
    </row>
    <row r="17" spans="1:12" ht="16.5" customHeight="1">
      <c r="A17" s="687" t="s">
        <v>36</v>
      </c>
      <c r="B17" s="688" t="s">
        <v>37</v>
      </c>
      <c r="C17" s="612" t="s">
        <v>264</v>
      </c>
      <c r="D17" s="689">
        <v>0</v>
      </c>
      <c r="E17" s="690">
        <v>0</v>
      </c>
      <c r="F17" s="691">
        <v>0</v>
      </c>
      <c r="G17" s="697">
        <v>0</v>
      </c>
      <c r="H17" s="692"/>
      <c r="I17" s="692"/>
      <c r="J17" s="692"/>
      <c r="K17" s="692"/>
      <c r="L17" s="692"/>
    </row>
    <row r="18" spans="1:12" ht="16.5" customHeight="1">
      <c r="A18" s="687" t="s">
        <v>38</v>
      </c>
      <c r="B18" s="688" t="s">
        <v>39</v>
      </c>
      <c r="C18" s="612" t="s">
        <v>268</v>
      </c>
      <c r="D18" s="689">
        <v>9</v>
      </c>
      <c r="E18" s="690">
        <v>8</v>
      </c>
      <c r="F18" s="691">
        <v>0</v>
      </c>
      <c r="G18" s="691">
        <v>1</v>
      </c>
      <c r="H18" s="692"/>
      <c r="I18" s="694"/>
      <c r="J18" s="692"/>
      <c r="K18" s="692"/>
      <c r="L18" s="692"/>
    </row>
    <row r="19" spans="1:12" ht="16.5" customHeight="1">
      <c r="A19" s="687" t="s">
        <v>40</v>
      </c>
      <c r="B19" s="688" t="s">
        <v>41</v>
      </c>
      <c r="C19" s="612" t="s">
        <v>266</v>
      </c>
      <c r="D19" s="689">
        <v>1</v>
      </c>
      <c r="E19" s="690">
        <v>0</v>
      </c>
      <c r="F19" s="691">
        <v>1</v>
      </c>
      <c r="G19" s="691">
        <v>0</v>
      </c>
      <c r="H19" s="692"/>
      <c r="I19" s="692"/>
      <c r="J19" s="692"/>
      <c r="K19" s="692"/>
      <c r="L19" s="692"/>
    </row>
    <row r="20" spans="1:12" ht="16.5" customHeight="1">
      <c r="A20" s="687" t="s">
        <v>42</v>
      </c>
      <c r="B20" s="688" t="s">
        <v>43</v>
      </c>
      <c r="C20" s="612" t="s">
        <v>265</v>
      </c>
      <c r="D20" s="689">
        <v>5</v>
      </c>
      <c r="E20" s="690">
        <v>5</v>
      </c>
      <c r="F20" s="691">
        <v>0</v>
      </c>
      <c r="G20" s="691">
        <v>0</v>
      </c>
      <c r="H20" s="699"/>
      <c r="I20" s="694"/>
      <c r="J20" s="692"/>
      <c r="K20" s="692"/>
      <c r="L20" s="692"/>
    </row>
    <row r="21" spans="1:12" ht="16.5" customHeight="1">
      <c r="A21" s="687" t="s">
        <v>44</v>
      </c>
      <c r="B21" s="688" t="s">
        <v>45</v>
      </c>
      <c r="C21" s="612" t="s">
        <v>266</v>
      </c>
      <c r="D21" s="689">
        <v>0</v>
      </c>
      <c r="E21" s="690">
        <v>0</v>
      </c>
      <c r="F21" s="691">
        <v>0</v>
      </c>
      <c r="G21" s="691">
        <v>0</v>
      </c>
      <c r="H21" s="692"/>
      <c r="I21" s="696"/>
      <c r="J21" s="692"/>
      <c r="K21" s="692"/>
      <c r="L21" s="692"/>
    </row>
    <row r="22" spans="1:12" ht="16.5" customHeight="1">
      <c r="A22" s="687" t="s">
        <v>46</v>
      </c>
      <c r="B22" s="688" t="s">
        <v>47</v>
      </c>
      <c r="C22" s="612" t="s">
        <v>268</v>
      </c>
      <c r="D22" s="689">
        <v>5</v>
      </c>
      <c r="E22" s="690">
        <v>5</v>
      </c>
      <c r="F22" s="691">
        <v>0</v>
      </c>
      <c r="G22" s="697">
        <v>0</v>
      </c>
      <c r="H22" s="695"/>
      <c r="I22" s="694"/>
      <c r="J22" s="692"/>
      <c r="K22" s="692"/>
      <c r="L22" s="692"/>
    </row>
    <row r="23" spans="1:12" ht="16.5" customHeight="1">
      <c r="A23" s="687" t="s">
        <v>48</v>
      </c>
      <c r="B23" s="688" t="s">
        <v>269</v>
      </c>
      <c r="C23" s="612" t="s">
        <v>266</v>
      </c>
      <c r="D23" s="689">
        <v>0</v>
      </c>
      <c r="E23" s="698">
        <v>0</v>
      </c>
      <c r="F23" s="697">
        <v>0</v>
      </c>
      <c r="G23" s="691">
        <v>0</v>
      </c>
      <c r="H23" s="692"/>
      <c r="I23" s="695"/>
      <c r="J23" s="692"/>
      <c r="K23" s="692"/>
      <c r="L23" s="692"/>
    </row>
    <row r="24" spans="1:12" ht="16.5" customHeight="1">
      <c r="A24" s="687" t="s">
        <v>50</v>
      </c>
      <c r="B24" s="688" t="s">
        <v>51</v>
      </c>
      <c r="C24" s="612" t="s">
        <v>265</v>
      </c>
      <c r="D24" s="689">
        <v>2</v>
      </c>
      <c r="E24" s="690">
        <v>1</v>
      </c>
      <c r="F24" s="691">
        <v>0</v>
      </c>
      <c r="G24" s="691">
        <v>1</v>
      </c>
      <c r="H24" s="692"/>
      <c r="I24" s="694"/>
      <c r="J24" s="692"/>
      <c r="K24" s="692"/>
      <c r="L24" s="692"/>
    </row>
    <row r="25" spans="1:12" ht="16.5" customHeight="1">
      <c r="A25" s="687" t="s">
        <v>56</v>
      </c>
      <c r="B25" s="688" t="s">
        <v>295</v>
      </c>
      <c r="C25" s="612" t="s">
        <v>266</v>
      </c>
      <c r="D25" s="689">
        <v>6</v>
      </c>
      <c r="E25" s="690">
        <v>2</v>
      </c>
      <c r="F25" s="691">
        <v>3</v>
      </c>
      <c r="G25" s="691">
        <v>1</v>
      </c>
      <c r="H25" s="692"/>
      <c r="I25" s="696"/>
      <c r="J25" s="692"/>
      <c r="K25" s="696"/>
      <c r="L25" s="692"/>
    </row>
    <row r="26" spans="1:12" ht="16.5" customHeight="1">
      <c r="A26" s="687" t="s">
        <v>58</v>
      </c>
      <c r="B26" s="688" t="s">
        <v>59</v>
      </c>
      <c r="C26" s="612" t="s">
        <v>267</v>
      </c>
      <c r="D26" s="700">
        <v>3</v>
      </c>
      <c r="E26" s="701">
        <v>1</v>
      </c>
      <c r="F26" s="697">
        <v>0</v>
      </c>
      <c r="G26" s="697">
        <v>2</v>
      </c>
      <c r="H26" s="692"/>
      <c r="I26" s="695"/>
      <c r="J26" s="692"/>
      <c r="K26" s="692"/>
      <c r="L26" s="692"/>
    </row>
    <row r="27" spans="1:12" ht="16.5" customHeight="1">
      <c r="A27" s="687" t="s">
        <v>60</v>
      </c>
      <c r="B27" s="688" t="s">
        <v>61</v>
      </c>
      <c r="C27" s="612" t="s">
        <v>265</v>
      </c>
      <c r="D27" s="700">
        <v>2</v>
      </c>
      <c r="E27" s="701">
        <v>2</v>
      </c>
      <c r="F27" s="697">
        <v>0</v>
      </c>
      <c r="G27" s="697">
        <v>0</v>
      </c>
      <c r="H27" s="692"/>
      <c r="I27" s="695"/>
      <c r="J27" s="692"/>
      <c r="K27" s="692"/>
      <c r="L27" s="692"/>
    </row>
    <row r="28" spans="1:12" ht="16.5" customHeight="1">
      <c r="A28" s="687" t="s">
        <v>62</v>
      </c>
      <c r="B28" s="688" t="s">
        <v>63</v>
      </c>
      <c r="C28" s="612" t="s">
        <v>267</v>
      </c>
      <c r="D28" s="689">
        <v>5</v>
      </c>
      <c r="E28" s="690">
        <v>0</v>
      </c>
      <c r="F28" s="691">
        <v>0</v>
      </c>
      <c r="G28" s="691">
        <v>5</v>
      </c>
      <c r="H28" s="692"/>
      <c r="I28" s="694"/>
      <c r="J28" s="692"/>
      <c r="K28" s="692"/>
      <c r="L28" s="692"/>
    </row>
    <row r="29" spans="1:12" ht="16.5" customHeight="1">
      <c r="A29" s="687" t="s">
        <v>64</v>
      </c>
      <c r="B29" s="688" t="s">
        <v>65</v>
      </c>
      <c r="C29" s="612" t="s">
        <v>266</v>
      </c>
      <c r="D29" s="689">
        <v>0</v>
      </c>
      <c r="E29" s="690">
        <v>0</v>
      </c>
      <c r="F29" s="691">
        <v>0</v>
      </c>
      <c r="G29" s="691">
        <v>0</v>
      </c>
      <c r="H29" s="692"/>
      <c r="I29" s="695"/>
      <c r="J29" s="692"/>
      <c r="K29" s="695"/>
      <c r="L29" s="692"/>
    </row>
    <row r="30" spans="1:12" ht="16.5" customHeight="1">
      <c r="A30" s="687" t="s">
        <v>68</v>
      </c>
      <c r="B30" s="688" t="s">
        <v>69</v>
      </c>
      <c r="C30" s="612" t="s">
        <v>268</v>
      </c>
      <c r="D30" s="689">
        <v>12</v>
      </c>
      <c r="E30" s="690">
        <v>12</v>
      </c>
      <c r="F30" s="691">
        <v>0</v>
      </c>
      <c r="G30" s="691">
        <v>0</v>
      </c>
      <c r="H30" s="692"/>
      <c r="I30" s="692"/>
      <c r="J30" s="692"/>
      <c r="K30" s="692"/>
      <c r="L30" s="692"/>
    </row>
    <row r="31" spans="1:12" ht="16.5" customHeight="1">
      <c r="A31" s="687" t="s">
        <v>70</v>
      </c>
      <c r="B31" s="688" t="s">
        <v>71</v>
      </c>
      <c r="C31" s="612" t="s">
        <v>264</v>
      </c>
      <c r="D31" s="689">
        <v>1</v>
      </c>
      <c r="E31" s="690">
        <v>0</v>
      </c>
      <c r="F31" s="691">
        <v>1</v>
      </c>
      <c r="G31" s="691">
        <v>0</v>
      </c>
      <c r="H31" s="692"/>
      <c r="I31" s="696"/>
      <c r="J31" s="692"/>
      <c r="K31" s="692"/>
      <c r="L31" s="692"/>
    </row>
    <row r="32" spans="1:12" ht="16.5" customHeight="1">
      <c r="A32" s="687" t="s">
        <v>72</v>
      </c>
      <c r="B32" s="688" t="s">
        <v>73</v>
      </c>
      <c r="C32" s="612" t="s">
        <v>266</v>
      </c>
      <c r="D32" s="689">
        <v>0</v>
      </c>
      <c r="E32" s="698">
        <v>0</v>
      </c>
      <c r="F32" s="697">
        <v>0</v>
      </c>
      <c r="G32" s="691">
        <v>0</v>
      </c>
      <c r="H32" s="692"/>
      <c r="I32" s="695"/>
      <c r="J32" s="692"/>
      <c r="K32" s="696"/>
      <c r="L32" s="692"/>
    </row>
    <row r="33" spans="1:12" ht="16.5" customHeight="1">
      <c r="A33" s="687" t="s">
        <v>74</v>
      </c>
      <c r="B33" s="688" t="s">
        <v>302</v>
      </c>
      <c r="C33" s="612" t="s">
        <v>267</v>
      </c>
      <c r="D33" s="689">
        <v>14</v>
      </c>
      <c r="E33" s="690">
        <v>5</v>
      </c>
      <c r="F33" s="691">
        <v>4</v>
      </c>
      <c r="G33" s="691">
        <v>5</v>
      </c>
      <c r="H33" s="699"/>
      <c r="I33" s="696"/>
      <c r="J33" s="696"/>
      <c r="K33" s="696"/>
      <c r="L33" s="692"/>
    </row>
    <row r="34" spans="1:12" ht="16.5" customHeight="1">
      <c r="A34" s="687" t="s">
        <v>76</v>
      </c>
      <c r="B34" s="688" t="s">
        <v>77</v>
      </c>
      <c r="C34" s="612" t="s">
        <v>267</v>
      </c>
      <c r="D34" s="689">
        <v>2</v>
      </c>
      <c r="E34" s="690">
        <v>2</v>
      </c>
      <c r="F34" s="691">
        <v>0</v>
      </c>
      <c r="G34" s="691">
        <v>0</v>
      </c>
      <c r="H34" s="692"/>
      <c r="I34" s="694"/>
      <c r="J34" s="692"/>
      <c r="K34" s="692"/>
      <c r="L34" s="692"/>
    </row>
    <row r="35" spans="1:12" ht="16.5" customHeight="1">
      <c r="A35" s="687" t="s">
        <v>78</v>
      </c>
      <c r="B35" s="688" t="s">
        <v>79</v>
      </c>
      <c r="C35" s="612" t="s">
        <v>268</v>
      </c>
      <c r="D35" s="689">
        <v>1</v>
      </c>
      <c r="E35" s="690">
        <v>1</v>
      </c>
      <c r="F35" s="691">
        <v>0</v>
      </c>
      <c r="G35" s="697">
        <v>0</v>
      </c>
      <c r="H35" s="692"/>
      <c r="I35" s="692"/>
      <c r="J35" s="692"/>
      <c r="K35" s="692"/>
      <c r="L35" s="692"/>
    </row>
    <row r="36" spans="1:12" ht="16.5" customHeight="1">
      <c r="A36" s="687" t="s">
        <v>80</v>
      </c>
      <c r="B36" s="688" t="s">
        <v>81</v>
      </c>
      <c r="C36" s="612" t="s">
        <v>266</v>
      </c>
      <c r="D36" s="689">
        <v>0</v>
      </c>
      <c r="E36" s="690">
        <v>0</v>
      </c>
      <c r="F36" s="691">
        <v>0</v>
      </c>
      <c r="G36" s="691">
        <v>0</v>
      </c>
      <c r="H36" s="692"/>
      <c r="I36" s="695"/>
      <c r="J36" s="692"/>
      <c r="K36" s="692"/>
      <c r="L36" s="692"/>
    </row>
    <row r="37" spans="1:12" ht="16.5" customHeight="1">
      <c r="A37" s="687" t="s">
        <v>84</v>
      </c>
      <c r="B37" s="688" t="s">
        <v>308</v>
      </c>
      <c r="C37" s="612" t="s">
        <v>265</v>
      </c>
      <c r="D37" s="689">
        <v>12</v>
      </c>
      <c r="E37" s="690">
        <v>8</v>
      </c>
      <c r="F37" s="691">
        <v>1</v>
      </c>
      <c r="G37" s="691">
        <v>3</v>
      </c>
      <c r="H37" s="692"/>
      <c r="I37" s="696"/>
      <c r="J37" s="692"/>
      <c r="K37" s="695"/>
      <c r="L37" s="692"/>
    </row>
    <row r="38" spans="1:12" ht="16.5" customHeight="1">
      <c r="A38" s="687" t="s">
        <v>86</v>
      </c>
      <c r="B38" s="688" t="s">
        <v>87</v>
      </c>
      <c r="C38" s="612" t="s">
        <v>267</v>
      </c>
      <c r="D38" s="689">
        <v>8</v>
      </c>
      <c r="E38" s="690">
        <v>7</v>
      </c>
      <c r="F38" s="691">
        <v>0</v>
      </c>
      <c r="G38" s="691">
        <v>1</v>
      </c>
      <c r="H38" s="695"/>
      <c r="I38" s="694"/>
      <c r="J38" s="695"/>
      <c r="K38" s="694"/>
      <c r="L38" s="692"/>
    </row>
    <row r="39" spans="1:12" ht="16.5" customHeight="1">
      <c r="A39" s="687" t="s">
        <v>92</v>
      </c>
      <c r="B39" s="688" t="s">
        <v>93</v>
      </c>
      <c r="C39" s="612" t="s">
        <v>268</v>
      </c>
      <c r="D39" s="689">
        <v>3</v>
      </c>
      <c r="E39" s="690">
        <v>3</v>
      </c>
      <c r="F39" s="691">
        <v>0</v>
      </c>
      <c r="G39" s="697">
        <v>0</v>
      </c>
      <c r="H39" s="692"/>
      <c r="I39" s="695"/>
      <c r="J39" s="692"/>
      <c r="K39" s="692"/>
      <c r="L39" s="692"/>
    </row>
    <row r="40" spans="1:12" ht="16.5" customHeight="1">
      <c r="A40" s="687" t="s">
        <v>94</v>
      </c>
      <c r="B40" s="688" t="s">
        <v>95</v>
      </c>
      <c r="C40" s="612" t="s">
        <v>264</v>
      </c>
      <c r="D40" s="689">
        <v>1</v>
      </c>
      <c r="E40" s="690">
        <v>1</v>
      </c>
      <c r="F40" s="691">
        <v>0</v>
      </c>
      <c r="G40" s="691">
        <v>0</v>
      </c>
      <c r="H40" s="692"/>
      <c r="I40" s="696"/>
      <c r="J40" s="692"/>
      <c r="K40" s="692"/>
      <c r="L40" s="692"/>
    </row>
    <row r="41" spans="1:12" ht="16.5" customHeight="1">
      <c r="A41" s="687" t="s">
        <v>96</v>
      </c>
      <c r="B41" s="688" t="s">
        <v>97</v>
      </c>
      <c r="C41" s="612" t="s">
        <v>266</v>
      </c>
      <c r="D41" s="689">
        <v>3</v>
      </c>
      <c r="E41" s="690">
        <v>1</v>
      </c>
      <c r="F41" s="691">
        <v>0</v>
      </c>
      <c r="G41" s="691">
        <v>2</v>
      </c>
      <c r="H41" s="692"/>
      <c r="I41" s="692"/>
      <c r="J41" s="692"/>
      <c r="K41" s="692"/>
      <c r="L41" s="692"/>
    </row>
    <row r="42" spans="1:12" ht="16.5" customHeight="1">
      <c r="A42" s="687" t="s">
        <v>98</v>
      </c>
      <c r="B42" s="688" t="s">
        <v>99</v>
      </c>
      <c r="C42" s="612" t="s">
        <v>268</v>
      </c>
      <c r="D42" s="689">
        <v>0</v>
      </c>
      <c r="E42" s="690">
        <v>0</v>
      </c>
      <c r="F42" s="691">
        <v>0</v>
      </c>
      <c r="G42" s="697">
        <v>0</v>
      </c>
      <c r="H42" s="692"/>
      <c r="I42" s="696"/>
      <c r="J42" s="692"/>
      <c r="K42" s="696"/>
      <c r="L42" s="692"/>
    </row>
    <row r="43" spans="1:12" ht="16.5" customHeight="1">
      <c r="A43" s="687" t="s">
        <v>100</v>
      </c>
      <c r="B43" s="688" t="s">
        <v>101</v>
      </c>
      <c r="C43" s="612" t="s">
        <v>267</v>
      </c>
      <c r="D43" s="689">
        <v>0</v>
      </c>
      <c r="E43" s="690">
        <v>0</v>
      </c>
      <c r="F43" s="691">
        <v>0</v>
      </c>
      <c r="G43" s="691">
        <v>0</v>
      </c>
      <c r="H43" s="692"/>
      <c r="I43" s="694"/>
      <c r="J43" s="692"/>
      <c r="K43" s="692"/>
      <c r="L43" s="692"/>
    </row>
    <row r="44" spans="1:12" ht="16.5" customHeight="1">
      <c r="A44" s="687" t="s">
        <v>102</v>
      </c>
      <c r="B44" s="688" t="s">
        <v>103</v>
      </c>
      <c r="C44" s="612" t="s">
        <v>264</v>
      </c>
      <c r="D44" s="689">
        <v>0</v>
      </c>
      <c r="E44" s="698">
        <v>0</v>
      </c>
      <c r="F44" s="697">
        <v>0</v>
      </c>
      <c r="G44" s="691">
        <v>0</v>
      </c>
      <c r="H44" s="692"/>
      <c r="I44" s="695"/>
      <c r="J44" s="692"/>
      <c r="K44" s="695"/>
      <c r="L44" s="692"/>
    </row>
    <row r="45" spans="1:12" ht="16.5" customHeight="1">
      <c r="A45" s="687" t="s">
        <v>104</v>
      </c>
      <c r="B45" s="688" t="s">
        <v>309</v>
      </c>
      <c r="C45" s="612" t="s">
        <v>265</v>
      </c>
      <c r="D45" s="689">
        <v>5</v>
      </c>
      <c r="E45" s="690">
        <v>0</v>
      </c>
      <c r="F45" s="691">
        <v>5</v>
      </c>
      <c r="G45" s="691">
        <v>0</v>
      </c>
      <c r="H45" s="692"/>
      <c r="I45" s="694"/>
      <c r="J45" s="692"/>
      <c r="K45" s="695"/>
      <c r="L45" s="692"/>
    </row>
    <row r="46" spans="1:12" ht="16.5" customHeight="1">
      <c r="A46" s="687" t="s">
        <v>108</v>
      </c>
      <c r="B46" s="688" t="s">
        <v>109</v>
      </c>
      <c r="C46" s="612" t="s">
        <v>266</v>
      </c>
      <c r="D46" s="689">
        <v>3</v>
      </c>
      <c r="E46" s="690">
        <v>2</v>
      </c>
      <c r="F46" s="691">
        <v>0</v>
      </c>
      <c r="G46" s="691">
        <v>1</v>
      </c>
      <c r="H46" s="692"/>
      <c r="I46" s="696"/>
      <c r="J46" s="692"/>
      <c r="K46" s="692"/>
      <c r="L46" s="692"/>
    </row>
    <row r="47" spans="1:12" ht="16.5" customHeight="1">
      <c r="A47" s="687" t="s">
        <v>110</v>
      </c>
      <c r="B47" s="688" t="s">
        <v>111</v>
      </c>
      <c r="C47" s="612" t="s">
        <v>266</v>
      </c>
      <c r="D47" s="689">
        <v>7</v>
      </c>
      <c r="E47" s="690">
        <v>1</v>
      </c>
      <c r="F47" s="691">
        <v>2</v>
      </c>
      <c r="G47" s="691">
        <v>4</v>
      </c>
      <c r="H47" s="692"/>
      <c r="I47" s="696"/>
      <c r="J47" s="692"/>
      <c r="K47" s="692"/>
      <c r="L47" s="692"/>
    </row>
    <row r="48" spans="1:12" ht="16.5" customHeight="1">
      <c r="A48" s="687" t="s">
        <v>112</v>
      </c>
      <c r="B48" s="688" t="s">
        <v>300</v>
      </c>
      <c r="C48" s="612" t="s">
        <v>265</v>
      </c>
      <c r="D48" s="689">
        <v>3</v>
      </c>
      <c r="E48" s="690">
        <v>1</v>
      </c>
      <c r="F48" s="691">
        <v>2</v>
      </c>
      <c r="G48" s="691">
        <v>0</v>
      </c>
      <c r="H48" s="692"/>
      <c r="I48" s="694"/>
      <c r="J48" s="692"/>
      <c r="K48" s="692"/>
      <c r="L48" s="692"/>
    </row>
    <row r="49" spans="1:12" ht="16.5" customHeight="1">
      <c r="A49" s="687" t="s">
        <v>114</v>
      </c>
      <c r="B49" s="688" t="s">
        <v>115</v>
      </c>
      <c r="C49" s="612" t="s">
        <v>265</v>
      </c>
      <c r="D49" s="700">
        <v>0</v>
      </c>
      <c r="E49" s="701">
        <v>0</v>
      </c>
      <c r="F49" s="697">
        <v>0</v>
      </c>
      <c r="G49" s="697">
        <v>0</v>
      </c>
      <c r="H49" s="692"/>
      <c r="I49" s="692"/>
      <c r="J49" s="692"/>
      <c r="K49" s="692"/>
      <c r="L49" s="692"/>
    </row>
    <row r="50" spans="1:12" ht="16.5" customHeight="1">
      <c r="A50" s="687" t="s">
        <v>118</v>
      </c>
      <c r="B50" s="688" t="s">
        <v>119</v>
      </c>
      <c r="C50" s="612" t="s">
        <v>264</v>
      </c>
      <c r="D50" s="689">
        <v>0</v>
      </c>
      <c r="E50" s="690">
        <v>0</v>
      </c>
      <c r="F50" s="691">
        <v>0</v>
      </c>
      <c r="G50" s="691">
        <v>0</v>
      </c>
      <c r="H50" s="692"/>
      <c r="I50" s="695"/>
      <c r="J50" s="692"/>
      <c r="K50" s="695"/>
      <c r="L50" s="692"/>
    </row>
    <row r="51" spans="1:12" ht="16.5" customHeight="1">
      <c r="A51" s="687" t="s">
        <v>120</v>
      </c>
      <c r="B51" s="688" t="s">
        <v>121</v>
      </c>
      <c r="C51" s="612" t="s">
        <v>264</v>
      </c>
      <c r="D51" s="689">
        <v>3</v>
      </c>
      <c r="E51" s="690">
        <v>3</v>
      </c>
      <c r="F51" s="691">
        <v>0</v>
      </c>
      <c r="G51" s="691">
        <v>0</v>
      </c>
      <c r="H51" s="692"/>
      <c r="I51" s="694"/>
      <c r="J51" s="692"/>
      <c r="K51" s="692"/>
      <c r="L51" s="692"/>
    </row>
    <row r="52" spans="1:12" ht="16.5" customHeight="1">
      <c r="A52" s="687" t="s">
        <v>122</v>
      </c>
      <c r="B52" s="688" t="s">
        <v>271</v>
      </c>
      <c r="C52" s="612" t="s">
        <v>266</v>
      </c>
      <c r="D52" s="689">
        <v>2</v>
      </c>
      <c r="E52" s="690">
        <v>2</v>
      </c>
      <c r="F52" s="691">
        <v>0</v>
      </c>
      <c r="G52" s="691">
        <v>0</v>
      </c>
      <c r="H52" s="692"/>
      <c r="I52" s="692"/>
      <c r="J52" s="692"/>
      <c r="K52" s="692"/>
      <c r="L52" s="692"/>
    </row>
    <row r="53" spans="1:12" ht="16.5" customHeight="1">
      <c r="A53" s="687" t="s">
        <v>124</v>
      </c>
      <c r="B53" s="688" t="s">
        <v>125</v>
      </c>
      <c r="C53" s="612" t="s">
        <v>267</v>
      </c>
      <c r="D53" s="689">
        <v>0</v>
      </c>
      <c r="E53" s="690">
        <v>0</v>
      </c>
      <c r="F53" s="691">
        <v>0</v>
      </c>
      <c r="G53" s="691">
        <v>0</v>
      </c>
      <c r="H53" s="692"/>
      <c r="I53" s="695"/>
      <c r="J53" s="692"/>
      <c r="K53" s="692"/>
      <c r="L53" s="692"/>
    </row>
    <row r="54" spans="1:12" ht="16.5" customHeight="1">
      <c r="A54" s="687" t="s">
        <v>126</v>
      </c>
      <c r="B54" s="688" t="s">
        <v>127</v>
      </c>
      <c r="C54" s="612" t="s">
        <v>266</v>
      </c>
      <c r="D54" s="689">
        <v>0</v>
      </c>
      <c r="E54" s="690">
        <v>0</v>
      </c>
      <c r="F54" s="691">
        <v>0</v>
      </c>
      <c r="G54" s="691">
        <v>0</v>
      </c>
      <c r="H54" s="692"/>
      <c r="I54" s="695"/>
      <c r="J54" s="692"/>
      <c r="K54" s="692"/>
      <c r="L54" s="692"/>
    </row>
    <row r="55" spans="1:12" ht="16.5" customHeight="1">
      <c r="A55" s="687" t="s">
        <v>128</v>
      </c>
      <c r="B55" s="688" t="s">
        <v>129</v>
      </c>
      <c r="C55" s="612" t="s">
        <v>266</v>
      </c>
      <c r="D55" s="689">
        <v>1</v>
      </c>
      <c r="E55" s="690">
        <v>1</v>
      </c>
      <c r="F55" s="691">
        <v>0</v>
      </c>
      <c r="G55" s="691">
        <v>0</v>
      </c>
      <c r="H55" s="692"/>
      <c r="I55" s="695"/>
      <c r="J55" s="692"/>
      <c r="K55" s="692"/>
      <c r="L55" s="692"/>
    </row>
    <row r="56" spans="1:12" ht="16.5" customHeight="1">
      <c r="A56" s="687" t="s">
        <v>130</v>
      </c>
      <c r="B56" s="688" t="s">
        <v>131</v>
      </c>
      <c r="C56" s="612" t="s">
        <v>268</v>
      </c>
      <c r="D56" s="689">
        <v>8</v>
      </c>
      <c r="E56" s="690">
        <v>7</v>
      </c>
      <c r="F56" s="691">
        <v>0</v>
      </c>
      <c r="G56" s="691">
        <v>1</v>
      </c>
      <c r="H56" s="692"/>
      <c r="I56" s="694"/>
      <c r="J56" s="692"/>
      <c r="K56" s="692"/>
      <c r="L56" s="692"/>
    </row>
    <row r="57" spans="1:12" ht="16.5" customHeight="1">
      <c r="A57" s="687" t="s">
        <v>132</v>
      </c>
      <c r="B57" s="688" t="s">
        <v>133</v>
      </c>
      <c r="C57" s="612" t="s">
        <v>267</v>
      </c>
      <c r="D57" s="689">
        <v>10</v>
      </c>
      <c r="E57" s="690">
        <v>2</v>
      </c>
      <c r="F57" s="691">
        <v>1</v>
      </c>
      <c r="G57" s="691">
        <v>7</v>
      </c>
      <c r="H57" s="699"/>
      <c r="I57" s="694"/>
      <c r="J57" s="692"/>
      <c r="K57" s="692"/>
      <c r="L57" s="692"/>
    </row>
    <row r="58" spans="1:12" ht="16.5" customHeight="1">
      <c r="A58" s="687" t="s">
        <v>134</v>
      </c>
      <c r="B58" s="688" t="s">
        <v>135</v>
      </c>
      <c r="C58" s="612" t="s">
        <v>267</v>
      </c>
      <c r="D58" s="689">
        <v>14</v>
      </c>
      <c r="E58" s="690">
        <v>8</v>
      </c>
      <c r="F58" s="691">
        <v>3</v>
      </c>
      <c r="G58" s="691">
        <v>3</v>
      </c>
      <c r="H58" s="692"/>
      <c r="I58" s="696"/>
      <c r="J58" s="692"/>
      <c r="K58" s="692"/>
      <c r="L58" s="692"/>
    </row>
    <row r="59" spans="1:12" ht="16.5" customHeight="1">
      <c r="A59" s="687" t="s">
        <v>136</v>
      </c>
      <c r="B59" s="688" t="s">
        <v>137</v>
      </c>
      <c r="C59" s="612" t="s">
        <v>266</v>
      </c>
      <c r="D59" s="689">
        <v>5</v>
      </c>
      <c r="E59" s="698">
        <v>0</v>
      </c>
      <c r="F59" s="697">
        <v>4</v>
      </c>
      <c r="G59" s="691">
        <v>1</v>
      </c>
      <c r="H59" s="692"/>
      <c r="I59" s="696"/>
      <c r="J59" s="692"/>
      <c r="K59" s="692"/>
      <c r="L59" s="692"/>
    </row>
    <row r="60" spans="1:12" ht="16.5" customHeight="1">
      <c r="A60" s="687" t="s">
        <v>140</v>
      </c>
      <c r="B60" s="688" t="s">
        <v>141</v>
      </c>
      <c r="C60" s="612" t="s">
        <v>267</v>
      </c>
      <c r="D60" s="689">
        <v>0</v>
      </c>
      <c r="E60" s="690">
        <v>0</v>
      </c>
      <c r="F60" s="691">
        <v>0</v>
      </c>
      <c r="G60" s="691">
        <v>0</v>
      </c>
      <c r="H60" s="692"/>
      <c r="I60" s="692"/>
      <c r="J60" s="692"/>
      <c r="K60" s="692"/>
      <c r="L60" s="692"/>
    </row>
    <row r="61" spans="1:12" ht="16.5" customHeight="1">
      <c r="A61" s="687" t="s">
        <v>146</v>
      </c>
      <c r="B61" s="688" t="s">
        <v>147</v>
      </c>
      <c r="C61" s="612" t="s">
        <v>264</v>
      </c>
      <c r="D61" s="689">
        <v>0</v>
      </c>
      <c r="E61" s="690">
        <v>0</v>
      </c>
      <c r="F61" s="691">
        <v>0</v>
      </c>
      <c r="G61" s="691">
        <v>0</v>
      </c>
      <c r="H61" s="692"/>
      <c r="I61" s="695"/>
      <c r="J61" s="692"/>
      <c r="K61" s="692"/>
      <c r="L61" s="692"/>
    </row>
    <row r="62" spans="1:12" ht="16.5" customHeight="1">
      <c r="A62" s="687" t="s">
        <v>148</v>
      </c>
      <c r="B62" s="688" t="s">
        <v>149</v>
      </c>
      <c r="C62" s="612" t="s">
        <v>265</v>
      </c>
      <c r="D62" s="689">
        <v>3</v>
      </c>
      <c r="E62" s="690">
        <v>0</v>
      </c>
      <c r="F62" s="691">
        <v>3</v>
      </c>
      <c r="G62" s="691">
        <v>0</v>
      </c>
      <c r="H62" s="692"/>
      <c r="I62" s="696"/>
      <c r="J62" s="692"/>
      <c r="K62" s="692"/>
      <c r="L62" s="692"/>
    </row>
    <row r="63" spans="1:12" ht="16.5" customHeight="1">
      <c r="A63" s="687" t="s">
        <v>150</v>
      </c>
      <c r="B63" s="688" t="s">
        <v>151</v>
      </c>
      <c r="C63" s="612" t="s">
        <v>266</v>
      </c>
      <c r="D63" s="689">
        <v>3</v>
      </c>
      <c r="E63" s="698">
        <v>1</v>
      </c>
      <c r="F63" s="697">
        <v>2</v>
      </c>
      <c r="G63" s="691">
        <v>0</v>
      </c>
      <c r="H63" s="692"/>
      <c r="I63" s="696"/>
      <c r="J63" s="692"/>
      <c r="K63" s="692"/>
      <c r="L63" s="692"/>
    </row>
    <row r="64" spans="1:12" ht="16.5" customHeight="1">
      <c r="A64" s="687" t="s">
        <v>152</v>
      </c>
      <c r="B64" s="688" t="s">
        <v>153</v>
      </c>
      <c r="C64" s="612" t="s">
        <v>268</v>
      </c>
      <c r="D64" s="689">
        <v>15</v>
      </c>
      <c r="E64" s="690">
        <v>7</v>
      </c>
      <c r="F64" s="691">
        <v>3</v>
      </c>
      <c r="G64" s="691">
        <v>5</v>
      </c>
      <c r="H64" s="692"/>
      <c r="I64" s="692"/>
      <c r="J64" s="692"/>
      <c r="K64" s="696"/>
      <c r="L64" s="692"/>
    </row>
    <row r="65" spans="1:12" ht="16.5" customHeight="1">
      <c r="A65" s="687" t="s">
        <v>154</v>
      </c>
      <c r="B65" s="688" t="s">
        <v>155</v>
      </c>
      <c r="C65" s="612" t="s">
        <v>265</v>
      </c>
      <c r="D65" s="700">
        <v>0</v>
      </c>
      <c r="E65" s="701">
        <v>0</v>
      </c>
      <c r="F65" s="697">
        <v>0</v>
      </c>
      <c r="G65" s="697">
        <v>0</v>
      </c>
      <c r="H65" s="692"/>
      <c r="I65" s="692"/>
      <c r="J65" s="692"/>
      <c r="K65" s="692"/>
      <c r="L65" s="692"/>
    </row>
    <row r="66" spans="1:12" ht="16.5" customHeight="1">
      <c r="A66" s="687" t="s">
        <v>156</v>
      </c>
      <c r="B66" s="688" t="s">
        <v>157</v>
      </c>
      <c r="C66" s="612" t="s">
        <v>266</v>
      </c>
      <c r="D66" s="689">
        <v>1</v>
      </c>
      <c r="E66" s="690">
        <v>1</v>
      </c>
      <c r="F66" s="691">
        <v>0</v>
      </c>
      <c r="G66" s="697">
        <v>0</v>
      </c>
      <c r="H66" s="692"/>
      <c r="I66" s="695"/>
      <c r="J66" s="692"/>
      <c r="K66" s="692"/>
      <c r="L66" s="692"/>
    </row>
    <row r="67" spans="1:12" ht="16.5" customHeight="1">
      <c r="A67" s="687" t="s">
        <v>162</v>
      </c>
      <c r="B67" s="688" t="s">
        <v>163</v>
      </c>
      <c r="C67" s="612" t="s">
        <v>264</v>
      </c>
      <c r="D67" s="689">
        <v>0</v>
      </c>
      <c r="E67" s="690">
        <v>0</v>
      </c>
      <c r="F67" s="691">
        <v>0</v>
      </c>
      <c r="G67" s="691">
        <v>0</v>
      </c>
      <c r="H67" s="695"/>
      <c r="I67" s="695"/>
      <c r="J67" s="692"/>
      <c r="K67" s="692"/>
      <c r="L67" s="692"/>
    </row>
    <row r="68" spans="1:12" ht="16.5" customHeight="1">
      <c r="A68" s="687" t="s">
        <v>164</v>
      </c>
      <c r="B68" s="688" t="s">
        <v>165</v>
      </c>
      <c r="C68" s="612" t="s">
        <v>266</v>
      </c>
      <c r="D68" s="689">
        <v>0</v>
      </c>
      <c r="E68" s="690">
        <v>0</v>
      </c>
      <c r="F68" s="691">
        <v>0</v>
      </c>
      <c r="G68" s="691">
        <v>0</v>
      </c>
      <c r="H68" s="692"/>
      <c r="I68" s="695"/>
      <c r="J68" s="692"/>
      <c r="K68" s="692"/>
      <c r="L68" s="692"/>
    </row>
    <row r="69" spans="1:12" ht="16.5" customHeight="1">
      <c r="A69" s="687" t="s">
        <v>168</v>
      </c>
      <c r="B69" s="688" t="s">
        <v>169</v>
      </c>
      <c r="C69" s="612" t="s">
        <v>266</v>
      </c>
      <c r="D69" s="689">
        <v>1</v>
      </c>
      <c r="E69" s="690">
        <v>0</v>
      </c>
      <c r="F69" s="691">
        <v>1</v>
      </c>
      <c r="G69" s="691">
        <v>0</v>
      </c>
      <c r="H69" s="692"/>
      <c r="I69" s="694"/>
      <c r="J69" s="692"/>
      <c r="K69" s="692"/>
      <c r="L69" s="692"/>
    </row>
    <row r="70" spans="1:12" ht="16.5" customHeight="1">
      <c r="A70" s="687" t="s">
        <v>170</v>
      </c>
      <c r="B70" s="688" t="s">
        <v>171</v>
      </c>
      <c r="C70" s="612" t="s">
        <v>267</v>
      </c>
      <c r="D70" s="689">
        <v>3</v>
      </c>
      <c r="E70" s="690">
        <v>3</v>
      </c>
      <c r="F70" s="691">
        <v>0</v>
      </c>
      <c r="G70" s="691">
        <v>0</v>
      </c>
      <c r="H70" s="692"/>
      <c r="I70" s="694"/>
      <c r="J70" s="692"/>
      <c r="K70" s="695"/>
      <c r="L70" s="692"/>
    </row>
    <row r="71" spans="1:12" ht="16.5" customHeight="1">
      <c r="A71" s="687" t="s">
        <v>172</v>
      </c>
      <c r="B71" s="688" t="s">
        <v>173</v>
      </c>
      <c r="C71" s="612" t="s">
        <v>267</v>
      </c>
      <c r="D71" s="689">
        <v>2</v>
      </c>
      <c r="E71" s="690">
        <v>2</v>
      </c>
      <c r="F71" s="691">
        <v>0</v>
      </c>
      <c r="G71" s="697">
        <v>0</v>
      </c>
      <c r="H71" s="692"/>
      <c r="I71" s="692"/>
      <c r="J71" s="692"/>
      <c r="K71" s="692"/>
      <c r="L71" s="692"/>
    </row>
    <row r="72" spans="1:12" ht="16.5" customHeight="1">
      <c r="A72" s="687" t="s">
        <v>174</v>
      </c>
      <c r="B72" s="688" t="s">
        <v>175</v>
      </c>
      <c r="C72" s="612" t="s">
        <v>268</v>
      </c>
      <c r="D72" s="689">
        <v>0</v>
      </c>
      <c r="E72" s="690">
        <v>0</v>
      </c>
      <c r="F72" s="691">
        <v>0</v>
      </c>
      <c r="G72" s="697">
        <v>0</v>
      </c>
      <c r="H72" s="692"/>
      <c r="I72" s="692"/>
      <c r="J72" s="692"/>
      <c r="K72" s="692"/>
      <c r="L72" s="692"/>
    </row>
    <row r="73" spans="1:12" ht="16.5" customHeight="1">
      <c r="A73" s="687" t="s">
        <v>178</v>
      </c>
      <c r="B73" s="688" t="s">
        <v>179</v>
      </c>
      <c r="C73" s="612" t="s">
        <v>265</v>
      </c>
      <c r="D73" s="689">
        <v>0</v>
      </c>
      <c r="E73" s="690">
        <v>0</v>
      </c>
      <c r="F73" s="691">
        <v>0</v>
      </c>
      <c r="G73" s="691">
        <v>0</v>
      </c>
      <c r="H73" s="692"/>
      <c r="I73" s="696"/>
      <c r="J73" s="692"/>
      <c r="K73" s="696"/>
      <c r="L73" s="692"/>
    </row>
    <row r="74" spans="1:12" ht="16.5" customHeight="1">
      <c r="A74" s="687" t="s">
        <v>182</v>
      </c>
      <c r="B74" s="688" t="s">
        <v>183</v>
      </c>
      <c r="C74" s="612" t="s">
        <v>266</v>
      </c>
      <c r="D74" s="689">
        <v>0</v>
      </c>
      <c r="E74" s="690">
        <v>0</v>
      </c>
      <c r="F74" s="691">
        <v>0</v>
      </c>
      <c r="G74" s="697">
        <v>0</v>
      </c>
      <c r="H74" s="692"/>
      <c r="I74" s="696"/>
      <c r="J74" s="692"/>
      <c r="K74" s="692"/>
      <c r="L74" s="692"/>
    </row>
    <row r="75" spans="1:12" ht="16.5" customHeight="1">
      <c r="A75" s="687" t="s">
        <v>184</v>
      </c>
      <c r="B75" s="688" t="s">
        <v>185</v>
      </c>
      <c r="C75" s="612" t="s">
        <v>266</v>
      </c>
      <c r="D75" s="689">
        <v>7</v>
      </c>
      <c r="E75" s="690">
        <v>3</v>
      </c>
      <c r="F75" s="691">
        <v>3</v>
      </c>
      <c r="G75" s="691">
        <v>1</v>
      </c>
      <c r="H75" s="692"/>
      <c r="I75" s="694"/>
      <c r="J75" s="692"/>
      <c r="K75" s="692"/>
      <c r="L75" s="692"/>
    </row>
    <row r="76" spans="1:12" ht="16.5" customHeight="1">
      <c r="A76" s="687" t="s">
        <v>186</v>
      </c>
      <c r="B76" s="688" t="s">
        <v>187</v>
      </c>
      <c r="C76" s="612" t="s">
        <v>264</v>
      </c>
      <c r="D76" s="689">
        <v>2</v>
      </c>
      <c r="E76" s="690">
        <v>2</v>
      </c>
      <c r="F76" s="691">
        <v>0</v>
      </c>
      <c r="G76" s="691">
        <v>0</v>
      </c>
      <c r="H76" s="692"/>
      <c r="I76" s="695"/>
      <c r="J76" s="692"/>
      <c r="K76" s="692"/>
      <c r="L76" s="692"/>
    </row>
    <row r="77" spans="1:12" ht="16.5" customHeight="1">
      <c r="A77" s="687" t="s">
        <v>188</v>
      </c>
      <c r="B77" s="688" t="s">
        <v>189</v>
      </c>
      <c r="C77" s="612" t="s">
        <v>267</v>
      </c>
      <c r="D77" s="689">
        <v>7</v>
      </c>
      <c r="E77" s="690">
        <v>1</v>
      </c>
      <c r="F77" s="691">
        <v>6</v>
      </c>
      <c r="G77" s="691">
        <v>0</v>
      </c>
      <c r="H77" s="692"/>
      <c r="I77" s="696"/>
      <c r="J77" s="692"/>
      <c r="K77" s="694"/>
      <c r="L77" s="692"/>
    </row>
    <row r="78" spans="1:12" ht="16.5" customHeight="1">
      <c r="A78" s="687" t="s">
        <v>190</v>
      </c>
      <c r="B78" s="688" t="s">
        <v>191</v>
      </c>
      <c r="C78" s="612" t="s">
        <v>268</v>
      </c>
      <c r="D78" s="689">
        <v>12</v>
      </c>
      <c r="E78" s="690">
        <v>8</v>
      </c>
      <c r="F78" s="691">
        <v>0</v>
      </c>
      <c r="G78" s="691">
        <v>4</v>
      </c>
      <c r="H78" s="692"/>
      <c r="I78" s="696"/>
      <c r="J78" s="692"/>
      <c r="K78" s="692"/>
      <c r="L78" s="692"/>
    </row>
    <row r="79" spans="1:12" ht="16.5" customHeight="1">
      <c r="A79" s="687" t="s">
        <v>194</v>
      </c>
      <c r="B79" s="688" t="s">
        <v>195</v>
      </c>
      <c r="C79" s="612" t="s">
        <v>267</v>
      </c>
      <c r="D79" s="689">
        <v>0</v>
      </c>
      <c r="E79" s="690">
        <v>0</v>
      </c>
      <c r="F79" s="691">
        <v>0</v>
      </c>
      <c r="G79" s="697">
        <v>0</v>
      </c>
      <c r="H79" s="692"/>
      <c r="I79" s="692"/>
      <c r="J79" s="692"/>
      <c r="K79" s="692"/>
      <c r="L79" s="692"/>
    </row>
    <row r="80" spans="1:12" ht="16.5" customHeight="1">
      <c r="A80" s="687" t="s">
        <v>198</v>
      </c>
      <c r="B80" s="688" t="s">
        <v>199</v>
      </c>
      <c r="C80" s="612" t="s">
        <v>266</v>
      </c>
      <c r="D80" s="689">
        <v>0</v>
      </c>
      <c r="E80" s="690">
        <v>0</v>
      </c>
      <c r="F80" s="691">
        <v>0</v>
      </c>
      <c r="G80" s="691">
        <v>0</v>
      </c>
      <c r="H80" s="692"/>
      <c r="I80" s="695"/>
      <c r="J80" s="692"/>
      <c r="K80" s="692"/>
      <c r="L80" s="692"/>
    </row>
    <row r="81" spans="1:12" ht="16.5" customHeight="1">
      <c r="A81" s="687" t="s">
        <v>202</v>
      </c>
      <c r="B81" s="688" t="s">
        <v>203</v>
      </c>
      <c r="C81" s="612" t="s">
        <v>265</v>
      </c>
      <c r="D81" s="689">
        <v>8</v>
      </c>
      <c r="E81" s="690">
        <v>8</v>
      </c>
      <c r="F81" s="691">
        <v>0</v>
      </c>
      <c r="G81" s="691">
        <v>0</v>
      </c>
      <c r="H81" s="692"/>
      <c r="I81" s="694"/>
      <c r="J81" s="695"/>
      <c r="K81" s="692"/>
      <c r="L81" s="692"/>
    </row>
    <row r="82" spans="1:12" ht="16.5" customHeight="1">
      <c r="A82" s="687" t="s">
        <v>204</v>
      </c>
      <c r="B82" s="688" t="s">
        <v>205</v>
      </c>
      <c r="C82" s="612" t="s">
        <v>265</v>
      </c>
      <c r="D82" s="689">
        <v>1</v>
      </c>
      <c r="E82" s="690">
        <v>1</v>
      </c>
      <c r="F82" s="691">
        <v>0</v>
      </c>
      <c r="G82" s="697">
        <v>0</v>
      </c>
      <c r="H82" s="692"/>
      <c r="I82" s="696"/>
      <c r="J82" s="692"/>
      <c r="K82" s="692"/>
      <c r="L82" s="692"/>
    </row>
    <row r="83" spans="1:12" ht="16.5" customHeight="1">
      <c r="A83" s="687" t="s">
        <v>206</v>
      </c>
      <c r="B83" s="688" t="s">
        <v>207</v>
      </c>
      <c r="C83" s="612" t="s">
        <v>267</v>
      </c>
      <c r="D83" s="689">
        <v>36</v>
      </c>
      <c r="E83" s="690">
        <v>18</v>
      </c>
      <c r="F83" s="691">
        <v>1</v>
      </c>
      <c r="G83" s="691">
        <v>17</v>
      </c>
      <c r="H83" s="692"/>
      <c r="I83" s="696"/>
      <c r="J83" s="692"/>
      <c r="K83" s="696"/>
      <c r="L83" s="692"/>
    </row>
    <row r="84" spans="1:12" ht="16.5" customHeight="1">
      <c r="A84" s="687" t="s">
        <v>208</v>
      </c>
      <c r="B84" s="688" t="s">
        <v>209</v>
      </c>
      <c r="C84" s="612" t="s">
        <v>268</v>
      </c>
      <c r="D84" s="689">
        <v>14</v>
      </c>
      <c r="E84" s="690">
        <v>14</v>
      </c>
      <c r="F84" s="691">
        <v>0</v>
      </c>
      <c r="G84" s="697">
        <v>0</v>
      </c>
      <c r="H84" s="692"/>
      <c r="I84" s="695"/>
      <c r="J84" s="692"/>
      <c r="K84" s="692"/>
      <c r="L84" s="692"/>
    </row>
    <row r="85" spans="1:12" ht="16.5" customHeight="1">
      <c r="A85" s="687" t="s">
        <v>210</v>
      </c>
      <c r="B85" s="688" t="s">
        <v>211</v>
      </c>
      <c r="C85" s="612" t="s">
        <v>268</v>
      </c>
      <c r="D85" s="689">
        <v>2</v>
      </c>
      <c r="E85" s="690">
        <v>2</v>
      </c>
      <c r="F85" s="691">
        <v>0</v>
      </c>
      <c r="G85" s="697">
        <v>0</v>
      </c>
      <c r="H85" s="692"/>
      <c r="I85" s="695"/>
      <c r="J85" s="692"/>
      <c r="K85" s="692"/>
      <c r="L85" s="692"/>
    </row>
    <row r="86" spans="1:12" ht="16.5" customHeight="1">
      <c r="A86" s="687" t="s">
        <v>212</v>
      </c>
      <c r="B86" s="688" t="s">
        <v>213</v>
      </c>
      <c r="C86" s="612" t="s">
        <v>267</v>
      </c>
      <c r="D86" s="689">
        <v>5</v>
      </c>
      <c r="E86" s="690">
        <v>5</v>
      </c>
      <c r="F86" s="691">
        <v>0</v>
      </c>
      <c r="G86" s="691">
        <v>0</v>
      </c>
      <c r="H86" s="692"/>
      <c r="I86" s="694"/>
      <c r="J86" s="692"/>
      <c r="K86" s="692"/>
      <c r="L86" s="692"/>
    </row>
    <row r="87" spans="1:12" ht="16.5" customHeight="1">
      <c r="A87" s="687" t="s">
        <v>214</v>
      </c>
      <c r="B87" s="688" t="s">
        <v>215</v>
      </c>
      <c r="C87" s="612" t="s">
        <v>268</v>
      </c>
      <c r="D87" s="689">
        <v>0</v>
      </c>
      <c r="E87" s="690">
        <v>0</v>
      </c>
      <c r="F87" s="691">
        <v>0</v>
      </c>
      <c r="G87" s="697">
        <v>0</v>
      </c>
      <c r="H87" s="692"/>
      <c r="I87" s="696"/>
      <c r="J87" s="692"/>
      <c r="K87" s="692"/>
      <c r="L87" s="692"/>
    </row>
    <row r="88" spans="1:12" ht="16.5" customHeight="1">
      <c r="A88" s="687" t="s">
        <v>216</v>
      </c>
      <c r="B88" s="688" t="s">
        <v>217</v>
      </c>
      <c r="C88" s="612" t="s">
        <v>264</v>
      </c>
      <c r="D88" s="689">
        <v>0</v>
      </c>
      <c r="E88" s="690">
        <v>0</v>
      </c>
      <c r="F88" s="691">
        <v>0</v>
      </c>
      <c r="G88" s="691">
        <v>0</v>
      </c>
      <c r="H88" s="692"/>
      <c r="I88" s="692"/>
      <c r="J88" s="692"/>
      <c r="K88" s="696"/>
      <c r="L88" s="692"/>
    </row>
    <row r="89" spans="1:12" ht="16.5" customHeight="1">
      <c r="A89" s="687" t="s">
        <v>218</v>
      </c>
      <c r="B89" s="688" t="s">
        <v>219</v>
      </c>
      <c r="C89" s="612" t="s">
        <v>267</v>
      </c>
      <c r="D89" s="689">
        <v>8</v>
      </c>
      <c r="E89" s="690">
        <v>6</v>
      </c>
      <c r="F89" s="691">
        <v>2</v>
      </c>
      <c r="G89" s="691">
        <v>0</v>
      </c>
      <c r="H89" s="692"/>
      <c r="I89" s="695"/>
      <c r="J89" s="692"/>
      <c r="K89" s="695"/>
      <c r="L89" s="692"/>
    </row>
    <row r="90" spans="1:12" ht="16.5" customHeight="1">
      <c r="A90" s="687" t="s">
        <v>220</v>
      </c>
      <c r="B90" s="688" t="s">
        <v>221</v>
      </c>
      <c r="C90" s="612" t="s">
        <v>267</v>
      </c>
      <c r="D90" s="689">
        <v>12</v>
      </c>
      <c r="E90" s="690">
        <v>3</v>
      </c>
      <c r="F90" s="691">
        <v>3</v>
      </c>
      <c r="G90" s="691">
        <v>6</v>
      </c>
      <c r="H90" s="692"/>
      <c r="I90" s="694"/>
      <c r="J90" s="692"/>
      <c r="K90" s="694"/>
      <c r="L90" s="692"/>
    </row>
    <row r="91" spans="1:12" ht="16.5" customHeight="1">
      <c r="A91" s="687" t="s">
        <v>224</v>
      </c>
      <c r="B91" s="688" t="s">
        <v>225</v>
      </c>
      <c r="C91" s="612" t="s">
        <v>264</v>
      </c>
      <c r="D91" s="689">
        <v>0</v>
      </c>
      <c r="E91" s="698">
        <v>0</v>
      </c>
      <c r="F91" s="697">
        <v>0</v>
      </c>
      <c r="G91" s="691">
        <v>0</v>
      </c>
      <c r="H91" s="692"/>
      <c r="I91" s="695"/>
      <c r="J91" s="692"/>
      <c r="K91" s="692"/>
      <c r="L91" s="692"/>
    </row>
    <row r="92" spans="1:12" ht="16.5" customHeight="1">
      <c r="A92" s="687" t="s">
        <v>226</v>
      </c>
      <c r="B92" s="688" t="s">
        <v>227</v>
      </c>
      <c r="C92" s="612" t="s">
        <v>264</v>
      </c>
      <c r="D92" s="689">
        <v>2</v>
      </c>
      <c r="E92" s="690">
        <v>0</v>
      </c>
      <c r="F92" s="691">
        <v>2</v>
      </c>
      <c r="G92" s="691">
        <v>0</v>
      </c>
      <c r="H92" s="692"/>
      <c r="I92" s="695"/>
      <c r="J92" s="692"/>
      <c r="K92" s="692"/>
      <c r="L92" s="692"/>
    </row>
    <row r="93" spans="1:12" ht="16.5" customHeight="1">
      <c r="A93" s="687" t="s">
        <v>228</v>
      </c>
      <c r="B93" s="688" t="s">
        <v>229</v>
      </c>
      <c r="C93" s="612" t="s">
        <v>268</v>
      </c>
      <c r="D93" s="689">
        <v>22</v>
      </c>
      <c r="E93" s="690">
        <v>22</v>
      </c>
      <c r="F93" s="691">
        <v>0</v>
      </c>
      <c r="G93" s="691">
        <v>0</v>
      </c>
      <c r="H93" s="692"/>
      <c r="I93" s="695"/>
      <c r="J93" s="692"/>
      <c r="K93" s="692"/>
      <c r="L93" s="692"/>
    </row>
    <row r="94" spans="1:12" ht="16.5" customHeight="1">
      <c r="A94" s="687" t="s">
        <v>232</v>
      </c>
      <c r="B94" s="688" t="s">
        <v>233</v>
      </c>
      <c r="C94" s="612" t="s">
        <v>267</v>
      </c>
      <c r="D94" s="689">
        <v>3</v>
      </c>
      <c r="E94" s="690">
        <v>3</v>
      </c>
      <c r="F94" s="691">
        <v>0</v>
      </c>
      <c r="G94" s="691">
        <v>0</v>
      </c>
      <c r="H94" s="692"/>
      <c r="I94" s="696"/>
      <c r="J94" s="692"/>
      <c r="K94" s="692"/>
      <c r="L94" s="692"/>
    </row>
    <row r="95" spans="1:12" ht="16.5" customHeight="1">
      <c r="A95" s="687" t="s">
        <v>234</v>
      </c>
      <c r="B95" s="688" t="s">
        <v>235</v>
      </c>
      <c r="C95" s="612" t="s">
        <v>268</v>
      </c>
      <c r="D95" s="689">
        <v>13</v>
      </c>
      <c r="E95" s="690">
        <v>13</v>
      </c>
      <c r="F95" s="691">
        <v>0</v>
      </c>
      <c r="G95" s="697">
        <v>0</v>
      </c>
      <c r="H95" s="692"/>
      <c r="I95" s="694"/>
      <c r="J95" s="692"/>
      <c r="K95" s="695"/>
      <c r="L95" s="692"/>
    </row>
    <row r="96" spans="1:12" ht="16.5" customHeight="1">
      <c r="A96" s="687" t="s">
        <v>236</v>
      </c>
      <c r="B96" s="688" t="s">
        <v>237</v>
      </c>
      <c r="C96" s="612" t="s">
        <v>266</v>
      </c>
      <c r="D96" s="689">
        <v>0</v>
      </c>
      <c r="E96" s="690">
        <v>0</v>
      </c>
      <c r="F96" s="691">
        <v>0</v>
      </c>
      <c r="G96" s="691">
        <v>0</v>
      </c>
      <c r="H96" s="692"/>
      <c r="I96" s="694"/>
      <c r="J96" s="692"/>
      <c r="K96" s="692"/>
      <c r="L96" s="692"/>
    </row>
    <row r="97" spans="1:12" ht="16.5" customHeight="1">
      <c r="A97" s="687" t="s">
        <v>242</v>
      </c>
      <c r="B97" s="688" t="s">
        <v>243</v>
      </c>
      <c r="C97" s="612" t="s">
        <v>268</v>
      </c>
      <c r="D97" s="689">
        <v>9</v>
      </c>
      <c r="E97" s="690">
        <v>9</v>
      </c>
      <c r="F97" s="691">
        <v>0</v>
      </c>
      <c r="G97" s="691">
        <v>0</v>
      </c>
      <c r="H97" s="692"/>
      <c r="I97" s="692"/>
      <c r="J97" s="692"/>
      <c r="K97" s="692"/>
      <c r="L97" s="692"/>
    </row>
    <row r="98" spans="1:12" ht="16.5" customHeight="1">
      <c r="A98" s="687" t="s">
        <v>244</v>
      </c>
      <c r="B98" s="688" t="s">
        <v>245</v>
      </c>
      <c r="C98" s="612" t="s">
        <v>268</v>
      </c>
      <c r="D98" s="689">
        <v>3</v>
      </c>
      <c r="E98" s="690">
        <v>3</v>
      </c>
      <c r="F98" s="691">
        <v>0</v>
      </c>
      <c r="G98" s="697">
        <v>0</v>
      </c>
      <c r="H98" s="692"/>
      <c r="I98" s="692"/>
      <c r="J98" s="692"/>
      <c r="K98" s="692"/>
      <c r="L98" s="692"/>
    </row>
    <row r="99" spans="1:12" ht="16.5" customHeight="1">
      <c r="A99" s="687" t="s">
        <v>246</v>
      </c>
      <c r="B99" s="688" t="s">
        <v>310</v>
      </c>
      <c r="C99" s="612" t="s">
        <v>264</v>
      </c>
      <c r="D99" s="689">
        <v>2</v>
      </c>
      <c r="E99" s="690">
        <v>1</v>
      </c>
      <c r="F99" s="691">
        <v>0</v>
      </c>
      <c r="G99" s="691">
        <v>1</v>
      </c>
      <c r="H99" s="692"/>
      <c r="I99" s="694"/>
      <c r="J99" s="692"/>
      <c r="K99" s="695"/>
      <c r="L99" s="692"/>
    </row>
    <row r="100" spans="1:12" ht="16.5" customHeight="1">
      <c r="A100" s="687" t="s">
        <v>14</v>
      </c>
      <c r="B100" s="688" t="s">
        <v>15</v>
      </c>
      <c r="C100" s="612" t="s">
        <v>267</v>
      </c>
      <c r="D100" s="689">
        <v>10</v>
      </c>
      <c r="E100" s="690">
        <v>0</v>
      </c>
      <c r="F100" s="691">
        <v>9</v>
      </c>
      <c r="G100" s="691">
        <v>1</v>
      </c>
      <c r="H100" s="692"/>
      <c r="I100" s="696"/>
      <c r="J100" s="692"/>
      <c r="K100" s="696"/>
      <c r="L100" s="692"/>
    </row>
    <row r="101" spans="1:12" ht="16.5" customHeight="1">
      <c r="A101" s="687" t="s">
        <v>34</v>
      </c>
      <c r="B101" s="688" t="s">
        <v>35</v>
      </c>
      <c r="C101" s="612" t="s">
        <v>268</v>
      </c>
      <c r="D101" s="689">
        <v>4</v>
      </c>
      <c r="E101" s="690">
        <v>4</v>
      </c>
      <c r="F101" s="691">
        <v>0</v>
      </c>
      <c r="G101" s="697">
        <v>0</v>
      </c>
      <c r="H101" s="692"/>
      <c r="I101" s="694"/>
      <c r="J101" s="692"/>
      <c r="K101" s="695"/>
      <c r="L101" s="692"/>
    </row>
    <row r="102" spans="1:12" ht="16.5" customHeight="1">
      <c r="A102" s="687" t="s">
        <v>52</v>
      </c>
      <c r="B102" s="688" t="s">
        <v>53</v>
      </c>
      <c r="C102" s="612" t="s">
        <v>265</v>
      </c>
      <c r="D102" s="689">
        <v>11</v>
      </c>
      <c r="E102" s="690">
        <v>2</v>
      </c>
      <c r="F102" s="691">
        <v>1</v>
      </c>
      <c r="G102" s="691">
        <v>8</v>
      </c>
      <c r="H102" s="692"/>
      <c r="I102" s="694"/>
      <c r="J102" s="692"/>
      <c r="K102" s="692"/>
      <c r="L102" s="692"/>
    </row>
    <row r="103" spans="1:12" ht="16.5" customHeight="1">
      <c r="A103" s="687" t="s">
        <v>54</v>
      </c>
      <c r="B103" s="688" t="s">
        <v>55</v>
      </c>
      <c r="C103" s="612" t="s">
        <v>264</v>
      </c>
      <c r="D103" s="689">
        <v>5</v>
      </c>
      <c r="E103" s="690">
        <v>2</v>
      </c>
      <c r="F103" s="691">
        <v>3</v>
      </c>
      <c r="G103" s="691">
        <v>0</v>
      </c>
      <c r="H103" s="692"/>
      <c r="I103" s="694"/>
      <c r="J103" s="692"/>
      <c r="K103" s="692"/>
      <c r="L103" s="692"/>
    </row>
    <row r="104" spans="1:12" ht="16.5" customHeight="1">
      <c r="A104" s="687" t="s">
        <v>66</v>
      </c>
      <c r="B104" s="688" t="s">
        <v>67</v>
      </c>
      <c r="C104" s="612" t="s">
        <v>265</v>
      </c>
      <c r="D104" s="689">
        <v>3</v>
      </c>
      <c r="E104" s="690">
        <v>1</v>
      </c>
      <c r="F104" s="691">
        <v>2</v>
      </c>
      <c r="G104" s="691">
        <v>0</v>
      </c>
      <c r="H104" s="692"/>
      <c r="I104" s="694"/>
      <c r="J104" s="692"/>
      <c r="K104" s="695"/>
      <c r="L104" s="692"/>
    </row>
    <row r="105" spans="1:12" ht="16.5" customHeight="1">
      <c r="A105" s="687" t="s">
        <v>82</v>
      </c>
      <c r="B105" s="688" t="s">
        <v>311</v>
      </c>
      <c r="C105" s="612" t="s">
        <v>264</v>
      </c>
      <c r="D105" s="689">
        <v>0</v>
      </c>
      <c r="E105" s="690">
        <v>0</v>
      </c>
      <c r="F105" s="691">
        <v>0</v>
      </c>
      <c r="G105" s="691">
        <v>0</v>
      </c>
      <c r="H105" s="692"/>
      <c r="I105" s="692"/>
      <c r="J105" s="692"/>
      <c r="K105" s="692"/>
      <c r="L105" s="692"/>
    </row>
    <row r="106" spans="1:12" ht="16.5" customHeight="1">
      <c r="A106" s="687" t="s">
        <v>88</v>
      </c>
      <c r="B106" s="688" t="s">
        <v>89</v>
      </c>
      <c r="C106" s="612" t="s">
        <v>267</v>
      </c>
      <c r="D106" s="689">
        <v>6</v>
      </c>
      <c r="E106" s="690">
        <v>1</v>
      </c>
      <c r="F106" s="691">
        <v>3</v>
      </c>
      <c r="G106" s="691">
        <v>2</v>
      </c>
      <c r="H106" s="692"/>
      <c r="I106" s="696"/>
      <c r="J106" s="692"/>
      <c r="K106" s="696"/>
      <c r="L106" s="692"/>
    </row>
    <row r="107" spans="1:12" ht="16.5" customHeight="1">
      <c r="A107" s="687" t="s">
        <v>90</v>
      </c>
      <c r="B107" s="688" t="s">
        <v>91</v>
      </c>
      <c r="C107" s="612" t="s">
        <v>268</v>
      </c>
      <c r="D107" s="689">
        <v>0</v>
      </c>
      <c r="E107" s="690">
        <v>0</v>
      </c>
      <c r="F107" s="691">
        <v>0</v>
      </c>
      <c r="G107" s="691">
        <v>0</v>
      </c>
      <c r="H107" s="692"/>
      <c r="I107" s="695"/>
      <c r="J107" s="692"/>
      <c r="K107" s="692"/>
      <c r="L107" s="692"/>
    </row>
    <row r="108" spans="1:12" ht="16.5" customHeight="1">
      <c r="A108" s="687" t="s">
        <v>106</v>
      </c>
      <c r="B108" s="688" t="s">
        <v>107</v>
      </c>
      <c r="C108" s="612" t="s">
        <v>264</v>
      </c>
      <c r="D108" s="689">
        <v>0</v>
      </c>
      <c r="E108" s="690">
        <v>0</v>
      </c>
      <c r="F108" s="691">
        <v>0</v>
      </c>
      <c r="G108" s="691">
        <v>0</v>
      </c>
      <c r="H108" s="692"/>
      <c r="I108" s="694"/>
      <c r="J108" s="692"/>
      <c r="K108" s="692"/>
      <c r="L108" s="692"/>
    </row>
    <row r="109" spans="1:12" ht="16.5" customHeight="1">
      <c r="A109" s="687" t="s">
        <v>116</v>
      </c>
      <c r="B109" s="688" t="s">
        <v>117</v>
      </c>
      <c r="C109" s="612" t="s">
        <v>266</v>
      </c>
      <c r="D109" s="689">
        <v>4</v>
      </c>
      <c r="E109" s="690">
        <v>1</v>
      </c>
      <c r="F109" s="691">
        <v>3</v>
      </c>
      <c r="G109" s="691">
        <v>0</v>
      </c>
      <c r="H109" s="692"/>
      <c r="I109" s="692"/>
      <c r="J109" s="692"/>
      <c r="K109" s="695"/>
      <c r="L109" s="692"/>
    </row>
    <row r="110" spans="1:12" ht="16.5" customHeight="1">
      <c r="A110" s="687" t="s">
        <v>138</v>
      </c>
      <c r="B110" s="688" t="s">
        <v>139</v>
      </c>
      <c r="C110" s="612" t="s">
        <v>265</v>
      </c>
      <c r="D110" s="689">
        <v>24</v>
      </c>
      <c r="E110" s="690">
        <v>8</v>
      </c>
      <c r="F110" s="691">
        <v>15</v>
      </c>
      <c r="G110" s="691">
        <v>1</v>
      </c>
      <c r="H110" s="692"/>
      <c r="I110" s="696"/>
      <c r="J110" s="692"/>
      <c r="K110" s="696"/>
      <c r="L110" s="692"/>
    </row>
    <row r="111" spans="1:12" ht="16.5" customHeight="1">
      <c r="A111" s="687" t="s">
        <v>142</v>
      </c>
      <c r="B111" s="688" t="s">
        <v>143</v>
      </c>
      <c r="C111" s="612" t="s">
        <v>267</v>
      </c>
      <c r="D111" s="689">
        <v>0</v>
      </c>
      <c r="E111" s="690">
        <v>0</v>
      </c>
      <c r="F111" s="691">
        <v>0</v>
      </c>
      <c r="G111" s="691">
        <v>0</v>
      </c>
      <c r="H111" s="692"/>
      <c r="I111" s="695"/>
      <c r="J111" s="692"/>
      <c r="K111" s="695"/>
      <c r="L111" s="692"/>
    </row>
    <row r="112" spans="1:12" ht="16.5" customHeight="1">
      <c r="A112" s="687" t="s">
        <v>144</v>
      </c>
      <c r="B112" s="688" t="s">
        <v>145</v>
      </c>
      <c r="C112" s="612" t="s">
        <v>267</v>
      </c>
      <c r="D112" s="689">
        <v>0</v>
      </c>
      <c r="E112" s="690">
        <v>0</v>
      </c>
      <c r="F112" s="691">
        <v>0</v>
      </c>
      <c r="G112" s="697">
        <v>0</v>
      </c>
      <c r="H112" s="692"/>
      <c r="I112" s="692"/>
      <c r="J112" s="692"/>
      <c r="K112" s="692"/>
      <c r="L112" s="692"/>
    </row>
    <row r="113" spans="1:14" ht="16.5" customHeight="1">
      <c r="A113" s="687" t="s">
        <v>158</v>
      </c>
      <c r="B113" s="688" t="s">
        <v>159</v>
      </c>
      <c r="C113" s="612" t="s">
        <v>264</v>
      </c>
      <c r="D113" s="689">
        <v>18</v>
      </c>
      <c r="E113" s="690">
        <v>3</v>
      </c>
      <c r="F113" s="691">
        <v>12</v>
      </c>
      <c r="G113" s="691">
        <v>3</v>
      </c>
      <c r="H113" s="692"/>
      <c r="I113" s="696"/>
      <c r="J113" s="692"/>
      <c r="K113" s="692"/>
      <c r="L113" s="692"/>
    </row>
    <row r="114" spans="1:14" ht="16.5" customHeight="1">
      <c r="A114" s="687" t="s">
        <v>160</v>
      </c>
      <c r="B114" s="688" t="s">
        <v>161</v>
      </c>
      <c r="C114" s="612" t="s">
        <v>264</v>
      </c>
      <c r="D114" s="689">
        <v>34</v>
      </c>
      <c r="E114" s="690">
        <v>7</v>
      </c>
      <c r="F114" s="691">
        <v>27</v>
      </c>
      <c r="G114" s="691">
        <v>0</v>
      </c>
      <c r="H114" s="692"/>
      <c r="I114" s="696"/>
      <c r="J114" s="696"/>
      <c r="K114" s="692"/>
      <c r="L114" s="692"/>
    </row>
    <row r="115" spans="1:14" ht="16.5" customHeight="1">
      <c r="A115" s="687" t="s">
        <v>166</v>
      </c>
      <c r="B115" s="688" t="s">
        <v>167</v>
      </c>
      <c r="C115" s="612" t="s">
        <v>268</v>
      </c>
      <c r="D115" s="689">
        <v>0</v>
      </c>
      <c r="E115" s="690">
        <v>0</v>
      </c>
      <c r="F115" s="691">
        <v>0</v>
      </c>
      <c r="G115" s="697">
        <v>0</v>
      </c>
      <c r="H115" s="692"/>
      <c r="I115" s="696"/>
      <c r="J115" s="692"/>
      <c r="K115" s="692"/>
      <c r="L115" s="692"/>
    </row>
    <row r="116" spans="1:14" ht="16.5" customHeight="1">
      <c r="A116" s="687" t="s">
        <v>176</v>
      </c>
      <c r="B116" s="688" t="s">
        <v>177</v>
      </c>
      <c r="C116" s="612" t="s">
        <v>266</v>
      </c>
      <c r="D116" s="689">
        <v>16</v>
      </c>
      <c r="E116" s="690">
        <v>5</v>
      </c>
      <c r="F116" s="691">
        <v>3</v>
      </c>
      <c r="G116" s="691">
        <v>8</v>
      </c>
      <c r="H116" s="692"/>
      <c r="I116" s="694"/>
      <c r="J116" s="692"/>
      <c r="K116" s="694"/>
      <c r="L116" s="692"/>
    </row>
    <row r="117" spans="1:14" ht="16.5" customHeight="1">
      <c r="A117" s="687" t="s">
        <v>180</v>
      </c>
      <c r="B117" s="688" t="s">
        <v>181</v>
      </c>
      <c r="C117" s="612" t="s">
        <v>264</v>
      </c>
      <c r="D117" s="689">
        <v>12</v>
      </c>
      <c r="E117" s="690">
        <v>1</v>
      </c>
      <c r="F117" s="691">
        <v>11</v>
      </c>
      <c r="G117" s="691">
        <v>0</v>
      </c>
      <c r="H117" s="692"/>
      <c r="I117" s="694"/>
      <c r="J117" s="692"/>
      <c r="K117" s="692"/>
      <c r="L117" s="692"/>
    </row>
    <row r="118" spans="1:14" ht="16.5" customHeight="1">
      <c r="A118" s="687" t="s">
        <v>192</v>
      </c>
      <c r="B118" s="688" t="s">
        <v>193</v>
      </c>
      <c r="C118" s="612" t="s">
        <v>268</v>
      </c>
      <c r="D118" s="689">
        <v>1</v>
      </c>
      <c r="E118" s="690">
        <v>1</v>
      </c>
      <c r="F118" s="691">
        <v>0</v>
      </c>
      <c r="G118" s="691">
        <v>0</v>
      </c>
      <c r="H118" s="692"/>
      <c r="I118" s="695"/>
      <c r="J118" s="692"/>
      <c r="K118" s="692"/>
      <c r="L118" s="692"/>
    </row>
    <row r="119" spans="1:14" ht="16.5" customHeight="1">
      <c r="A119" s="687" t="s">
        <v>196</v>
      </c>
      <c r="B119" s="688" t="s">
        <v>312</v>
      </c>
      <c r="C119" s="612" t="s">
        <v>266</v>
      </c>
      <c r="D119" s="689">
        <v>27</v>
      </c>
      <c r="E119" s="690">
        <v>1</v>
      </c>
      <c r="F119" s="691">
        <v>24</v>
      </c>
      <c r="G119" s="691">
        <v>2</v>
      </c>
      <c r="H119" s="692"/>
      <c r="I119" s="694"/>
      <c r="J119" s="692"/>
      <c r="K119" s="696"/>
      <c r="L119" s="692"/>
    </row>
    <row r="120" spans="1:14" ht="16.5" customHeight="1">
      <c r="A120" s="687" t="s">
        <v>200</v>
      </c>
      <c r="B120" s="688" t="s">
        <v>313</v>
      </c>
      <c r="C120" s="612" t="s">
        <v>265</v>
      </c>
      <c r="D120" s="689">
        <v>34</v>
      </c>
      <c r="E120" s="690">
        <v>14</v>
      </c>
      <c r="F120" s="691">
        <v>11</v>
      </c>
      <c r="G120" s="691">
        <v>9</v>
      </c>
      <c r="H120" s="692"/>
      <c r="I120" s="696"/>
      <c r="J120" s="692"/>
      <c r="K120" s="696"/>
      <c r="L120" s="692"/>
    </row>
    <row r="121" spans="1:14" ht="16.5" customHeight="1">
      <c r="A121" s="687" t="s">
        <v>222</v>
      </c>
      <c r="B121" s="688" t="s">
        <v>223</v>
      </c>
      <c r="C121" s="612" t="s">
        <v>264</v>
      </c>
      <c r="D121" s="689">
        <v>5</v>
      </c>
      <c r="E121" s="690">
        <v>3</v>
      </c>
      <c r="F121" s="691">
        <v>1</v>
      </c>
      <c r="G121" s="691">
        <v>1</v>
      </c>
      <c r="H121" s="692"/>
      <c r="I121" s="695"/>
      <c r="J121" s="692"/>
      <c r="K121" s="692"/>
      <c r="L121" s="692"/>
    </row>
    <row r="122" spans="1:14" ht="16.5" customHeight="1">
      <c r="A122" s="687" t="s">
        <v>230</v>
      </c>
      <c r="B122" s="688" t="s">
        <v>231</v>
      </c>
      <c r="C122" s="612" t="s">
        <v>264</v>
      </c>
      <c r="D122" s="689">
        <v>16</v>
      </c>
      <c r="E122" s="690">
        <v>6</v>
      </c>
      <c r="F122" s="691">
        <v>4</v>
      </c>
      <c r="G122" s="691">
        <v>6</v>
      </c>
      <c r="H122" s="692"/>
      <c r="I122" s="696"/>
      <c r="J122" s="692"/>
      <c r="K122" s="696"/>
      <c r="L122" s="692"/>
    </row>
    <row r="123" spans="1:14" ht="16.5" customHeight="1">
      <c r="A123" s="687" t="s">
        <v>238</v>
      </c>
      <c r="B123" s="688" t="s">
        <v>239</v>
      </c>
      <c r="C123" s="612" t="s">
        <v>264</v>
      </c>
      <c r="D123" s="689">
        <v>5</v>
      </c>
      <c r="E123" s="690">
        <v>1</v>
      </c>
      <c r="F123" s="691">
        <v>4</v>
      </c>
      <c r="G123" s="691">
        <v>0</v>
      </c>
      <c r="H123" s="692"/>
      <c r="I123" s="692"/>
      <c r="J123" s="692"/>
      <c r="K123" s="692"/>
      <c r="L123" s="692"/>
    </row>
    <row r="124" spans="1:14" ht="16.5" customHeight="1">
      <c r="A124" s="687" t="s">
        <v>240</v>
      </c>
      <c r="B124" s="688" t="s">
        <v>241</v>
      </c>
      <c r="C124" s="612" t="s">
        <v>267</v>
      </c>
      <c r="D124" s="689">
        <v>6</v>
      </c>
      <c r="E124" s="690">
        <v>4</v>
      </c>
      <c r="F124" s="691">
        <v>0</v>
      </c>
      <c r="G124" s="691">
        <v>2</v>
      </c>
      <c r="H124" s="692"/>
      <c r="I124" s="694"/>
      <c r="J124" s="692"/>
      <c r="K124" s="692"/>
      <c r="L124" s="692"/>
    </row>
    <row r="125" spans="1:14">
      <c r="D125" s="692"/>
      <c r="E125" s="692"/>
      <c r="F125" s="692"/>
      <c r="G125" s="702"/>
      <c r="H125" s="692"/>
      <c r="I125" s="692"/>
      <c r="J125" s="692"/>
      <c r="K125" s="692"/>
      <c r="L125" s="692"/>
    </row>
    <row r="126" spans="1:14" ht="32.25" customHeight="1">
      <c r="A126" s="1927" t="s">
        <v>821</v>
      </c>
      <c r="B126" s="1927"/>
      <c r="C126" s="1927"/>
      <c r="D126" s="1927"/>
      <c r="E126" s="1927"/>
      <c r="F126" s="1927"/>
      <c r="G126" s="1927"/>
      <c r="H126" s="1927"/>
      <c r="I126" s="1927"/>
      <c r="J126" s="703"/>
      <c r="K126" s="703"/>
      <c r="L126" s="703"/>
      <c r="M126" s="703"/>
      <c r="N126" s="703"/>
    </row>
    <row r="127" spans="1:14">
      <c r="A127" s="403" t="s">
        <v>796</v>
      </c>
    </row>
    <row r="129" spans="1:3" s="428" customFormat="1">
      <c r="A129" s="428" t="s">
        <v>248</v>
      </c>
    </row>
    <row r="130" spans="1:3" s="428" customFormat="1">
      <c r="A130" s="429" t="s">
        <v>249</v>
      </c>
      <c r="B130" s="430" t="s">
        <v>250</v>
      </c>
      <c r="C130" s="430"/>
    </row>
  </sheetData>
  <autoFilter ref="A3:C3"/>
  <mergeCells count="1">
    <mergeCell ref="A126:I126"/>
  </mergeCells>
  <hyperlinks>
    <hyperlink ref="B130" r:id="rId1"/>
  </hyperlinks>
  <pageMargins left="0.75" right="0.75" top="1" bottom="1" header="0.5" footer="0.5"/>
  <pageSetup orientation="portrait" r:id="rId2"/>
</worksheet>
</file>

<file path=xl/worksheets/sheet36.xml><?xml version="1.0" encoding="utf-8"?>
<worksheet xmlns="http://schemas.openxmlformats.org/spreadsheetml/2006/main" xmlns:r="http://schemas.openxmlformats.org/officeDocument/2006/relationships">
  <dimension ref="A1:S130"/>
  <sheetViews>
    <sheetView workbookViewId="0">
      <selection activeCell="A5" sqref="A5:XFD124"/>
    </sheetView>
  </sheetViews>
  <sheetFormatPr defaultRowHeight="15.75"/>
  <cols>
    <col min="1" max="1" width="11" style="403" customWidth="1"/>
    <col min="2" max="2" width="32" style="403" customWidth="1"/>
    <col min="3" max="3" width="14.25" style="403" customWidth="1"/>
    <col min="4" max="9" width="7.5" style="403" customWidth="1"/>
    <col min="10" max="12" width="10.125" style="403" customWidth="1"/>
    <col min="13" max="13" width="12.25" style="403" customWidth="1"/>
    <col min="14" max="14" width="4.875" style="403" customWidth="1"/>
    <col min="15" max="16" width="12.25" style="403" customWidth="1"/>
    <col min="17" max="17" width="11.5" style="403" customWidth="1"/>
    <col min="18" max="18" width="11.125" style="403" customWidth="1"/>
    <col min="19" max="19" width="11.5" style="403" customWidth="1"/>
    <col min="20" max="16384" width="9" style="403"/>
  </cols>
  <sheetData>
    <row r="1" spans="1:19">
      <c r="A1" s="193" t="s">
        <v>1244</v>
      </c>
    </row>
    <row r="3" spans="1:19" ht="32.25" customHeight="1">
      <c r="A3" s="677" t="s">
        <v>4</v>
      </c>
      <c r="B3" s="678" t="s">
        <v>5</v>
      </c>
      <c r="C3" s="679" t="s">
        <v>251</v>
      </c>
      <c r="D3" s="680" t="s">
        <v>281</v>
      </c>
      <c r="E3" s="681" t="s">
        <v>2</v>
      </c>
      <c r="F3" s="1267" t="s">
        <v>450</v>
      </c>
      <c r="G3" s="1267" t="s">
        <v>547</v>
      </c>
      <c r="H3" s="1267" t="s">
        <v>792</v>
      </c>
      <c r="I3" s="1267" t="s">
        <v>744</v>
      </c>
      <c r="J3" s="1267" t="s">
        <v>895</v>
      </c>
      <c r="K3" s="1680" t="s">
        <v>556</v>
      </c>
      <c r="L3" s="1267" t="s">
        <v>793</v>
      </c>
      <c r="M3" s="683" t="s">
        <v>451</v>
      </c>
      <c r="N3" s="683"/>
      <c r="O3" s="1678" t="s">
        <v>1221</v>
      </c>
      <c r="P3" s="1678" t="s">
        <v>1222</v>
      </c>
      <c r="Q3" s="1679" t="s">
        <v>1223</v>
      </c>
      <c r="R3" s="1679" t="s">
        <v>1224</v>
      </c>
      <c r="S3" s="1679" t="s">
        <v>1226</v>
      </c>
    </row>
    <row r="4" spans="1:19">
      <c r="A4" s="684">
        <v>999</v>
      </c>
      <c r="B4" s="685" t="s">
        <v>9</v>
      </c>
      <c r="C4" s="685"/>
      <c r="D4" s="686">
        <f t="shared" ref="D4:M4" si="0">SUM(D5:D124)</f>
        <v>632</v>
      </c>
      <c r="E4" s="686">
        <f t="shared" si="0"/>
        <v>335</v>
      </c>
      <c r="F4" s="686">
        <f t="shared" si="0"/>
        <v>150</v>
      </c>
      <c r="G4" s="686">
        <f t="shared" si="0"/>
        <v>5</v>
      </c>
      <c r="H4" s="686">
        <f t="shared" si="0"/>
        <v>1</v>
      </c>
      <c r="I4" s="686">
        <f t="shared" si="0"/>
        <v>0</v>
      </c>
      <c r="J4" s="686">
        <f t="shared" si="0"/>
        <v>74</v>
      </c>
      <c r="K4" s="686">
        <f t="shared" si="0"/>
        <v>66</v>
      </c>
      <c r="L4" s="686">
        <f t="shared" si="0"/>
        <v>1</v>
      </c>
      <c r="M4" s="686">
        <f t="shared" si="0"/>
        <v>147</v>
      </c>
      <c r="N4" s="683"/>
      <c r="O4" s="686">
        <f t="shared" ref="O4:S4" si="1">SUM(O5:O124)</f>
        <v>279</v>
      </c>
      <c r="P4" s="686">
        <f t="shared" si="1"/>
        <v>191</v>
      </c>
      <c r="Q4" s="686">
        <f t="shared" si="1"/>
        <v>123</v>
      </c>
      <c r="R4" s="686">
        <f t="shared" si="1"/>
        <v>39</v>
      </c>
      <c r="S4" s="686">
        <f t="shared" si="1"/>
        <v>0</v>
      </c>
    </row>
    <row r="5" spans="1:19" ht="16.5" customHeight="1">
      <c r="A5" s="687" t="s">
        <v>10</v>
      </c>
      <c r="B5" s="688" t="s">
        <v>11</v>
      </c>
      <c r="C5" s="607" t="s">
        <v>264</v>
      </c>
      <c r="D5" s="689">
        <v>3</v>
      </c>
      <c r="E5" s="690">
        <v>0</v>
      </c>
      <c r="F5" s="691">
        <v>0</v>
      </c>
      <c r="G5" s="691">
        <v>0</v>
      </c>
      <c r="H5" s="691">
        <v>0</v>
      </c>
      <c r="I5" s="691">
        <v>0</v>
      </c>
      <c r="J5" s="691">
        <v>2</v>
      </c>
      <c r="K5" s="691">
        <v>1</v>
      </c>
      <c r="L5" s="691">
        <v>0</v>
      </c>
      <c r="M5" s="692">
        <v>3</v>
      </c>
      <c r="N5" s="693"/>
      <c r="O5" s="692">
        <v>2</v>
      </c>
      <c r="P5" s="692">
        <v>0</v>
      </c>
      <c r="Q5" s="692">
        <v>1</v>
      </c>
      <c r="R5" s="403">
        <v>0</v>
      </c>
      <c r="S5" s="403">
        <v>0</v>
      </c>
    </row>
    <row r="6" spans="1:19" ht="16.5" customHeight="1">
      <c r="A6" s="687" t="s">
        <v>12</v>
      </c>
      <c r="B6" s="688" t="s">
        <v>13</v>
      </c>
      <c r="C6" s="607" t="s">
        <v>265</v>
      </c>
      <c r="D6" s="689">
        <v>9</v>
      </c>
      <c r="E6" s="690">
        <v>7</v>
      </c>
      <c r="F6" s="691">
        <v>0</v>
      </c>
      <c r="G6" s="691">
        <v>0</v>
      </c>
      <c r="H6" s="691">
        <v>0</v>
      </c>
      <c r="I6" s="691">
        <v>0</v>
      </c>
      <c r="J6" s="691">
        <v>0</v>
      </c>
      <c r="K6" s="691">
        <v>2</v>
      </c>
      <c r="L6" s="691">
        <v>0</v>
      </c>
      <c r="M6" s="692">
        <v>2</v>
      </c>
      <c r="N6" s="694"/>
      <c r="O6" s="692">
        <v>3</v>
      </c>
      <c r="P6" s="692">
        <v>3</v>
      </c>
      <c r="Q6" s="692">
        <v>2</v>
      </c>
      <c r="R6" s="403">
        <v>1</v>
      </c>
      <c r="S6" s="403">
        <v>0</v>
      </c>
    </row>
    <row r="7" spans="1:19" ht="16.5" customHeight="1">
      <c r="A7" s="687" t="s">
        <v>16</v>
      </c>
      <c r="B7" s="688" t="s">
        <v>297</v>
      </c>
      <c r="C7" s="607" t="s">
        <v>265</v>
      </c>
      <c r="D7" s="689">
        <v>1</v>
      </c>
      <c r="E7" s="690">
        <v>1</v>
      </c>
      <c r="F7" s="691">
        <v>0</v>
      </c>
      <c r="G7" s="691">
        <v>0</v>
      </c>
      <c r="H7" s="691">
        <v>0</v>
      </c>
      <c r="I7" s="691">
        <v>0</v>
      </c>
      <c r="J7" s="691">
        <v>0</v>
      </c>
      <c r="K7" s="691">
        <v>0</v>
      </c>
      <c r="L7" s="691">
        <v>0</v>
      </c>
      <c r="M7" s="692">
        <v>0</v>
      </c>
      <c r="N7" s="694"/>
      <c r="O7" s="692">
        <v>1</v>
      </c>
      <c r="P7" s="695">
        <v>0</v>
      </c>
      <c r="Q7" s="692">
        <v>0</v>
      </c>
      <c r="R7" s="403">
        <v>0</v>
      </c>
      <c r="S7" s="403">
        <v>0</v>
      </c>
    </row>
    <row r="8" spans="1:19" ht="16.5" customHeight="1">
      <c r="A8" s="687" t="s">
        <v>18</v>
      </c>
      <c r="B8" s="688" t="s">
        <v>19</v>
      </c>
      <c r="C8" s="607" t="s">
        <v>266</v>
      </c>
      <c r="D8" s="689">
        <v>0</v>
      </c>
      <c r="E8" s="690">
        <v>0</v>
      </c>
      <c r="F8" s="691">
        <v>0</v>
      </c>
      <c r="G8" s="691">
        <v>0</v>
      </c>
      <c r="H8" s="691">
        <v>0</v>
      </c>
      <c r="I8" s="691">
        <v>0</v>
      </c>
      <c r="J8" s="691">
        <v>0</v>
      </c>
      <c r="K8" s="691">
        <v>0</v>
      </c>
      <c r="L8" s="691">
        <v>0</v>
      </c>
      <c r="M8" s="692">
        <v>0</v>
      </c>
      <c r="N8" s="702"/>
      <c r="O8" s="692">
        <v>0</v>
      </c>
      <c r="P8" s="692">
        <v>0</v>
      </c>
      <c r="Q8" s="692">
        <v>0</v>
      </c>
      <c r="R8" s="403">
        <v>0</v>
      </c>
      <c r="S8" s="403">
        <v>0</v>
      </c>
    </row>
    <row r="9" spans="1:19" ht="16.5" customHeight="1">
      <c r="A9" s="687" t="s">
        <v>20</v>
      </c>
      <c r="B9" s="688" t="s">
        <v>21</v>
      </c>
      <c r="C9" s="607" t="s">
        <v>265</v>
      </c>
      <c r="D9" s="689">
        <v>0</v>
      </c>
      <c r="E9" s="690">
        <v>0</v>
      </c>
      <c r="F9" s="691">
        <v>0</v>
      </c>
      <c r="G9" s="691">
        <v>0</v>
      </c>
      <c r="H9" s="691">
        <v>0</v>
      </c>
      <c r="I9" s="691">
        <v>0</v>
      </c>
      <c r="J9" s="691">
        <v>0</v>
      </c>
      <c r="K9" s="691">
        <v>0</v>
      </c>
      <c r="L9" s="691">
        <v>0</v>
      </c>
      <c r="M9" s="692">
        <v>0</v>
      </c>
      <c r="N9" s="696"/>
      <c r="O9" s="692">
        <v>0</v>
      </c>
      <c r="P9" s="692">
        <v>0</v>
      </c>
      <c r="Q9" s="692">
        <v>0</v>
      </c>
      <c r="R9" s="403">
        <v>0</v>
      </c>
      <c r="S9" s="403">
        <v>0</v>
      </c>
    </row>
    <row r="10" spans="1:19" ht="16.5" customHeight="1">
      <c r="A10" s="687" t="s">
        <v>22</v>
      </c>
      <c r="B10" s="688" t="s">
        <v>23</v>
      </c>
      <c r="C10" s="607" t="s">
        <v>265</v>
      </c>
      <c r="D10" s="689">
        <v>0</v>
      </c>
      <c r="E10" s="690">
        <v>0</v>
      </c>
      <c r="F10" s="691">
        <v>0</v>
      </c>
      <c r="G10" s="1265">
        <v>0</v>
      </c>
      <c r="H10" s="1265">
        <v>0</v>
      </c>
      <c r="I10" s="1265">
        <v>0</v>
      </c>
      <c r="J10" s="1265">
        <v>0</v>
      </c>
      <c r="K10" s="1681">
        <v>0</v>
      </c>
      <c r="L10" s="1265">
        <v>0</v>
      </c>
      <c r="M10" s="692">
        <v>0</v>
      </c>
      <c r="N10" s="702"/>
      <c r="O10" s="692">
        <v>0</v>
      </c>
      <c r="P10" s="1266">
        <v>0</v>
      </c>
      <c r="Q10" s="692">
        <v>0</v>
      </c>
      <c r="R10" s="403">
        <v>0</v>
      </c>
      <c r="S10" s="403">
        <v>0</v>
      </c>
    </row>
    <row r="11" spans="1:19" ht="16.5" customHeight="1">
      <c r="A11" s="687" t="s">
        <v>24</v>
      </c>
      <c r="B11" s="688" t="s">
        <v>25</v>
      </c>
      <c r="C11" s="607" t="s">
        <v>267</v>
      </c>
      <c r="D11" s="689">
        <v>21</v>
      </c>
      <c r="E11" s="690">
        <v>1</v>
      </c>
      <c r="F11" s="691">
        <v>14</v>
      </c>
      <c r="G11" s="691">
        <v>0</v>
      </c>
      <c r="H11" s="691">
        <v>0</v>
      </c>
      <c r="I11" s="691">
        <v>0</v>
      </c>
      <c r="J11" s="691">
        <v>1</v>
      </c>
      <c r="K11" s="691">
        <v>5</v>
      </c>
      <c r="L11" s="691">
        <v>0</v>
      </c>
      <c r="M11" s="692">
        <v>6</v>
      </c>
      <c r="N11" s="696"/>
      <c r="O11" s="692">
        <v>10</v>
      </c>
      <c r="P11" s="696">
        <v>7</v>
      </c>
      <c r="Q11" s="692">
        <v>1</v>
      </c>
      <c r="R11" s="403">
        <v>3</v>
      </c>
      <c r="S11" s="403">
        <v>0</v>
      </c>
    </row>
    <row r="12" spans="1:19" ht="16.5" customHeight="1">
      <c r="A12" s="687" t="s">
        <v>26</v>
      </c>
      <c r="B12" s="688" t="s">
        <v>706</v>
      </c>
      <c r="C12" s="607" t="s">
        <v>265</v>
      </c>
      <c r="D12" s="689">
        <v>22</v>
      </c>
      <c r="E12" s="690">
        <v>14</v>
      </c>
      <c r="F12" s="691">
        <v>0</v>
      </c>
      <c r="G12" s="691">
        <v>0</v>
      </c>
      <c r="H12" s="691">
        <v>0</v>
      </c>
      <c r="I12" s="691">
        <v>0</v>
      </c>
      <c r="J12" s="691">
        <v>5</v>
      </c>
      <c r="K12" s="691">
        <v>3</v>
      </c>
      <c r="L12" s="691">
        <v>0</v>
      </c>
      <c r="M12" s="692">
        <v>8</v>
      </c>
      <c r="N12" s="694"/>
      <c r="O12" s="692">
        <v>8</v>
      </c>
      <c r="P12" s="695">
        <v>6</v>
      </c>
      <c r="Q12" s="692">
        <v>7</v>
      </c>
      <c r="R12" s="403">
        <v>1</v>
      </c>
      <c r="S12" s="403">
        <v>0</v>
      </c>
    </row>
    <row r="13" spans="1:19" ht="16.5" customHeight="1">
      <c r="A13" s="687" t="s">
        <v>27</v>
      </c>
      <c r="B13" s="688" t="s">
        <v>28</v>
      </c>
      <c r="C13" s="612" t="s">
        <v>265</v>
      </c>
      <c r="D13" s="689">
        <v>0</v>
      </c>
      <c r="E13" s="698">
        <v>0</v>
      </c>
      <c r="F13" s="697">
        <v>0</v>
      </c>
      <c r="G13" s="697">
        <v>0</v>
      </c>
      <c r="H13" s="697">
        <v>0</v>
      </c>
      <c r="I13" s="697">
        <v>0</v>
      </c>
      <c r="J13" s="1274">
        <v>0</v>
      </c>
      <c r="K13" s="1687">
        <v>0</v>
      </c>
      <c r="L13" s="697">
        <v>0</v>
      </c>
      <c r="M13" s="1266">
        <v>0</v>
      </c>
      <c r="N13" s="694"/>
      <c r="O13" s="692">
        <v>0</v>
      </c>
      <c r="P13" s="692">
        <v>0</v>
      </c>
      <c r="Q13" s="692">
        <v>0</v>
      </c>
      <c r="R13" s="403">
        <v>0</v>
      </c>
      <c r="S13" s="403">
        <v>0</v>
      </c>
    </row>
    <row r="14" spans="1:19" ht="16.5" customHeight="1">
      <c r="A14" s="687" t="s">
        <v>29</v>
      </c>
      <c r="B14" s="688" t="s">
        <v>1012</v>
      </c>
      <c r="C14" s="612" t="s">
        <v>265</v>
      </c>
      <c r="D14" s="689">
        <v>3</v>
      </c>
      <c r="E14" s="690">
        <v>3</v>
      </c>
      <c r="F14" s="691">
        <v>0</v>
      </c>
      <c r="G14" s="691">
        <v>0</v>
      </c>
      <c r="H14" s="691">
        <v>0</v>
      </c>
      <c r="I14" s="691">
        <v>0</v>
      </c>
      <c r="J14" s="691">
        <v>0</v>
      </c>
      <c r="K14" s="691">
        <v>0</v>
      </c>
      <c r="L14" s="691">
        <v>0</v>
      </c>
      <c r="M14" s="699">
        <v>0</v>
      </c>
      <c r="N14" s="694"/>
      <c r="O14" s="692">
        <v>0</v>
      </c>
      <c r="P14" s="692">
        <v>0</v>
      </c>
      <c r="Q14" s="692">
        <v>0</v>
      </c>
      <c r="R14" s="403">
        <v>3</v>
      </c>
      <c r="S14" s="403">
        <v>0</v>
      </c>
    </row>
    <row r="15" spans="1:19" ht="16.5" customHeight="1">
      <c r="A15" s="687" t="s">
        <v>30</v>
      </c>
      <c r="B15" s="688" t="s">
        <v>31</v>
      </c>
      <c r="C15" s="612" t="s">
        <v>268</v>
      </c>
      <c r="D15" s="689">
        <v>0</v>
      </c>
      <c r="E15" s="690">
        <v>0</v>
      </c>
      <c r="F15" s="691">
        <v>0</v>
      </c>
      <c r="G15" s="1265">
        <v>0</v>
      </c>
      <c r="H15" s="1265">
        <v>0</v>
      </c>
      <c r="I15" s="1265">
        <v>0</v>
      </c>
      <c r="J15" s="1265">
        <v>0</v>
      </c>
      <c r="K15" s="1681">
        <v>0</v>
      </c>
      <c r="L15" s="1265">
        <v>0</v>
      </c>
      <c r="M15" s="695">
        <v>0</v>
      </c>
      <c r="N15" s="694"/>
      <c r="O15" s="692">
        <v>0</v>
      </c>
      <c r="P15" s="692">
        <v>0</v>
      </c>
      <c r="Q15" s="692">
        <v>0</v>
      </c>
      <c r="R15" s="403">
        <v>0</v>
      </c>
      <c r="S15" s="403">
        <v>0</v>
      </c>
    </row>
    <row r="16" spans="1:19" ht="16.5" customHeight="1">
      <c r="A16" s="687" t="s">
        <v>32</v>
      </c>
      <c r="B16" s="688" t="s">
        <v>33</v>
      </c>
      <c r="C16" s="612" t="s">
        <v>265</v>
      </c>
      <c r="D16" s="689">
        <v>1</v>
      </c>
      <c r="E16" s="690">
        <v>1</v>
      </c>
      <c r="F16" s="691">
        <v>0</v>
      </c>
      <c r="G16" s="691">
        <v>0</v>
      </c>
      <c r="H16" s="691">
        <v>0</v>
      </c>
      <c r="I16" s="691">
        <v>0</v>
      </c>
      <c r="J16" s="691">
        <v>0</v>
      </c>
      <c r="K16" s="691">
        <v>0</v>
      </c>
      <c r="L16" s="691">
        <v>0</v>
      </c>
      <c r="M16" s="692">
        <v>0</v>
      </c>
      <c r="N16" s="695"/>
      <c r="O16" s="692">
        <v>1</v>
      </c>
      <c r="P16" s="692">
        <v>0</v>
      </c>
      <c r="Q16" s="692">
        <v>0</v>
      </c>
      <c r="R16" s="403">
        <v>0</v>
      </c>
      <c r="S16" s="403">
        <v>0</v>
      </c>
    </row>
    <row r="17" spans="1:19" ht="16.5" customHeight="1">
      <c r="A17" s="687" t="s">
        <v>36</v>
      </c>
      <c r="B17" s="688" t="s">
        <v>37</v>
      </c>
      <c r="C17" s="612" t="s">
        <v>264</v>
      </c>
      <c r="D17" s="689">
        <v>0</v>
      </c>
      <c r="E17" s="690">
        <v>0</v>
      </c>
      <c r="F17" s="691">
        <v>0</v>
      </c>
      <c r="G17" s="1265">
        <v>0</v>
      </c>
      <c r="H17" s="1265">
        <v>0</v>
      </c>
      <c r="I17" s="1265">
        <v>0</v>
      </c>
      <c r="J17" s="1265">
        <v>0</v>
      </c>
      <c r="K17" s="1681">
        <v>0</v>
      </c>
      <c r="L17" s="1265">
        <v>0</v>
      </c>
      <c r="M17" s="692">
        <v>0</v>
      </c>
      <c r="N17" s="692"/>
      <c r="O17" s="692">
        <v>0</v>
      </c>
      <c r="P17" s="692">
        <v>0</v>
      </c>
      <c r="Q17" s="692">
        <v>0</v>
      </c>
      <c r="R17" s="403">
        <v>0</v>
      </c>
      <c r="S17" s="403">
        <v>0</v>
      </c>
    </row>
    <row r="18" spans="1:19" ht="16.5" customHeight="1">
      <c r="A18" s="687" t="s">
        <v>38</v>
      </c>
      <c r="B18" s="688" t="s">
        <v>39</v>
      </c>
      <c r="C18" s="612" t="s">
        <v>268</v>
      </c>
      <c r="D18" s="689">
        <v>5</v>
      </c>
      <c r="E18" s="690">
        <v>4</v>
      </c>
      <c r="F18" s="691">
        <v>0</v>
      </c>
      <c r="G18" s="691">
        <v>0</v>
      </c>
      <c r="H18" s="691">
        <v>0</v>
      </c>
      <c r="I18" s="691">
        <v>0</v>
      </c>
      <c r="J18" s="691">
        <v>1</v>
      </c>
      <c r="K18" s="691">
        <v>0</v>
      </c>
      <c r="L18" s="691">
        <v>0</v>
      </c>
      <c r="M18" s="1266">
        <v>1</v>
      </c>
      <c r="N18" s="694"/>
      <c r="O18" s="692">
        <v>5</v>
      </c>
      <c r="P18" s="692">
        <v>0</v>
      </c>
      <c r="Q18" s="692">
        <v>0</v>
      </c>
      <c r="R18" s="403">
        <v>0</v>
      </c>
      <c r="S18" s="403">
        <v>0</v>
      </c>
    </row>
    <row r="19" spans="1:19" ht="16.5" customHeight="1">
      <c r="A19" s="687" t="s">
        <v>40</v>
      </c>
      <c r="B19" s="688" t="s">
        <v>41</v>
      </c>
      <c r="C19" s="612" t="s">
        <v>266</v>
      </c>
      <c r="D19" s="689">
        <v>2</v>
      </c>
      <c r="E19" s="690">
        <v>0</v>
      </c>
      <c r="F19" s="691">
        <v>2</v>
      </c>
      <c r="G19" s="691">
        <v>0</v>
      </c>
      <c r="H19" s="691">
        <v>0</v>
      </c>
      <c r="I19" s="691">
        <v>0</v>
      </c>
      <c r="J19" s="691">
        <v>0</v>
      </c>
      <c r="K19" s="691">
        <v>0</v>
      </c>
      <c r="L19" s="691">
        <v>0</v>
      </c>
      <c r="M19" s="692">
        <v>0</v>
      </c>
      <c r="N19" s="1266"/>
      <c r="O19" s="692">
        <v>1</v>
      </c>
      <c r="P19" s="692">
        <v>1</v>
      </c>
      <c r="Q19" s="692">
        <v>0</v>
      </c>
      <c r="R19" s="403">
        <v>0</v>
      </c>
      <c r="S19" s="403">
        <v>0</v>
      </c>
    </row>
    <row r="20" spans="1:19" ht="16.5" customHeight="1">
      <c r="A20" s="687" t="s">
        <v>42</v>
      </c>
      <c r="B20" s="688" t="s">
        <v>43</v>
      </c>
      <c r="C20" s="612" t="s">
        <v>265</v>
      </c>
      <c r="D20" s="689">
        <v>4</v>
      </c>
      <c r="E20" s="690">
        <v>3</v>
      </c>
      <c r="F20" s="691">
        <v>0</v>
      </c>
      <c r="G20" s="691">
        <v>0</v>
      </c>
      <c r="H20" s="691">
        <v>0</v>
      </c>
      <c r="I20" s="691">
        <v>0</v>
      </c>
      <c r="J20" s="691">
        <v>1</v>
      </c>
      <c r="K20" s="691">
        <v>0</v>
      </c>
      <c r="L20" s="691">
        <v>0</v>
      </c>
      <c r="M20" s="699">
        <v>1</v>
      </c>
      <c r="N20" s="694"/>
      <c r="O20" s="692">
        <v>4</v>
      </c>
      <c r="P20" s="692">
        <v>0</v>
      </c>
      <c r="Q20" s="692">
        <v>0</v>
      </c>
      <c r="R20" s="403">
        <v>0</v>
      </c>
      <c r="S20" s="403">
        <v>0</v>
      </c>
    </row>
    <row r="21" spans="1:19" ht="16.5" customHeight="1">
      <c r="A21" s="687" t="s">
        <v>44</v>
      </c>
      <c r="B21" s="688" t="s">
        <v>45</v>
      </c>
      <c r="C21" s="612" t="s">
        <v>266</v>
      </c>
      <c r="D21" s="689">
        <v>0</v>
      </c>
      <c r="E21" s="690">
        <v>0</v>
      </c>
      <c r="F21" s="691">
        <v>0</v>
      </c>
      <c r="G21" s="691">
        <v>0</v>
      </c>
      <c r="H21" s="691">
        <v>0</v>
      </c>
      <c r="I21" s="691">
        <v>0</v>
      </c>
      <c r="J21" s="691">
        <v>0</v>
      </c>
      <c r="K21" s="691">
        <v>0</v>
      </c>
      <c r="L21" s="691">
        <v>0</v>
      </c>
      <c r="M21" s="692">
        <v>0</v>
      </c>
      <c r="N21" s="696"/>
      <c r="O21" s="692">
        <v>0</v>
      </c>
      <c r="P21" s="692">
        <v>0</v>
      </c>
      <c r="Q21" s="692">
        <v>0</v>
      </c>
      <c r="R21" s="403">
        <v>0</v>
      </c>
      <c r="S21" s="403">
        <v>0</v>
      </c>
    </row>
    <row r="22" spans="1:19" ht="16.5" customHeight="1">
      <c r="A22" s="687" t="s">
        <v>46</v>
      </c>
      <c r="B22" s="688" t="s">
        <v>47</v>
      </c>
      <c r="C22" s="612" t="s">
        <v>268</v>
      </c>
      <c r="D22" s="689">
        <v>6</v>
      </c>
      <c r="E22" s="690">
        <v>5</v>
      </c>
      <c r="F22" s="691">
        <v>0</v>
      </c>
      <c r="G22" s="1265">
        <v>0</v>
      </c>
      <c r="H22" s="1265">
        <v>0</v>
      </c>
      <c r="I22" s="1265">
        <v>0</v>
      </c>
      <c r="J22" s="1265">
        <v>0</v>
      </c>
      <c r="K22" s="1681">
        <v>1</v>
      </c>
      <c r="L22" s="1265">
        <v>0</v>
      </c>
      <c r="M22" s="695">
        <v>1</v>
      </c>
      <c r="N22" s="694"/>
      <c r="O22" s="692">
        <v>2</v>
      </c>
      <c r="P22" s="692">
        <v>2</v>
      </c>
      <c r="Q22" s="692">
        <v>1</v>
      </c>
      <c r="R22" s="403">
        <v>1</v>
      </c>
      <c r="S22" s="403">
        <v>0</v>
      </c>
    </row>
    <row r="23" spans="1:19" ht="16.5" customHeight="1">
      <c r="A23" s="687" t="s">
        <v>48</v>
      </c>
      <c r="B23" s="688" t="s">
        <v>269</v>
      </c>
      <c r="C23" s="612" t="s">
        <v>266</v>
      </c>
      <c r="D23" s="689">
        <v>0</v>
      </c>
      <c r="E23" s="698">
        <v>0</v>
      </c>
      <c r="F23" s="697">
        <v>0</v>
      </c>
      <c r="G23" s="697">
        <v>0</v>
      </c>
      <c r="H23" s="697">
        <v>0</v>
      </c>
      <c r="I23" s="697">
        <v>0</v>
      </c>
      <c r="J23" s="1274">
        <v>0</v>
      </c>
      <c r="K23" s="1687">
        <v>0</v>
      </c>
      <c r="L23" s="697">
        <v>0</v>
      </c>
      <c r="M23" s="692">
        <v>0</v>
      </c>
      <c r="N23" s="702"/>
      <c r="O23" s="692">
        <v>0</v>
      </c>
      <c r="P23" s="1266">
        <v>0</v>
      </c>
      <c r="Q23" s="692">
        <v>0</v>
      </c>
      <c r="R23" s="403">
        <v>0</v>
      </c>
      <c r="S23" s="403">
        <v>0</v>
      </c>
    </row>
    <row r="24" spans="1:19" ht="16.5" customHeight="1">
      <c r="A24" s="687" t="s">
        <v>50</v>
      </c>
      <c r="B24" s="688" t="s">
        <v>51</v>
      </c>
      <c r="C24" s="612" t="s">
        <v>265</v>
      </c>
      <c r="D24" s="689">
        <v>2</v>
      </c>
      <c r="E24" s="690">
        <v>0</v>
      </c>
      <c r="F24" s="691">
        <v>0</v>
      </c>
      <c r="G24" s="691">
        <v>0</v>
      </c>
      <c r="H24" s="691">
        <v>0</v>
      </c>
      <c r="I24" s="691">
        <v>0</v>
      </c>
      <c r="J24" s="691">
        <v>2</v>
      </c>
      <c r="K24" s="691">
        <v>0</v>
      </c>
      <c r="L24" s="691">
        <v>0</v>
      </c>
      <c r="M24" s="692">
        <v>2</v>
      </c>
      <c r="N24" s="694"/>
      <c r="O24" s="692">
        <v>0</v>
      </c>
      <c r="P24" s="692">
        <v>2</v>
      </c>
      <c r="Q24" s="692">
        <v>0</v>
      </c>
      <c r="R24" s="403">
        <v>0</v>
      </c>
      <c r="S24" s="403">
        <v>0</v>
      </c>
    </row>
    <row r="25" spans="1:19" ht="16.5" customHeight="1">
      <c r="A25" s="687" t="s">
        <v>56</v>
      </c>
      <c r="B25" s="688" t="s">
        <v>295</v>
      </c>
      <c r="C25" s="612" t="s">
        <v>266</v>
      </c>
      <c r="D25" s="689">
        <v>12</v>
      </c>
      <c r="E25" s="690">
        <v>8</v>
      </c>
      <c r="F25" s="691">
        <v>1</v>
      </c>
      <c r="G25" s="691">
        <v>0</v>
      </c>
      <c r="H25" s="691">
        <v>0</v>
      </c>
      <c r="I25" s="691">
        <v>0</v>
      </c>
      <c r="J25" s="691">
        <v>3</v>
      </c>
      <c r="K25" s="691">
        <v>0</v>
      </c>
      <c r="L25" s="691">
        <v>0</v>
      </c>
      <c r="M25" s="692">
        <v>3</v>
      </c>
      <c r="N25" s="696"/>
      <c r="O25" s="692">
        <v>1</v>
      </c>
      <c r="P25" s="696">
        <v>5</v>
      </c>
      <c r="Q25" s="692">
        <v>4</v>
      </c>
      <c r="R25" s="403">
        <v>2</v>
      </c>
      <c r="S25" s="403">
        <v>0</v>
      </c>
    </row>
    <row r="26" spans="1:19" ht="16.5" customHeight="1">
      <c r="A26" s="687" t="s">
        <v>58</v>
      </c>
      <c r="B26" s="688" t="s">
        <v>59</v>
      </c>
      <c r="C26" s="612" t="s">
        <v>267</v>
      </c>
      <c r="D26" s="700">
        <v>0</v>
      </c>
      <c r="E26" s="701">
        <v>0</v>
      </c>
      <c r="F26" s="697">
        <v>0</v>
      </c>
      <c r="G26" s="697">
        <v>0</v>
      </c>
      <c r="H26" s="697">
        <v>0</v>
      </c>
      <c r="I26" s="697">
        <v>0</v>
      </c>
      <c r="J26" s="1274">
        <v>0</v>
      </c>
      <c r="K26" s="1687">
        <v>0</v>
      </c>
      <c r="L26" s="697">
        <v>0</v>
      </c>
      <c r="M26" s="692">
        <v>0</v>
      </c>
      <c r="N26" s="695"/>
      <c r="O26" s="692">
        <v>0</v>
      </c>
      <c r="P26" s="692">
        <v>0</v>
      </c>
      <c r="Q26" s="692">
        <v>0</v>
      </c>
      <c r="R26" s="403">
        <v>0</v>
      </c>
      <c r="S26" s="403">
        <v>0</v>
      </c>
    </row>
    <row r="27" spans="1:19" ht="16.5" customHeight="1">
      <c r="A27" s="687" t="s">
        <v>60</v>
      </c>
      <c r="B27" s="688" t="s">
        <v>61</v>
      </c>
      <c r="C27" s="612" t="s">
        <v>265</v>
      </c>
      <c r="D27" s="700">
        <v>0</v>
      </c>
      <c r="E27" s="701">
        <v>0</v>
      </c>
      <c r="F27" s="697">
        <v>0</v>
      </c>
      <c r="G27" s="697">
        <v>0</v>
      </c>
      <c r="H27" s="697">
        <v>0</v>
      </c>
      <c r="I27" s="697">
        <v>0</v>
      </c>
      <c r="J27" s="1274">
        <v>0</v>
      </c>
      <c r="K27" s="1687">
        <v>0</v>
      </c>
      <c r="L27" s="697">
        <v>0</v>
      </c>
      <c r="M27" s="692">
        <v>0</v>
      </c>
      <c r="N27" s="702"/>
      <c r="O27" s="692">
        <v>0</v>
      </c>
      <c r="P27" s="692">
        <v>0</v>
      </c>
      <c r="Q27" s="692">
        <v>0</v>
      </c>
      <c r="R27" s="403">
        <v>0</v>
      </c>
      <c r="S27" s="403">
        <v>0</v>
      </c>
    </row>
    <row r="28" spans="1:19" ht="16.5" customHeight="1">
      <c r="A28" s="687" t="s">
        <v>62</v>
      </c>
      <c r="B28" s="688" t="s">
        <v>63</v>
      </c>
      <c r="C28" s="612" t="s">
        <v>267</v>
      </c>
      <c r="D28" s="689">
        <v>3</v>
      </c>
      <c r="E28" s="690">
        <v>3</v>
      </c>
      <c r="F28" s="691">
        <v>0</v>
      </c>
      <c r="G28" s="691">
        <v>0</v>
      </c>
      <c r="H28" s="691">
        <v>0</v>
      </c>
      <c r="I28" s="691">
        <v>0</v>
      </c>
      <c r="J28" s="691">
        <v>0</v>
      </c>
      <c r="K28" s="691">
        <v>0</v>
      </c>
      <c r="L28" s="691">
        <v>0</v>
      </c>
      <c r="M28" s="692">
        <v>0</v>
      </c>
      <c r="N28" s="694"/>
      <c r="O28" s="692">
        <v>1</v>
      </c>
      <c r="P28" s="1266">
        <v>1</v>
      </c>
      <c r="Q28" s="692">
        <v>1</v>
      </c>
      <c r="R28" s="403">
        <v>0</v>
      </c>
      <c r="S28" s="403">
        <v>0</v>
      </c>
    </row>
    <row r="29" spans="1:19" ht="16.5" customHeight="1">
      <c r="A29" s="687" t="s">
        <v>64</v>
      </c>
      <c r="B29" s="688" t="s">
        <v>65</v>
      </c>
      <c r="C29" s="612" t="s">
        <v>266</v>
      </c>
      <c r="D29" s="689">
        <v>0</v>
      </c>
      <c r="E29" s="690">
        <v>0</v>
      </c>
      <c r="F29" s="691">
        <v>0</v>
      </c>
      <c r="G29" s="691">
        <v>0</v>
      </c>
      <c r="H29" s="691">
        <v>0</v>
      </c>
      <c r="I29" s="691">
        <v>0</v>
      </c>
      <c r="J29" s="691">
        <v>0</v>
      </c>
      <c r="K29" s="691">
        <v>0</v>
      </c>
      <c r="L29" s="691">
        <v>0</v>
      </c>
      <c r="M29" s="1266">
        <v>0</v>
      </c>
      <c r="N29" s="702"/>
      <c r="O29" s="1266">
        <v>0</v>
      </c>
      <c r="P29" s="702">
        <v>0</v>
      </c>
      <c r="Q29" s="692">
        <v>0</v>
      </c>
      <c r="R29" s="403">
        <v>0</v>
      </c>
      <c r="S29" s="403">
        <v>0</v>
      </c>
    </row>
    <row r="30" spans="1:19" ht="16.5" customHeight="1">
      <c r="A30" s="687" t="s">
        <v>68</v>
      </c>
      <c r="B30" s="688" t="s">
        <v>69</v>
      </c>
      <c r="C30" s="612" t="s">
        <v>268</v>
      </c>
      <c r="D30" s="689">
        <v>16</v>
      </c>
      <c r="E30" s="690">
        <v>16</v>
      </c>
      <c r="F30" s="691">
        <v>0</v>
      </c>
      <c r="G30" s="691">
        <v>0</v>
      </c>
      <c r="H30" s="691">
        <v>0</v>
      </c>
      <c r="I30" s="691">
        <v>0</v>
      </c>
      <c r="J30" s="691">
        <v>0</v>
      </c>
      <c r="K30" s="691">
        <v>0</v>
      </c>
      <c r="L30" s="691">
        <v>0</v>
      </c>
      <c r="M30" s="692">
        <v>0</v>
      </c>
      <c r="N30" s="692"/>
      <c r="O30" s="692">
        <v>8</v>
      </c>
      <c r="P30" s="692">
        <v>4</v>
      </c>
      <c r="Q30" s="692">
        <v>2</v>
      </c>
      <c r="R30" s="403">
        <v>2</v>
      </c>
      <c r="S30" s="403">
        <v>0</v>
      </c>
    </row>
    <row r="31" spans="1:19" ht="16.5" customHeight="1">
      <c r="A31" s="687" t="s">
        <v>70</v>
      </c>
      <c r="B31" s="688" t="s">
        <v>71</v>
      </c>
      <c r="C31" s="612" t="s">
        <v>264</v>
      </c>
      <c r="D31" s="689">
        <v>1</v>
      </c>
      <c r="E31" s="690">
        <v>1</v>
      </c>
      <c r="F31" s="691">
        <v>0</v>
      </c>
      <c r="G31" s="691">
        <v>0</v>
      </c>
      <c r="H31" s="691">
        <v>0</v>
      </c>
      <c r="I31" s="691">
        <v>0</v>
      </c>
      <c r="J31" s="691">
        <v>0</v>
      </c>
      <c r="K31" s="691">
        <v>0</v>
      </c>
      <c r="L31" s="691">
        <v>0</v>
      </c>
      <c r="M31" s="692">
        <v>0</v>
      </c>
      <c r="N31" s="696"/>
      <c r="O31" s="692">
        <v>0</v>
      </c>
      <c r="P31" s="692">
        <v>0</v>
      </c>
      <c r="Q31" s="692">
        <v>1</v>
      </c>
      <c r="R31" s="403">
        <v>0</v>
      </c>
      <c r="S31" s="403">
        <v>0</v>
      </c>
    </row>
    <row r="32" spans="1:19" ht="16.5" customHeight="1">
      <c r="A32" s="687" t="s">
        <v>72</v>
      </c>
      <c r="B32" s="688" t="s">
        <v>73</v>
      </c>
      <c r="C32" s="612" t="s">
        <v>266</v>
      </c>
      <c r="D32" s="689">
        <v>0</v>
      </c>
      <c r="E32" s="698">
        <v>0</v>
      </c>
      <c r="F32" s="697">
        <v>0</v>
      </c>
      <c r="G32" s="697">
        <v>0</v>
      </c>
      <c r="H32" s="697">
        <v>0</v>
      </c>
      <c r="I32" s="697">
        <v>0</v>
      </c>
      <c r="J32" s="1274">
        <v>0</v>
      </c>
      <c r="K32" s="1687">
        <v>0</v>
      </c>
      <c r="L32" s="697">
        <v>0</v>
      </c>
      <c r="M32" s="692">
        <v>0</v>
      </c>
      <c r="N32" s="702"/>
      <c r="O32" s="692">
        <v>0</v>
      </c>
      <c r="P32" s="696">
        <v>0</v>
      </c>
      <c r="Q32" s="692">
        <v>0</v>
      </c>
      <c r="R32" s="403">
        <v>0</v>
      </c>
      <c r="S32" s="403">
        <v>0</v>
      </c>
    </row>
    <row r="33" spans="1:19" ht="16.5" customHeight="1">
      <c r="A33" s="687" t="s">
        <v>74</v>
      </c>
      <c r="B33" s="688" t="s">
        <v>302</v>
      </c>
      <c r="C33" s="612" t="s">
        <v>267</v>
      </c>
      <c r="D33" s="689">
        <v>32</v>
      </c>
      <c r="E33" s="690">
        <v>11</v>
      </c>
      <c r="F33" s="691">
        <v>0</v>
      </c>
      <c r="G33" s="691">
        <v>2</v>
      </c>
      <c r="H33" s="691">
        <v>0</v>
      </c>
      <c r="I33" s="691">
        <v>0</v>
      </c>
      <c r="J33" s="691">
        <v>4</v>
      </c>
      <c r="K33" s="691">
        <v>15</v>
      </c>
      <c r="L33" s="691">
        <v>0</v>
      </c>
      <c r="M33" s="699">
        <v>21</v>
      </c>
      <c r="N33" s="696"/>
      <c r="O33" s="696">
        <v>9</v>
      </c>
      <c r="P33" s="696">
        <v>10</v>
      </c>
      <c r="Q33" s="692">
        <v>11</v>
      </c>
      <c r="R33" s="403">
        <v>2</v>
      </c>
      <c r="S33" s="403">
        <v>0</v>
      </c>
    </row>
    <row r="34" spans="1:19" ht="16.5" customHeight="1">
      <c r="A34" s="687" t="s">
        <v>76</v>
      </c>
      <c r="B34" s="688" t="s">
        <v>77</v>
      </c>
      <c r="C34" s="612" t="s">
        <v>267</v>
      </c>
      <c r="D34" s="689">
        <v>6</v>
      </c>
      <c r="E34" s="690">
        <v>4</v>
      </c>
      <c r="F34" s="691">
        <v>2</v>
      </c>
      <c r="G34" s="691">
        <v>0</v>
      </c>
      <c r="H34" s="691">
        <v>0</v>
      </c>
      <c r="I34" s="691">
        <v>0</v>
      </c>
      <c r="J34" s="691">
        <v>0</v>
      </c>
      <c r="K34" s="691">
        <v>0</v>
      </c>
      <c r="L34" s="691">
        <v>0</v>
      </c>
      <c r="M34" s="692">
        <v>0</v>
      </c>
      <c r="N34" s="694"/>
      <c r="O34" s="692">
        <v>1</v>
      </c>
      <c r="P34" s="692">
        <v>4</v>
      </c>
      <c r="Q34" s="692">
        <v>1</v>
      </c>
      <c r="R34" s="403">
        <v>0</v>
      </c>
      <c r="S34" s="403">
        <v>0</v>
      </c>
    </row>
    <row r="35" spans="1:19" ht="16.5" customHeight="1">
      <c r="A35" s="687" t="s">
        <v>78</v>
      </c>
      <c r="B35" s="688" t="s">
        <v>79</v>
      </c>
      <c r="C35" s="612" t="s">
        <v>268</v>
      </c>
      <c r="D35" s="689">
        <v>0</v>
      </c>
      <c r="E35" s="690">
        <v>0</v>
      </c>
      <c r="F35" s="691">
        <v>0</v>
      </c>
      <c r="G35" s="1265">
        <v>0</v>
      </c>
      <c r="H35" s="1265">
        <v>0</v>
      </c>
      <c r="I35" s="1265">
        <v>0</v>
      </c>
      <c r="J35" s="1265">
        <v>0</v>
      </c>
      <c r="K35" s="1681">
        <v>0</v>
      </c>
      <c r="L35" s="1265">
        <v>0</v>
      </c>
      <c r="M35" s="692">
        <v>0</v>
      </c>
      <c r="N35" s="1266"/>
      <c r="O35" s="692">
        <v>0</v>
      </c>
      <c r="P35" s="692">
        <v>0</v>
      </c>
      <c r="Q35" s="692">
        <v>0</v>
      </c>
      <c r="R35" s="403">
        <v>0</v>
      </c>
      <c r="S35" s="403">
        <v>0</v>
      </c>
    </row>
    <row r="36" spans="1:19" ht="16.5" customHeight="1">
      <c r="A36" s="687" t="s">
        <v>80</v>
      </c>
      <c r="B36" s="688" t="s">
        <v>81</v>
      </c>
      <c r="C36" s="612" t="s">
        <v>266</v>
      </c>
      <c r="D36" s="689">
        <v>1</v>
      </c>
      <c r="E36" s="690">
        <v>0</v>
      </c>
      <c r="F36" s="691">
        <v>0</v>
      </c>
      <c r="G36" s="691">
        <v>0</v>
      </c>
      <c r="H36" s="691">
        <v>0</v>
      </c>
      <c r="I36" s="691">
        <v>0</v>
      </c>
      <c r="J36" s="691">
        <v>1</v>
      </c>
      <c r="K36" s="691">
        <v>0</v>
      </c>
      <c r="L36" s="691">
        <v>0</v>
      </c>
      <c r="M36" s="692">
        <v>1</v>
      </c>
      <c r="N36" s="695"/>
      <c r="O36" s="692">
        <v>1</v>
      </c>
      <c r="P36" s="692">
        <v>0</v>
      </c>
      <c r="Q36" s="692">
        <v>0</v>
      </c>
      <c r="R36" s="403">
        <v>0</v>
      </c>
      <c r="S36" s="403">
        <v>0</v>
      </c>
    </row>
    <row r="37" spans="1:19" ht="16.5" customHeight="1">
      <c r="A37" s="687" t="s">
        <v>84</v>
      </c>
      <c r="B37" s="688" t="s">
        <v>308</v>
      </c>
      <c r="C37" s="612" t="s">
        <v>265</v>
      </c>
      <c r="D37" s="689">
        <v>4</v>
      </c>
      <c r="E37" s="690">
        <v>1</v>
      </c>
      <c r="F37" s="691">
        <v>0</v>
      </c>
      <c r="G37" s="691">
        <v>0</v>
      </c>
      <c r="H37" s="691">
        <v>0</v>
      </c>
      <c r="I37" s="691">
        <v>0</v>
      </c>
      <c r="J37" s="691">
        <v>0</v>
      </c>
      <c r="K37" s="691">
        <v>3</v>
      </c>
      <c r="L37" s="691">
        <v>0</v>
      </c>
      <c r="M37" s="692">
        <v>3</v>
      </c>
      <c r="N37" s="696"/>
      <c r="O37" s="692">
        <v>0</v>
      </c>
      <c r="P37" s="695">
        <v>3</v>
      </c>
      <c r="Q37" s="692">
        <v>0</v>
      </c>
      <c r="R37" s="403">
        <v>1</v>
      </c>
      <c r="S37" s="403">
        <v>0</v>
      </c>
    </row>
    <row r="38" spans="1:19" ht="16.5" customHeight="1">
      <c r="A38" s="687" t="s">
        <v>86</v>
      </c>
      <c r="B38" s="688" t="s">
        <v>87</v>
      </c>
      <c r="C38" s="612" t="s">
        <v>267</v>
      </c>
      <c r="D38" s="689">
        <v>8</v>
      </c>
      <c r="E38" s="690">
        <v>5</v>
      </c>
      <c r="F38" s="691">
        <v>2</v>
      </c>
      <c r="G38" s="691">
        <v>0</v>
      </c>
      <c r="H38" s="691">
        <v>0</v>
      </c>
      <c r="I38" s="691">
        <v>0</v>
      </c>
      <c r="J38" s="691">
        <v>0</v>
      </c>
      <c r="K38" s="691">
        <v>1</v>
      </c>
      <c r="L38" s="691">
        <v>0</v>
      </c>
      <c r="M38" s="695">
        <v>1</v>
      </c>
      <c r="N38" s="694"/>
      <c r="O38" s="695">
        <v>5</v>
      </c>
      <c r="P38" s="694">
        <v>3</v>
      </c>
      <c r="Q38" s="692">
        <v>0</v>
      </c>
      <c r="R38" s="403">
        <v>0</v>
      </c>
      <c r="S38" s="403">
        <v>0</v>
      </c>
    </row>
    <row r="39" spans="1:19" ht="16.5" customHeight="1">
      <c r="A39" s="687" t="s">
        <v>92</v>
      </c>
      <c r="B39" s="688" t="s">
        <v>93</v>
      </c>
      <c r="C39" s="612" t="s">
        <v>268</v>
      </c>
      <c r="D39" s="689">
        <v>8</v>
      </c>
      <c r="E39" s="690">
        <v>6</v>
      </c>
      <c r="F39" s="691">
        <v>0</v>
      </c>
      <c r="G39" s="1265">
        <v>0</v>
      </c>
      <c r="H39" s="1265">
        <v>0</v>
      </c>
      <c r="I39" s="1265">
        <v>0</v>
      </c>
      <c r="J39" s="1265">
        <v>2</v>
      </c>
      <c r="K39" s="1681">
        <v>0</v>
      </c>
      <c r="L39" s="1265">
        <v>0</v>
      </c>
      <c r="M39" s="692">
        <v>2</v>
      </c>
      <c r="N39" s="702"/>
      <c r="O39" s="692">
        <v>4</v>
      </c>
      <c r="P39" s="692">
        <v>3</v>
      </c>
      <c r="Q39" s="692">
        <v>1</v>
      </c>
      <c r="R39" s="403">
        <v>0</v>
      </c>
      <c r="S39" s="403">
        <v>0</v>
      </c>
    </row>
    <row r="40" spans="1:19" ht="16.5" customHeight="1">
      <c r="A40" s="687" t="s">
        <v>94</v>
      </c>
      <c r="B40" s="688" t="s">
        <v>95</v>
      </c>
      <c r="C40" s="612" t="s">
        <v>264</v>
      </c>
      <c r="D40" s="689">
        <v>0</v>
      </c>
      <c r="E40" s="690">
        <v>0</v>
      </c>
      <c r="F40" s="691">
        <v>0</v>
      </c>
      <c r="G40" s="691">
        <v>0</v>
      </c>
      <c r="H40" s="691">
        <v>0</v>
      </c>
      <c r="I40" s="691">
        <v>0</v>
      </c>
      <c r="J40" s="691">
        <v>0</v>
      </c>
      <c r="K40" s="691">
        <v>0</v>
      </c>
      <c r="L40" s="691">
        <v>0</v>
      </c>
      <c r="M40" s="692">
        <v>0</v>
      </c>
      <c r="N40" s="696"/>
      <c r="O40" s="692">
        <v>0</v>
      </c>
      <c r="P40" s="692">
        <v>0</v>
      </c>
      <c r="Q40" s="692">
        <v>0</v>
      </c>
      <c r="R40" s="403">
        <v>0</v>
      </c>
      <c r="S40" s="403">
        <v>0</v>
      </c>
    </row>
    <row r="41" spans="1:19" ht="16.5" customHeight="1">
      <c r="A41" s="687" t="s">
        <v>96</v>
      </c>
      <c r="B41" s="688" t="s">
        <v>97</v>
      </c>
      <c r="C41" s="612" t="s">
        <v>266</v>
      </c>
      <c r="D41" s="689">
        <v>5</v>
      </c>
      <c r="E41" s="690">
        <v>3</v>
      </c>
      <c r="F41" s="691">
        <v>0</v>
      </c>
      <c r="G41" s="691">
        <v>0</v>
      </c>
      <c r="H41" s="691">
        <v>0</v>
      </c>
      <c r="I41" s="691">
        <v>0</v>
      </c>
      <c r="J41" s="691">
        <v>1</v>
      </c>
      <c r="K41" s="691">
        <v>0</v>
      </c>
      <c r="L41" s="691">
        <v>1</v>
      </c>
      <c r="M41" s="692">
        <v>2</v>
      </c>
      <c r="N41" s="692"/>
      <c r="O41" s="692">
        <v>2</v>
      </c>
      <c r="P41" s="692">
        <v>2</v>
      </c>
      <c r="Q41" s="692">
        <v>1</v>
      </c>
      <c r="R41" s="403">
        <v>0</v>
      </c>
      <c r="S41" s="403">
        <v>0</v>
      </c>
    </row>
    <row r="42" spans="1:19" ht="16.5" customHeight="1">
      <c r="A42" s="687" t="s">
        <v>98</v>
      </c>
      <c r="B42" s="688" t="s">
        <v>99</v>
      </c>
      <c r="C42" s="612" t="s">
        <v>268</v>
      </c>
      <c r="D42" s="689">
        <v>6</v>
      </c>
      <c r="E42" s="690">
        <v>6</v>
      </c>
      <c r="F42" s="691">
        <v>0</v>
      </c>
      <c r="G42" s="1265">
        <v>0</v>
      </c>
      <c r="H42" s="1265">
        <v>0</v>
      </c>
      <c r="I42" s="1265">
        <v>0</v>
      </c>
      <c r="J42" s="1265">
        <v>0</v>
      </c>
      <c r="K42" s="1681">
        <v>0</v>
      </c>
      <c r="L42" s="1265">
        <v>0</v>
      </c>
      <c r="M42" s="692">
        <v>0</v>
      </c>
      <c r="N42" s="696"/>
      <c r="O42" s="692">
        <v>0</v>
      </c>
      <c r="P42" s="696">
        <v>2</v>
      </c>
      <c r="Q42" s="692">
        <v>1</v>
      </c>
      <c r="R42" s="403">
        <v>3</v>
      </c>
      <c r="S42" s="403">
        <v>0</v>
      </c>
    </row>
    <row r="43" spans="1:19" ht="16.5" customHeight="1">
      <c r="A43" s="687" t="s">
        <v>100</v>
      </c>
      <c r="B43" s="688" t="s">
        <v>101</v>
      </c>
      <c r="C43" s="612" t="s">
        <v>267</v>
      </c>
      <c r="D43" s="689">
        <v>5</v>
      </c>
      <c r="E43" s="690">
        <v>2</v>
      </c>
      <c r="F43" s="691">
        <v>0</v>
      </c>
      <c r="G43" s="691">
        <v>0</v>
      </c>
      <c r="H43" s="691">
        <v>0</v>
      </c>
      <c r="I43" s="691">
        <v>0</v>
      </c>
      <c r="J43" s="691">
        <v>3</v>
      </c>
      <c r="K43" s="691">
        <v>0</v>
      </c>
      <c r="L43" s="691">
        <v>0</v>
      </c>
      <c r="M43" s="692">
        <v>3</v>
      </c>
      <c r="N43" s="694"/>
      <c r="O43" s="692">
        <v>5</v>
      </c>
      <c r="P43" s="692">
        <v>0</v>
      </c>
      <c r="Q43" s="692">
        <v>0</v>
      </c>
      <c r="R43" s="403">
        <v>0</v>
      </c>
      <c r="S43" s="403">
        <v>0</v>
      </c>
    </row>
    <row r="44" spans="1:19" ht="16.5" customHeight="1">
      <c r="A44" s="687" t="s">
        <v>102</v>
      </c>
      <c r="B44" s="688" t="s">
        <v>103</v>
      </c>
      <c r="C44" s="612" t="s">
        <v>264</v>
      </c>
      <c r="D44" s="689">
        <v>0</v>
      </c>
      <c r="E44" s="698">
        <v>0</v>
      </c>
      <c r="F44" s="697">
        <v>0</v>
      </c>
      <c r="G44" s="697">
        <v>0</v>
      </c>
      <c r="H44" s="697">
        <v>0</v>
      </c>
      <c r="I44" s="697">
        <v>0</v>
      </c>
      <c r="J44" s="1274">
        <v>0</v>
      </c>
      <c r="K44" s="1687">
        <v>0</v>
      </c>
      <c r="L44" s="697">
        <v>0</v>
      </c>
      <c r="M44" s="692">
        <v>0</v>
      </c>
      <c r="N44" s="695"/>
      <c r="O44" s="692">
        <v>0</v>
      </c>
      <c r="P44" s="695">
        <v>0</v>
      </c>
      <c r="Q44" s="692">
        <v>0</v>
      </c>
      <c r="R44" s="403">
        <v>0</v>
      </c>
      <c r="S44" s="403">
        <v>0</v>
      </c>
    </row>
    <row r="45" spans="1:19" ht="16.5" customHeight="1">
      <c r="A45" s="687" t="s">
        <v>104</v>
      </c>
      <c r="B45" s="688" t="s">
        <v>309</v>
      </c>
      <c r="C45" s="612" t="s">
        <v>265</v>
      </c>
      <c r="D45" s="689">
        <v>1</v>
      </c>
      <c r="E45" s="690">
        <v>0</v>
      </c>
      <c r="F45" s="691">
        <v>1</v>
      </c>
      <c r="G45" s="691">
        <v>0</v>
      </c>
      <c r="H45" s="691">
        <v>0</v>
      </c>
      <c r="I45" s="691">
        <v>0</v>
      </c>
      <c r="J45" s="691">
        <v>0</v>
      </c>
      <c r="K45" s="691">
        <v>0</v>
      </c>
      <c r="L45" s="691">
        <v>0</v>
      </c>
      <c r="M45" s="692">
        <v>0</v>
      </c>
      <c r="N45" s="694"/>
      <c r="O45" s="692">
        <v>0</v>
      </c>
      <c r="P45" s="695">
        <v>1</v>
      </c>
      <c r="Q45" s="692">
        <v>0</v>
      </c>
      <c r="R45" s="403">
        <v>0</v>
      </c>
      <c r="S45" s="403">
        <v>0</v>
      </c>
    </row>
    <row r="46" spans="1:19" ht="16.5" customHeight="1">
      <c r="A46" s="687" t="s">
        <v>108</v>
      </c>
      <c r="B46" s="688" t="s">
        <v>109</v>
      </c>
      <c r="C46" s="612" t="s">
        <v>266</v>
      </c>
      <c r="D46" s="689">
        <v>1</v>
      </c>
      <c r="E46" s="690">
        <v>0</v>
      </c>
      <c r="F46" s="691">
        <v>1</v>
      </c>
      <c r="G46" s="691">
        <v>0</v>
      </c>
      <c r="H46" s="691">
        <v>0</v>
      </c>
      <c r="I46" s="691">
        <v>0</v>
      </c>
      <c r="J46" s="691">
        <v>0</v>
      </c>
      <c r="K46" s="691">
        <v>0</v>
      </c>
      <c r="L46" s="691">
        <v>0</v>
      </c>
      <c r="M46" s="692">
        <v>0</v>
      </c>
      <c r="N46" s="696"/>
      <c r="O46" s="692">
        <v>1</v>
      </c>
      <c r="P46" s="692">
        <v>0</v>
      </c>
      <c r="Q46" s="692">
        <v>0</v>
      </c>
      <c r="R46" s="403">
        <v>0</v>
      </c>
      <c r="S46" s="403">
        <v>0</v>
      </c>
    </row>
    <row r="47" spans="1:19" ht="16.5" customHeight="1">
      <c r="A47" s="687" t="s">
        <v>110</v>
      </c>
      <c r="B47" s="688" t="s">
        <v>111</v>
      </c>
      <c r="C47" s="612" t="s">
        <v>266</v>
      </c>
      <c r="D47" s="689">
        <v>7</v>
      </c>
      <c r="E47" s="690">
        <v>4</v>
      </c>
      <c r="F47" s="691">
        <v>1</v>
      </c>
      <c r="G47" s="691">
        <v>1</v>
      </c>
      <c r="H47" s="691">
        <v>0</v>
      </c>
      <c r="I47" s="691">
        <v>0</v>
      </c>
      <c r="J47" s="691">
        <v>0</v>
      </c>
      <c r="K47" s="691">
        <v>1</v>
      </c>
      <c r="L47" s="691">
        <v>0</v>
      </c>
      <c r="M47" s="692">
        <v>2</v>
      </c>
      <c r="N47" s="696"/>
      <c r="O47" s="692">
        <v>2</v>
      </c>
      <c r="P47" s="692">
        <v>1</v>
      </c>
      <c r="Q47" s="692">
        <v>3</v>
      </c>
      <c r="R47" s="403">
        <v>1</v>
      </c>
      <c r="S47" s="403">
        <v>0</v>
      </c>
    </row>
    <row r="48" spans="1:19" ht="16.5" customHeight="1">
      <c r="A48" s="687" t="s">
        <v>112</v>
      </c>
      <c r="B48" s="688" t="s">
        <v>300</v>
      </c>
      <c r="C48" s="612" t="s">
        <v>265</v>
      </c>
      <c r="D48" s="689">
        <v>1</v>
      </c>
      <c r="E48" s="690">
        <v>0</v>
      </c>
      <c r="F48" s="691">
        <v>0</v>
      </c>
      <c r="G48" s="691">
        <v>0</v>
      </c>
      <c r="H48" s="691">
        <v>0</v>
      </c>
      <c r="I48" s="691">
        <v>0</v>
      </c>
      <c r="J48" s="691">
        <v>0</v>
      </c>
      <c r="K48" s="691">
        <v>1</v>
      </c>
      <c r="L48" s="691">
        <v>0</v>
      </c>
      <c r="M48" s="1266">
        <v>1</v>
      </c>
      <c r="N48" s="694"/>
      <c r="O48" s="692">
        <v>0</v>
      </c>
      <c r="P48" s="692">
        <v>1</v>
      </c>
      <c r="Q48" s="692">
        <v>0</v>
      </c>
      <c r="R48" s="403">
        <v>0</v>
      </c>
      <c r="S48" s="403">
        <v>0</v>
      </c>
    </row>
    <row r="49" spans="1:19" ht="16.5" customHeight="1">
      <c r="A49" s="687" t="s">
        <v>114</v>
      </c>
      <c r="B49" s="688" t="s">
        <v>115</v>
      </c>
      <c r="C49" s="612" t="s">
        <v>265</v>
      </c>
      <c r="D49" s="700">
        <v>0</v>
      </c>
      <c r="E49" s="701">
        <v>0</v>
      </c>
      <c r="F49" s="697">
        <v>0</v>
      </c>
      <c r="G49" s="697">
        <v>0</v>
      </c>
      <c r="H49" s="697">
        <v>0</v>
      </c>
      <c r="I49" s="697">
        <v>0</v>
      </c>
      <c r="J49" s="1274">
        <v>0</v>
      </c>
      <c r="K49" s="1687">
        <v>0</v>
      </c>
      <c r="L49" s="697">
        <v>0</v>
      </c>
      <c r="M49" s="692">
        <v>0</v>
      </c>
      <c r="N49" s="1266"/>
      <c r="O49" s="692">
        <v>0</v>
      </c>
      <c r="P49" s="692">
        <v>0</v>
      </c>
      <c r="Q49" s="692">
        <v>0</v>
      </c>
      <c r="R49" s="403">
        <v>0</v>
      </c>
      <c r="S49" s="403">
        <v>0</v>
      </c>
    </row>
    <row r="50" spans="1:19" ht="16.5" customHeight="1">
      <c r="A50" s="687" t="s">
        <v>118</v>
      </c>
      <c r="B50" s="688" t="s">
        <v>119</v>
      </c>
      <c r="C50" s="612" t="s">
        <v>264</v>
      </c>
      <c r="D50" s="689">
        <v>0</v>
      </c>
      <c r="E50" s="690">
        <v>0</v>
      </c>
      <c r="F50" s="691">
        <v>0</v>
      </c>
      <c r="G50" s="691">
        <v>0</v>
      </c>
      <c r="H50" s="691">
        <v>0</v>
      </c>
      <c r="I50" s="691">
        <v>0</v>
      </c>
      <c r="J50" s="691">
        <v>0</v>
      </c>
      <c r="K50" s="691">
        <v>0</v>
      </c>
      <c r="L50" s="691">
        <v>0</v>
      </c>
      <c r="M50" s="692">
        <v>0</v>
      </c>
      <c r="N50" s="695"/>
      <c r="O50" s="692">
        <v>0</v>
      </c>
      <c r="P50" s="695">
        <v>0</v>
      </c>
      <c r="Q50" s="692">
        <v>0</v>
      </c>
      <c r="R50" s="403">
        <v>0</v>
      </c>
      <c r="S50" s="403">
        <v>0</v>
      </c>
    </row>
    <row r="51" spans="1:19" ht="16.5" customHeight="1">
      <c r="A51" s="687" t="s">
        <v>120</v>
      </c>
      <c r="B51" s="688" t="s">
        <v>121</v>
      </c>
      <c r="C51" s="612" t="s">
        <v>264</v>
      </c>
      <c r="D51" s="689">
        <v>2</v>
      </c>
      <c r="E51" s="690">
        <v>0</v>
      </c>
      <c r="F51" s="691">
        <v>0</v>
      </c>
      <c r="G51" s="691">
        <v>0</v>
      </c>
      <c r="H51" s="691">
        <v>0</v>
      </c>
      <c r="I51" s="691">
        <v>0</v>
      </c>
      <c r="J51" s="691">
        <v>0</v>
      </c>
      <c r="K51" s="691">
        <v>2</v>
      </c>
      <c r="L51" s="691">
        <v>0</v>
      </c>
      <c r="M51" s="692">
        <v>2</v>
      </c>
      <c r="N51" s="694"/>
      <c r="O51" s="692">
        <v>1</v>
      </c>
      <c r="P51" s="692">
        <v>1</v>
      </c>
      <c r="Q51" s="692">
        <v>0</v>
      </c>
      <c r="R51" s="403">
        <v>0</v>
      </c>
      <c r="S51" s="403">
        <v>0</v>
      </c>
    </row>
    <row r="52" spans="1:19" ht="16.5" customHeight="1">
      <c r="A52" s="687" t="s">
        <v>122</v>
      </c>
      <c r="B52" s="688" t="s">
        <v>271</v>
      </c>
      <c r="C52" s="612" t="s">
        <v>266</v>
      </c>
      <c r="D52" s="689">
        <v>0</v>
      </c>
      <c r="E52" s="690">
        <v>0</v>
      </c>
      <c r="F52" s="691">
        <v>0</v>
      </c>
      <c r="G52" s="691">
        <v>0</v>
      </c>
      <c r="H52" s="691">
        <v>0</v>
      </c>
      <c r="I52" s="691">
        <v>0</v>
      </c>
      <c r="J52" s="691">
        <v>0</v>
      </c>
      <c r="K52" s="691">
        <v>0</v>
      </c>
      <c r="L52" s="691">
        <v>0</v>
      </c>
      <c r="M52" s="692">
        <v>0</v>
      </c>
      <c r="N52" s="1266"/>
      <c r="O52" s="692">
        <v>0</v>
      </c>
      <c r="P52" s="692">
        <v>0</v>
      </c>
      <c r="Q52" s="692">
        <v>0</v>
      </c>
      <c r="R52" s="403">
        <v>0</v>
      </c>
      <c r="S52" s="403">
        <v>0</v>
      </c>
    </row>
    <row r="53" spans="1:19" ht="16.5" customHeight="1">
      <c r="A53" s="687" t="s">
        <v>124</v>
      </c>
      <c r="B53" s="688" t="s">
        <v>125</v>
      </c>
      <c r="C53" s="612" t="s">
        <v>267</v>
      </c>
      <c r="D53" s="689">
        <v>3</v>
      </c>
      <c r="E53" s="690">
        <v>2</v>
      </c>
      <c r="F53" s="691">
        <v>0</v>
      </c>
      <c r="G53" s="691">
        <v>0</v>
      </c>
      <c r="H53" s="691">
        <v>0</v>
      </c>
      <c r="I53" s="691">
        <v>0</v>
      </c>
      <c r="J53" s="691">
        <v>1</v>
      </c>
      <c r="K53" s="691">
        <v>0</v>
      </c>
      <c r="L53" s="691">
        <v>0</v>
      </c>
      <c r="M53" s="692">
        <v>1</v>
      </c>
      <c r="N53" s="702"/>
      <c r="O53" s="692">
        <v>0</v>
      </c>
      <c r="P53" s="692">
        <v>1</v>
      </c>
      <c r="Q53" s="692">
        <v>1</v>
      </c>
      <c r="R53" s="403">
        <v>1</v>
      </c>
      <c r="S53" s="403">
        <v>0</v>
      </c>
    </row>
    <row r="54" spans="1:19" ht="16.5" customHeight="1">
      <c r="A54" s="687" t="s">
        <v>126</v>
      </c>
      <c r="B54" s="688" t="s">
        <v>127</v>
      </c>
      <c r="C54" s="612" t="s">
        <v>266</v>
      </c>
      <c r="D54" s="689">
        <v>0</v>
      </c>
      <c r="E54" s="690">
        <v>0</v>
      </c>
      <c r="F54" s="691">
        <v>0</v>
      </c>
      <c r="G54" s="691">
        <v>0</v>
      </c>
      <c r="H54" s="691">
        <v>0</v>
      </c>
      <c r="I54" s="691">
        <v>0</v>
      </c>
      <c r="J54" s="691">
        <v>0</v>
      </c>
      <c r="K54" s="691">
        <v>0</v>
      </c>
      <c r="L54" s="691">
        <v>0</v>
      </c>
      <c r="M54" s="692">
        <v>0</v>
      </c>
      <c r="N54" s="695"/>
      <c r="O54" s="692">
        <v>0</v>
      </c>
      <c r="P54" s="1266">
        <v>0</v>
      </c>
      <c r="Q54" s="692">
        <v>0</v>
      </c>
      <c r="R54" s="403">
        <v>0</v>
      </c>
      <c r="S54" s="403">
        <v>0</v>
      </c>
    </row>
    <row r="55" spans="1:19" ht="16.5" customHeight="1">
      <c r="A55" s="687" t="s">
        <v>128</v>
      </c>
      <c r="B55" s="688" t="s">
        <v>129</v>
      </c>
      <c r="C55" s="612" t="s">
        <v>266</v>
      </c>
      <c r="D55" s="689">
        <v>2</v>
      </c>
      <c r="E55" s="690">
        <v>1</v>
      </c>
      <c r="F55" s="691">
        <v>1</v>
      </c>
      <c r="G55" s="691">
        <v>0</v>
      </c>
      <c r="H55" s="691">
        <v>0</v>
      </c>
      <c r="I55" s="691">
        <v>0</v>
      </c>
      <c r="J55" s="691">
        <v>0</v>
      </c>
      <c r="K55" s="691">
        <v>0</v>
      </c>
      <c r="L55" s="691">
        <v>0</v>
      </c>
      <c r="M55" s="692">
        <v>0</v>
      </c>
      <c r="N55" s="695"/>
      <c r="O55" s="692">
        <v>0</v>
      </c>
      <c r="P55" s="692">
        <v>1</v>
      </c>
      <c r="Q55" s="692">
        <v>1</v>
      </c>
      <c r="R55" s="403">
        <v>0</v>
      </c>
      <c r="S55" s="403">
        <v>0</v>
      </c>
    </row>
    <row r="56" spans="1:19" ht="16.5" customHeight="1">
      <c r="A56" s="687" t="s">
        <v>130</v>
      </c>
      <c r="B56" s="688" t="s">
        <v>131</v>
      </c>
      <c r="C56" s="612" t="s">
        <v>268</v>
      </c>
      <c r="D56" s="689">
        <v>7</v>
      </c>
      <c r="E56" s="690">
        <v>7</v>
      </c>
      <c r="F56" s="691">
        <v>0</v>
      </c>
      <c r="G56" s="691">
        <v>0</v>
      </c>
      <c r="H56" s="691">
        <v>0</v>
      </c>
      <c r="I56" s="691">
        <v>0</v>
      </c>
      <c r="J56" s="691">
        <v>0</v>
      </c>
      <c r="K56" s="691">
        <v>0</v>
      </c>
      <c r="L56" s="691">
        <v>0</v>
      </c>
      <c r="M56" s="692">
        <v>0</v>
      </c>
      <c r="N56" s="694"/>
      <c r="O56" s="692">
        <v>4</v>
      </c>
      <c r="P56" s="692">
        <v>2</v>
      </c>
      <c r="Q56" s="692">
        <v>1</v>
      </c>
      <c r="R56" s="403">
        <v>0</v>
      </c>
      <c r="S56" s="403">
        <v>0</v>
      </c>
    </row>
    <row r="57" spans="1:19" ht="16.5" customHeight="1">
      <c r="A57" s="687" t="s">
        <v>132</v>
      </c>
      <c r="B57" s="688" t="s">
        <v>133</v>
      </c>
      <c r="C57" s="612" t="s">
        <v>267</v>
      </c>
      <c r="D57" s="689">
        <v>6</v>
      </c>
      <c r="E57" s="690">
        <v>3</v>
      </c>
      <c r="F57" s="691">
        <v>2</v>
      </c>
      <c r="G57" s="691">
        <v>0</v>
      </c>
      <c r="H57" s="691">
        <v>0</v>
      </c>
      <c r="I57" s="691">
        <v>0</v>
      </c>
      <c r="J57" s="691">
        <v>0</v>
      </c>
      <c r="K57" s="691">
        <v>1</v>
      </c>
      <c r="L57" s="691">
        <v>0</v>
      </c>
      <c r="M57" s="699">
        <v>1</v>
      </c>
      <c r="N57" s="694"/>
      <c r="O57" s="692">
        <v>2</v>
      </c>
      <c r="P57" s="692">
        <v>1</v>
      </c>
      <c r="Q57" s="692">
        <v>3</v>
      </c>
      <c r="R57" s="403">
        <v>0</v>
      </c>
      <c r="S57" s="403">
        <v>0</v>
      </c>
    </row>
    <row r="58" spans="1:19" ht="16.5" customHeight="1">
      <c r="A58" s="687" t="s">
        <v>134</v>
      </c>
      <c r="B58" s="688" t="s">
        <v>135</v>
      </c>
      <c r="C58" s="612" t="s">
        <v>267</v>
      </c>
      <c r="D58" s="689">
        <v>1</v>
      </c>
      <c r="E58" s="690">
        <v>1</v>
      </c>
      <c r="F58" s="691">
        <v>0</v>
      </c>
      <c r="G58" s="691">
        <v>0</v>
      </c>
      <c r="H58" s="691">
        <v>0</v>
      </c>
      <c r="I58" s="691">
        <v>0</v>
      </c>
      <c r="J58" s="691">
        <v>0</v>
      </c>
      <c r="K58" s="691">
        <v>0</v>
      </c>
      <c r="L58" s="691">
        <v>0</v>
      </c>
      <c r="M58" s="692">
        <v>0</v>
      </c>
      <c r="N58" s="696"/>
      <c r="O58" s="692">
        <v>0</v>
      </c>
      <c r="P58" s="692">
        <v>0</v>
      </c>
      <c r="Q58" s="692">
        <v>1</v>
      </c>
      <c r="R58" s="403">
        <v>0</v>
      </c>
      <c r="S58" s="403">
        <v>0</v>
      </c>
    </row>
    <row r="59" spans="1:19" ht="16.5" customHeight="1">
      <c r="A59" s="687" t="s">
        <v>136</v>
      </c>
      <c r="B59" s="688" t="s">
        <v>137</v>
      </c>
      <c r="C59" s="612" t="s">
        <v>266</v>
      </c>
      <c r="D59" s="689">
        <v>7</v>
      </c>
      <c r="E59" s="698">
        <v>0</v>
      </c>
      <c r="F59" s="697">
        <v>7</v>
      </c>
      <c r="G59" s="697">
        <v>0</v>
      </c>
      <c r="H59" s="697">
        <v>0</v>
      </c>
      <c r="I59" s="697">
        <v>0</v>
      </c>
      <c r="J59" s="1274">
        <v>0</v>
      </c>
      <c r="K59" s="1687">
        <v>0</v>
      </c>
      <c r="L59" s="697">
        <v>0</v>
      </c>
      <c r="M59" s="692">
        <v>0</v>
      </c>
      <c r="N59" s="696"/>
      <c r="O59" s="692">
        <v>1</v>
      </c>
      <c r="P59" s="692">
        <v>3</v>
      </c>
      <c r="Q59" s="692">
        <v>2</v>
      </c>
      <c r="R59" s="403">
        <v>1</v>
      </c>
      <c r="S59" s="403">
        <v>0</v>
      </c>
    </row>
    <row r="60" spans="1:19" ht="16.5" customHeight="1">
      <c r="A60" s="687" t="s">
        <v>140</v>
      </c>
      <c r="B60" s="688" t="s">
        <v>141</v>
      </c>
      <c r="C60" s="612" t="s">
        <v>267</v>
      </c>
      <c r="D60" s="689">
        <v>3</v>
      </c>
      <c r="E60" s="690">
        <v>2</v>
      </c>
      <c r="F60" s="691">
        <v>0</v>
      </c>
      <c r="G60" s="691">
        <v>0</v>
      </c>
      <c r="H60" s="691">
        <v>0</v>
      </c>
      <c r="I60" s="691">
        <v>0</v>
      </c>
      <c r="J60" s="691">
        <v>1</v>
      </c>
      <c r="K60" s="691">
        <v>0</v>
      </c>
      <c r="L60" s="691">
        <v>0</v>
      </c>
      <c r="M60" s="692">
        <v>1</v>
      </c>
      <c r="N60" s="692"/>
      <c r="O60" s="692">
        <v>1</v>
      </c>
      <c r="P60" s="692">
        <v>1</v>
      </c>
      <c r="Q60" s="692">
        <v>1</v>
      </c>
      <c r="R60" s="403">
        <v>0</v>
      </c>
      <c r="S60" s="403">
        <v>0</v>
      </c>
    </row>
    <row r="61" spans="1:19" ht="16.5" customHeight="1">
      <c r="A61" s="687" t="s">
        <v>146</v>
      </c>
      <c r="B61" s="688" t="s">
        <v>147</v>
      </c>
      <c r="C61" s="612" t="s">
        <v>264</v>
      </c>
      <c r="D61" s="689">
        <v>2</v>
      </c>
      <c r="E61" s="690">
        <v>2</v>
      </c>
      <c r="F61" s="691">
        <v>0</v>
      </c>
      <c r="G61" s="691">
        <v>0</v>
      </c>
      <c r="H61" s="691">
        <v>0</v>
      </c>
      <c r="I61" s="691">
        <v>0</v>
      </c>
      <c r="J61" s="691">
        <v>0</v>
      </c>
      <c r="K61" s="691">
        <v>0</v>
      </c>
      <c r="L61" s="691">
        <v>0</v>
      </c>
      <c r="M61" s="692">
        <v>0</v>
      </c>
      <c r="N61" s="702"/>
      <c r="O61" s="692">
        <v>0</v>
      </c>
      <c r="P61" s="692">
        <v>1</v>
      </c>
      <c r="Q61" s="692">
        <v>1</v>
      </c>
      <c r="R61" s="403">
        <v>0</v>
      </c>
      <c r="S61" s="403">
        <v>0</v>
      </c>
    </row>
    <row r="62" spans="1:19" ht="16.5" customHeight="1">
      <c r="A62" s="687" t="s">
        <v>148</v>
      </c>
      <c r="B62" s="688" t="s">
        <v>149</v>
      </c>
      <c r="C62" s="612" t="s">
        <v>265</v>
      </c>
      <c r="D62" s="689">
        <v>1</v>
      </c>
      <c r="E62" s="690">
        <v>0</v>
      </c>
      <c r="F62" s="691">
        <v>1</v>
      </c>
      <c r="G62" s="691">
        <v>0</v>
      </c>
      <c r="H62" s="691">
        <v>0</v>
      </c>
      <c r="I62" s="691">
        <v>0</v>
      </c>
      <c r="J62" s="691">
        <v>0</v>
      </c>
      <c r="K62" s="691">
        <v>0</v>
      </c>
      <c r="L62" s="691">
        <v>0</v>
      </c>
      <c r="M62" s="692">
        <v>0</v>
      </c>
      <c r="N62" s="696"/>
      <c r="O62" s="692">
        <v>1</v>
      </c>
      <c r="P62" s="692">
        <v>0</v>
      </c>
      <c r="Q62" s="692">
        <v>0</v>
      </c>
      <c r="R62" s="403">
        <v>0</v>
      </c>
      <c r="S62" s="403">
        <v>0</v>
      </c>
    </row>
    <row r="63" spans="1:19" ht="16.5" customHeight="1">
      <c r="A63" s="687" t="s">
        <v>150</v>
      </c>
      <c r="B63" s="688" t="s">
        <v>151</v>
      </c>
      <c r="C63" s="612" t="s">
        <v>266</v>
      </c>
      <c r="D63" s="689">
        <v>1</v>
      </c>
      <c r="E63" s="698">
        <v>1</v>
      </c>
      <c r="F63" s="697">
        <v>0</v>
      </c>
      <c r="G63" s="697">
        <v>0</v>
      </c>
      <c r="H63" s="697">
        <v>0</v>
      </c>
      <c r="I63" s="697">
        <v>0</v>
      </c>
      <c r="J63" s="1274">
        <v>0</v>
      </c>
      <c r="K63" s="1687">
        <v>0</v>
      </c>
      <c r="L63" s="697">
        <v>0</v>
      </c>
      <c r="M63" s="692">
        <v>0</v>
      </c>
      <c r="N63" s="696"/>
      <c r="O63" s="692">
        <v>0</v>
      </c>
      <c r="P63" s="692">
        <v>0</v>
      </c>
      <c r="Q63" s="692">
        <v>1</v>
      </c>
      <c r="R63" s="403">
        <v>0</v>
      </c>
      <c r="S63" s="403">
        <v>0</v>
      </c>
    </row>
    <row r="64" spans="1:19" ht="16.5" customHeight="1">
      <c r="A64" s="687" t="s">
        <v>152</v>
      </c>
      <c r="B64" s="688" t="s">
        <v>153</v>
      </c>
      <c r="C64" s="612" t="s">
        <v>268</v>
      </c>
      <c r="D64" s="689">
        <v>6</v>
      </c>
      <c r="E64" s="690">
        <v>3</v>
      </c>
      <c r="F64" s="691">
        <v>0</v>
      </c>
      <c r="G64" s="691">
        <v>0</v>
      </c>
      <c r="H64" s="691">
        <v>0</v>
      </c>
      <c r="I64" s="691">
        <v>0</v>
      </c>
      <c r="J64" s="691">
        <v>3</v>
      </c>
      <c r="K64" s="691">
        <v>0</v>
      </c>
      <c r="L64" s="691">
        <v>0</v>
      </c>
      <c r="M64" s="692">
        <v>3</v>
      </c>
      <c r="N64" s="1266"/>
      <c r="O64" s="692">
        <v>2</v>
      </c>
      <c r="P64" s="696">
        <v>1</v>
      </c>
      <c r="Q64" s="692">
        <v>2</v>
      </c>
      <c r="R64" s="403">
        <v>1</v>
      </c>
      <c r="S64" s="403">
        <v>0</v>
      </c>
    </row>
    <row r="65" spans="1:19" ht="16.5" customHeight="1">
      <c r="A65" s="687" t="s">
        <v>154</v>
      </c>
      <c r="B65" s="688" t="s">
        <v>155</v>
      </c>
      <c r="C65" s="612" t="s">
        <v>265</v>
      </c>
      <c r="D65" s="700">
        <v>4</v>
      </c>
      <c r="E65" s="701">
        <v>4</v>
      </c>
      <c r="F65" s="697">
        <v>0</v>
      </c>
      <c r="G65" s="697">
        <v>0</v>
      </c>
      <c r="H65" s="697">
        <v>0</v>
      </c>
      <c r="I65" s="697">
        <v>0</v>
      </c>
      <c r="J65" s="1274">
        <v>0</v>
      </c>
      <c r="K65" s="1687">
        <v>0</v>
      </c>
      <c r="L65" s="697">
        <v>0</v>
      </c>
      <c r="M65" s="692">
        <v>0</v>
      </c>
      <c r="N65" s="1266"/>
      <c r="O65" s="692">
        <v>2</v>
      </c>
      <c r="P65" s="692">
        <v>1</v>
      </c>
      <c r="Q65" s="692">
        <v>1</v>
      </c>
      <c r="R65" s="403">
        <v>0</v>
      </c>
      <c r="S65" s="403">
        <v>0</v>
      </c>
    </row>
    <row r="66" spans="1:19" ht="16.5" customHeight="1">
      <c r="A66" s="687" t="s">
        <v>156</v>
      </c>
      <c r="B66" s="688" t="s">
        <v>157</v>
      </c>
      <c r="C66" s="612" t="s">
        <v>266</v>
      </c>
      <c r="D66" s="689">
        <v>1</v>
      </c>
      <c r="E66" s="690">
        <v>1</v>
      </c>
      <c r="F66" s="691">
        <v>0</v>
      </c>
      <c r="G66" s="1265">
        <v>0</v>
      </c>
      <c r="H66" s="1265">
        <v>0</v>
      </c>
      <c r="I66" s="1265">
        <v>0</v>
      </c>
      <c r="J66" s="1265">
        <v>0</v>
      </c>
      <c r="K66" s="1681">
        <v>0</v>
      </c>
      <c r="L66" s="1265">
        <v>0</v>
      </c>
      <c r="M66" s="692">
        <v>0</v>
      </c>
      <c r="N66" s="695"/>
      <c r="O66" s="692">
        <v>0</v>
      </c>
      <c r="P66" s="692">
        <v>0</v>
      </c>
      <c r="Q66" s="692">
        <v>1</v>
      </c>
      <c r="R66" s="403">
        <v>0</v>
      </c>
      <c r="S66" s="403">
        <v>0</v>
      </c>
    </row>
    <row r="67" spans="1:19" ht="16.5" customHeight="1">
      <c r="A67" s="687" t="s">
        <v>162</v>
      </c>
      <c r="B67" s="688" t="s">
        <v>163</v>
      </c>
      <c r="C67" s="612" t="s">
        <v>264</v>
      </c>
      <c r="D67" s="689">
        <v>0</v>
      </c>
      <c r="E67" s="690">
        <v>0</v>
      </c>
      <c r="F67" s="691">
        <v>0</v>
      </c>
      <c r="G67" s="691">
        <v>0</v>
      </c>
      <c r="H67" s="691">
        <v>0</v>
      </c>
      <c r="I67" s="691">
        <v>0</v>
      </c>
      <c r="J67" s="691">
        <v>0</v>
      </c>
      <c r="K67" s="691">
        <v>0</v>
      </c>
      <c r="L67" s="691">
        <v>0</v>
      </c>
      <c r="M67" s="695">
        <v>0</v>
      </c>
      <c r="N67" s="702"/>
      <c r="O67" s="692">
        <v>0</v>
      </c>
      <c r="P67" s="692">
        <v>0</v>
      </c>
      <c r="Q67" s="692">
        <v>0</v>
      </c>
      <c r="R67" s="403">
        <v>0</v>
      </c>
      <c r="S67" s="403">
        <v>0</v>
      </c>
    </row>
    <row r="68" spans="1:19" ht="16.5" customHeight="1">
      <c r="A68" s="687" t="s">
        <v>164</v>
      </c>
      <c r="B68" s="688" t="s">
        <v>165</v>
      </c>
      <c r="C68" s="612" t="s">
        <v>266</v>
      </c>
      <c r="D68" s="689">
        <v>1</v>
      </c>
      <c r="E68" s="690">
        <v>0</v>
      </c>
      <c r="F68" s="691">
        <v>1</v>
      </c>
      <c r="G68" s="691">
        <v>0</v>
      </c>
      <c r="H68" s="691">
        <v>0</v>
      </c>
      <c r="I68" s="691">
        <v>0</v>
      </c>
      <c r="J68" s="691">
        <v>0</v>
      </c>
      <c r="K68" s="691">
        <v>0</v>
      </c>
      <c r="L68" s="691">
        <v>0</v>
      </c>
      <c r="M68" s="692">
        <v>0</v>
      </c>
      <c r="N68" s="702"/>
      <c r="O68" s="692">
        <v>0</v>
      </c>
      <c r="P68" s="1266">
        <v>1</v>
      </c>
      <c r="Q68" s="692">
        <v>0</v>
      </c>
      <c r="R68" s="403">
        <v>0</v>
      </c>
      <c r="S68" s="403">
        <v>0</v>
      </c>
    </row>
    <row r="69" spans="1:19" ht="16.5" customHeight="1">
      <c r="A69" s="687" t="s">
        <v>168</v>
      </c>
      <c r="B69" s="688" t="s">
        <v>169</v>
      </c>
      <c r="C69" s="612" t="s">
        <v>266</v>
      </c>
      <c r="D69" s="689">
        <v>0</v>
      </c>
      <c r="E69" s="690">
        <v>0</v>
      </c>
      <c r="F69" s="691">
        <v>0</v>
      </c>
      <c r="G69" s="691">
        <v>0</v>
      </c>
      <c r="H69" s="691">
        <v>0</v>
      </c>
      <c r="I69" s="691">
        <v>0</v>
      </c>
      <c r="J69" s="691">
        <v>0</v>
      </c>
      <c r="K69" s="691">
        <v>0</v>
      </c>
      <c r="L69" s="691">
        <v>0</v>
      </c>
      <c r="M69" s="692">
        <v>0</v>
      </c>
      <c r="N69" s="694"/>
      <c r="O69" s="692">
        <v>0</v>
      </c>
      <c r="P69" s="692">
        <v>0</v>
      </c>
      <c r="Q69" s="692">
        <v>0</v>
      </c>
      <c r="R69" s="403">
        <v>0</v>
      </c>
      <c r="S69" s="403">
        <v>0</v>
      </c>
    </row>
    <row r="70" spans="1:19" ht="16.5" customHeight="1">
      <c r="A70" s="687" t="s">
        <v>170</v>
      </c>
      <c r="B70" s="688" t="s">
        <v>171</v>
      </c>
      <c r="C70" s="612" t="s">
        <v>267</v>
      </c>
      <c r="D70" s="689">
        <v>1</v>
      </c>
      <c r="E70" s="690">
        <v>1</v>
      </c>
      <c r="F70" s="691">
        <v>0</v>
      </c>
      <c r="G70" s="691">
        <v>0</v>
      </c>
      <c r="H70" s="691">
        <v>0</v>
      </c>
      <c r="I70" s="691">
        <v>0</v>
      </c>
      <c r="J70" s="691">
        <v>0</v>
      </c>
      <c r="K70" s="691">
        <v>0</v>
      </c>
      <c r="L70" s="691">
        <v>0</v>
      </c>
      <c r="M70" s="692">
        <v>0</v>
      </c>
      <c r="N70" s="694"/>
      <c r="O70" s="692">
        <v>0</v>
      </c>
      <c r="P70" s="695">
        <v>0</v>
      </c>
      <c r="Q70" s="692">
        <v>1</v>
      </c>
      <c r="R70" s="403">
        <v>0</v>
      </c>
      <c r="S70" s="403">
        <v>0</v>
      </c>
    </row>
    <row r="71" spans="1:19" ht="16.5" customHeight="1">
      <c r="A71" s="687" t="s">
        <v>172</v>
      </c>
      <c r="B71" s="688" t="s">
        <v>173</v>
      </c>
      <c r="C71" s="612" t="s">
        <v>267</v>
      </c>
      <c r="D71" s="689">
        <v>0</v>
      </c>
      <c r="E71" s="690">
        <v>0</v>
      </c>
      <c r="F71" s="691">
        <v>0</v>
      </c>
      <c r="G71" s="1265">
        <v>0</v>
      </c>
      <c r="H71" s="1265">
        <v>0</v>
      </c>
      <c r="I71" s="1265">
        <v>0</v>
      </c>
      <c r="J71" s="1265">
        <v>0</v>
      </c>
      <c r="K71" s="1681">
        <v>0</v>
      </c>
      <c r="L71" s="1265">
        <v>0</v>
      </c>
      <c r="M71" s="692">
        <v>0</v>
      </c>
      <c r="N71" s="1266"/>
      <c r="O71" s="692">
        <v>0</v>
      </c>
      <c r="P71" s="692">
        <v>0</v>
      </c>
      <c r="Q71" s="692">
        <v>0</v>
      </c>
      <c r="R71" s="403">
        <v>0</v>
      </c>
      <c r="S71" s="403">
        <v>0</v>
      </c>
    </row>
    <row r="72" spans="1:19" ht="16.5" customHeight="1">
      <c r="A72" s="687" t="s">
        <v>174</v>
      </c>
      <c r="B72" s="688" t="s">
        <v>175</v>
      </c>
      <c r="C72" s="612" t="s">
        <v>268</v>
      </c>
      <c r="D72" s="689">
        <v>0</v>
      </c>
      <c r="E72" s="690">
        <v>0</v>
      </c>
      <c r="F72" s="691">
        <v>0</v>
      </c>
      <c r="G72" s="1265">
        <v>0</v>
      </c>
      <c r="H72" s="1265">
        <v>0</v>
      </c>
      <c r="I72" s="1265">
        <v>0</v>
      </c>
      <c r="J72" s="1265">
        <v>0</v>
      </c>
      <c r="K72" s="1681">
        <v>0</v>
      </c>
      <c r="L72" s="1265">
        <v>0</v>
      </c>
      <c r="M72" s="692">
        <v>0</v>
      </c>
      <c r="N72" s="692"/>
      <c r="O72" s="692">
        <v>0</v>
      </c>
      <c r="P72" s="1266">
        <v>0</v>
      </c>
      <c r="Q72" s="692">
        <v>0</v>
      </c>
      <c r="R72" s="403">
        <v>0</v>
      </c>
      <c r="S72" s="403">
        <v>0</v>
      </c>
    </row>
    <row r="73" spans="1:19" ht="16.5" customHeight="1">
      <c r="A73" s="687" t="s">
        <v>178</v>
      </c>
      <c r="B73" s="688" t="s">
        <v>179</v>
      </c>
      <c r="C73" s="612" t="s">
        <v>265</v>
      </c>
      <c r="D73" s="689">
        <v>0</v>
      </c>
      <c r="E73" s="690">
        <v>0</v>
      </c>
      <c r="F73" s="691">
        <v>0</v>
      </c>
      <c r="G73" s="691">
        <v>0</v>
      </c>
      <c r="H73" s="691">
        <v>0</v>
      </c>
      <c r="I73" s="691">
        <v>0</v>
      </c>
      <c r="J73" s="691">
        <v>0</v>
      </c>
      <c r="K73" s="691">
        <v>0</v>
      </c>
      <c r="L73" s="691">
        <v>0</v>
      </c>
      <c r="M73" s="692">
        <v>0</v>
      </c>
      <c r="N73" s="696"/>
      <c r="O73" s="692">
        <v>0</v>
      </c>
      <c r="P73" s="696">
        <v>0</v>
      </c>
      <c r="Q73" s="692">
        <v>0</v>
      </c>
      <c r="R73" s="403">
        <v>0</v>
      </c>
      <c r="S73" s="403">
        <v>0</v>
      </c>
    </row>
    <row r="74" spans="1:19" ht="16.5" customHeight="1">
      <c r="A74" s="687" t="s">
        <v>182</v>
      </c>
      <c r="B74" s="688" t="s">
        <v>183</v>
      </c>
      <c r="C74" s="612" t="s">
        <v>266</v>
      </c>
      <c r="D74" s="689">
        <v>0</v>
      </c>
      <c r="E74" s="690">
        <v>0</v>
      </c>
      <c r="F74" s="691">
        <v>0</v>
      </c>
      <c r="G74" s="1265">
        <v>0</v>
      </c>
      <c r="H74" s="1265">
        <v>0</v>
      </c>
      <c r="I74" s="1265">
        <v>0</v>
      </c>
      <c r="J74" s="1265">
        <v>0</v>
      </c>
      <c r="K74" s="1681">
        <v>0</v>
      </c>
      <c r="L74" s="1265">
        <v>0</v>
      </c>
      <c r="M74" s="692">
        <v>0</v>
      </c>
      <c r="N74" s="696"/>
      <c r="O74" s="692">
        <v>0</v>
      </c>
      <c r="P74" s="692">
        <v>0</v>
      </c>
      <c r="Q74" s="692">
        <v>0</v>
      </c>
      <c r="R74" s="403">
        <v>0</v>
      </c>
      <c r="S74" s="403">
        <v>0</v>
      </c>
    </row>
    <row r="75" spans="1:19" ht="16.5" customHeight="1">
      <c r="A75" s="687" t="s">
        <v>184</v>
      </c>
      <c r="B75" s="688" t="s">
        <v>185</v>
      </c>
      <c r="C75" s="612" t="s">
        <v>266</v>
      </c>
      <c r="D75" s="689">
        <v>0</v>
      </c>
      <c r="E75" s="690">
        <v>0</v>
      </c>
      <c r="F75" s="691">
        <v>0</v>
      </c>
      <c r="G75" s="691">
        <v>0</v>
      </c>
      <c r="H75" s="691">
        <v>0</v>
      </c>
      <c r="I75" s="691">
        <v>0</v>
      </c>
      <c r="J75" s="691">
        <v>0</v>
      </c>
      <c r="K75" s="691">
        <v>0</v>
      </c>
      <c r="L75" s="691">
        <v>0</v>
      </c>
      <c r="M75" s="692">
        <v>0</v>
      </c>
      <c r="N75" s="694"/>
      <c r="O75" s="692">
        <v>0</v>
      </c>
      <c r="P75" s="692">
        <v>0</v>
      </c>
      <c r="Q75" s="692">
        <v>0</v>
      </c>
      <c r="R75" s="403">
        <v>0</v>
      </c>
      <c r="S75" s="403">
        <v>0</v>
      </c>
    </row>
    <row r="76" spans="1:19" ht="16.5" customHeight="1">
      <c r="A76" s="687" t="s">
        <v>186</v>
      </c>
      <c r="B76" s="688" t="s">
        <v>187</v>
      </c>
      <c r="C76" s="612" t="s">
        <v>264</v>
      </c>
      <c r="D76" s="689">
        <v>5</v>
      </c>
      <c r="E76" s="690">
        <v>4</v>
      </c>
      <c r="F76" s="691">
        <v>1</v>
      </c>
      <c r="G76" s="691">
        <v>0</v>
      </c>
      <c r="H76" s="691">
        <v>0</v>
      </c>
      <c r="I76" s="691">
        <v>0</v>
      </c>
      <c r="J76" s="691">
        <v>0</v>
      </c>
      <c r="K76" s="691">
        <v>0</v>
      </c>
      <c r="L76" s="691">
        <v>0</v>
      </c>
      <c r="M76" s="692">
        <v>0</v>
      </c>
      <c r="N76" s="702"/>
      <c r="O76" s="692">
        <v>2</v>
      </c>
      <c r="P76" s="692">
        <v>2</v>
      </c>
      <c r="Q76" s="692">
        <v>1</v>
      </c>
      <c r="R76" s="403">
        <v>0</v>
      </c>
      <c r="S76" s="403">
        <v>0</v>
      </c>
    </row>
    <row r="77" spans="1:19" ht="16.5" customHeight="1">
      <c r="A77" s="687" t="s">
        <v>188</v>
      </c>
      <c r="B77" s="688" t="s">
        <v>189</v>
      </c>
      <c r="C77" s="612" t="s">
        <v>267</v>
      </c>
      <c r="D77" s="689">
        <v>17</v>
      </c>
      <c r="E77" s="690">
        <v>5</v>
      </c>
      <c r="F77" s="691">
        <v>12</v>
      </c>
      <c r="G77" s="691">
        <v>0</v>
      </c>
      <c r="H77" s="691">
        <v>0</v>
      </c>
      <c r="I77" s="691">
        <v>0</v>
      </c>
      <c r="J77" s="691">
        <v>0</v>
      </c>
      <c r="K77" s="691">
        <v>0</v>
      </c>
      <c r="L77" s="691">
        <v>0</v>
      </c>
      <c r="M77" s="692">
        <v>0</v>
      </c>
      <c r="N77" s="696"/>
      <c r="O77" s="692">
        <v>8</v>
      </c>
      <c r="P77" s="694">
        <v>6</v>
      </c>
      <c r="Q77" s="692">
        <v>3</v>
      </c>
      <c r="R77" s="403">
        <v>0</v>
      </c>
      <c r="S77" s="403">
        <v>0</v>
      </c>
    </row>
    <row r="78" spans="1:19" ht="16.5" customHeight="1">
      <c r="A78" s="687" t="s">
        <v>190</v>
      </c>
      <c r="B78" s="688" t="s">
        <v>191</v>
      </c>
      <c r="C78" s="612" t="s">
        <v>268</v>
      </c>
      <c r="D78" s="689">
        <v>18</v>
      </c>
      <c r="E78" s="690">
        <v>8</v>
      </c>
      <c r="F78" s="691">
        <v>0</v>
      </c>
      <c r="G78" s="691">
        <v>0</v>
      </c>
      <c r="H78" s="691">
        <v>0</v>
      </c>
      <c r="I78" s="691">
        <v>0</v>
      </c>
      <c r="J78" s="691">
        <v>9</v>
      </c>
      <c r="K78" s="691">
        <v>1</v>
      </c>
      <c r="L78" s="691">
        <v>0</v>
      </c>
      <c r="M78" s="692">
        <v>10</v>
      </c>
      <c r="N78" s="696"/>
      <c r="O78" s="692">
        <v>9</v>
      </c>
      <c r="P78" s="692">
        <v>5</v>
      </c>
      <c r="Q78" s="692">
        <v>4</v>
      </c>
      <c r="R78" s="403">
        <v>0</v>
      </c>
      <c r="S78" s="403">
        <v>0</v>
      </c>
    </row>
    <row r="79" spans="1:19" ht="16.5" customHeight="1">
      <c r="A79" s="687" t="s">
        <v>194</v>
      </c>
      <c r="B79" s="688" t="s">
        <v>195</v>
      </c>
      <c r="C79" s="612" t="s">
        <v>267</v>
      </c>
      <c r="D79" s="689">
        <v>1</v>
      </c>
      <c r="E79" s="690">
        <v>0</v>
      </c>
      <c r="F79" s="691">
        <v>1</v>
      </c>
      <c r="G79" s="1265">
        <v>0</v>
      </c>
      <c r="H79" s="1265">
        <v>0</v>
      </c>
      <c r="I79" s="1265">
        <v>0</v>
      </c>
      <c r="J79" s="1265">
        <v>0</v>
      </c>
      <c r="K79" s="1681">
        <v>0</v>
      </c>
      <c r="L79" s="1265">
        <v>0</v>
      </c>
      <c r="M79" s="692">
        <v>0</v>
      </c>
      <c r="N79" s="692"/>
      <c r="O79" s="692">
        <v>0</v>
      </c>
      <c r="P79" s="692">
        <v>1</v>
      </c>
      <c r="Q79" s="692">
        <v>0</v>
      </c>
      <c r="R79" s="403">
        <v>0</v>
      </c>
      <c r="S79" s="403">
        <v>0</v>
      </c>
    </row>
    <row r="80" spans="1:19" ht="16.5" customHeight="1">
      <c r="A80" s="687" t="s">
        <v>198</v>
      </c>
      <c r="B80" s="688" t="s">
        <v>199</v>
      </c>
      <c r="C80" s="612" t="s">
        <v>266</v>
      </c>
      <c r="D80" s="689">
        <v>3</v>
      </c>
      <c r="E80" s="690">
        <v>0</v>
      </c>
      <c r="F80" s="691">
        <v>0</v>
      </c>
      <c r="G80" s="691">
        <v>0</v>
      </c>
      <c r="H80" s="691">
        <v>0</v>
      </c>
      <c r="I80" s="691">
        <v>0</v>
      </c>
      <c r="J80" s="691">
        <v>1</v>
      </c>
      <c r="K80" s="691">
        <v>2</v>
      </c>
      <c r="L80" s="691">
        <v>0</v>
      </c>
      <c r="M80" s="692">
        <v>3</v>
      </c>
      <c r="N80" s="702"/>
      <c r="O80" s="692">
        <v>2</v>
      </c>
      <c r="P80" s="1266">
        <v>1</v>
      </c>
      <c r="Q80" s="692">
        <v>0</v>
      </c>
      <c r="R80" s="403">
        <v>0</v>
      </c>
      <c r="S80" s="403">
        <v>0</v>
      </c>
    </row>
    <row r="81" spans="1:19" ht="16.5" customHeight="1">
      <c r="A81" s="687" t="s">
        <v>202</v>
      </c>
      <c r="B81" s="688" t="s">
        <v>203</v>
      </c>
      <c r="C81" s="612" t="s">
        <v>265</v>
      </c>
      <c r="D81" s="689">
        <v>22</v>
      </c>
      <c r="E81" s="690">
        <v>17</v>
      </c>
      <c r="F81" s="691">
        <v>0</v>
      </c>
      <c r="G81" s="691">
        <v>0</v>
      </c>
      <c r="H81" s="691">
        <v>0</v>
      </c>
      <c r="I81" s="691">
        <v>0</v>
      </c>
      <c r="J81" s="691">
        <v>5</v>
      </c>
      <c r="K81" s="691">
        <v>0</v>
      </c>
      <c r="L81" s="691">
        <v>0</v>
      </c>
      <c r="M81" s="692">
        <v>5</v>
      </c>
      <c r="N81" s="694"/>
      <c r="O81" s="695">
        <v>11</v>
      </c>
      <c r="P81" s="692">
        <v>6</v>
      </c>
      <c r="Q81" s="692">
        <v>4</v>
      </c>
      <c r="R81" s="403">
        <v>1</v>
      </c>
      <c r="S81" s="403">
        <v>0</v>
      </c>
    </row>
    <row r="82" spans="1:19" ht="16.5" customHeight="1">
      <c r="A82" s="687" t="s">
        <v>204</v>
      </c>
      <c r="B82" s="688" t="s">
        <v>205</v>
      </c>
      <c r="C82" s="612" t="s">
        <v>265</v>
      </c>
      <c r="D82" s="689">
        <v>0</v>
      </c>
      <c r="E82" s="690">
        <v>0</v>
      </c>
      <c r="F82" s="691">
        <v>0</v>
      </c>
      <c r="G82" s="1265">
        <v>0</v>
      </c>
      <c r="H82" s="1265">
        <v>0</v>
      </c>
      <c r="I82" s="1265">
        <v>0</v>
      </c>
      <c r="J82" s="1265">
        <v>0</v>
      </c>
      <c r="K82" s="1681">
        <v>0</v>
      </c>
      <c r="L82" s="1265">
        <v>0</v>
      </c>
      <c r="M82" s="692">
        <v>0</v>
      </c>
      <c r="N82" s="696"/>
      <c r="O82" s="692">
        <v>0</v>
      </c>
      <c r="P82" s="692">
        <v>0</v>
      </c>
      <c r="Q82" s="692">
        <v>0</v>
      </c>
      <c r="R82" s="403">
        <v>0</v>
      </c>
      <c r="S82" s="403">
        <v>0</v>
      </c>
    </row>
    <row r="83" spans="1:19" ht="16.5" customHeight="1">
      <c r="A83" s="687" t="s">
        <v>206</v>
      </c>
      <c r="B83" s="688" t="s">
        <v>207</v>
      </c>
      <c r="C83" s="612" t="s">
        <v>267</v>
      </c>
      <c r="D83" s="689">
        <v>33</v>
      </c>
      <c r="E83" s="690">
        <v>22</v>
      </c>
      <c r="F83" s="691">
        <v>3</v>
      </c>
      <c r="G83" s="691">
        <v>0</v>
      </c>
      <c r="H83" s="691">
        <v>0</v>
      </c>
      <c r="I83" s="691">
        <v>0</v>
      </c>
      <c r="J83" s="691">
        <v>6</v>
      </c>
      <c r="K83" s="691">
        <v>2</v>
      </c>
      <c r="L83" s="691">
        <v>0</v>
      </c>
      <c r="M83" s="692">
        <v>8</v>
      </c>
      <c r="N83" s="696"/>
      <c r="O83" s="692">
        <v>18</v>
      </c>
      <c r="P83" s="696">
        <v>9</v>
      </c>
      <c r="Q83" s="692">
        <v>4</v>
      </c>
      <c r="R83" s="403">
        <v>2</v>
      </c>
      <c r="S83" s="403">
        <v>0</v>
      </c>
    </row>
    <row r="84" spans="1:19" ht="16.5" customHeight="1">
      <c r="A84" s="687" t="s">
        <v>208</v>
      </c>
      <c r="B84" s="688" t="s">
        <v>209</v>
      </c>
      <c r="C84" s="612" t="s">
        <v>268</v>
      </c>
      <c r="D84" s="689">
        <v>3</v>
      </c>
      <c r="E84" s="690">
        <v>3</v>
      </c>
      <c r="F84" s="691">
        <v>0</v>
      </c>
      <c r="G84" s="1265">
        <v>0</v>
      </c>
      <c r="H84" s="1265">
        <v>0</v>
      </c>
      <c r="I84" s="1265">
        <v>0</v>
      </c>
      <c r="J84" s="1265">
        <v>0</v>
      </c>
      <c r="K84" s="1681">
        <v>0</v>
      </c>
      <c r="L84" s="1265">
        <v>0</v>
      </c>
      <c r="M84" s="692">
        <v>0</v>
      </c>
      <c r="N84" s="695"/>
      <c r="O84" s="692">
        <v>2</v>
      </c>
      <c r="P84" s="692">
        <v>1</v>
      </c>
      <c r="Q84" s="692">
        <v>0</v>
      </c>
      <c r="R84" s="403">
        <v>0</v>
      </c>
      <c r="S84" s="403">
        <v>0</v>
      </c>
    </row>
    <row r="85" spans="1:19" ht="16.5" customHeight="1">
      <c r="A85" s="687" t="s">
        <v>210</v>
      </c>
      <c r="B85" s="688" t="s">
        <v>211</v>
      </c>
      <c r="C85" s="612" t="s">
        <v>268</v>
      </c>
      <c r="D85" s="689">
        <v>0</v>
      </c>
      <c r="E85" s="690">
        <v>0</v>
      </c>
      <c r="F85" s="691">
        <v>0</v>
      </c>
      <c r="G85" s="1265">
        <v>0</v>
      </c>
      <c r="H85" s="1265">
        <v>0</v>
      </c>
      <c r="I85" s="1265">
        <v>0</v>
      </c>
      <c r="J85" s="1265">
        <v>0</v>
      </c>
      <c r="K85" s="1681">
        <v>0</v>
      </c>
      <c r="L85" s="1265">
        <v>0</v>
      </c>
      <c r="M85" s="692">
        <v>0</v>
      </c>
      <c r="N85" s="702"/>
      <c r="O85" s="692">
        <v>0</v>
      </c>
      <c r="P85" s="1266">
        <v>0</v>
      </c>
      <c r="Q85" s="692">
        <v>0</v>
      </c>
      <c r="R85" s="403">
        <v>0</v>
      </c>
      <c r="S85" s="403">
        <v>0</v>
      </c>
    </row>
    <row r="86" spans="1:19" ht="16.5" customHeight="1">
      <c r="A86" s="687" t="s">
        <v>212</v>
      </c>
      <c r="B86" s="688" t="s">
        <v>213</v>
      </c>
      <c r="C86" s="612" t="s">
        <v>267</v>
      </c>
      <c r="D86" s="689">
        <v>0</v>
      </c>
      <c r="E86" s="690">
        <v>0</v>
      </c>
      <c r="F86" s="691">
        <v>0</v>
      </c>
      <c r="G86" s="691">
        <v>0</v>
      </c>
      <c r="H86" s="691">
        <v>0</v>
      </c>
      <c r="I86" s="691">
        <v>0</v>
      </c>
      <c r="J86" s="691">
        <v>0</v>
      </c>
      <c r="K86" s="691">
        <v>0</v>
      </c>
      <c r="L86" s="691">
        <v>0</v>
      </c>
      <c r="M86" s="692">
        <v>0</v>
      </c>
      <c r="N86" s="694"/>
      <c r="O86" s="692">
        <v>0</v>
      </c>
      <c r="P86" s="692">
        <v>0</v>
      </c>
      <c r="Q86" s="692">
        <v>0</v>
      </c>
      <c r="R86" s="403">
        <v>0</v>
      </c>
      <c r="S86" s="403">
        <v>0</v>
      </c>
    </row>
    <row r="87" spans="1:19" ht="16.5" customHeight="1">
      <c r="A87" s="687" t="s">
        <v>214</v>
      </c>
      <c r="B87" s="688" t="s">
        <v>215</v>
      </c>
      <c r="C87" s="612" t="s">
        <v>268</v>
      </c>
      <c r="D87" s="689">
        <v>5</v>
      </c>
      <c r="E87" s="690">
        <v>5</v>
      </c>
      <c r="F87" s="691">
        <v>0</v>
      </c>
      <c r="G87" s="1265">
        <v>0</v>
      </c>
      <c r="H87" s="1265">
        <v>0</v>
      </c>
      <c r="I87" s="1265">
        <v>0</v>
      </c>
      <c r="J87" s="1265">
        <v>0</v>
      </c>
      <c r="K87" s="1681">
        <v>0</v>
      </c>
      <c r="L87" s="1265">
        <v>0</v>
      </c>
      <c r="M87" s="692">
        <v>0</v>
      </c>
      <c r="N87" s="696"/>
      <c r="O87" s="692">
        <v>4</v>
      </c>
      <c r="P87" s="692">
        <v>1</v>
      </c>
      <c r="Q87" s="692">
        <v>0</v>
      </c>
      <c r="R87" s="403">
        <v>0</v>
      </c>
      <c r="S87" s="403">
        <v>0</v>
      </c>
    </row>
    <row r="88" spans="1:19" ht="16.5" customHeight="1">
      <c r="A88" s="687" t="s">
        <v>216</v>
      </c>
      <c r="B88" s="688" t="s">
        <v>217</v>
      </c>
      <c r="C88" s="612" t="s">
        <v>264</v>
      </c>
      <c r="D88" s="689">
        <v>0</v>
      </c>
      <c r="E88" s="690">
        <v>0</v>
      </c>
      <c r="F88" s="691">
        <v>0</v>
      </c>
      <c r="G88" s="691">
        <v>0</v>
      </c>
      <c r="H88" s="691">
        <v>0</v>
      </c>
      <c r="I88" s="691">
        <v>0</v>
      </c>
      <c r="J88" s="691">
        <v>0</v>
      </c>
      <c r="K88" s="691">
        <v>0</v>
      </c>
      <c r="L88" s="691">
        <v>0</v>
      </c>
      <c r="M88" s="692">
        <v>0</v>
      </c>
      <c r="N88" s="692"/>
      <c r="O88" s="692">
        <v>0</v>
      </c>
      <c r="P88" s="696">
        <v>0</v>
      </c>
      <c r="Q88" s="692">
        <v>0</v>
      </c>
      <c r="R88" s="403">
        <v>0</v>
      </c>
      <c r="S88" s="403">
        <v>0</v>
      </c>
    </row>
    <row r="89" spans="1:19" ht="16.5" customHeight="1">
      <c r="A89" s="687" t="s">
        <v>218</v>
      </c>
      <c r="B89" s="688" t="s">
        <v>219</v>
      </c>
      <c r="C89" s="612" t="s">
        <v>267</v>
      </c>
      <c r="D89" s="689">
        <v>6</v>
      </c>
      <c r="E89" s="690">
        <v>4</v>
      </c>
      <c r="F89" s="691">
        <v>1</v>
      </c>
      <c r="G89" s="691">
        <v>0</v>
      </c>
      <c r="H89" s="691">
        <v>0</v>
      </c>
      <c r="I89" s="691">
        <v>0</v>
      </c>
      <c r="J89" s="691">
        <v>1</v>
      </c>
      <c r="K89" s="691">
        <v>0</v>
      </c>
      <c r="L89" s="691">
        <v>0</v>
      </c>
      <c r="M89" s="692">
        <v>1</v>
      </c>
      <c r="N89" s="702"/>
      <c r="O89" s="692">
        <v>3</v>
      </c>
      <c r="P89" s="702">
        <v>1</v>
      </c>
      <c r="Q89" s="692">
        <v>1</v>
      </c>
      <c r="R89" s="403">
        <v>1</v>
      </c>
      <c r="S89" s="403">
        <v>0</v>
      </c>
    </row>
    <row r="90" spans="1:19" ht="16.5" customHeight="1">
      <c r="A90" s="687" t="s">
        <v>220</v>
      </c>
      <c r="B90" s="688" t="s">
        <v>221</v>
      </c>
      <c r="C90" s="612" t="s">
        <v>267</v>
      </c>
      <c r="D90" s="689">
        <v>10</v>
      </c>
      <c r="E90" s="690">
        <v>1</v>
      </c>
      <c r="F90" s="691">
        <v>7</v>
      </c>
      <c r="G90" s="691">
        <v>0</v>
      </c>
      <c r="H90" s="691">
        <v>0</v>
      </c>
      <c r="I90" s="691">
        <v>0</v>
      </c>
      <c r="J90" s="691">
        <v>1</v>
      </c>
      <c r="K90" s="691">
        <v>1</v>
      </c>
      <c r="L90" s="691">
        <v>0</v>
      </c>
      <c r="M90" s="692">
        <v>2</v>
      </c>
      <c r="N90" s="694"/>
      <c r="O90" s="692">
        <v>5</v>
      </c>
      <c r="P90" s="694">
        <v>1</v>
      </c>
      <c r="Q90" s="692">
        <v>4</v>
      </c>
      <c r="R90" s="403">
        <v>0</v>
      </c>
      <c r="S90" s="403">
        <v>0</v>
      </c>
    </row>
    <row r="91" spans="1:19" ht="16.5" customHeight="1">
      <c r="A91" s="687" t="s">
        <v>224</v>
      </c>
      <c r="B91" s="688" t="s">
        <v>225</v>
      </c>
      <c r="C91" s="612" t="s">
        <v>264</v>
      </c>
      <c r="D91" s="689">
        <v>0</v>
      </c>
      <c r="E91" s="698">
        <v>0</v>
      </c>
      <c r="F91" s="697">
        <v>0</v>
      </c>
      <c r="G91" s="697">
        <v>0</v>
      </c>
      <c r="H91" s="697">
        <v>0</v>
      </c>
      <c r="I91" s="697">
        <v>0</v>
      </c>
      <c r="J91" s="1274">
        <v>0</v>
      </c>
      <c r="K91" s="1687">
        <v>0</v>
      </c>
      <c r="L91" s="697">
        <v>0</v>
      </c>
      <c r="M91" s="692">
        <v>0</v>
      </c>
      <c r="N91" s="702"/>
      <c r="O91" s="692">
        <v>0</v>
      </c>
      <c r="P91" s="692">
        <v>0</v>
      </c>
      <c r="Q91" s="692">
        <v>0</v>
      </c>
      <c r="R91" s="403">
        <v>0</v>
      </c>
      <c r="S91" s="403">
        <v>0</v>
      </c>
    </row>
    <row r="92" spans="1:19" ht="16.5" customHeight="1">
      <c r="A92" s="687" t="s">
        <v>226</v>
      </c>
      <c r="B92" s="688" t="s">
        <v>227</v>
      </c>
      <c r="C92" s="612" t="s">
        <v>264</v>
      </c>
      <c r="D92" s="689">
        <v>0</v>
      </c>
      <c r="E92" s="690">
        <v>0</v>
      </c>
      <c r="F92" s="691">
        <v>0</v>
      </c>
      <c r="G92" s="691">
        <v>0</v>
      </c>
      <c r="H92" s="691">
        <v>0</v>
      </c>
      <c r="I92" s="691">
        <v>0</v>
      </c>
      <c r="J92" s="691">
        <v>0</v>
      </c>
      <c r="K92" s="691">
        <v>0</v>
      </c>
      <c r="L92" s="691">
        <v>0</v>
      </c>
      <c r="M92" s="692">
        <v>0</v>
      </c>
      <c r="N92" s="702"/>
      <c r="O92" s="1266">
        <v>0</v>
      </c>
      <c r="P92" s="692">
        <v>0</v>
      </c>
      <c r="Q92" s="692">
        <v>0</v>
      </c>
      <c r="R92" s="403">
        <v>0</v>
      </c>
      <c r="S92" s="403">
        <v>0</v>
      </c>
    </row>
    <row r="93" spans="1:19" ht="16.5" customHeight="1">
      <c r="A93" s="687" t="s">
        <v>228</v>
      </c>
      <c r="B93" s="688" t="s">
        <v>229</v>
      </c>
      <c r="C93" s="612" t="s">
        <v>268</v>
      </c>
      <c r="D93" s="689">
        <v>14</v>
      </c>
      <c r="E93" s="690">
        <v>13</v>
      </c>
      <c r="F93" s="691">
        <v>0</v>
      </c>
      <c r="G93" s="691">
        <v>0</v>
      </c>
      <c r="H93" s="691">
        <v>0</v>
      </c>
      <c r="I93" s="691">
        <v>0</v>
      </c>
      <c r="J93" s="691">
        <v>1</v>
      </c>
      <c r="K93" s="691">
        <v>0</v>
      </c>
      <c r="L93" s="691">
        <v>0</v>
      </c>
      <c r="M93" s="692">
        <v>1</v>
      </c>
      <c r="N93" s="702"/>
      <c r="O93" s="692">
        <v>4</v>
      </c>
      <c r="P93" s="692">
        <v>5</v>
      </c>
      <c r="Q93" s="692">
        <v>3</v>
      </c>
      <c r="R93" s="403">
        <v>2</v>
      </c>
      <c r="S93" s="403">
        <v>0</v>
      </c>
    </row>
    <row r="94" spans="1:19" ht="16.5" customHeight="1">
      <c r="A94" s="687" t="s">
        <v>232</v>
      </c>
      <c r="B94" s="688" t="s">
        <v>233</v>
      </c>
      <c r="C94" s="612" t="s">
        <v>267</v>
      </c>
      <c r="D94" s="689">
        <v>0</v>
      </c>
      <c r="E94" s="690">
        <v>0</v>
      </c>
      <c r="F94" s="691">
        <v>0</v>
      </c>
      <c r="G94" s="691">
        <v>0</v>
      </c>
      <c r="H94" s="691">
        <v>0</v>
      </c>
      <c r="I94" s="691">
        <v>0</v>
      </c>
      <c r="J94" s="691">
        <v>0</v>
      </c>
      <c r="K94" s="691">
        <v>0</v>
      </c>
      <c r="L94" s="691">
        <v>0</v>
      </c>
      <c r="M94" s="692">
        <v>0</v>
      </c>
      <c r="N94" s="696"/>
      <c r="O94" s="692">
        <v>0</v>
      </c>
      <c r="P94" s="692">
        <v>0</v>
      </c>
      <c r="Q94" s="692">
        <v>0</v>
      </c>
      <c r="R94" s="403">
        <v>0</v>
      </c>
      <c r="S94" s="403">
        <v>0</v>
      </c>
    </row>
    <row r="95" spans="1:19" ht="16.5" customHeight="1">
      <c r="A95" s="687" t="s">
        <v>234</v>
      </c>
      <c r="B95" s="688" t="s">
        <v>235</v>
      </c>
      <c r="C95" s="612" t="s">
        <v>268</v>
      </c>
      <c r="D95" s="689">
        <v>6</v>
      </c>
      <c r="E95" s="690">
        <v>5</v>
      </c>
      <c r="F95" s="691">
        <v>0</v>
      </c>
      <c r="G95" s="1265">
        <v>0</v>
      </c>
      <c r="H95" s="1265">
        <v>0</v>
      </c>
      <c r="I95" s="1265">
        <v>0</v>
      </c>
      <c r="J95" s="1265">
        <v>0</v>
      </c>
      <c r="K95" s="1681">
        <v>1</v>
      </c>
      <c r="L95" s="1265">
        <v>0</v>
      </c>
      <c r="M95" s="692">
        <v>1</v>
      </c>
      <c r="N95" s="694"/>
      <c r="O95" s="692">
        <v>4</v>
      </c>
      <c r="P95" s="695">
        <v>2</v>
      </c>
      <c r="Q95" s="692">
        <v>0</v>
      </c>
      <c r="R95" s="403">
        <v>0</v>
      </c>
      <c r="S95" s="403">
        <v>0</v>
      </c>
    </row>
    <row r="96" spans="1:19" ht="16.5" customHeight="1">
      <c r="A96" s="687" t="s">
        <v>236</v>
      </c>
      <c r="B96" s="688" t="s">
        <v>237</v>
      </c>
      <c r="C96" s="612" t="s">
        <v>266</v>
      </c>
      <c r="D96" s="689">
        <v>0</v>
      </c>
      <c r="E96" s="690">
        <v>0</v>
      </c>
      <c r="F96" s="691">
        <v>0</v>
      </c>
      <c r="G96" s="691">
        <v>0</v>
      </c>
      <c r="H96" s="691">
        <v>0</v>
      </c>
      <c r="I96" s="691">
        <v>0</v>
      </c>
      <c r="J96" s="691">
        <v>0</v>
      </c>
      <c r="K96" s="691">
        <v>0</v>
      </c>
      <c r="L96" s="691">
        <v>0</v>
      </c>
      <c r="M96" s="692">
        <v>0</v>
      </c>
      <c r="N96" s="694"/>
      <c r="O96" s="692">
        <v>0</v>
      </c>
      <c r="P96" s="1266">
        <v>0</v>
      </c>
      <c r="Q96" s="692">
        <v>0</v>
      </c>
      <c r="R96" s="403">
        <v>0</v>
      </c>
      <c r="S96" s="403">
        <v>0</v>
      </c>
    </row>
    <row r="97" spans="1:19" ht="16.5" customHeight="1">
      <c r="A97" s="687" t="s">
        <v>242</v>
      </c>
      <c r="B97" s="688" t="s">
        <v>243</v>
      </c>
      <c r="C97" s="612" t="s">
        <v>268</v>
      </c>
      <c r="D97" s="689">
        <v>19</v>
      </c>
      <c r="E97" s="690">
        <v>18</v>
      </c>
      <c r="F97" s="691">
        <v>1</v>
      </c>
      <c r="G97" s="691">
        <v>0</v>
      </c>
      <c r="H97" s="691">
        <v>0</v>
      </c>
      <c r="I97" s="691">
        <v>0</v>
      </c>
      <c r="J97" s="691">
        <v>0</v>
      </c>
      <c r="K97" s="691">
        <v>0</v>
      </c>
      <c r="L97" s="691">
        <v>0</v>
      </c>
      <c r="M97" s="692">
        <v>0</v>
      </c>
      <c r="N97" s="1266"/>
      <c r="O97" s="692">
        <v>7</v>
      </c>
      <c r="P97" s="1266">
        <v>7</v>
      </c>
      <c r="Q97" s="692">
        <v>4</v>
      </c>
      <c r="R97" s="403">
        <v>1</v>
      </c>
      <c r="S97" s="403">
        <v>0</v>
      </c>
    </row>
    <row r="98" spans="1:19" ht="16.5" customHeight="1">
      <c r="A98" s="687" t="s">
        <v>244</v>
      </c>
      <c r="B98" s="688" t="s">
        <v>245</v>
      </c>
      <c r="C98" s="612" t="s">
        <v>268</v>
      </c>
      <c r="D98" s="689">
        <v>8</v>
      </c>
      <c r="E98" s="690">
        <v>7</v>
      </c>
      <c r="F98" s="691">
        <v>0</v>
      </c>
      <c r="G98" s="1265">
        <v>0</v>
      </c>
      <c r="H98" s="1265">
        <v>0</v>
      </c>
      <c r="I98" s="1265">
        <v>0</v>
      </c>
      <c r="J98" s="1265">
        <v>1</v>
      </c>
      <c r="K98" s="1681">
        <v>0</v>
      </c>
      <c r="L98" s="1265">
        <v>0</v>
      </c>
      <c r="M98" s="692">
        <v>1</v>
      </c>
      <c r="N98" s="692"/>
      <c r="O98" s="692">
        <v>4</v>
      </c>
      <c r="P98" s="692">
        <v>4</v>
      </c>
      <c r="Q98" s="692">
        <v>0</v>
      </c>
      <c r="R98" s="403">
        <v>0</v>
      </c>
      <c r="S98" s="403">
        <v>0</v>
      </c>
    </row>
    <row r="99" spans="1:19" ht="16.5" customHeight="1">
      <c r="A99" s="687" t="s">
        <v>246</v>
      </c>
      <c r="B99" s="688" t="s">
        <v>310</v>
      </c>
      <c r="C99" s="612" t="s">
        <v>264</v>
      </c>
      <c r="D99" s="689">
        <v>3</v>
      </c>
      <c r="E99" s="690">
        <v>0</v>
      </c>
      <c r="F99" s="691">
        <v>2</v>
      </c>
      <c r="G99" s="691">
        <v>1</v>
      </c>
      <c r="H99" s="691">
        <v>0</v>
      </c>
      <c r="I99" s="691">
        <v>0</v>
      </c>
      <c r="J99" s="691">
        <v>0</v>
      </c>
      <c r="K99" s="691">
        <v>0</v>
      </c>
      <c r="L99" s="691">
        <v>0</v>
      </c>
      <c r="M99" s="692">
        <v>1</v>
      </c>
      <c r="N99" s="694"/>
      <c r="O99" s="692">
        <v>0</v>
      </c>
      <c r="P99" s="695">
        <v>2</v>
      </c>
      <c r="Q99" s="692">
        <v>0</v>
      </c>
      <c r="R99" s="403">
        <v>1</v>
      </c>
      <c r="S99" s="403">
        <v>0</v>
      </c>
    </row>
    <row r="100" spans="1:19" ht="16.5" customHeight="1">
      <c r="A100" s="687" t="s">
        <v>14</v>
      </c>
      <c r="B100" s="688" t="s">
        <v>15</v>
      </c>
      <c r="C100" s="612" t="s">
        <v>267</v>
      </c>
      <c r="D100" s="689">
        <v>14</v>
      </c>
      <c r="E100" s="690">
        <v>0</v>
      </c>
      <c r="F100" s="691">
        <v>7</v>
      </c>
      <c r="G100" s="691">
        <v>0</v>
      </c>
      <c r="H100" s="691">
        <v>0</v>
      </c>
      <c r="I100" s="691">
        <v>0</v>
      </c>
      <c r="J100" s="691">
        <v>0</v>
      </c>
      <c r="K100" s="691">
        <v>7</v>
      </c>
      <c r="L100" s="691">
        <v>0</v>
      </c>
      <c r="M100" s="692">
        <v>7</v>
      </c>
      <c r="N100" s="696"/>
      <c r="O100" s="692">
        <v>9</v>
      </c>
      <c r="P100" s="696">
        <v>4</v>
      </c>
      <c r="Q100" s="692">
        <v>1</v>
      </c>
      <c r="R100" s="403">
        <v>0</v>
      </c>
      <c r="S100" s="403">
        <v>0</v>
      </c>
    </row>
    <row r="101" spans="1:19" ht="16.5" customHeight="1">
      <c r="A101" s="687" t="s">
        <v>34</v>
      </c>
      <c r="B101" s="688" t="s">
        <v>35</v>
      </c>
      <c r="C101" s="612" t="s">
        <v>268</v>
      </c>
      <c r="D101" s="689">
        <v>10</v>
      </c>
      <c r="E101" s="690">
        <v>10</v>
      </c>
      <c r="F101" s="691">
        <v>0</v>
      </c>
      <c r="G101" s="1265">
        <v>0</v>
      </c>
      <c r="H101" s="1265">
        <v>0</v>
      </c>
      <c r="I101" s="1265">
        <v>0</v>
      </c>
      <c r="J101" s="1265">
        <v>0</v>
      </c>
      <c r="K101" s="1681">
        <v>0</v>
      </c>
      <c r="L101" s="1265">
        <v>0</v>
      </c>
      <c r="M101" s="692">
        <v>0</v>
      </c>
      <c r="N101" s="694"/>
      <c r="O101" s="692">
        <v>3</v>
      </c>
      <c r="P101" s="695">
        <v>7</v>
      </c>
      <c r="Q101" s="692">
        <v>0</v>
      </c>
      <c r="R101" s="403">
        <v>0</v>
      </c>
      <c r="S101" s="403">
        <v>0</v>
      </c>
    </row>
    <row r="102" spans="1:19" ht="16.5" customHeight="1">
      <c r="A102" s="687" t="s">
        <v>52</v>
      </c>
      <c r="B102" s="688" t="s">
        <v>53</v>
      </c>
      <c r="C102" s="612" t="s">
        <v>265</v>
      </c>
      <c r="D102" s="689">
        <v>3</v>
      </c>
      <c r="E102" s="690">
        <v>0</v>
      </c>
      <c r="F102" s="691">
        <v>3</v>
      </c>
      <c r="G102" s="691">
        <v>0</v>
      </c>
      <c r="H102" s="691">
        <v>0</v>
      </c>
      <c r="I102" s="691">
        <v>0</v>
      </c>
      <c r="J102" s="691">
        <v>0</v>
      </c>
      <c r="K102" s="691">
        <v>0</v>
      </c>
      <c r="L102" s="691">
        <v>0</v>
      </c>
      <c r="M102" s="692">
        <v>0</v>
      </c>
      <c r="N102" s="694"/>
      <c r="O102" s="692">
        <v>0</v>
      </c>
      <c r="P102" s="692">
        <v>2</v>
      </c>
      <c r="Q102" s="692">
        <v>1</v>
      </c>
      <c r="R102" s="403">
        <v>0</v>
      </c>
      <c r="S102" s="403">
        <v>0</v>
      </c>
    </row>
    <row r="103" spans="1:19" ht="16.5" customHeight="1">
      <c r="A103" s="687" t="s">
        <v>54</v>
      </c>
      <c r="B103" s="688" t="s">
        <v>55</v>
      </c>
      <c r="C103" s="612" t="s">
        <v>264</v>
      </c>
      <c r="D103" s="689">
        <v>4</v>
      </c>
      <c r="E103" s="690">
        <v>3</v>
      </c>
      <c r="F103" s="691">
        <v>1</v>
      </c>
      <c r="G103" s="691">
        <v>0</v>
      </c>
      <c r="H103" s="691">
        <v>0</v>
      </c>
      <c r="I103" s="691">
        <v>0</v>
      </c>
      <c r="J103" s="691">
        <v>0</v>
      </c>
      <c r="K103" s="691">
        <v>0</v>
      </c>
      <c r="L103" s="691">
        <v>0</v>
      </c>
      <c r="M103" s="692">
        <v>0</v>
      </c>
      <c r="N103" s="694"/>
      <c r="O103" s="692">
        <v>2</v>
      </c>
      <c r="P103" s="692">
        <v>1</v>
      </c>
      <c r="Q103" s="692">
        <v>1</v>
      </c>
      <c r="R103" s="403">
        <v>0</v>
      </c>
      <c r="S103" s="403">
        <v>0</v>
      </c>
    </row>
    <row r="104" spans="1:19" ht="16.5" customHeight="1">
      <c r="A104" s="687" t="s">
        <v>66</v>
      </c>
      <c r="B104" s="688" t="s">
        <v>67</v>
      </c>
      <c r="C104" s="612" t="s">
        <v>265</v>
      </c>
      <c r="D104" s="689">
        <v>3</v>
      </c>
      <c r="E104" s="690">
        <v>3</v>
      </c>
      <c r="F104" s="691">
        <v>0</v>
      </c>
      <c r="G104" s="691">
        <v>0</v>
      </c>
      <c r="H104" s="691">
        <v>0</v>
      </c>
      <c r="I104" s="691">
        <v>0</v>
      </c>
      <c r="J104" s="691">
        <v>0</v>
      </c>
      <c r="K104" s="691">
        <v>0</v>
      </c>
      <c r="L104" s="691">
        <v>0</v>
      </c>
      <c r="M104" s="692">
        <v>0</v>
      </c>
      <c r="N104" s="694"/>
      <c r="O104" s="692">
        <v>0</v>
      </c>
      <c r="P104" s="695">
        <v>0</v>
      </c>
      <c r="Q104" s="692">
        <v>3</v>
      </c>
      <c r="R104" s="403">
        <v>0</v>
      </c>
      <c r="S104" s="403">
        <v>0</v>
      </c>
    </row>
    <row r="105" spans="1:19" ht="16.5" customHeight="1">
      <c r="A105" s="687" t="s">
        <v>82</v>
      </c>
      <c r="B105" s="688" t="s">
        <v>311</v>
      </c>
      <c r="C105" s="612" t="s">
        <v>264</v>
      </c>
      <c r="D105" s="689">
        <v>0</v>
      </c>
      <c r="E105" s="690">
        <v>0</v>
      </c>
      <c r="F105" s="691">
        <v>0</v>
      </c>
      <c r="G105" s="691">
        <v>0</v>
      </c>
      <c r="H105" s="691">
        <v>0</v>
      </c>
      <c r="I105" s="691">
        <v>0</v>
      </c>
      <c r="J105" s="691">
        <v>0</v>
      </c>
      <c r="K105" s="691">
        <v>0</v>
      </c>
      <c r="L105" s="691">
        <v>0</v>
      </c>
      <c r="M105" s="692">
        <v>0</v>
      </c>
      <c r="N105" s="1266"/>
      <c r="O105" s="692">
        <v>0</v>
      </c>
      <c r="P105" s="1266">
        <v>0</v>
      </c>
      <c r="Q105" s="692">
        <v>0</v>
      </c>
      <c r="R105" s="403">
        <v>0</v>
      </c>
      <c r="S105" s="403">
        <v>0</v>
      </c>
    </row>
    <row r="106" spans="1:19" ht="16.5" customHeight="1">
      <c r="A106" s="687" t="s">
        <v>88</v>
      </c>
      <c r="B106" s="688" t="s">
        <v>89</v>
      </c>
      <c r="C106" s="612" t="s">
        <v>267</v>
      </c>
      <c r="D106" s="689">
        <v>18</v>
      </c>
      <c r="E106" s="690">
        <v>9</v>
      </c>
      <c r="F106" s="691">
        <v>7</v>
      </c>
      <c r="G106" s="691">
        <v>0</v>
      </c>
      <c r="H106" s="691">
        <v>0</v>
      </c>
      <c r="I106" s="691">
        <v>0</v>
      </c>
      <c r="J106" s="691">
        <v>2</v>
      </c>
      <c r="K106" s="691">
        <v>0</v>
      </c>
      <c r="L106" s="691">
        <v>0</v>
      </c>
      <c r="M106" s="692">
        <v>2</v>
      </c>
      <c r="N106" s="696"/>
      <c r="O106" s="692">
        <v>10</v>
      </c>
      <c r="P106" s="696">
        <v>5</v>
      </c>
      <c r="Q106" s="692">
        <v>3</v>
      </c>
      <c r="R106" s="403">
        <v>0</v>
      </c>
      <c r="S106" s="403">
        <v>0</v>
      </c>
    </row>
    <row r="107" spans="1:19" ht="16.5" customHeight="1">
      <c r="A107" s="687" t="s">
        <v>90</v>
      </c>
      <c r="B107" s="688" t="s">
        <v>91</v>
      </c>
      <c r="C107" s="612" t="s">
        <v>268</v>
      </c>
      <c r="D107" s="689">
        <v>0</v>
      </c>
      <c r="E107" s="690">
        <v>0</v>
      </c>
      <c r="F107" s="691">
        <v>0</v>
      </c>
      <c r="G107" s="691">
        <v>0</v>
      </c>
      <c r="H107" s="691">
        <v>0</v>
      </c>
      <c r="I107" s="691">
        <v>0</v>
      </c>
      <c r="J107" s="691">
        <v>0</v>
      </c>
      <c r="K107" s="691">
        <v>0</v>
      </c>
      <c r="L107" s="691">
        <v>0</v>
      </c>
      <c r="M107" s="692">
        <v>0</v>
      </c>
      <c r="N107" s="702"/>
      <c r="O107" s="692">
        <v>0</v>
      </c>
      <c r="P107" s="692">
        <v>0</v>
      </c>
      <c r="Q107" s="692">
        <v>0</v>
      </c>
      <c r="R107" s="403">
        <v>0</v>
      </c>
      <c r="S107" s="403">
        <v>0</v>
      </c>
    </row>
    <row r="108" spans="1:19" ht="16.5" customHeight="1">
      <c r="A108" s="687" t="s">
        <v>106</v>
      </c>
      <c r="B108" s="688" t="s">
        <v>107</v>
      </c>
      <c r="C108" s="612" t="s">
        <v>264</v>
      </c>
      <c r="D108" s="689">
        <v>5</v>
      </c>
      <c r="E108" s="690">
        <v>1</v>
      </c>
      <c r="F108" s="691">
        <v>4</v>
      </c>
      <c r="G108" s="691">
        <v>0</v>
      </c>
      <c r="H108" s="691">
        <v>0</v>
      </c>
      <c r="I108" s="691">
        <v>0</v>
      </c>
      <c r="J108" s="691">
        <v>0</v>
      </c>
      <c r="K108" s="691">
        <v>0</v>
      </c>
      <c r="L108" s="691">
        <v>0</v>
      </c>
      <c r="M108" s="692">
        <v>0</v>
      </c>
      <c r="N108" s="694"/>
      <c r="O108" s="692">
        <v>0</v>
      </c>
      <c r="P108" s="692">
        <v>0</v>
      </c>
      <c r="Q108" s="692">
        <v>4</v>
      </c>
      <c r="R108" s="403">
        <v>1</v>
      </c>
      <c r="S108" s="403">
        <v>0</v>
      </c>
    </row>
    <row r="109" spans="1:19" ht="16.5" customHeight="1">
      <c r="A109" s="687" t="s">
        <v>116</v>
      </c>
      <c r="B109" s="688" t="s">
        <v>117</v>
      </c>
      <c r="C109" s="612" t="s">
        <v>266</v>
      </c>
      <c r="D109" s="689">
        <v>5</v>
      </c>
      <c r="E109" s="690">
        <v>1</v>
      </c>
      <c r="F109" s="691">
        <v>1</v>
      </c>
      <c r="G109" s="691">
        <v>0</v>
      </c>
      <c r="H109" s="691">
        <v>0</v>
      </c>
      <c r="I109" s="691">
        <v>0</v>
      </c>
      <c r="J109" s="691">
        <v>2</v>
      </c>
      <c r="K109" s="691">
        <v>1</v>
      </c>
      <c r="L109" s="691">
        <v>0</v>
      </c>
      <c r="M109" s="692">
        <v>3</v>
      </c>
      <c r="N109" s="1266"/>
      <c r="O109" s="692">
        <v>4</v>
      </c>
      <c r="P109" s="695">
        <v>0</v>
      </c>
      <c r="Q109" s="692">
        <v>1</v>
      </c>
      <c r="R109" s="403">
        <v>0</v>
      </c>
      <c r="S109" s="403">
        <v>0</v>
      </c>
    </row>
    <row r="110" spans="1:19" ht="16.5" customHeight="1">
      <c r="A110" s="687" t="s">
        <v>138</v>
      </c>
      <c r="B110" s="688" t="s">
        <v>139</v>
      </c>
      <c r="C110" s="612" t="s">
        <v>265</v>
      </c>
      <c r="D110" s="689">
        <v>19</v>
      </c>
      <c r="E110" s="690">
        <v>10</v>
      </c>
      <c r="F110" s="691">
        <v>8</v>
      </c>
      <c r="G110" s="691">
        <v>0</v>
      </c>
      <c r="H110" s="691">
        <v>0</v>
      </c>
      <c r="I110" s="691">
        <v>0</v>
      </c>
      <c r="J110" s="691">
        <v>1</v>
      </c>
      <c r="K110" s="691">
        <v>0</v>
      </c>
      <c r="L110" s="691">
        <v>0</v>
      </c>
      <c r="M110" s="692">
        <v>1</v>
      </c>
      <c r="N110" s="696"/>
      <c r="O110" s="692">
        <v>8</v>
      </c>
      <c r="P110" s="696">
        <v>6</v>
      </c>
      <c r="Q110" s="692">
        <v>5</v>
      </c>
      <c r="R110" s="403">
        <v>0</v>
      </c>
      <c r="S110" s="403">
        <v>0</v>
      </c>
    </row>
    <row r="111" spans="1:19" ht="16.5" customHeight="1">
      <c r="A111" s="687" t="s">
        <v>142</v>
      </c>
      <c r="B111" s="688" t="s">
        <v>143</v>
      </c>
      <c r="C111" s="612" t="s">
        <v>267</v>
      </c>
      <c r="D111" s="689">
        <v>1</v>
      </c>
      <c r="E111" s="690">
        <v>1</v>
      </c>
      <c r="F111" s="691">
        <v>0</v>
      </c>
      <c r="G111" s="691">
        <v>0</v>
      </c>
      <c r="H111" s="691">
        <v>0</v>
      </c>
      <c r="I111" s="691">
        <v>0</v>
      </c>
      <c r="J111" s="691">
        <v>0</v>
      </c>
      <c r="K111" s="691">
        <v>0</v>
      </c>
      <c r="L111" s="691">
        <v>0</v>
      </c>
      <c r="M111" s="692">
        <v>0</v>
      </c>
      <c r="N111" s="695"/>
      <c r="O111" s="692">
        <v>0</v>
      </c>
      <c r="P111" s="695">
        <v>0</v>
      </c>
      <c r="Q111" s="692">
        <v>1</v>
      </c>
      <c r="R111" s="403">
        <v>0</v>
      </c>
      <c r="S111" s="403">
        <v>0</v>
      </c>
    </row>
    <row r="112" spans="1:19" ht="16.5" customHeight="1">
      <c r="A112" s="687" t="s">
        <v>144</v>
      </c>
      <c r="B112" s="688" t="s">
        <v>145</v>
      </c>
      <c r="C112" s="612" t="s">
        <v>267</v>
      </c>
      <c r="D112" s="689">
        <v>0</v>
      </c>
      <c r="E112" s="690">
        <v>0</v>
      </c>
      <c r="F112" s="691">
        <v>0</v>
      </c>
      <c r="G112" s="1265">
        <v>0</v>
      </c>
      <c r="H112" s="1265">
        <v>0</v>
      </c>
      <c r="I112" s="1265">
        <v>0</v>
      </c>
      <c r="J112" s="1265">
        <v>0</v>
      </c>
      <c r="K112" s="1681">
        <v>0</v>
      </c>
      <c r="L112" s="1265">
        <v>0</v>
      </c>
      <c r="M112" s="692">
        <v>0</v>
      </c>
      <c r="N112" s="1266"/>
      <c r="O112" s="692">
        <v>0</v>
      </c>
      <c r="P112" s="1266">
        <v>0</v>
      </c>
      <c r="Q112" s="692">
        <v>0</v>
      </c>
      <c r="R112" s="403">
        <v>0</v>
      </c>
      <c r="S112" s="403">
        <v>0</v>
      </c>
    </row>
    <row r="113" spans="1:19" ht="16.5" customHeight="1">
      <c r="A113" s="687" t="s">
        <v>158</v>
      </c>
      <c r="B113" s="688" t="s">
        <v>159</v>
      </c>
      <c r="C113" s="612" t="s">
        <v>264</v>
      </c>
      <c r="D113" s="689">
        <v>13</v>
      </c>
      <c r="E113" s="690">
        <v>2</v>
      </c>
      <c r="F113" s="691">
        <v>11</v>
      </c>
      <c r="G113" s="691">
        <v>0</v>
      </c>
      <c r="H113" s="691">
        <v>0</v>
      </c>
      <c r="I113" s="691">
        <v>0</v>
      </c>
      <c r="J113" s="691">
        <v>0</v>
      </c>
      <c r="K113" s="691">
        <v>0</v>
      </c>
      <c r="L113" s="691">
        <v>0</v>
      </c>
      <c r="M113" s="692">
        <v>0</v>
      </c>
      <c r="N113" s="696"/>
      <c r="O113" s="692">
        <v>7</v>
      </c>
      <c r="P113" s="692">
        <v>5</v>
      </c>
      <c r="Q113" s="692">
        <v>1</v>
      </c>
      <c r="R113" s="403">
        <v>0</v>
      </c>
      <c r="S113" s="403">
        <v>0</v>
      </c>
    </row>
    <row r="114" spans="1:19" ht="16.5" customHeight="1">
      <c r="A114" s="687" t="s">
        <v>160</v>
      </c>
      <c r="B114" s="688" t="s">
        <v>161</v>
      </c>
      <c r="C114" s="612" t="s">
        <v>264</v>
      </c>
      <c r="D114" s="689">
        <v>17</v>
      </c>
      <c r="E114" s="690">
        <v>0</v>
      </c>
      <c r="F114" s="691">
        <v>12</v>
      </c>
      <c r="G114" s="691">
        <v>0</v>
      </c>
      <c r="H114" s="691">
        <v>1</v>
      </c>
      <c r="I114" s="691">
        <v>0</v>
      </c>
      <c r="J114" s="691">
        <v>2</v>
      </c>
      <c r="K114" s="691">
        <v>2</v>
      </c>
      <c r="L114" s="691">
        <v>0</v>
      </c>
      <c r="M114" s="692">
        <v>5</v>
      </c>
      <c r="N114" s="696"/>
      <c r="O114" s="696">
        <v>13</v>
      </c>
      <c r="P114" s="692">
        <v>4</v>
      </c>
      <c r="Q114" s="692">
        <v>0</v>
      </c>
      <c r="R114" s="403">
        <v>0</v>
      </c>
      <c r="S114" s="403">
        <v>0</v>
      </c>
    </row>
    <row r="115" spans="1:19" ht="16.5" customHeight="1">
      <c r="A115" s="687" t="s">
        <v>166</v>
      </c>
      <c r="B115" s="688" t="s">
        <v>167</v>
      </c>
      <c r="C115" s="612" t="s">
        <v>268</v>
      </c>
      <c r="D115" s="689">
        <v>0</v>
      </c>
      <c r="E115" s="690">
        <v>0</v>
      </c>
      <c r="F115" s="691">
        <v>0</v>
      </c>
      <c r="G115" s="1265">
        <v>0</v>
      </c>
      <c r="H115" s="1265">
        <v>0</v>
      </c>
      <c r="I115" s="1265">
        <v>0</v>
      </c>
      <c r="J115" s="1265">
        <v>0</v>
      </c>
      <c r="K115" s="1681">
        <v>0</v>
      </c>
      <c r="L115" s="1265">
        <v>0</v>
      </c>
      <c r="M115" s="692">
        <v>0</v>
      </c>
      <c r="N115" s="696"/>
      <c r="O115" s="692">
        <v>0</v>
      </c>
      <c r="P115" s="692">
        <v>0</v>
      </c>
      <c r="Q115" s="692">
        <v>0</v>
      </c>
      <c r="R115" s="403">
        <v>0</v>
      </c>
      <c r="S115" s="403">
        <v>0</v>
      </c>
    </row>
    <row r="116" spans="1:19" ht="16.5" customHeight="1">
      <c r="A116" s="687" t="s">
        <v>176</v>
      </c>
      <c r="B116" s="688" t="s">
        <v>177</v>
      </c>
      <c r="C116" s="612" t="s">
        <v>266</v>
      </c>
      <c r="D116" s="689">
        <v>7</v>
      </c>
      <c r="E116" s="690">
        <v>1</v>
      </c>
      <c r="F116" s="691">
        <v>4</v>
      </c>
      <c r="G116" s="691">
        <v>0</v>
      </c>
      <c r="H116" s="691">
        <v>0</v>
      </c>
      <c r="I116" s="691">
        <v>0</v>
      </c>
      <c r="J116" s="691">
        <v>2</v>
      </c>
      <c r="K116" s="691">
        <v>0</v>
      </c>
      <c r="L116" s="691">
        <v>0</v>
      </c>
      <c r="M116" s="692">
        <v>2</v>
      </c>
      <c r="N116" s="694"/>
      <c r="O116" s="692">
        <v>6</v>
      </c>
      <c r="P116" s="694">
        <v>0</v>
      </c>
      <c r="Q116" s="692">
        <v>1</v>
      </c>
      <c r="R116" s="403">
        <v>0</v>
      </c>
      <c r="S116" s="403">
        <v>0</v>
      </c>
    </row>
    <row r="117" spans="1:19" ht="16.5" customHeight="1">
      <c r="A117" s="687" t="s">
        <v>180</v>
      </c>
      <c r="B117" s="688" t="s">
        <v>181</v>
      </c>
      <c r="C117" s="612" t="s">
        <v>264</v>
      </c>
      <c r="D117" s="689">
        <v>13</v>
      </c>
      <c r="E117" s="690">
        <v>1</v>
      </c>
      <c r="F117" s="691">
        <v>12</v>
      </c>
      <c r="G117" s="691">
        <v>0</v>
      </c>
      <c r="H117" s="691">
        <v>0</v>
      </c>
      <c r="I117" s="691">
        <v>0</v>
      </c>
      <c r="J117" s="691">
        <v>0</v>
      </c>
      <c r="K117" s="691">
        <v>0</v>
      </c>
      <c r="L117" s="691">
        <v>0</v>
      </c>
      <c r="M117" s="692">
        <v>0</v>
      </c>
      <c r="N117" s="694"/>
      <c r="O117" s="692">
        <v>9</v>
      </c>
      <c r="P117" s="692">
        <v>3</v>
      </c>
      <c r="Q117" s="692">
        <v>0</v>
      </c>
      <c r="R117" s="403">
        <v>1</v>
      </c>
      <c r="S117" s="403">
        <v>0</v>
      </c>
    </row>
    <row r="118" spans="1:19" ht="16.5" customHeight="1">
      <c r="A118" s="687" t="s">
        <v>192</v>
      </c>
      <c r="B118" s="688" t="s">
        <v>193</v>
      </c>
      <c r="C118" s="612" t="s">
        <v>268</v>
      </c>
      <c r="D118" s="689">
        <v>6</v>
      </c>
      <c r="E118" s="690">
        <v>6</v>
      </c>
      <c r="F118" s="691">
        <v>0</v>
      </c>
      <c r="G118" s="691">
        <v>0</v>
      </c>
      <c r="H118" s="691">
        <v>0</v>
      </c>
      <c r="I118" s="691">
        <v>0</v>
      </c>
      <c r="J118" s="691">
        <v>0</v>
      </c>
      <c r="K118" s="691">
        <v>0</v>
      </c>
      <c r="L118" s="691">
        <v>0</v>
      </c>
      <c r="M118" s="692">
        <v>0</v>
      </c>
      <c r="N118" s="695"/>
      <c r="O118" s="692">
        <v>2</v>
      </c>
      <c r="P118" s="692">
        <v>3</v>
      </c>
      <c r="Q118" s="692">
        <v>1</v>
      </c>
      <c r="R118" s="403">
        <v>0</v>
      </c>
      <c r="S118" s="403">
        <v>0</v>
      </c>
    </row>
    <row r="119" spans="1:19" ht="16.5" customHeight="1">
      <c r="A119" s="687" t="s">
        <v>196</v>
      </c>
      <c r="B119" s="688" t="s">
        <v>312</v>
      </c>
      <c r="C119" s="612" t="s">
        <v>266</v>
      </c>
      <c r="D119" s="689">
        <v>18</v>
      </c>
      <c r="E119" s="690">
        <v>3</v>
      </c>
      <c r="F119" s="691">
        <v>8</v>
      </c>
      <c r="G119" s="691">
        <v>0</v>
      </c>
      <c r="H119" s="691">
        <v>0</v>
      </c>
      <c r="I119" s="691">
        <v>0</v>
      </c>
      <c r="J119" s="691">
        <v>0</v>
      </c>
      <c r="K119" s="691">
        <v>7</v>
      </c>
      <c r="L119" s="691">
        <v>0</v>
      </c>
      <c r="M119" s="692">
        <v>7</v>
      </c>
      <c r="N119" s="694"/>
      <c r="O119" s="692">
        <v>8</v>
      </c>
      <c r="P119" s="696">
        <v>4</v>
      </c>
      <c r="Q119" s="692">
        <v>4</v>
      </c>
      <c r="R119" s="403">
        <v>2</v>
      </c>
      <c r="S119" s="403">
        <v>0</v>
      </c>
    </row>
    <row r="120" spans="1:19" ht="16.5" customHeight="1">
      <c r="A120" s="687" t="s">
        <v>200</v>
      </c>
      <c r="B120" s="688" t="s">
        <v>313</v>
      </c>
      <c r="C120" s="612" t="s">
        <v>265</v>
      </c>
      <c r="D120" s="689">
        <v>32</v>
      </c>
      <c r="E120" s="690">
        <v>22</v>
      </c>
      <c r="F120" s="691">
        <v>1</v>
      </c>
      <c r="G120" s="691">
        <v>0</v>
      </c>
      <c r="H120" s="691">
        <v>0</v>
      </c>
      <c r="I120" s="691">
        <v>0</v>
      </c>
      <c r="J120" s="691">
        <v>3</v>
      </c>
      <c r="K120" s="691">
        <v>6</v>
      </c>
      <c r="L120" s="691">
        <v>0</v>
      </c>
      <c r="M120" s="692">
        <v>9</v>
      </c>
      <c r="N120" s="696"/>
      <c r="O120" s="692">
        <v>17</v>
      </c>
      <c r="P120" s="696">
        <v>9</v>
      </c>
      <c r="Q120" s="692">
        <v>5</v>
      </c>
      <c r="R120" s="403">
        <v>1</v>
      </c>
      <c r="S120" s="403">
        <v>0</v>
      </c>
    </row>
    <row r="121" spans="1:19" ht="16.5" customHeight="1">
      <c r="A121" s="687" t="s">
        <v>222</v>
      </c>
      <c r="B121" s="688" t="s">
        <v>223</v>
      </c>
      <c r="C121" s="612" t="s">
        <v>264</v>
      </c>
      <c r="D121" s="689">
        <v>0</v>
      </c>
      <c r="E121" s="690">
        <v>0</v>
      </c>
      <c r="F121" s="691">
        <v>0</v>
      </c>
      <c r="G121" s="691">
        <v>0</v>
      </c>
      <c r="H121" s="691">
        <v>0</v>
      </c>
      <c r="I121" s="691">
        <v>0</v>
      </c>
      <c r="J121" s="691">
        <v>0</v>
      </c>
      <c r="K121" s="691">
        <v>0</v>
      </c>
      <c r="L121" s="691">
        <v>0</v>
      </c>
      <c r="M121" s="692">
        <v>0</v>
      </c>
      <c r="N121" s="695"/>
      <c r="O121" s="692">
        <v>0</v>
      </c>
      <c r="P121" s="692">
        <v>0</v>
      </c>
      <c r="Q121" s="692">
        <v>0</v>
      </c>
      <c r="R121" s="403">
        <v>0</v>
      </c>
      <c r="S121" s="403">
        <v>0</v>
      </c>
    </row>
    <row r="122" spans="1:19" ht="16.5" customHeight="1">
      <c r="A122" s="687" t="s">
        <v>230</v>
      </c>
      <c r="B122" s="688" t="s">
        <v>231</v>
      </c>
      <c r="C122" s="612" t="s">
        <v>264</v>
      </c>
      <c r="D122" s="689">
        <v>22</v>
      </c>
      <c r="E122" s="690">
        <v>9</v>
      </c>
      <c r="F122" s="691">
        <v>7</v>
      </c>
      <c r="G122" s="691">
        <v>0</v>
      </c>
      <c r="H122" s="691">
        <v>0</v>
      </c>
      <c r="I122" s="691">
        <v>0</v>
      </c>
      <c r="J122" s="691">
        <v>6</v>
      </c>
      <c r="K122" s="691">
        <v>0</v>
      </c>
      <c r="L122" s="691">
        <v>0</v>
      </c>
      <c r="M122" s="692">
        <v>6</v>
      </c>
      <c r="N122" s="696"/>
      <c r="O122" s="692">
        <v>6</v>
      </c>
      <c r="P122" s="696">
        <v>6</v>
      </c>
      <c r="Q122" s="692">
        <v>8</v>
      </c>
      <c r="R122" s="403">
        <v>2</v>
      </c>
      <c r="S122" s="403">
        <v>0</v>
      </c>
    </row>
    <row r="123" spans="1:19" ht="16.5" customHeight="1">
      <c r="A123" s="687" t="s">
        <v>238</v>
      </c>
      <c r="B123" s="688" t="s">
        <v>239</v>
      </c>
      <c r="C123" s="612" t="s">
        <v>264</v>
      </c>
      <c r="D123" s="689">
        <v>0</v>
      </c>
      <c r="E123" s="690">
        <v>0</v>
      </c>
      <c r="F123" s="691">
        <v>0</v>
      </c>
      <c r="G123" s="691">
        <v>0</v>
      </c>
      <c r="H123" s="691">
        <v>0</v>
      </c>
      <c r="I123" s="691">
        <v>0</v>
      </c>
      <c r="J123" s="691">
        <v>0</v>
      </c>
      <c r="K123" s="691">
        <v>0</v>
      </c>
      <c r="L123" s="691">
        <v>0</v>
      </c>
      <c r="M123" s="692">
        <v>0</v>
      </c>
      <c r="N123" s="1266"/>
      <c r="O123" s="692">
        <v>0</v>
      </c>
      <c r="P123" s="1266">
        <v>0</v>
      </c>
      <c r="Q123" s="692">
        <v>0</v>
      </c>
      <c r="R123" s="403">
        <v>0</v>
      </c>
      <c r="S123" s="403">
        <v>0</v>
      </c>
    </row>
    <row r="124" spans="1:19" ht="16.5" customHeight="1">
      <c r="A124" s="687" t="s">
        <v>240</v>
      </c>
      <c r="B124" s="688" t="s">
        <v>241</v>
      </c>
      <c r="C124" s="612" t="s">
        <v>267</v>
      </c>
      <c r="D124" s="689">
        <v>5</v>
      </c>
      <c r="E124" s="690">
        <v>4</v>
      </c>
      <c r="F124" s="691">
        <v>0</v>
      </c>
      <c r="G124" s="691">
        <v>1</v>
      </c>
      <c r="H124" s="691">
        <v>0</v>
      </c>
      <c r="I124" s="691">
        <v>0</v>
      </c>
      <c r="J124" s="691">
        <v>0</v>
      </c>
      <c r="K124" s="691">
        <v>0</v>
      </c>
      <c r="L124" s="691">
        <v>0</v>
      </c>
      <c r="M124" s="692">
        <v>1</v>
      </c>
      <c r="N124" s="694"/>
      <c r="O124" s="692">
        <v>1</v>
      </c>
      <c r="P124" s="692">
        <v>3</v>
      </c>
      <c r="Q124" s="692">
        <v>0</v>
      </c>
      <c r="R124" s="403">
        <v>1</v>
      </c>
      <c r="S124" s="403">
        <v>0</v>
      </c>
    </row>
    <row r="125" spans="1:19">
      <c r="D125" s="692"/>
      <c r="E125" s="692"/>
      <c r="F125" s="692"/>
      <c r="G125" s="692"/>
      <c r="H125" s="692"/>
      <c r="I125" s="692"/>
      <c r="J125" s="692"/>
      <c r="K125" s="692"/>
      <c r="L125" s="692"/>
      <c r="M125" s="692"/>
      <c r="N125" s="692"/>
      <c r="O125" s="692"/>
      <c r="P125" s="692"/>
      <c r="Q125" s="692"/>
    </row>
    <row r="126" spans="1:19" ht="32.25" customHeight="1">
      <c r="A126" s="1928" t="s">
        <v>1246</v>
      </c>
      <c r="B126" s="1927"/>
      <c r="C126" s="1927"/>
      <c r="D126" s="1927"/>
      <c r="E126" s="1927"/>
      <c r="F126" s="1927"/>
      <c r="G126" s="1927"/>
      <c r="H126" s="1927"/>
      <c r="I126" s="1927"/>
      <c r="J126" s="1927"/>
      <c r="K126" s="1927"/>
      <c r="L126" s="1927"/>
      <c r="M126" s="1927"/>
      <c r="N126" s="1927"/>
      <c r="O126" s="703"/>
      <c r="P126" s="703"/>
      <c r="Q126" s="703"/>
      <c r="R126" s="703"/>
      <c r="S126" s="703"/>
    </row>
    <row r="127" spans="1:19">
      <c r="A127" s="403" t="s">
        <v>1247</v>
      </c>
    </row>
    <row r="129" spans="1:3" s="428" customFormat="1">
      <c r="A129" s="428" t="s">
        <v>248</v>
      </c>
    </row>
    <row r="130" spans="1:3" s="428" customFormat="1">
      <c r="A130" s="429" t="s">
        <v>249</v>
      </c>
      <c r="B130" s="430" t="s">
        <v>250</v>
      </c>
      <c r="C130" s="430"/>
    </row>
  </sheetData>
  <sortState ref="A5:S124">
    <sortCondition ref="A5:A124"/>
  </sortState>
  <mergeCells count="1">
    <mergeCell ref="A126:N126"/>
  </mergeCells>
  <hyperlinks>
    <hyperlink ref="B130" r:id="rId1"/>
  </hyperlinks>
  <pageMargins left="0.7" right="0.7" top="0.75" bottom="0.75" header="0.3" footer="0.3"/>
</worksheet>
</file>

<file path=xl/worksheets/sheet37.xml><?xml version="1.0" encoding="utf-8"?>
<worksheet xmlns="http://schemas.openxmlformats.org/spreadsheetml/2006/main" xmlns:r="http://schemas.openxmlformats.org/officeDocument/2006/relationships">
  <dimension ref="A1:R130"/>
  <sheetViews>
    <sheetView workbookViewId="0">
      <pane ySplit="4" topLeftCell="A5" activePane="bottomLeft" state="frozen"/>
      <selection pane="bottomLeft" activeCell="N126" sqref="N126"/>
    </sheetView>
  </sheetViews>
  <sheetFormatPr defaultRowHeight="15.75"/>
  <cols>
    <col min="1" max="1" width="11" style="403" customWidth="1"/>
    <col min="2" max="2" width="32" style="403" customWidth="1"/>
    <col min="3" max="3" width="14.25" style="403" customWidth="1"/>
    <col min="4" max="9" width="7.5" style="403" customWidth="1"/>
    <col min="10" max="11" width="10.125" style="403" customWidth="1"/>
    <col min="12" max="12" width="12.25" style="403" customWidth="1"/>
    <col min="13" max="13" width="4.875" style="403" customWidth="1"/>
    <col min="14" max="15" width="12.25" style="403" customWidth="1"/>
    <col min="16" max="16" width="11.5" style="403" customWidth="1"/>
    <col min="17" max="17" width="11.125" style="403" customWidth="1"/>
    <col min="18" max="18" width="11.5" style="403" customWidth="1"/>
    <col min="19" max="16384" width="9" style="403"/>
  </cols>
  <sheetData>
    <row r="1" spans="1:18">
      <c r="A1" s="193" t="s">
        <v>1242</v>
      </c>
    </row>
    <row r="3" spans="1:18" ht="32.25" customHeight="1">
      <c r="A3" s="677" t="s">
        <v>4</v>
      </c>
      <c r="B3" s="678" t="s">
        <v>5</v>
      </c>
      <c r="C3" s="679" t="s">
        <v>251</v>
      </c>
      <c r="D3" s="680" t="s">
        <v>281</v>
      </c>
      <c r="E3" s="681" t="s">
        <v>2</v>
      </c>
      <c r="F3" s="682" t="s">
        <v>450</v>
      </c>
      <c r="G3" s="1267" t="s">
        <v>547</v>
      </c>
      <c r="H3" s="1267" t="s">
        <v>792</v>
      </c>
      <c r="I3" s="1267" t="s">
        <v>744</v>
      </c>
      <c r="J3" s="1267" t="s">
        <v>895</v>
      </c>
      <c r="K3" s="1267" t="s">
        <v>793</v>
      </c>
      <c r="L3" s="683" t="s">
        <v>451</v>
      </c>
      <c r="M3" s="683"/>
      <c r="N3" s="1678" t="s">
        <v>1221</v>
      </c>
      <c r="O3" s="1678" t="s">
        <v>1222</v>
      </c>
      <c r="P3" s="1679" t="s">
        <v>1223</v>
      </c>
      <c r="Q3" s="1679" t="s">
        <v>1224</v>
      </c>
      <c r="R3" s="1679" t="s">
        <v>1226</v>
      </c>
    </row>
    <row r="4" spans="1:18">
      <c r="A4" s="684">
        <v>999</v>
      </c>
      <c r="B4" s="685" t="s">
        <v>9</v>
      </c>
      <c r="C4" s="685"/>
      <c r="D4" s="686">
        <f t="shared" ref="D4:K4" si="0">SUM(D5:D124)</f>
        <v>7591</v>
      </c>
      <c r="E4" s="686">
        <f t="shared" si="0"/>
        <v>3986</v>
      </c>
      <c r="F4" s="686">
        <f t="shared" si="0"/>
        <v>2715</v>
      </c>
      <c r="G4" s="686">
        <f t="shared" si="0"/>
        <v>40</v>
      </c>
      <c r="H4" s="686">
        <f t="shared" si="0"/>
        <v>14</v>
      </c>
      <c r="I4" s="686">
        <f t="shared" si="0"/>
        <v>8</v>
      </c>
      <c r="J4" s="686">
        <f t="shared" si="0"/>
        <v>761</v>
      </c>
      <c r="K4" s="686">
        <f t="shared" si="0"/>
        <v>67</v>
      </c>
      <c r="L4" s="1268">
        <f t="shared" ref="L4" si="1">G4+H4+I4+J4+K4</f>
        <v>890</v>
      </c>
      <c r="M4" s="683"/>
      <c r="N4" s="686">
        <f t="shared" ref="N4:R4" si="2">SUM(N5:N124)</f>
        <v>814</v>
      </c>
      <c r="O4" s="686">
        <f t="shared" si="2"/>
        <v>2086</v>
      </c>
      <c r="P4" s="686">
        <f t="shared" si="2"/>
        <v>2757</v>
      </c>
      <c r="Q4" s="686">
        <f t="shared" si="2"/>
        <v>1451</v>
      </c>
      <c r="R4" s="686">
        <f t="shared" si="2"/>
        <v>483</v>
      </c>
    </row>
    <row r="5" spans="1:18" ht="16.5" customHeight="1">
      <c r="A5" s="687" t="s">
        <v>10</v>
      </c>
      <c r="B5" s="688" t="s">
        <v>11</v>
      </c>
      <c r="C5" s="607" t="s">
        <v>264</v>
      </c>
      <c r="D5" s="689">
        <v>16</v>
      </c>
      <c r="E5" s="690">
        <v>7</v>
      </c>
      <c r="F5" s="691">
        <v>7</v>
      </c>
      <c r="G5" s="691">
        <v>0</v>
      </c>
      <c r="H5" s="691">
        <v>0</v>
      </c>
      <c r="I5" s="691">
        <v>0</v>
      </c>
      <c r="J5" s="691">
        <v>2</v>
      </c>
      <c r="K5" s="691">
        <v>0</v>
      </c>
      <c r="L5" s="692">
        <f t="shared" ref="L5:L36" si="3">G5+H5+I5+J5+K5</f>
        <v>2</v>
      </c>
      <c r="M5" s="693"/>
      <c r="N5" s="692">
        <v>2</v>
      </c>
      <c r="O5" s="692">
        <v>2</v>
      </c>
      <c r="P5" s="692">
        <v>5</v>
      </c>
      <c r="Q5" s="403">
        <v>7</v>
      </c>
      <c r="R5" s="403">
        <v>0</v>
      </c>
    </row>
    <row r="6" spans="1:18" ht="16.5" customHeight="1">
      <c r="A6" s="687" t="s">
        <v>12</v>
      </c>
      <c r="B6" s="688" t="s">
        <v>13</v>
      </c>
      <c r="C6" s="607" t="s">
        <v>265</v>
      </c>
      <c r="D6" s="689">
        <v>78</v>
      </c>
      <c r="E6" s="690">
        <v>43</v>
      </c>
      <c r="F6" s="691">
        <v>23</v>
      </c>
      <c r="G6" s="691">
        <v>1</v>
      </c>
      <c r="H6" s="691">
        <v>0</v>
      </c>
      <c r="I6" s="691">
        <v>0</v>
      </c>
      <c r="J6" s="691">
        <v>9</v>
      </c>
      <c r="K6" s="691">
        <v>2</v>
      </c>
      <c r="L6" s="692">
        <f t="shared" si="3"/>
        <v>12</v>
      </c>
      <c r="M6" s="694"/>
      <c r="N6" s="692">
        <v>11</v>
      </c>
      <c r="O6" s="692">
        <v>17</v>
      </c>
      <c r="P6" s="692">
        <v>30</v>
      </c>
      <c r="Q6" s="403">
        <v>16</v>
      </c>
      <c r="R6" s="403">
        <v>4</v>
      </c>
    </row>
    <row r="7" spans="1:18" ht="16.5" customHeight="1">
      <c r="A7" s="687" t="s">
        <v>16</v>
      </c>
      <c r="B7" s="688" t="s">
        <v>297</v>
      </c>
      <c r="C7" s="607" t="s">
        <v>265</v>
      </c>
      <c r="D7" s="689">
        <v>12</v>
      </c>
      <c r="E7" s="690">
        <v>10</v>
      </c>
      <c r="F7" s="691">
        <v>1</v>
      </c>
      <c r="G7" s="691">
        <v>0</v>
      </c>
      <c r="H7" s="691">
        <v>0</v>
      </c>
      <c r="I7" s="691">
        <v>0</v>
      </c>
      <c r="J7" s="691">
        <v>1</v>
      </c>
      <c r="K7" s="691">
        <v>0</v>
      </c>
      <c r="L7" s="692">
        <f t="shared" si="3"/>
        <v>1</v>
      </c>
      <c r="M7" s="694"/>
      <c r="N7" s="692">
        <v>2</v>
      </c>
      <c r="O7" s="695">
        <v>4</v>
      </c>
      <c r="P7" s="692">
        <v>4</v>
      </c>
      <c r="Q7" s="403">
        <v>2</v>
      </c>
      <c r="R7" s="403">
        <v>0</v>
      </c>
    </row>
    <row r="8" spans="1:18" ht="16.5" customHeight="1">
      <c r="A8" s="687" t="s">
        <v>18</v>
      </c>
      <c r="B8" s="688" t="s">
        <v>19</v>
      </c>
      <c r="C8" s="607" t="s">
        <v>266</v>
      </c>
      <c r="D8" s="689">
        <v>8</v>
      </c>
      <c r="E8" s="690">
        <v>5</v>
      </c>
      <c r="F8" s="691">
        <v>2</v>
      </c>
      <c r="G8" s="691">
        <v>0</v>
      </c>
      <c r="H8" s="691">
        <v>0</v>
      </c>
      <c r="I8" s="691">
        <v>0</v>
      </c>
      <c r="J8" s="691">
        <v>1</v>
      </c>
      <c r="K8" s="691">
        <v>0</v>
      </c>
      <c r="L8" s="692">
        <f t="shared" si="3"/>
        <v>1</v>
      </c>
      <c r="M8" s="702"/>
      <c r="N8" s="692">
        <v>1</v>
      </c>
      <c r="O8" s="692">
        <v>0</v>
      </c>
      <c r="P8" s="692">
        <v>7</v>
      </c>
      <c r="Q8" s="403">
        <v>0</v>
      </c>
      <c r="R8" s="403">
        <v>0</v>
      </c>
    </row>
    <row r="9" spans="1:18" ht="16.5" customHeight="1">
      <c r="A9" s="687" t="s">
        <v>20</v>
      </c>
      <c r="B9" s="688" t="s">
        <v>21</v>
      </c>
      <c r="C9" s="607" t="s">
        <v>265</v>
      </c>
      <c r="D9" s="689">
        <v>12</v>
      </c>
      <c r="E9" s="690">
        <v>9</v>
      </c>
      <c r="F9" s="691">
        <v>2</v>
      </c>
      <c r="G9" s="691">
        <v>0</v>
      </c>
      <c r="H9" s="691">
        <v>0</v>
      </c>
      <c r="I9" s="691">
        <v>0</v>
      </c>
      <c r="J9" s="691">
        <v>1</v>
      </c>
      <c r="K9" s="691">
        <v>0</v>
      </c>
      <c r="L9" s="692">
        <f t="shared" si="3"/>
        <v>1</v>
      </c>
      <c r="M9" s="696"/>
      <c r="N9" s="692">
        <v>1</v>
      </c>
      <c r="O9" s="692">
        <v>0</v>
      </c>
      <c r="P9" s="692">
        <v>4</v>
      </c>
      <c r="Q9" s="403">
        <v>3</v>
      </c>
      <c r="R9" s="403">
        <v>4</v>
      </c>
    </row>
    <row r="10" spans="1:18" ht="16.5" customHeight="1">
      <c r="A10" s="687" t="s">
        <v>22</v>
      </c>
      <c r="B10" s="688" t="s">
        <v>23</v>
      </c>
      <c r="C10" s="607" t="s">
        <v>265</v>
      </c>
      <c r="D10" s="689">
        <v>1</v>
      </c>
      <c r="E10" s="690">
        <v>1</v>
      </c>
      <c r="F10" s="691">
        <v>0</v>
      </c>
      <c r="G10" s="1265">
        <v>0</v>
      </c>
      <c r="H10" s="1265">
        <v>0</v>
      </c>
      <c r="I10" s="1265">
        <v>0</v>
      </c>
      <c r="J10" s="1265">
        <v>0</v>
      </c>
      <c r="K10" s="1265">
        <v>0</v>
      </c>
      <c r="L10" s="692">
        <f t="shared" si="3"/>
        <v>0</v>
      </c>
      <c r="M10" s="702"/>
      <c r="N10" s="692">
        <v>0</v>
      </c>
      <c r="O10" s="1266">
        <v>0</v>
      </c>
      <c r="P10" s="692">
        <v>1</v>
      </c>
      <c r="Q10" s="403">
        <v>0</v>
      </c>
      <c r="R10" s="403">
        <v>0</v>
      </c>
    </row>
    <row r="11" spans="1:18" ht="16.5" customHeight="1">
      <c r="A11" s="687" t="s">
        <v>24</v>
      </c>
      <c r="B11" s="688" t="s">
        <v>25</v>
      </c>
      <c r="C11" s="607" t="s">
        <v>267</v>
      </c>
      <c r="D11" s="689">
        <v>112</v>
      </c>
      <c r="E11" s="690">
        <v>39</v>
      </c>
      <c r="F11" s="691">
        <v>58</v>
      </c>
      <c r="G11" s="691">
        <v>1</v>
      </c>
      <c r="H11" s="691">
        <v>0</v>
      </c>
      <c r="I11" s="691">
        <v>0</v>
      </c>
      <c r="J11" s="691">
        <v>12</v>
      </c>
      <c r="K11" s="691">
        <v>2</v>
      </c>
      <c r="L11" s="692">
        <f t="shared" si="3"/>
        <v>15</v>
      </c>
      <c r="M11" s="696"/>
      <c r="N11" s="692">
        <v>10</v>
      </c>
      <c r="O11" s="696">
        <v>35</v>
      </c>
      <c r="P11" s="692">
        <v>43</v>
      </c>
      <c r="Q11" s="403">
        <v>22</v>
      </c>
      <c r="R11" s="403">
        <v>2</v>
      </c>
    </row>
    <row r="12" spans="1:18" ht="16.5" customHeight="1">
      <c r="A12" s="687" t="s">
        <v>26</v>
      </c>
      <c r="B12" s="688" t="s">
        <v>706</v>
      </c>
      <c r="C12" s="607" t="s">
        <v>265</v>
      </c>
      <c r="D12" s="689">
        <v>230</v>
      </c>
      <c r="E12" s="690">
        <v>177</v>
      </c>
      <c r="F12" s="691">
        <v>16</v>
      </c>
      <c r="G12" s="691">
        <v>0</v>
      </c>
      <c r="H12" s="691">
        <v>0</v>
      </c>
      <c r="I12" s="691">
        <v>0</v>
      </c>
      <c r="J12" s="691">
        <v>37</v>
      </c>
      <c r="K12" s="691">
        <v>0</v>
      </c>
      <c r="L12" s="692">
        <f t="shared" si="3"/>
        <v>37</v>
      </c>
      <c r="M12" s="694"/>
      <c r="N12" s="692">
        <v>22</v>
      </c>
      <c r="O12" s="695">
        <v>50</v>
      </c>
      <c r="P12" s="692">
        <v>92</v>
      </c>
      <c r="Q12" s="403">
        <v>50</v>
      </c>
      <c r="R12" s="403">
        <v>16</v>
      </c>
    </row>
    <row r="13" spans="1:18" ht="16.5" customHeight="1">
      <c r="A13" s="687" t="s">
        <v>27</v>
      </c>
      <c r="B13" s="688" t="s">
        <v>28</v>
      </c>
      <c r="C13" s="612" t="s">
        <v>265</v>
      </c>
      <c r="D13" s="689">
        <v>1</v>
      </c>
      <c r="E13" s="698">
        <v>0</v>
      </c>
      <c r="F13" s="697">
        <v>0</v>
      </c>
      <c r="G13" s="697">
        <v>0</v>
      </c>
      <c r="H13" s="697">
        <v>0</v>
      </c>
      <c r="I13" s="697">
        <v>0</v>
      </c>
      <c r="J13" s="1274">
        <v>1</v>
      </c>
      <c r="K13" s="697">
        <v>0</v>
      </c>
      <c r="L13" s="1266">
        <f t="shared" si="3"/>
        <v>1</v>
      </c>
      <c r="M13" s="694"/>
      <c r="N13" s="692">
        <v>0</v>
      </c>
      <c r="O13" s="692">
        <v>0</v>
      </c>
      <c r="P13" s="692">
        <v>0</v>
      </c>
      <c r="Q13" s="403">
        <v>1</v>
      </c>
      <c r="R13" s="403">
        <v>0</v>
      </c>
    </row>
    <row r="14" spans="1:18" ht="16.5" customHeight="1">
      <c r="A14" s="687" t="s">
        <v>29</v>
      </c>
      <c r="B14" s="688" t="s">
        <v>1012</v>
      </c>
      <c r="C14" s="612" t="s">
        <v>265</v>
      </c>
      <c r="D14" s="689">
        <v>82</v>
      </c>
      <c r="E14" s="690">
        <v>63</v>
      </c>
      <c r="F14" s="691">
        <v>4</v>
      </c>
      <c r="G14" s="691">
        <v>0</v>
      </c>
      <c r="H14" s="691">
        <v>0</v>
      </c>
      <c r="I14" s="691">
        <v>1</v>
      </c>
      <c r="J14" s="691">
        <v>14</v>
      </c>
      <c r="K14" s="691">
        <v>0</v>
      </c>
      <c r="L14" s="699">
        <f t="shared" si="3"/>
        <v>15</v>
      </c>
      <c r="M14" s="694"/>
      <c r="N14" s="692">
        <v>5</v>
      </c>
      <c r="O14" s="692">
        <v>17</v>
      </c>
      <c r="P14" s="692">
        <v>24</v>
      </c>
      <c r="Q14" s="403">
        <v>25</v>
      </c>
      <c r="R14" s="403">
        <v>11</v>
      </c>
    </row>
    <row r="15" spans="1:18" ht="16.5" customHeight="1">
      <c r="A15" s="687" t="s">
        <v>30</v>
      </c>
      <c r="B15" s="688" t="s">
        <v>31</v>
      </c>
      <c r="C15" s="612" t="s">
        <v>268</v>
      </c>
      <c r="D15" s="689">
        <v>17</v>
      </c>
      <c r="E15" s="690">
        <v>16</v>
      </c>
      <c r="F15" s="691">
        <v>0</v>
      </c>
      <c r="G15" s="1265">
        <v>0</v>
      </c>
      <c r="H15" s="1265">
        <v>0</v>
      </c>
      <c r="I15" s="1265">
        <v>0</v>
      </c>
      <c r="J15" s="1265">
        <v>1</v>
      </c>
      <c r="K15" s="1265">
        <v>0</v>
      </c>
      <c r="L15" s="695">
        <f t="shared" si="3"/>
        <v>1</v>
      </c>
      <c r="M15" s="694"/>
      <c r="N15" s="692">
        <v>0</v>
      </c>
      <c r="O15" s="692">
        <v>8</v>
      </c>
      <c r="P15" s="692">
        <v>4</v>
      </c>
      <c r="Q15" s="403">
        <v>3</v>
      </c>
      <c r="R15" s="403">
        <v>2</v>
      </c>
    </row>
    <row r="16" spans="1:18" ht="16.5" customHeight="1">
      <c r="A16" s="687" t="s">
        <v>32</v>
      </c>
      <c r="B16" s="688" t="s">
        <v>33</v>
      </c>
      <c r="C16" s="612" t="s">
        <v>265</v>
      </c>
      <c r="D16" s="689">
        <v>10</v>
      </c>
      <c r="E16" s="690">
        <v>9</v>
      </c>
      <c r="F16" s="691">
        <v>0</v>
      </c>
      <c r="G16" s="691">
        <v>0</v>
      </c>
      <c r="H16" s="691">
        <v>0</v>
      </c>
      <c r="I16" s="691">
        <v>0</v>
      </c>
      <c r="J16" s="691">
        <v>1</v>
      </c>
      <c r="K16" s="691">
        <v>0</v>
      </c>
      <c r="L16" s="692">
        <f t="shared" si="3"/>
        <v>1</v>
      </c>
      <c r="M16" s="695"/>
      <c r="N16" s="692">
        <v>1</v>
      </c>
      <c r="O16" s="692">
        <v>2</v>
      </c>
      <c r="P16" s="692">
        <v>6</v>
      </c>
      <c r="Q16" s="403">
        <v>1</v>
      </c>
      <c r="R16" s="403">
        <v>0</v>
      </c>
    </row>
    <row r="17" spans="1:18" ht="16.5" customHeight="1">
      <c r="A17" s="687" t="s">
        <v>36</v>
      </c>
      <c r="B17" s="688" t="s">
        <v>37</v>
      </c>
      <c r="C17" s="612" t="s">
        <v>264</v>
      </c>
      <c r="D17" s="689">
        <v>2</v>
      </c>
      <c r="E17" s="690">
        <v>2</v>
      </c>
      <c r="F17" s="691">
        <v>0</v>
      </c>
      <c r="G17" s="1265">
        <v>0</v>
      </c>
      <c r="H17" s="1265">
        <v>0</v>
      </c>
      <c r="I17" s="1265">
        <v>0</v>
      </c>
      <c r="J17" s="1265">
        <v>0</v>
      </c>
      <c r="K17" s="1265">
        <v>0</v>
      </c>
      <c r="L17" s="692">
        <f t="shared" si="3"/>
        <v>0</v>
      </c>
      <c r="M17" s="692"/>
      <c r="N17" s="692">
        <v>0</v>
      </c>
      <c r="O17" s="692">
        <v>1</v>
      </c>
      <c r="P17" s="692">
        <v>1</v>
      </c>
      <c r="Q17" s="403">
        <v>0</v>
      </c>
      <c r="R17" s="403">
        <v>0</v>
      </c>
    </row>
    <row r="18" spans="1:18" ht="16.5" customHeight="1">
      <c r="A18" s="687" t="s">
        <v>38</v>
      </c>
      <c r="B18" s="688" t="s">
        <v>39</v>
      </c>
      <c r="C18" s="612" t="s">
        <v>268</v>
      </c>
      <c r="D18" s="689">
        <v>86</v>
      </c>
      <c r="E18" s="690">
        <v>81</v>
      </c>
      <c r="F18" s="691">
        <v>1</v>
      </c>
      <c r="G18" s="691">
        <v>0</v>
      </c>
      <c r="H18" s="691">
        <v>0</v>
      </c>
      <c r="I18" s="691">
        <v>0</v>
      </c>
      <c r="J18" s="691">
        <v>4</v>
      </c>
      <c r="K18" s="691">
        <v>0</v>
      </c>
      <c r="L18" s="1266">
        <f t="shared" si="3"/>
        <v>4</v>
      </c>
      <c r="M18" s="694"/>
      <c r="N18" s="692">
        <v>12</v>
      </c>
      <c r="O18" s="692">
        <v>25</v>
      </c>
      <c r="P18" s="692">
        <v>27</v>
      </c>
      <c r="Q18" s="403">
        <v>17</v>
      </c>
      <c r="R18" s="403">
        <v>5</v>
      </c>
    </row>
    <row r="19" spans="1:18" ht="16.5" customHeight="1">
      <c r="A19" s="687" t="s">
        <v>40</v>
      </c>
      <c r="B19" s="688" t="s">
        <v>41</v>
      </c>
      <c r="C19" s="612" t="s">
        <v>266</v>
      </c>
      <c r="D19" s="689">
        <v>16</v>
      </c>
      <c r="E19" s="690">
        <v>10</v>
      </c>
      <c r="F19" s="691">
        <v>6</v>
      </c>
      <c r="G19" s="691">
        <v>0</v>
      </c>
      <c r="H19" s="691">
        <v>0</v>
      </c>
      <c r="I19" s="691">
        <v>0</v>
      </c>
      <c r="J19" s="691">
        <v>0</v>
      </c>
      <c r="K19" s="691">
        <v>0</v>
      </c>
      <c r="L19" s="692">
        <f t="shared" si="3"/>
        <v>0</v>
      </c>
      <c r="M19" s="1266"/>
      <c r="N19" s="692">
        <v>2</v>
      </c>
      <c r="O19" s="692">
        <v>3</v>
      </c>
      <c r="P19" s="692">
        <v>5</v>
      </c>
      <c r="Q19" s="403">
        <v>6</v>
      </c>
      <c r="R19" s="403">
        <v>0</v>
      </c>
    </row>
    <row r="20" spans="1:18" ht="16.5" customHeight="1">
      <c r="A20" s="687" t="s">
        <v>42</v>
      </c>
      <c r="B20" s="688" t="s">
        <v>43</v>
      </c>
      <c r="C20" s="612" t="s">
        <v>265</v>
      </c>
      <c r="D20" s="689">
        <v>110</v>
      </c>
      <c r="E20" s="690">
        <v>89</v>
      </c>
      <c r="F20" s="691">
        <v>6</v>
      </c>
      <c r="G20" s="691">
        <v>0</v>
      </c>
      <c r="H20" s="691">
        <v>0</v>
      </c>
      <c r="I20" s="691">
        <v>2</v>
      </c>
      <c r="J20" s="691">
        <v>13</v>
      </c>
      <c r="K20" s="691">
        <v>0</v>
      </c>
      <c r="L20" s="699">
        <f t="shared" si="3"/>
        <v>15</v>
      </c>
      <c r="M20" s="694"/>
      <c r="N20" s="692">
        <v>24</v>
      </c>
      <c r="O20" s="692">
        <v>21</v>
      </c>
      <c r="P20" s="692">
        <v>42</v>
      </c>
      <c r="Q20" s="403">
        <v>18</v>
      </c>
      <c r="R20" s="403">
        <v>5</v>
      </c>
    </row>
    <row r="21" spans="1:18" ht="16.5" customHeight="1">
      <c r="A21" s="687" t="s">
        <v>44</v>
      </c>
      <c r="B21" s="688" t="s">
        <v>45</v>
      </c>
      <c r="C21" s="612" t="s">
        <v>266</v>
      </c>
      <c r="D21" s="689">
        <v>7</v>
      </c>
      <c r="E21" s="690">
        <v>3</v>
      </c>
      <c r="F21" s="691">
        <v>3</v>
      </c>
      <c r="G21" s="691">
        <v>0</v>
      </c>
      <c r="H21" s="691">
        <v>0</v>
      </c>
      <c r="I21" s="691">
        <v>0</v>
      </c>
      <c r="J21" s="691">
        <v>1</v>
      </c>
      <c r="K21" s="691">
        <v>0</v>
      </c>
      <c r="L21" s="692">
        <f t="shared" si="3"/>
        <v>1</v>
      </c>
      <c r="M21" s="696"/>
      <c r="N21" s="692">
        <v>1</v>
      </c>
      <c r="O21" s="692">
        <v>2</v>
      </c>
      <c r="P21" s="692">
        <v>1</v>
      </c>
      <c r="Q21" s="403">
        <v>2</v>
      </c>
      <c r="R21" s="403">
        <v>1</v>
      </c>
    </row>
    <row r="22" spans="1:18" ht="16.5" customHeight="1">
      <c r="A22" s="687" t="s">
        <v>46</v>
      </c>
      <c r="B22" s="688" t="s">
        <v>47</v>
      </c>
      <c r="C22" s="612" t="s">
        <v>268</v>
      </c>
      <c r="D22" s="689">
        <v>30</v>
      </c>
      <c r="E22" s="690">
        <v>27</v>
      </c>
      <c r="F22" s="691">
        <v>0</v>
      </c>
      <c r="G22" s="1265">
        <v>0</v>
      </c>
      <c r="H22" s="1265">
        <v>0</v>
      </c>
      <c r="I22" s="1265">
        <v>0</v>
      </c>
      <c r="J22" s="1265">
        <v>3</v>
      </c>
      <c r="K22" s="1265">
        <v>0</v>
      </c>
      <c r="L22" s="695">
        <f t="shared" si="3"/>
        <v>3</v>
      </c>
      <c r="M22" s="694"/>
      <c r="N22" s="692">
        <v>7</v>
      </c>
      <c r="O22" s="692">
        <v>7</v>
      </c>
      <c r="P22" s="692">
        <v>6</v>
      </c>
      <c r="Q22" s="403">
        <v>8</v>
      </c>
      <c r="R22" s="403">
        <v>2</v>
      </c>
    </row>
    <row r="23" spans="1:18" ht="16.5" customHeight="1">
      <c r="A23" s="687" t="s">
        <v>48</v>
      </c>
      <c r="B23" s="688" t="s">
        <v>269</v>
      </c>
      <c r="C23" s="612" t="s">
        <v>266</v>
      </c>
      <c r="D23" s="689">
        <v>2</v>
      </c>
      <c r="E23" s="698">
        <v>0</v>
      </c>
      <c r="F23" s="697">
        <v>1</v>
      </c>
      <c r="G23" s="697">
        <v>0</v>
      </c>
      <c r="H23" s="697">
        <v>0</v>
      </c>
      <c r="I23" s="697">
        <v>0</v>
      </c>
      <c r="J23" s="1274">
        <v>1</v>
      </c>
      <c r="K23" s="697">
        <v>0</v>
      </c>
      <c r="L23" s="692">
        <f t="shared" si="3"/>
        <v>1</v>
      </c>
      <c r="M23" s="702"/>
      <c r="N23" s="692">
        <v>0</v>
      </c>
      <c r="O23" s="1266">
        <v>2</v>
      </c>
      <c r="P23" s="692">
        <v>0</v>
      </c>
      <c r="Q23" s="403">
        <v>0</v>
      </c>
      <c r="R23" s="403">
        <v>0</v>
      </c>
    </row>
    <row r="24" spans="1:18" ht="16.5" customHeight="1">
      <c r="A24" s="687" t="s">
        <v>50</v>
      </c>
      <c r="B24" s="688" t="s">
        <v>51</v>
      </c>
      <c r="C24" s="612" t="s">
        <v>265</v>
      </c>
      <c r="D24" s="689">
        <v>15</v>
      </c>
      <c r="E24" s="690">
        <v>6</v>
      </c>
      <c r="F24" s="691">
        <v>4</v>
      </c>
      <c r="G24" s="691">
        <v>0</v>
      </c>
      <c r="H24" s="691">
        <v>0</v>
      </c>
      <c r="I24" s="691">
        <v>0</v>
      </c>
      <c r="J24" s="691">
        <v>5</v>
      </c>
      <c r="K24" s="691">
        <v>0</v>
      </c>
      <c r="L24" s="692">
        <f t="shared" si="3"/>
        <v>5</v>
      </c>
      <c r="M24" s="694"/>
      <c r="N24" s="692">
        <v>1</v>
      </c>
      <c r="O24" s="692">
        <v>7</v>
      </c>
      <c r="P24" s="692">
        <v>5</v>
      </c>
      <c r="Q24" s="403">
        <v>2</v>
      </c>
      <c r="R24" s="403">
        <v>0</v>
      </c>
    </row>
    <row r="25" spans="1:18" ht="16.5" customHeight="1">
      <c r="A25" s="687" t="s">
        <v>56</v>
      </c>
      <c r="B25" s="688" t="s">
        <v>295</v>
      </c>
      <c r="C25" s="612" t="s">
        <v>266</v>
      </c>
      <c r="D25" s="689">
        <v>212</v>
      </c>
      <c r="E25" s="690">
        <v>130</v>
      </c>
      <c r="F25" s="691">
        <v>44</v>
      </c>
      <c r="G25" s="691">
        <v>1</v>
      </c>
      <c r="H25" s="691">
        <v>0</v>
      </c>
      <c r="I25" s="691">
        <v>0</v>
      </c>
      <c r="J25" s="691">
        <v>26</v>
      </c>
      <c r="K25" s="691">
        <v>11</v>
      </c>
      <c r="L25" s="692">
        <f t="shared" si="3"/>
        <v>38</v>
      </c>
      <c r="M25" s="696"/>
      <c r="N25" s="692">
        <v>10</v>
      </c>
      <c r="O25" s="696">
        <v>58</v>
      </c>
      <c r="P25" s="692">
        <v>82</v>
      </c>
      <c r="Q25" s="403">
        <v>43</v>
      </c>
      <c r="R25" s="403">
        <v>19</v>
      </c>
    </row>
    <row r="26" spans="1:18" ht="16.5" customHeight="1">
      <c r="A26" s="687" t="s">
        <v>58</v>
      </c>
      <c r="B26" s="688" t="s">
        <v>59</v>
      </c>
      <c r="C26" s="612" t="s">
        <v>267</v>
      </c>
      <c r="D26" s="700">
        <v>6</v>
      </c>
      <c r="E26" s="701">
        <v>2</v>
      </c>
      <c r="F26" s="697">
        <v>2</v>
      </c>
      <c r="G26" s="697">
        <v>0</v>
      </c>
      <c r="H26" s="697">
        <v>0</v>
      </c>
      <c r="I26" s="697">
        <v>0</v>
      </c>
      <c r="J26" s="1274">
        <v>2</v>
      </c>
      <c r="K26" s="697">
        <v>0</v>
      </c>
      <c r="L26" s="692">
        <f t="shared" si="3"/>
        <v>2</v>
      </c>
      <c r="M26" s="695"/>
      <c r="N26" s="692">
        <v>1</v>
      </c>
      <c r="O26" s="692">
        <v>3</v>
      </c>
      <c r="P26" s="692">
        <v>1</v>
      </c>
      <c r="Q26" s="403">
        <v>1</v>
      </c>
      <c r="R26" s="403">
        <v>0</v>
      </c>
    </row>
    <row r="27" spans="1:18" ht="16.5" customHeight="1">
      <c r="A27" s="687" t="s">
        <v>60</v>
      </c>
      <c r="B27" s="688" t="s">
        <v>61</v>
      </c>
      <c r="C27" s="612" t="s">
        <v>265</v>
      </c>
      <c r="D27" s="700">
        <v>3</v>
      </c>
      <c r="E27" s="701">
        <v>3</v>
      </c>
      <c r="F27" s="697">
        <v>0</v>
      </c>
      <c r="G27" s="697">
        <v>0</v>
      </c>
      <c r="H27" s="697">
        <v>0</v>
      </c>
      <c r="I27" s="697">
        <v>0</v>
      </c>
      <c r="J27" s="1274">
        <v>0</v>
      </c>
      <c r="K27" s="697">
        <v>0</v>
      </c>
      <c r="L27" s="692">
        <f t="shared" si="3"/>
        <v>0</v>
      </c>
      <c r="M27" s="702"/>
      <c r="N27" s="692">
        <v>0</v>
      </c>
      <c r="O27" s="692">
        <v>0</v>
      </c>
      <c r="P27" s="692">
        <v>2</v>
      </c>
      <c r="Q27" s="403">
        <v>1</v>
      </c>
      <c r="R27" s="403">
        <v>0</v>
      </c>
    </row>
    <row r="28" spans="1:18" ht="16.5" customHeight="1">
      <c r="A28" s="687" t="s">
        <v>62</v>
      </c>
      <c r="B28" s="688" t="s">
        <v>63</v>
      </c>
      <c r="C28" s="612" t="s">
        <v>267</v>
      </c>
      <c r="D28" s="689">
        <v>55</v>
      </c>
      <c r="E28" s="690">
        <v>35</v>
      </c>
      <c r="F28" s="691">
        <v>5</v>
      </c>
      <c r="G28" s="691">
        <v>0</v>
      </c>
      <c r="H28" s="691">
        <v>0</v>
      </c>
      <c r="I28" s="691">
        <v>0</v>
      </c>
      <c r="J28" s="691">
        <v>15</v>
      </c>
      <c r="K28" s="691">
        <v>0</v>
      </c>
      <c r="L28" s="692">
        <f t="shared" si="3"/>
        <v>15</v>
      </c>
      <c r="M28" s="694"/>
      <c r="N28" s="692">
        <v>4</v>
      </c>
      <c r="O28" s="1266">
        <v>17</v>
      </c>
      <c r="P28" s="692">
        <v>21</v>
      </c>
      <c r="Q28" s="403">
        <v>11</v>
      </c>
      <c r="R28" s="403">
        <v>2</v>
      </c>
    </row>
    <row r="29" spans="1:18" ht="16.5" customHeight="1">
      <c r="A29" s="687" t="s">
        <v>64</v>
      </c>
      <c r="B29" s="688" t="s">
        <v>65</v>
      </c>
      <c r="C29" s="612" t="s">
        <v>266</v>
      </c>
      <c r="D29" s="689">
        <v>7</v>
      </c>
      <c r="E29" s="690">
        <v>4</v>
      </c>
      <c r="F29" s="691">
        <v>3</v>
      </c>
      <c r="G29" s="691">
        <v>0</v>
      </c>
      <c r="H29" s="691">
        <v>0</v>
      </c>
      <c r="I29" s="691">
        <v>0</v>
      </c>
      <c r="J29" s="691">
        <v>0</v>
      </c>
      <c r="K29" s="691">
        <v>0</v>
      </c>
      <c r="L29" s="1266">
        <f t="shared" si="3"/>
        <v>0</v>
      </c>
      <c r="M29" s="702"/>
      <c r="N29" s="1266">
        <v>0</v>
      </c>
      <c r="O29" s="702">
        <v>2</v>
      </c>
      <c r="P29" s="692">
        <v>5</v>
      </c>
      <c r="Q29" s="403">
        <v>0</v>
      </c>
      <c r="R29" s="403">
        <v>0</v>
      </c>
    </row>
    <row r="30" spans="1:18" ht="16.5" customHeight="1">
      <c r="A30" s="687" t="s">
        <v>68</v>
      </c>
      <c r="B30" s="688" t="s">
        <v>69</v>
      </c>
      <c r="C30" s="612" t="s">
        <v>268</v>
      </c>
      <c r="D30" s="689">
        <v>92</v>
      </c>
      <c r="E30" s="690">
        <v>92</v>
      </c>
      <c r="F30" s="691">
        <v>0</v>
      </c>
      <c r="G30" s="691">
        <v>0</v>
      </c>
      <c r="H30" s="691">
        <v>0</v>
      </c>
      <c r="I30" s="691">
        <v>0</v>
      </c>
      <c r="J30" s="691">
        <v>0</v>
      </c>
      <c r="K30" s="691">
        <v>0</v>
      </c>
      <c r="L30" s="692">
        <f t="shared" si="3"/>
        <v>0</v>
      </c>
      <c r="M30" s="692"/>
      <c r="N30" s="692">
        <v>22</v>
      </c>
      <c r="O30" s="692">
        <v>34</v>
      </c>
      <c r="P30" s="692">
        <v>19</v>
      </c>
      <c r="Q30" s="403">
        <v>15</v>
      </c>
      <c r="R30" s="403">
        <v>2</v>
      </c>
    </row>
    <row r="31" spans="1:18" ht="16.5" customHeight="1">
      <c r="A31" s="687" t="s">
        <v>70</v>
      </c>
      <c r="B31" s="688" t="s">
        <v>71</v>
      </c>
      <c r="C31" s="612" t="s">
        <v>264</v>
      </c>
      <c r="D31" s="689">
        <v>19</v>
      </c>
      <c r="E31" s="690">
        <v>9</v>
      </c>
      <c r="F31" s="691">
        <v>6</v>
      </c>
      <c r="G31" s="691">
        <v>0</v>
      </c>
      <c r="H31" s="691">
        <v>0</v>
      </c>
      <c r="I31" s="691">
        <v>0</v>
      </c>
      <c r="J31" s="691">
        <v>4</v>
      </c>
      <c r="K31" s="691">
        <v>0</v>
      </c>
      <c r="L31" s="692">
        <f t="shared" si="3"/>
        <v>4</v>
      </c>
      <c r="M31" s="696"/>
      <c r="N31" s="692">
        <v>1</v>
      </c>
      <c r="O31" s="692">
        <v>7</v>
      </c>
      <c r="P31" s="692">
        <v>4</v>
      </c>
      <c r="Q31" s="403">
        <v>6</v>
      </c>
      <c r="R31" s="403">
        <v>1</v>
      </c>
    </row>
    <row r="32" spans="1:18" ht="16.5" customHeight="1">
      <c r="A32" s="687" t="s">
        <v>72</v>
      </c>
      <c r="B32" s="688" t="s">
        <v>73</v>
      </c>
      <c r="C32" s="612" t="s">
        <v>266</v>
      </c>
      <c r="D32" s="689">
        <v>6</v>
      </c>
      <c r="E32" s="698">
        <v>0</v>
      </c>
      <c r="F32" s="697">
        <v>3</v>
      </c>
      <c r="G32" s="697">
        <v>0</v>
      </c>
      <c r="H32" s="697">
        <v>0</v>
      </c>
      <c r="I32" s="697">
        <v>0</v>
      </c>
      <c r="J32" s="1274">
        <v>1</v>
      </c>
      <c r="K32" s="697">
        <v>2</v>
      </c>
      <c r="L32" s="692">
        <f t="shared" si="3"/>
        <v>3</v>
      </c>
      <c r="M32" s="702"/>
      <c r="N32" s="692">
        <v>0</v>
      </c>
      <c r="O32" s="696">
        <v>0</v>
      </c>
      <c r="P32" s="692">
        <v>5</v>
      </c>
      <c r="Q32" s="403">
        <v>1</v>
      </c>
      <c r="R32" s="403">
        <v>0</v>
      </c>
    </row>
    <row r="33" spans="1:18" ht="16.5" customHeight="1">
      <c r="A33" s="687" t="s">
        <v>74</v>
      </c>
      <c r="B33" s="688" t="s">
        <v>302</v>
      </c>
      <c r="C33" s="612" t="s">
        <v>267</v>
      </c>
      <c r="D33" s="689">
        <v>516</v>
      </c>
      <c r="E33" s="690">
        <v>228</v>
      </c>
      <c r="F33" s="691">
        <v>201</v>
      </c>
      <c r="G33" s="691">
        <v>14</v>
      </c>
      <c r="H33" s="691">
        <v>5</v>
      </c>
      <c r="I33" s="691">
        <v>1</v>
      </c>
      <c r="J33" s="691">
        <v>57</v>
      </c>
      <c r="K33" s="691">
        <v>10</v>
      </c>
      <c r="L33" s="699">
        <f t="shared" si="3"/>
        <v>87</v>
      </c>
      <c r="M33" s="696"/>
      <c r="N33" s="696">
        <v>42</v>
      </c>
      <c r="O33" s="696">
        <v>118</v>
      </c>
      <c r="P33" s="692">
        <v>149</v>
      </c>
      <c r="Q33" s="403">
        <v>126</v>
      </c>
      <c r="R33" s="403">
        <v>81</v>
      </c>
    </row>
    <row r="34" spans="1:18" ht="16.5" customHeight="1">
      <c r="A34" s="687" t="s">
        <v>76</v>
      </c>
      <c r="B34" s="688" t="s">
        <v>77</v>
      </c>
      <c r="C34" s="612" t="s">
        <v>267</v>
      </c>
      <c r="D34" s="689">
        <v>48</v>
      </c>
      <c r="E34" s="690">
        <v>30</v>
      </c>
      <c r="F34" s="691">
        <v>12</v>
      </c>
      <c r="G34" s="691">
        <v>0</v>
      </c>
      <c r="H34" s="691">
        <v>0</v>
      </c>
      <c r="I34" s="691">
        <v>0</v>
      </c>
      <c r="J34" s="691">
        <v>6</v>
      </c>
      <c r="K34" s="691">
        <v>0</v>
      </c>
      <c r="L34" s="692">
        <f t="shared" si="3"/>
        <v>6</v>
      </c>
      <c r="M34" s="694"/>
      <c r="N34" s="692">
        <v>7</v>
      </c>
      <c r="O34" s="692">
        <v>14</v>
      </c>
      <c r="P34" s="692">
        <v>18</v>
      </c>
      <c r="Q34" s="403">
        <v>8</v>
      </c>
      <c r="R34" s="403">
        <v>1</v>
      </c>
    </row>
    <row r="35" spans="1:18" ht="16.5" customHeight="1">
      <c r="A35" s="687" t="s">
        <v>78</v>
      </c>
      <c r="B35" s="688" t="s">
        <v>79</v>
      </c>
      <c r="C35" s="612" t="s">
        <v>268</v>
      </c>
      <c r="D35" s="689">
        <v>4</v>
      </c>
      <c r="E35" s="690">
        <v>4</v>
      </c>
      <c r="F35" s="691">
        <v>0</v>
      </c>
      <c r="G35" s="1265">
        <v>0</v>
      </c>
      <c r="H35" s="1265">
        <v>0</v>
      </c>
      <c r="I35" s="1265">
        <v>0</v>
      </c>
      <c r="J35" s="1265">
        <v>0</v>
      </c>
      <c r="K35" s="1265">
        <v>0</v>
      </c>
      <c r="L35" s="692">
        <f t="shared" si="3"/>
        <v>0</v>
      </c>
      <c r="M35" s="1266"/>
      <c r="N35" s="692">
        <v>1</v>
      </c>
      <c r="O35" s="692">
        <v>1</v>
      </c>
      <c r="P35" s="692">
        <v>2</v>
      </c>
      <c r="Q35" s="403">
        <v>0</v>
      </c>
      <c r="R35" s="403">
        <v>0</v>
      </c>
    </row>
    <row r="36" spans="1:18" ht="16.5" customHeight="1">
      <c r="A36" s="687" t="s">
        <v>80</v>
      </c>
      <c r="B36" s="688" t="s">
        <v>81</v>
      </c>
      <c r="C36" s="612" t="s">
        <v>266</v>
      </c>
      <c r="D36" s="689">
        <v>21</v>
      </c>
      <c r="E36" s="690">
        <v>18</v>
      </c>
      <c r="F36" s="691">
        <v>3</v>
      </c>
      <c r="G36" s="691">
        <v>0</v>
      </c>
      <c r="H36" s="691">
        <v>0</v>
      </c>
      <c r="I36" s="691">
        <v>0</v>
      </c>
      <c r="J36" s="691">
        <v>0</v>
      </c>
      <c r="K36" s="691">
        <v>0</v>
      </c>
      <c r="L36" s="692">
        <f t="shared" si="3"/>
        <v>0</v>
      </c>
      <c r="M36" s="695"/>
      <c r="N36" s="692">
        <v>3</v>
      </c>
      <c r="O36" s="692">
        <v>2</v>
      </c>
      <c r="P36" s="692">
        <v>10</v>
      </c>
      <c r="Q36" s="403">
        <v>5</v>
      </c>
      <c r="R36" s="403">
        <v>1</v>
      </c>
    </row>
    <row r="37" spans="1:18" ht="16.5" customHeight="1">
      <c r="A37" s="687" t="s">
        <v>84</v>
      </c>
      <c r="B37" s="688" t="s">
        <v>308</v>
      </c>
      <c r="C37" s="612" t="s">
        <v>265</v>
      </c>
      <c r="D37" s="689">
        <v>74</v>
      </c>
      <c r="E37" s="690">
        <v>64</v>
      </c>
      <c r="F37" s="691">
        <v>7</v>
      </c>
      <c r="G37" s="691">
        <v>0</v>
      </c>
      <c r="H37" s="691">
        <v>0</v>
      </c>
      <c r="I37" s="691">
        <v>0</v>
      </c>
      <c r="J37" s="691">
        <v>3</v>
      </c>
      <c r="K37" s="691">
        <v>0</v>
      </c>
      <c r="L37" s="692">
        <f t="shared" ref="L37:L68" si="4">G37+H37+I37+J37+K37</f>
        <v>3</v>
      </c>
      <c r="M37" s="696"/>
      <c r="N37" s="692">
        <v>8</v>
      </c>
      <c r="O37" s="695">
        <v>27</v>
      </c>
      <c r="P37" s="692">
        <v>27</v>
      </c>
      <c r="Q37" s="403">
        <v>8</v>
      </c>
      <c r="R37" s="403">
        <v>4</v>
      </c>
    </row>
    <row r="38" spans="1:18" ht="16.5" customHeight="1">
      <c r="A38" s="687" t="s">
        <v>86</v>
      </c>
      <c r="B38" s="688" t="s">
        <v>87</v>
      </c>
      <c r="C38" s="612" t="s">
        <v>267</v>
      </c>
      <c r="D38" s="689">
        <v>53</v>
      </c>
      <c r="E38" s="690">
        <v>39</v>
      </c>
      <c r="F38" s="691">
        <v>5</v>
      </c>
      <c r="G38" s="691">
        <v>0</v>
      </c>
      <c r="H38" s="691">
        <v>0</v>
      </c>
      <c r="I38" s="691">
        <v>0</v>
      </c>
      <c r="J38" s="691">
        <v>8</v>
      </c>
      <c r="K38" s="691">
        <v>1</v>
      </c>
      <c r="L38" s="695">
        <f t="shared" si="4"/>
        <v>9</v>
      </c>
      <c r="M38" s="694"/>
      <c r="N38" s="695">
        <v>12</v>
      </c>
      <c r="O38" s="694">
        <v>10</v>
      </c>
      <c r="P38" s="692">
        <v>16</v>
      </c>
      <c r="Q38" s="403">
        <v>14</v>
      </c>
      <c r="R38" s="403">
        <v>1</v>
      </c>
    </row>
    <row r="39" spans="1:18" ht="16.5" customHeight="1">
      <c r="A39" s="687" t="s">
        <v>92</v>
      </c>
      <c r="B39" s="688" t="s">
        <v>93</v>
      </c>
      <c r="C39" s="612" t="s">
        <v>268</v>
      </c>
      <c r="D39" s="689">
        <v>36</v>
      </c>
      <c r="E39" s="690">
        <v>33</v>
      </c>
      <c r="F39" s="691">
        <v>0</v>
      </c>
      <c r="G39" s="1265">
        <v>0</v>
      </c>
      <c r="H39" s="1265">
        <v>0</v>
      </c>
      <c r="I39" s="1265">
        <v>0</v>
      </c>
      <c r="J39" s="1265">
        <v>3</v>
      </c>
      <c r="K39" s="1265">
        <v>0</v>
      </c>
      <c r="L39" s="692">
        <f t="shared" si="4"/>
        <v>3</v>
      </c>
      <c r="M39" s="702"/>
      <c r="N39" s="692">
        <v>11</v>
      </c>
      <c r="O39" s="692">
        <v>11</v>
      </c>
      <c r="P39" s="692">
        <v>11</v>
      </c>
      <c r="Q39" s="403">
        <v>3</v>
      </c>
      <c r="R39" s="403">
        <v>0</v>
      </c>
    </row>
    <row r="40" spans="1:18" ht="16.5" customHeight="1">
      <c r="A40" s="687" t="s">
        <v>94</v>
      </c>
      <c r="B40" s="688" t="s">
        <v>95</v>
      </c>
      <c r="C40" s="612" t="s">
        <v>264</v>
      </c>
      <c r="D40" s="689">
        <v>39</v>
      </c>
      <c r="E40" s="690">
        <v>31</v>
      </c>
      <c r="F40" s="691">
        <v>6</v>
      </c>
      <c r="G40" s="691">
        <v>0</v>
      </c>
      <c r="H40" s="691">
        <v>0</v>
      </c>
      <c r="I40" s="691">
        <v>0</v>
      </c>
      <c r="J40" s="691">
        <v>2</v>
      </c>
      <c r="K40" s="691">
        <v>0</v>
      </c>
      <c r="L40" s="692">
        <f t="shared" si="4"/>
        <v>2</v>
      </c>
      <c r="M40" s="696"/>
      <c r="N40" s="692">
        <v>7</v>
      </c>
      <c r="O40" s="692">
        <v>7</v>
      </c>
      <c r="P40" s="692">
        <v>18</v>
      </c>
      <c r="Q40" s="403">
        <v>7</v>
      </c>
      <c r="R40" s="403">
        <v>0</v>
      </c>
    </row>
    <row r="41" spans="1:18" ht="16.5" customHeight="1">
      <c r="A41" s="687" t="s">
        <v>96</v>
      </c>
      <c r="B41" s="688" t="s">
        <v>97</v>
      </c>
      <c r="C41" s="612" t="s">
        <v>266</v>
      </c>
      <c r="D41" s="689">
        <v>18</v>
      </c>
      <c r="E41" s="690">
        <v>11</v>
      </c>
      <c r="F41" s="691">
        <v>4</v>
      </c>
      <c r="G41" s="691">
        <v>0</v>
      </c>
      <c r="H41" s="691">
        <v>0</v>
      </c>
      <c r="I41" s="691">
        <v>0</v>
      </c>
      <c r="J41" s="691">
        <v>3</v>
      </c>
      <c r="K41" s="691">
        <v>0</v>
      </c>
      <c r="L41" s="692">
        <f t="shared" si="4"/>
        <v>3</v>
      </c>
      <c r="M41" s="692"/>
      <c r="N41" s="692">
        <v>4</v>
      </c>
      <c r="O41" s="692">
        <v>6</v>
      </c>
      <c r="P41" s="692">
        <v>7</v>
      </c>
      <c r="Q41" s="403">
        <v>1</v>
      </c>
      <c r="R41" s="403">
        <v>0</v>
      </c>
    </row>
    <row r="42" spans="1:18" ht="16.5" customHeight="1">
      <c r="A42" s="687" t="s">
        <v>98</v>
      </c>
      <c r="B42" s="688" t="s">
        <v>99</v>
      </c>
      <c r="C42" s="612" t="s">
        <v>268</v>
      </c>
      <c r="D42" s="689">
        <v>25</v>
      </c>
      <c r="E42" s="690">
        <v>20</v>
      </c>
      <c r="F42" s="691">
        <v>2</v>
      </c>
      <c r="G42" s="1265">
        <v>0</v>
      </c>
      <c r="H42" s="1265">
        <v>0</v>
      </c>
      <c r="I42" s="1265">
        <v>0</v>
      </c>
      <c r="J42" s="1265">
        <v>2</v>
      </c>
      <c r="K42" s="1265">
        <v>1</v>
      </c>
      <c r="L42" s="692">
        <f t="shared" si="4"/>
        <v>3</v>
      </c>
      <c r="M42" s="696"/>
      <c r="N42" s="692">
        <v>1</v>
      </c>
      <c r="O42" s="696">
        <v>10</v>
      </c>
      <c r="P42" s="692">
        <v>6</v>
      </c>
      <c r="Q42" s="403">
        <v>7</v>
      </c>
      <c r="R42" s="403">
        <v>1</v>
      </c>
    </row>
    <row r="43" spans="1:18" ht="16.5" customHeight="1">
      <c r="A43" s="687" t="s">
        <v>100</v>
      </c>
      <c r="B43" s="688" t="s">
        <v>101</v>
      </c>
      <c r="C43" s="612" t="s">
        <v>267</v>
      </c>
      <c r="D43" s="689">
        <v>12</v>
      </c>
      <c r="E43" s="690">
        <v>4</v>
      </c>
      <c r="F43" s="691">
        <v>1</v>
      </c>
      <c r="G43" s="691">
        <v>0</v>
      </c>
      <c r="H43" s="691">
        <v>0</v>
      </c>
      <c r="I43" s="691">
        <v>0</v>
      </c>
      <c r="J43" s="691">
        <v>7</v>
      </c>
      <c r="K43" s="691">
        <v>0</v>
      </c>
      <c r="L43" s="692">
        <f t="shared" si="4"/>
        <v>7</v>
      </c>
      <c r="M43" s="694"/>
      <c r="N43" s="692">
        <v>6</v>
      </c>
      <c r="O43" s="692">
        <v>0</v>
      </c>
      <c r="P43" s="692">
        <v>3</v>
      </c>
      <c r="Q43" s="403">
        <v>3</v>
      </c>
      <c r="R43" s="403">
        <v>0</v>
      </c>
    </row>
    <row r="44" spans="1:18" ht="16.5" customHeight="1">
      <c r="A44" s="687" t="s">
        <v>102</v>
      </c>
      <c r="B44" s="688" t="s">
        <v>103</v>
      </c>
      <c r="C44" s="612" t="s">
        <v>264</v>
      </c>
      <c r="D44" s="689">
        <v>2</v>
      </c>
      <c r="E44" s="698">
        <v>0</v>
      </c>
      <c r="F44" s="697">
        <v>1</v>
      </c>
      <c r="G44" s="697">
        <v>0</v>
      </c>
      <c r="H44" s="697">
        <v>0</v>
      </c>
      <c r="I44" s="697">
        <v>0</v>
      </c>
      <c r="J44" s="1274">
        <v>1</v>
      </c>
      <c r="K44" s="697">
        <v>0</v>
      </c>
      <c r="L44" s="692">
        <f t="shared" si="4"/>
        <v>1</v>
      </c>
      <c r="M44" s="695"/>
      <c r="N44" s="692">
        <v>1</v>
      </c>
      <c r="O44" s="695">
        <v>0</v>
      </c>
      <c r="P44" s="692">
        <v>0</v>
      </c>
      <c r="Q44" s="403">
        <v>1</v>
      </c>
      <c r="R44" s="403">
        <v>0</v>
      </c>
    </row>
    <row r="45" spans="1:18" ht="16.5" customHeight="1">
      <c r="A45" s="687" t="s">
        <v>104</v>
      </c>
      <c r="B45" s="688" t="s">
        <v>309</v>
      </c>
      <c r="C45" s="612" t="s">
        <v>265</v>
      </c>
      <c r="D45" s="689">
        <v>31</v>
      </c>
      <c r="E45" s="690">
        <v>13</v>
      </c>
      <c r="F45" s="691">
        <v>17</v>
      </c>
      <c r="G45" s="691">
        <v>0</v>
      </c>
      <c r="H45" s="691">
        <v>0</v>
      </c>
      <c r="I45" s="691">
        <v>0</v>
      </c>
      <c r="J45" s="691">
        <v>1</v>
      </c>
      <c r="K45" s="691">
        <v>0</v>
      </c>
      <c r="L45" s="692">
        <f t="shared" si="4"/>
        <v>1</v>
      </c>
      <c r="M45" s="694"/>
      <c r="N45" s="692">
        <v>2</v>
      </c>
      <c r="O45" s="695">
        <v>5</v>
      </c>
      <c r="P45" s="692">
        <v>9</v>
      </c>
      <c r="Q45" s="403">
        <v>10</v>
      </c>
      <c r="R45" s="403">
        <v>5</v>
      </c>
    </row>
    <row r="46" spans="1:18" ht="16.5" customHeight="1">
      <c r="A46" s="687" t="s">
        <v>108</v>
      </c>
      <c r="B46" s="688" t="s">
        <v>109</v>
      </c>
      <c r="C46" s="612" t="s">
        <v>266</v>
      </c>
      <c r="D46" s="689">
        <v>36</v>
      </c>
      <c r="E46" s="690">
        <v>22</v>
      </c>
      <c r="F46" s="691">
        <v>6</v>
      </c>
      <c r="G46" s="691">
        <v>0</v>
      </c>
      <c r="H46" s="691">
        <v>0</v>
      </c>
      <c r="I46" s="691">
        <v>0</v>
      </c>
      <c r="J46" s="691">
        <v>8</v>
      </c>
      <c r="K46" s="691">
        <v>0</v>
      </c>
      <c r="L46" s="692">
        <f t="shared" si="4"/>
        <v>8</v>
      </c>
      <c r="M46" s="696"/>
      <c r="N46" s="692">
        <v>3</v>
      </c>
      <c r="O46" s="692">
        <v>12</v>
      </c>
      <c r="P46" s="692">
        <v>11</v>
      </c>
      <c r="Q46" s="403">
        <v>7</v>
      </c>
      <c r="R46" s="403">
        <v>3</v>
      </c>
    </row>
    <row r="47" spans="1:18" ht="16.5" customHeight="1">
      <c r="A47" s="687" t="s">
        <v>110</v>
      </c>
      <c r="B47" s="688" t="s">
        <v>111</v>
      </c>
      <c r="C47" s="612" t="s">
        <v>266</v>
      </c>
      <c r="D47" s="689">
        <v>108</v>
      </c>
      <c r="E47" s="690">
        <v>58</v>
      </c>
      <c r="F47" s="691">
        <v>41</v>
      </c>
      <c r="G47" s="691">
        <v>1</v>
      </c>
      <c r="H47" s="691">
        <v>0</v>
      </c>
      <c r="I47" s="691">
        <v>0</v>
      </c>
      <c r="J47" s="691">
        <v>8</v>
      </c>
      <c r="K47" s="691">
        <v>0</v>
      </c>
      <c r="L47" s="692">
        <f t="shared" si="4"/>
        <v>9</v>
      </c>
      <c r="M47" s="696"/>
      <c r="N47" s="692">
        <v>6</v>
      </c>
      <c r="O47" s="692">
        <v>26</v>
      </c>
      <c r="P47" s="692">
        <v>43</v>
      </c>
      <c r="Q47" s="403">
        <v>28</v>
      </c>
      <c r="R47" s="403">
        <v>5</v>
      </c>
    </row>
    <row r="48" spans="1:18" ht="16.5" customHeight="1">
      <c r="A48" s="687" t="s">
        <v>112</v>
      </c>
      <c r="B48" s="688" t="s">
        <v>300</v>
      </c>
      <c r="C48" s="612" t="s">
        <v>265</v>
      </c>
      <c r="D48" s="689">
        <v>55</v>
      </c>
      <c r="E48" s="690">
        <v>37</v>
      </c>
      <c r="F48" s="691">
        <v>12</v>
      </c>
      <c r="G48" s="691">
        <v>0</v>
      </c>
      <c r="H48" s="691">
        <v>0</v>
      </c>
      <c r="I48" s="691">
        <v>0</v>
      </c>
      <c r="J48" s="691">
        <v>6</v>
      </c>
      <c r="K48" s="691">
        <v>0</v>
      </c>
      <c r="L48" s="1266">
        <f t="shared" si="4"/>
        <v>6</v>
      </c>
      <c r="M48" s="694"/>
      <c r="N48" s="692">
        <v>4</v>
      </c>
      <c r="O48" s="692">
        <v>15</v>
      </c>
      <c r="P48" s="692">
        <v>25</v>
      </c>
      <c r="Q48" s="403">
        <v>11</v>
      </c>
      <c r="R48" s="403">
        <v>0</v>
      </c>
    </row>
    <row r="49" spans="1:18" ht="16.5" customHeight="1">
      <c r="A49" s="687" t="s">
        <v>114</v>
      </c>
      <c r="B49" s="688" t="s">
        <v>115</v>
      </c>
      <c r="C49" s="612" t="s">
        <v>265</v>
      </c>
      <c r="D49" s="700">
        <v>3</v>
      </c>
      <c r="E49" s="701">
        <v>3</v>
      </c>
      <c r="F49" s="697">
        <v>0</v>
      </c>
      <c r="G49" s="697">
        <v>0</v>
      </c>
      <c r="H49" s="697">
        <v>0</v>
      </c>
      <c r="I49" s="697">
        <v>0</v>
      </c>
      <c r="J49" s="1274">
        <v>0</v>
      </c>
      <c r="K49" s="697">
        <v>0</v>
      </c>
      <c r="L49" s="692">
        <f t="shared" si="4"/>
        <v>0</v>
      </c>
      <c r="M49" s="1266"/>
      <c r="N49" s="692">
        <v>0</v>
      </c>
      <c r="O49" s="692">
        <v>3</v>
      </c>
      <c r="P49" s="692">
        <v>0</v>
      </c>
      <c r="Q49" s="403">
        <v>0</v>
      </c>
      <c r="R49" s="403">
        <v>0</v>
      </c>
    </row>
    <row r="50" spans="1:18" ht="16.5" customHeight="1">
      <c r="A50" s="687" t="s">
        <v>118</v>
      </c>
      <c r="B50" s="688" t="s">
        <v>119</v>
      </c>
      <c r="C50" s="612" t="s">
        <v>264</v>
      </c>
      <c r="D50" s="689">
        <v>11</v>
      </c>
      <c r="E50" s="690">
        <v>5</v>
      </c>
      <c r="F50" s="691">
        <v>6</v>
      </c>
      <c r="G50" s="691">
        <v>0</v>
      </c>
      <c r="H50" s="691">
        <v>0</v>
      </c>
      <c r="I50" s="691">
        <v>0</v>
      </c>
      <c r="J50" s="691">
        <v>0</v>
      </c>
      <c r="K50" s="691">
        <v>0</v>
      </c>
      <c r="L50" s="692">
        <f t="shared" si="4"/>
        <v>0</v>
      </c>
      <c r="M50" s="695"/>
      <c r="N50" s="692">
        <v>1</v>
      </c>
      <c r="O50" s="695">
        <v>3</v>
      </c>
      <c r="P50" s="692">
        <v>4</v>
      </c>
      <c r="Q50" s="403">
        <v>3</v>
      </c>
      <c r="R50" s="403">
        <v>0</v>
      </c>
    </row>
    <row r="51" spans="1:18" ht="16.5" customHeight="1">
      <c r="A51" s="687" t="s">
        <v>120</v>
      </c>
      <c r="B51" s="688" t="s">
        <v>121</v>
      </c>
      <c r="C51" s="612" t="s">
        <v>264</v>
      </c>
      <c r="D51" s="689">
        <v>45</v>
      </c>
      <c r="E51" s="690">
        <v>22</v>
      </c>
      <c r="F51" s="691">
        <v>15</v>
      </c>
      <c r="G51" s="691">
        <v>0</v>
      </c>
      <c r="H51" s="691">
        <v>0</v>
      </c>
      <c r="I51" s="691">
        <v>0</v>
      </c>
      <c r="J51" s="691">
        <v>8</v>
      </c>
      <c r="K51" s="691">
        <v>0</v>
      </c>
      <c r="L51" s="692">
        <f t="shared" si="4"/>
        <v>8</v>
      </c>
      <c r="M51" s="694"/>
      <c r="N51" s="692">
        <v>3</v>
      </c>
      <c r="O51" s="692">
        <v>14</v>
      </c>
      <c r="P51" s="692">
        <v>19</v>
      </c>
      <c r="Q51" s="403">
        <v>7</v>
      </c>
      <c r="R51" s="403">
        <v>2</v>
      </c>
    </row>
    <row r="52" spans="1:18" ht="16.5" customHeight="1">
      <c r="A52" s="687" t="s">
        <v>122</v>
      </c>
      <c r="B52" s="688" t="s">
        <v>271</v>
      </c>
      <c r="C52" s="612" t="s">
        <v>266</v>
      </c>
      <c r="D52" s="689">
        <v>10</v>
      </c>
      <c r="E52" s="690">
        <v>2</v>
      </c>
      <c r="F52" s="691">
        <v>7</v>
      </c>
      <c r="G52" s="691">
        <v>0</v>
      </c>
      <c r="H52" s="691">
        <v>0</v>
      </c>
      <c r="I52" s="691">
        <v>0</v>
      </c>
      <c r="J52" s="691">
        <v>1</v>
      </c>
      <c r="K52" s="691">
        <v>0</v>
      </c>
      <c r="L52" s="692">
        <f t="shared" si="4"/>
        <v>1</v>
      </c>
      <c r="M52" s="1266"/>
      <c r="N52" s="692">
        <v>1</v>
      </c>
      <c r="O52" s="692">
        <v>2</v>
      </c>
      <c r="P52" s="692">
        <v>5</v>
      </c>
      <c r="Q52" s="403">
        <v>1</v>
      </c>
      <c r="R52" s="403">
        <v>1</v>
      </c>
    </row>
    <row r="53" spans="1:18" ht="16.5" customHeight="1">
      <c r="A53" s="687" t="s">
        <v>124</v>
      </c>
      <c r="B53" s="688" t="s">
        <v>125</v>
      </c>
      <c r="C53" s="612" t="s">
        <v>267</v>
      </c>
      <c r="D53" s="689">
        <v>14</v>
      </c>
      <c r="E53" s="690">
        <v>9</v>
      </c>
      <c r="F53" s="691">
        <v>3</v>
      </c>
      <c r="G53" s="691">
        <v>0</v>
      </c>
      <c r="H53" s="691">
        <v>0</v>
      </c>
      <c r="I53" s="691">
        <v>0</v>
      </c>
      <c r="J53" s="691">
        <v>2</v>
      </c>
      <c r="K53" s="691">
        <v>0</v>
      </c>
      <c r="L53" s="692">
        <f t="shared" si="4"/>
        <v>2</v>
      </c>
      <c r="M53" s="702"/>
      <c r="N53" s="692">
        <v>0</v>
      </c>
      <c r="O53" s="692">
        <v>9</v>
      </c>
      <c r="P53" s="692">
        <v>4</v>
      </c>
      <c r="Q53" s="403">
        <v>0</v>
      </c>
      <c r="R53" s="403">
        <v>1</v>
      </c>
    </row>
    <row r="54" spans="1:18" ht="16.5" customHeight="1">
      <c r="A54" s="687" t="s">
        <v>126</v>
      </c>
      <c r="B54" s="688" t="s">
        <v>127</v>
      </c>
      <c r="C54" s="612" t="s">
        <v>266</v>
      </c>
      <c r="D54" s="689">
        <v>12</v>
      </c>
      <c r="E54" s="690">
        <v>5</v>
      </c>
      <c r="F54" s="691">
        <v>7</v>
      </c>
      <c r="G54" s="691">
        <v>0</v>
      </c>
      <c r="H54" s="691">
        <v>0</v>
      </c>
      <c r="I54" s="691">
        <v>0</v>
      </c>
      <c r="J54" s="691">
        <v>0</v>
      </c>
      <c r="K54" s="691">
        <v>0</v>
      </c>
      <c r="L54" s="692">
        <f t="shared" si="4"/>
        <v>0</v>
      </c>
      <c r="M54" s="695"/>
      <c r="N54" s="692">
        <v>0</v>
      </c>
      <c r="O54" s="1266">
        <v>1</v>
      </c>
      <c r="P54" s="692">
        <v>4</v>
      </c>
      <c r="Q54" s="403">
        <v>6</v>
      </c>
      <c r="R54" s="403">
        <v>1</v>
      </c>
    </row>
    <row r="55" spans="1:18" ht="16.5" customHeight="1">
      <c r="A55" s="687" t="s">
        <v>128</v>
      </c>
      <c r="B55" s="688" t="s">
        <v>129</v>
      </c>
      <c r="C55" s="612" t="s">
        <v>266</v>
      </c>
      <c r="D55" s="689">
        <v>9</v>
      </c>
      <c r="E55" s="690">
        <v>4</v>
      </c>
      <c r="F55" s="691">
        <v>5</v>
      </c>
      <c r="G55" s="691">
        <v>0</v>
      </c>
      <c r="H55" s="691">
        <v>0</v>
      </c>
      <c r="I55" s="691">
        <v>0</v>
      </c>
      <c r="J55" s="691">
        <v>0</v>
      </c>
      <c r="K55" s="691">
        <v>0</v>
      </c>
      <c r="L55" s="692">
        <f t="shared" si="4"/>
        <v>0</v>
      </c>
      <c r="M55" s="695"/>
      <c r="N55" s="692">
        <v>0</v>
      </c>
      <c r="O55" s="692">
        <v>1</v>
      </c>
      <c r="P55" s="692">
        <v>4</v>
      </c>
      <c r="Q55" s="403">
        <v>3</v>
      </c>
      <c r="R55" s="403">
        <v>1</v>
      </c>
    </row>
    <row r="56" spans="1:18" ht="16.5" customHeight="1">
      <c r="A56" s="687" t="s">
        <v>130</v>
      </c>
      <c r="B56" s="688" t="s">
        <v>131</v>
      </c>
      <c r="C56" s="612" t="s">
        <v>268</v>
      </c>
      <c r="D56" s="689">
        <v>96</v>
      </c>
      <c r="E56" s="690">
        <v>92</v>
      </c>
      <c r="F56" s="691">
        <v>1</v>
      </c>
      <c r="G56" s="691">
        <v>0</v>
      </c>
      <c r="H56" s="691">
        <v>0</v>
      </c>
      <c r="I56" s="691">
        <v>0</v>
      </c>
      <c r="J56" s="691">
        <v>3</v>
      </c>
      <c r="K56" s="691">
        <v>0</v>
      </c>
      <c r="L56" s="692">
        <f t="shared" si="4"/>
        <v>3</v>
      </c>
      <c r="M56" s="694"/>
      <c r="N56" s="692">
        <v>9</v>
      </c>
      <c r="O56" s="692">
        <v>23</v>
      </c>
      <c r="P56" s="692">
        <v>35</v>
      </c>
      <c r="Q56" s="403">
        <v>26</v>
      </c>
      <c r="R56" s="403">
        <v>3</v>
      </c>
    </row>
    <row r="57" spans="1:18" ht="16.5" customHeight="1">
      <c r="A57" s="687" t="s">
        <v>132</v>
      </c>
      <c r="B57" s="688" t="s">
        <v>133</v>
      </c>
      <c r="C57" s="612" t="s">
        <v>267</v>
      </c>
      <c r="D57" s="689">
        <v>70</v>
      </c>
      <c r="E57" s="690">
        <v>38</v>
      </c>
      <c r="F57" s="691">
        <v>26</v>
      </c>
      <c r="G57" s="691">
        <v>1</v>
      </c>
      <c r="H57" s="691">
        <v>0</v>
      </c>
      <c r="I57" s="691">
        <v>1</v>
      </c>
      <c r="J57" s="691">
        <v>4</v>
      </c>
      <c r="K57" s="691">
        <v>0</v>
      </c>
      <c r="L57" s="699">
        <f t="shared" si="4"/>
        <v>6</v>
      </c>
      <c r="M57" s="694"/>
      <c r="N57" s="692">
        <v>5</v>
      </c>
      <c r="O57" s="692">
        <v>19</v>
      </c>
      <c r="P57" s="692">
        <v>29</v>
      </c>
      <c r="Q57" s="403">
        <v>13</v>
      </c>
      <c r="R57" s="403">
        <v>4</v>
      </c>
    </row>
    <row r="58" spans="1:18" ht="16.5" customHeight="1">
      <c r="A58" s="687" t="s">
        <v>134</v>
      </c>
      <c r="B58" s="688" t="s">
        <v>135</v>
      </c>
      <c r="C58" s="612" t="s">
        <v>267</v>
      </c>
      <c r="D58" s="689">
        <v>62</v>
      </c>
      <c r="E58" s="690">
        <v>34</v>
      </c>
      <c r="F58" s="691">
        <v>20</v>
      </c>
      <c r="G58" s="691">
        <v>0</v>
      </c>
      <c r="H58" s="691">
        <v>0</v>
      </c>
      <c r="I58" s="691">
        <v>0</v>
      </c>
      <c r="J58" s="691">
        <v>8</v>
      </c>
      <c r="K58" s="691">
        <v>0</v>
      </c>
      <c r="L58" s="692">
        <f t="shared" si="4"/>
        <v>8</v>
      </c>
      <c r="M58" s="696"/>
      <c r="N58" s="692">
        <v>2</v>
      </c>
      <c r="O58" s="692">
        <v>29</v>
      </c>
      <c r="P58" s="692">
        <v>24</v>
      </c>
      <c r="Q58" s="403">
        <v>6</v>
      </c>
      <c r="R58" s="403">
        <v>1</v>
      </c>
    </row>
    <row r="59" spans="1:18" ht="16.5" customHeight="1">
      <c r="A59" s="687" t="s">
        <v>136</v>
      </c>
      <c r="B59" s="688" t="s">
        <v>137</v>
      </c>
      <c r="C59" s="612" t="s">
        <v>266</v>
      </c>
      <c r="D59" s="689">
        <v>18</v>
      </c>
      <c r="E59" s="698">
        <v>2</v>
      </c>
      <c r="F59" s="697">
        <v>13</v>
      </c>
      <c r="G59" s="697">
        <v>0</v>
      </c>
      <c r="H59" s="697">
        <v>1</v>
      </c>
      <c r="I59" s="697">
        <v>0</v>
      </c>
      <c r="J59" s="1274">
        <v>2</v>
      </c>
      <c r="K59" s="697">
        <v>0</v>
      </c>
      <c r="L59" s="692">
        <f t="shared" si="4"/>
        <v>3</v>
      </c>
      <c r="M59" s="696"/>
      <c r="N59" s="692">
        <v>4</v>
      </c>
      <c r="O59" s="692">
        <v>9</v>
      </c>
      <c r="P59" s="692">
        <v>1</v>
      </c>
      <c r="Q59" s="403">
        <v>4</v>
      </c>
      <c r="R59" s="403">
        <v>0</v>
      </c>
    </row>
    <row r="60" spans="1:18" ht="16.5" customHeight="1">
      <c r="A60" s="687" t="s">
        <v>140</v>
      </c>
      <c r="B60" s="688" t="s">
        <v>141</v>
      </c>
      <c r="C60" s="612" t="s">
        <v>267</v>
      </c>
      <c r="D60" s="689">
        <v>20</v>
      </c>
      <c r="E60" s="690">
        <v>15</v>
      </c>
      <c r="F60" s="691">
        <v>3</v>
      </c>
      <c r="G60" s="691">
        <v>1</v>
      </c>
      <c r="H60" s="691">
        <v>0</v>
      </c>
      <c r="I60" s="691">
        <v>0</v>
      </c>
      <c r="J60" s="691">
        <v>1</v>
      </c>
      <c r="K60" s="691">
        <v>0</v>
      </c>
      <c r="L60" s="692">
        <f t="shared" si="4"/>
        <v>2</v>
      </c>
      <c r="M60" s="692"/>
      <c r="N60" s="692">
        <v>7</v>
      </c>
      <c r="O60" s="692">
        <v>6</v>
      </c>
      <c r="P60" s="692">
        <v>7</v>
      </c>
      <c r="Q60" s="403">
        <v>0</v>
      </c>
      <c r="R60" s="403">
        <v>0</v>
      </c>
    </row>
    <row r="61" spans="1:18" ht="16.5" customHeight="1">
      <c r="A61" s="687" t="s">
        <v>146</v>
      </c>
      <c r="B61" s="688" t="s">
        <v>147</v>
      </c>
      <c r="C61" s="612" t="s">
        <v>264</v>
      </c>
      <c r="D61" s="689">
        <v>13</v>
      </c>
      <c r="E61" s="690">
        <v>12</v>
      </c>
      <c r="F61" s="691">
        <v>1</v>
      </c>
      <c r="G61" s="691">
        <v>0</v>
      </c>
      <c r="H61" s="691">
        <v>0</v>
      </c>
      <c r="I61" s="691">
        <v>0</v>
      </c>
      <c r="J61" s="691">
        <v>0</v>
      </c>
      <c r="K61" s="691">
        <v>0</v>
      </c>
      <c r="L61" s="692">
        <f t="shared" si="4"/>
        <v>0</v>
      </c>
      <c r="M61" s="702"/>
      <c r="N61" s="692">
        <v>3</v>
      </c>
      <c r="O61" s="692">
        <v>5</v>
      </c>
      <c r="P61" s="692">
        <v>4</v>
      </c>
      <c r="Q61" s="403">
        <v>1</v>
      </c>
      <c r="R61" s="403">
        <v>0</v>
      </c>
    </row>
    <row r="62" spans="1:18" ht="16.5" customHeight="1">
      <c r="A62" s="687" t="s">
        <v>148</v>
      </c>
      <c r="B62" s="688" t="s">
        <v>149</v>
      </c>
      <c r="C62" s="612" t="s">
        <v>265</v>
      </c>
      <c r="D62" s="689">
        <v>26</v>
      </c>
      <c r="E62" s="690">
        <v>11</v>
      </c>
      <c r="F62" s="691">
        <v>13</v>
      </c>
      <c r="G62" s="691">
        <v>0</v>
      </c>
      <c r="H62" s="691">
        <v>0</v>
      </c>
      <c r="I62" s="691">
        <v>0</v>
      </c>
      <c r="J62" s="691">
        <v>2</v>
      </c>
      <c r="K62" s="691">
        <v>0</v>
      </c>
      <c r="L62" s="692">
        <f t="shared" si="4"/>
        <v>2</v>
      </c>
      <c r="M62" s="696"/>
      <c r="N62" s="692">
        <v>3</v>
      </c>
      <c r="O62" s="692">
        <v>9</v>
      </c>
      <c r="P62" s="692">
        <v>7</v>
      </c>
      <c r="Q62" s="403">
        <v>6</v>
      </c>
      <c r="R62" s="403">
        <v>1</v>
      </c>
    </row>
    <row r="63" spans="1:18" ht="16.5" customHeight="1">
      <c r="A63" s="687" t="s">
        <v>150</v>
      </c>
      <c r="B63" s="688" t="s">
        <v>151</v>
      </c>
      <c r="C63" s="612" t="s">
        <v>266</v>
      </c>
      <c r="D63" s="689">
        <v>17</v>
      </c>
      <c r="E63" s="698">
        <v>3</v>
      </c>
      <c r="F63" s="697">
        <v>6</v>
      </c>
      <c r="G63" s="697">
        <v>0</v>
      </c>
      <c r="H63" s="697">
        <v>0</v>
      </c>
      <c r="I63" s="697">
        <v>0</v>
      </c>
      <c r="J63" s="1274">
        <v>8</v>
      </c>
      <c r="K63" s="697">
        <v>0</v>
      </c>
      <c r="L63" s="692">
        <f t="shared" si="4"/>
        <v>8</v>
      </c>
      <c r="M63" s="696"/>
      <c r="N63" s="692">
        <v>0</v>
      </c>
      <c r="O63" s="692">
        <v>10</v>
      </c>
      <c r="P63" s="692">
        <v>5</v>
      </c>
      <c r="Q63" s="403">
        <v>2</v>
      </c>
      <c r="R63" s="403">
        <v>0</v>
      </c>
    </row>
    <row r="64" spans="1:18" ht="16.5" customHeight="1">
      <c r="A64" s="687" t="s">
        <v>152</v>
      </c>
      <c r="B64" s="688" t="s">
        <v>153</v>
      </c>
      <c r="C64" s="612" t="s">
        <v>268</v>
      </c>
      <c r="D64" s="689">
        <v>76</v>
      </c>
      <c r="E64" s="690">
        <v>62</v>
      </c>
      <c r="F64" s="691">
        <v>3</v>
      </c>
      <c r="G64" s="691">
        <v>0</v>
      </c>
      <c r="H64" s="691">
        <v>0</v>
      </c>
      <c r="I64" s="691">
        <v>0</v>
      </c>
      <c r="J64" s="691">
        <v>8</v>
      </c>
      <c r="K64" s="691">
        <v>3</v>
      </c>
      <c r="L64" s="692">
        <f t="shared" si="4"/>
        <v>11</v>
      </c>
      <c r="M64" s="1266"/>
      <c r="N64" s="692">
        <v>9</v>
      </c>
      <c r="O64" s="696">
        <v>24</v>
      </c>
      <c r="P64" s="692">
        <v>31</v>
      </c>
      <c r="Q64" s="403">
        <v>11</v>
      </c>
      <c r="R64" s="403">
        <v>1</v>
      </c>
    </row>
    <row r="65" spans="1:18" ht="16.5" customHeight="1">
      <c r="A65" s="687" t="s">
        <v>154</v>
      </c>
      <c r="B65" s="688" t="s">
        <v>155</v>
      </c>
      <c r="C65" s="612" t="s">
        <v>265</v>
      </c>
      <c r="D65" s="700">
        <v>7</v>
      </c>
      <c r="E65" s="701">
        <v>7</v>
      </c>
      <c r="F65" s="697">
        <v>0</v>
      </c>
      <c r="G65" s="697">
        <v>0</v>
      </c>
      <c r="H65" s="697">
        <v>0</v>
      </c>
      <c r="I65" s="697">
        <v>0</v>
      </c>
      <c r="J65" s="1274">
        <v>0</v>
      </c>
      <c r="K65" s="697">
        <v>0</v>
      </c>
      <c r="L65" s="692">
        <f t="shared" si="4"/>
        <v>0</v>
      </c>
      <c r="M65" s="1266"/>
      <c r="N65" s="692">
        <v>3</v>
      </c>
      <c r="O65" s="692">
        <v>2</v>
      </c>
      <c r="P65" s="692">
        <v>2</v>
      </c>
      <c r="Q65" s="403">
        <v>0</v>
      </c>
      <c r="R65" s="403">
        <v>0</v>
      </c>
    </row>
    <row r="66" spans="1:18" ht="16.5" customHeight="1">
      <c r="A66" s="687" t="s">
        <v>156</v>
      </c>
      <c r="B66" s="688" t="s">
        <v>157</v>
      </c>
      <c r="C66" s="612" t="s">
        <v>266</v>
      </c>
      <c r="D66" s="689">
        <v>6</v>
      </c>
      <c r="E66" s="690">
        <v>5</v>
      </c>
      <c r="F66" s="691">
        <v>1</v>
      </c>
      <c r="G66" s="1265">
        <v>0</v>
      </c>
      <c r="H66" s="1265">
        <v>0</v>
      </c>
      <c r="I66" s="1265">
        <v>0</v>
      </c>
      <c r="J66" s="1265">
        <v>0</v>
      </c>
      <c r="K66" s="1265">
        <v>0</v>
      </c>
      <c r="L66" s="692">
        <f t="shared" si="4"/>
        <v>0</v>
      </c>
      <c r="M66" s="695"/>
      <c r="N66" s="692">
        <v>0</v>
      </c>
      <c r="O66" s="692">
        <v>2</v>
      </c>
      <c r="P66" s="692">
        <v>2</v>
      </c>
      <c r="Q66" s="403">
        <v>1</v>
      </c>
      <c r="R66" s="403">
        <v>1</v>
      </c>
    </row>
    <row r="67" spans="1:18" ht="16.5" customHeight="1">
      <c r="A67" s="687" t="s">
        <v>162</v>
      </c>
      <c r="B67" s="688" t="s">
        <v>163</v>
      </c>
      <c r="C67" s="612" t="s">
        <v>264</v>
      </c>
      <c r="D67" s="689">
        <v>0</v>
      </c>
      <c r="E67" s="690">
        <v>0</v>
      </c>
      <c r="F67" s="691">
        <v>0</v>
      </c>
      <c r="G67" s="691">
        <v>0</v>
      </c>
      <c r="H67" s="691">
        <v>0</v>
      </c>
      <c r="I67" s="691">
        <v>0</v>
      </c>
      <c r="J67" s="691">
        <v>0</v>
      </c>
      <c r="K67" s="691">
        <v>0</v>
      </c>
      <c r="L67" s="695">
        <f t="shared" si="4"/>
        <v>0</v>
      </c>
      <c r="M67" s="702"/>
      <c r="N67" s="692">
        <v>0</v>
      </c>
      <c r="O67" s="692">
        <v>0</v>
      </c>
      <c r="P67" s="692">
        <v>0</v>
      </c>
      <c r="Q67" s="403">
        <v>0</v>
      </c>
      <c r="R67" s="403">
        <v>0</v>
      </c>
    </row>
    <row r="68" spans="1:18" ht="16.5" customHeight="1">
      <c r="A68" s="687" t="s">
        <v>164</v>
      </c>
      <c r="B68" s="688" t="s">
        <v>165</v>
      </c>
      <c r="C68" s="612" t="s">
        <v>266</v>
      </c>
      <c r="D68" s="689">
        <v>14</v>
      </c>
      <c r="E68" s="690">
        <v>11</v>
      </c>
      <c r="F68" s="691">
        <v>3</v>
      </c>
      <c r="G68" s="691">
        <v>0</v>
      </c>
      <c r="H68" s="691">
        <v>0</v>
      </c>
      <c r="I68" s="691">
        <v>0</v>
      </c>
      <c r="J68" s="691">
        <v>0</v>
      </c>
      <c r="K68" s="691">
        <v>0</v>
      </c>
      <c r="L68" s="692">
        <f t="shared" si="4"/>
        <v>0</v>
      </c>
      <c r="M68" s="702"/>
      <c r="N68" s="692">
        <v>0</v>
      </c>
      <c r="O68" s="1266">
        <v>3</v>
      </c>
      <c r="P68" s="692">
        <v>7</v>
      </c>
      <c r="Q68" s="403">
        <v>3</v>
      </c>
      <c r="R68" s="403">
        <v>1</v>
      </c>
    </row>
    <row r="69" spans="1:18" ht="16.5" customHeight="1">
      <c r="A69" s="687" t="s">
        <v>168</v>
      </c>
      <c r="B69" s="688" t="s">
        <v>169</v>
      </c>
      <c r="C69" s="612" t="s">
        <v>266</v>
      </c>
      <c r="D69" s="689">
        <v>7</v>
      </c>
      <c r="E69" s="690">
        <v>5</v>
      </c>
      <c r="F69" s="691">
        <v>2</v>
      </c>
      <c r="G69" s="691">
        <v>0</v>
      </c>
      <c r="H69" s="691">
        <v>0</v>
      </c>
      <c r="I69" s="691">
        <v>0</v>
      </c>
      <c r="J69" s="691">
        <v>0</v>
      </c>
      <c r="K69" s="691">
        <v>0</v>
      </c>
      <c r="L69" s="692">
        <f t="shared" ref="L69:L100" si="5">G69+H69+I69+J69+K69</f>
        <v>0</v>
      </c>
      <c r="M69" s="694"/>
      <c r="N69" s="692">
        <v>0</v>
      </c>
      <c r="O69" s="692">
        <v>3</v>
      </c>
      <c r="P69" s="692">
        <v>3</v>
      </c>
      <c r="Q69" s="403">
        <v>1</v>
      </c>
      <c r="R69" s="403">
        <v>0</v>
      </c>
    </row>
    <row r="70" spans="1:18" ht="16.5" customHeight="1">
      <c r="A70" s="687" t="s">
        <v>170</v>
      </c>
      <c r="B70" s="688" t="s">
        <v>171</v>
      </c>
      <c r="C70" s="612" t="s">
        <v>267</v>
      </c>
      <c r="D70" s="689">
        <v>28</v>
      </c>
      <c r="E70" s="690">
        <v>20</v>
      </c>
      <c r="F70" s="691">
        <v>1</v>
      </c>
      <c r="G70" s="691">
        <v>0</v>
      </c>
      <c r="H70" s="691">
        <v>0</v>
      </c>
      <c r="I70" s="691">
        <v>0</v>
      </c>
      <c r="J70" s="691">
        <v>7</v>
      </c>
      <c r="K70" s="691">
        <v>0</v>
      </c>
      <c r="L70" s="692">
        <f t="shared" si="5"/>
        <v>7</v>
      </c>
      <c r="M70" s="694"/>
      <c r="N70" s="692">
        <v>1</v>
      </c>
      <c r="O70" s="695">
        <v>7</v>
      </c>
      <c r="P70" s="692">
        <v>15</v>
      </c>
      <c r="Q70" s="403">
        <v>4</v>
      </c>
      <c r="R70" s="403">
        <v>1</v>
      </c>
    </row>
    <row r="71" spans="1:18" ht="16.5" customHeight="1">
      <c r="A71" s="687" t="s">
        <v>172</v>
      </c>
      <c r="B71" s="688" t="s">
        <v>173</v>
      </c>
      <c r="C71" s="612" t="s">
        <v>267</v>
      </c>
      <c r="D71" s="689">
        <v>16</v>
      </c>
      <c r="E71" s="690">
        <v>16</v>
      </c>
      <c r="F71" s="691">
        <v>0</v>
      </c>
      <c r="G71" s="1265">
        <v>0</v>
      </c>
      <c r="H71" s="1265">
        <v>0</v>
      </c>
      <c r="I71" s="1265">
        <v>0</v>
      </c>
      <c r="J71" s="1265">
        <v>0</v>
      </c>
      <c r="K71" s="1265">
        <v>0</v>
      </c>
      <c r="L71" s="692">
        <f t="shared" si="5"/>
        <v>0</v>
      </c>
      <c r="M71" s="1266"/>
      <c r="N71" s="692">
        <v>5</v>
      </c>
      <c r="O71" s="692">
        <v>3</v>
      </c>
      <c r="P71" s="692">
        <v>3</v>
      </c>
      <c r="Q71" s="403">
        <v>3</v>
      </c>
      <c r="R71" s="403">
        <v>2</v>
      </c>
    </row>
    <row r="72" spans="1:18" ht="16.5" customHeight="1">
      <c r="A72" s="687" t="s">
        <v>174</v>
      </c>
      <c r="B72" s="688" t="s">
        <v>175</v>
      </c>
      <c r="C72" s="612" t="s">
        <v>268</v>
      </c>
      <c r="D72" s="689">
        <v>1</v>
      </c>
      <c r="E72" s="690">
        <v>1</v>
      </c>
      <c r="F72" s="691">
        <v>0</v>
      </c>
      <c r="G72" s="1265">
        <v>0</v>
      </c>
      <c r="H72" s="1265">
        <v>0</v>
      </c>
      <c r="I72" s="1265">
        <v>0</v>
      </c>
      <c r="J72" s="1265">
        <v>0</v>
      </c>
      <c r="K72" s="1265">
        <v>0</v>
      </c>
      <c r="L72" s="692">
        <f t="shared" si="5"/>
        <v>0</v>
      </c>
      <c r="M72" s="692"/>
      <c r="N72" s="692">
        <v>0</v>
      </c>
      <c r="O72" s="1266">
        <v>1</v>
      </c>
      <c r="P72" s="692">
        <v>0</v>
      </c>
      <c r="Q72" s="403">
        <v>0</v>
      </c>
      <c r="R72" s="403">
        <v>0</v>
      </c>
    </row>
    <row r="73" spans="1:18" ht="16.5" customHeight="1">
      <c r="A73" s="687" t="s">
        <v>178</v>
      </c>
      <c r="B73" s="688" t="s">
        <v>179</v>
      </c>
      <c r="C73" s="612" t="s">
        <v>265</v>
      </c>
      <c r="D73" s="689">
        <v>13</v>
      </c>
      <c r="E73" s="690">
        <v>9</v>
      </c>
      <c r="F73" s="691">
        <v>2</v>
      </c>
      <c r="G73" s="691">
        <v>0</v>
      </c>
      <c r="H73" s="691">
        <v>0</v>
      </c>
      <c r="I73" s="691">
        <v>0</v>
      </c>
      <c r="J73" s="691">
        <v>1</v>
      </c>
      <c r="K73" s="691">
        <v>1</v>
      </c>
      <c r="L73" s="692">
        <f t="shared" si="5"/>
        <v>2</v>
      </c>
      <c r="M73" s="696"/>
      <c r="N73" s="692">
        <v>0</v>
      </c>
      <c r="O73" s="696">
        <v>6</v>
      </c>
      <c r="P73" s="692">
        <v>4</v>
      </c>
      <c r="Q73" s="403">
        <v>3</v>
      </c>
      <c r="R73" s="403">
        <v>0</v>
      </c>
    </row>
    <row r="74" spans="1:18" ht="16.5" customHeight="1">
      <c r="A74" s="687" t="s">
        <v>182</v>
      </c>
      <c r="B74" s="688" t="s">
        <v>183</v>
      </c>
      <c r="C74" s="612" t="s">
        <v>266</v>
      </c>
      <c r="D74" s="689">
        <v>2</v>
      </c>
      <c r="E74" s="690">
        <v>0</v>
      </c>
      <c r="F74" s="691">
        <v>0</v>
      </c>
      <c r="G74" s="1265">
        <v>0</v>
      </c>
      <c r="H74" s="1265">
        <v>0</v>
      </c>
      <c r="I74" s="1265">
        <v>0</v>
      </c>
      <c r="J74" s="1265">
        <v>2</v>
      </c>
      <c r="K74" s="1265">
        <v>0</v>
      </c>
      <c r="L74" s="692">
        <f t="shared" si="5"/>
        <v>2</v>
      </c>
      <c r="M74" s="696"/>
      <c r="N74" s="692">
        <v>0</v>
      </c>
      <c r="O74" s="692">
        <v>0</v>
      </c>
      <c r="P74" s="692">
        <v>1</v>
      </c>
      <c r="Q74" s="403">
        <v>1</v>
      </c>
      <c r="R74" s="403">
        <v>0</v>
      </c>
    </row>
    <row r="75" spans="1:18" ht="16.5" customHeight="1">
      <c r="A75" s="687" t="s">
        <v>184</v>
      </c>
      <c r="B75" s="688" t="s">
        <v>185</v>
      </c>
      <c r="C75" s="612" t="s">
        <v>266</v>
      </c>
      <c r="D75" s="689">
        <v>38</v>
      </c>
      <c r="E75" s="690">
        <v>18</v>
      </c>
      <c r="F75" s="691">
        <v>15</v>
      </c>
      <c r="G75" s="691">
        <v>0</v>
      </c>
      <c r="H75" s="691">
        <v>0</v>
      </c>
      <c r="I75" s="691">
        <v>0</v>
      </c>
      <c r="J75" s="691">
        <v>5</v>
      </c>
      <c r="K75" s="691">
        <v>0</v>
      </c>
      <c r="L75" s="692">
        <f t="shared" si="5"/>
        <v>5</v>
      </c>
      <c r="M75" s="694"/>
      <c r="N75" s="692">
        <v>3</v>
      </c>
      <c r="O75" s="692">
        <v>7</v>
      </c>
      <c r="P75" s="692">
        <v>24</v>
      </c>
      <c r="Q75" s="403">
        <v>4</v>
      </c>
      <c r="R75" s="403">
        <v>0</v>
      </c>
    </row>
    <row r="76" spans="1:18" ht="16.5" customHeight="1">
      <c r="A76" s="687" t="s">
        <v>186</v>
      </c>
      <c r="B76" s="688" t="s">
        <v>187</v>
      </c>
      <c r="C76" s="612" t="s">
        <v>264</v>
      </c>
      <c r="D76" s="689">
        <v>21</v>
      </c>
      <c r="E76" s="690">
        <v>16</v>
      </c>
      <c r="F76" s="691">
        <v>5</v>
      </c>
      <c r="G76" s="691">
        <v>0</v>
      </c>
      <c r="H76" s="691">
        <v>0</v>
      </c>
      <c r="I76" s="691">
        <v>0</v>
      </c>
      <c r="J76" s="691">
        <v>0</v>
      </c>
      <c r="K76" s="691">
        <v>0</v>
      </c>
      <c r="L76" s="692">
        <f t="shared" si="5"/>
        <v>0</v>
      </c>
      <c r="M76" s="702"/>
      <c r="N76" s="692">
        <v>7</v>
      </c>
      <c r="O76" s="692">
        <v>7</v>
      </c>
      <c r="P76" s="692">
        <v>5</v>
      </c>
      <c r="Q76" s="403">
        <v>2</v>
      </c>
      <c r="R76" s="403">
        <v>0</v>
      </c>
    </row>
    <row r="77" spans="1:18" ht="16.5" customHeight="1">
      <c r="A77" s="687" t="s">
        <v>188</v>
      </c>
      <c r="B77" s="688" t="s">
        <v>189</v>
      </c>
      <c r="C77" s="612" t="s">
        <v>267</v>
      </c>
      <c r="D77" s="689">
        <v>83</v>
      </c>
      <c r="E77" s="690">
        <v>38</v>
      </c>
      <c r="F77" s="691">
        <v>34</v>
      </c>
      <c r="G77" s="691">
        <v>2</v>
      </c>
      <c r="H77" s="691">
        <v>0</v>
      </c>
      <c r="I77" s="691">
        <v>0</v>
      </c>
      <c r="J77" s="691">
        <v>5</v>
      </c>
      <c r="K77" s="691">
        <v>4</v>
      </c>
      <c r="L77" s="692">
        <f t="shared" si="5"/>
        <v>11</v>
      </c>
      <c r="M77" s="696"/>
      <c r="N77" s="692">
        <v>7</v>
      </c>
      <c r="O77" s="694">
        <v>16</v>
      </c>
      <c r="P77" s="692">
        <v>26</v>
      </c>
      <c r="Q77" s="403">
        <v>14</v>
      </c>
      <c r="R77" s="403">
        <v>20</v>
      </c>
    </row>
    <row r="78" spans="1:18" ht="16.5" customHeight="1">
      <c r="A78" s="687" t="s">
        <v>190</v>
      </c>
      <c r="B78" s="688" t="s">
        <v>191</v>
      </c>
      <c r="C78" s="612" t="s">
        <v>268</v>
      </c>
      <c r="D78" s="689">
        <v>66</v>
      </c>
      <c r="E78" s="690">
        <v>42</v>
      </c>
      <c r="F78" s="691">
        <v>8</v>
      </c>
      <c r="G78" s="691">
        <v>0</v>
      </c>
      <c r="H78" s="691">
        <v>0</v>
      </c>
      <c r="I78" s="691">
        <v>0</v>
      </c>
      <c r="J78" s="691">
        <v>16</v>
      </c>
      <c r="K78" s="691">
        <v>0</v>
      </c>
      <c r="L78" s="692">
        <f t="shared" si="5"/>
        <v>16</v>
      </c>
      <c r="M78" s="696"/>
      <c r="N78" s="692">
        <v>15</v>
      </c>
      <c r="O78" s="692">
        <v>19</v>
      </c>
      <c r="P78" s="692">
        <v>29</v>
      </c>
      <c r="Q78" s="403">
        <v>3</v>
      </c>
      <c r="R78" s="403">
        <v>0</v>
      </c>
    </row>
    <row r="79" spans="1:18" ht="16.5" customHeight="1">
      <c r="A79" s="687" t="s">
        <v>194</v>
      </c>
      <c r="B79" s="688" t="s">
        <v>195</v>
      </c>
      <c r="C79" s="612" t="s">
        <v>267</v>
      </c>
      <c r="D79" s="689">
        <v>5</v>
      </c>
      <c r="E79" s="690">
        <v>1</v>
      </c>
      <c r="F79" s="691">
        <v>1</v>
      </c>
      <c r="G79" s="1265">
        <v>0</v>
      </c>
      <c r="H79" s="1265">
        <v>0</v>
      </c>
      <c r="I79" s="1265">
        <v>0</v>
      </c>
      <c r="J79" s="1265">
        <v>3</v>
      </c>
      <c r="K79" s="1265">
        <v>0</v>
      </c>
      <c r="L79" s="692">
        <f t="shared" si="5"/>
        <v>3</v>
      </c>
      <c r="M79" s="692"/>
      <c r="N79" s="692">
        <v>0</v>
      </c>
      <c r="O79" s="692">
        <v>3</v>
      </c>
      <c r="P79" s="692">
        <v>2</v>
      </c>
      <c r="Q79" s="403">
        <v>0</v>
      </c>
      <c r="R79" s="403">
        <v>0</v>
      </c>
    </row>
    <row r="80" spans="1:18" ht="16.5" customHeight="1">
      <c r="A80" s="687" t="s">
        <v>198</v>
      </c>
      <c r="B80" s="688" t="s">
        <v>199</v>
      </c>
      <c r="C80" s="612" t="s">
        <v>266</v>
      </c>
      <c r="D80" s="689">
        <v>6</v>
      </c>
      <c r="E80" s="690">
        <v>3</v>
      </c>
      <c r="F80" s="691">
        <v>1</v>
      </c>
      <c r="G80" s="691">
        <v>0</v>
      </c>
      <c r="H80" s="691">
        <v>0</v>
      </c>
      <c r="I80" s="691">
        <v>0</v>
      </c>
      <c r="J80" s="691">
        <v>2</v>
      </c>
      <c r="K80" s="691">
        <v>0</v>
      </c>
      <c r="L80" s="692">
        <f t="shared" si="5"/>
        <v>2</v>
      </c>
      <c r="M80" s="702"/>
      <c r="N80" s="692">
        <v>0</v>
      </c>
      <c r="O80" s="1266">
        <v>3</v>
      </c>
      <c r="P80" s="692">
        <v>2</v>
      </c>
      <c r="Q80" s="403">
        <v>1</v>
      </c>
      <c r="R80" s="403">
        <v>0</v>
      </c>
    </row>
    <row r="81" spans="1:18" ht="16.5" customHeight="1">
      <c r="A81" s="687" t="s">
        <v>202</v>
      </c>
      <c r="B81" s="688" t="s">
        <v>203</v>
      </c>
      <c r="C81" s="612" t="s">
        <v>265</v>
      </c>
      <c r="D81" s="689">
        <v>133</v>
      </c>
      <c r="E81" s="690">
        <v>112</v>
      </c>
      <c r="F81" s="691">
        <v>9</v>
      </c>
      <c r="G81" s="691">
        <v>2</v>
      </c>
      <c r="H81" s="691">
        <v>0</v>
      </c>
      <c r="I81" s="691">
        <v>0</v>
      </c>
      <c r="J81" s="691">
        <v>10</v>
      </c>
      <c r="K81" s="691">
        <v>0</v>
      </c>
      <c r="L81" s="692">
        <f t="shared" si="5"/>
        <v>12</v>
      </c>
      <c r="M81" s="694"/>
      <c r="N81" s="695">
        <v>18</v>
      </c>
      <c r="O81" s="692">
        <v>36</v>
      </c>
      <c r="P81" s="692">
        <v>45</v>
      </c>
      <c r="Q81" s="403">
        <v>26</v>
      </c>
      <c r="R81" s="403">
        <v>8</v>
      </c>
    </row>
    <row r="82" spans="1:18" ht="16.5" customHeight="1">
      <c r="A82" s="687" t="s">
        <v>204</v>
      </c>
      <c r="B82" s="688" t="s">
        <v>205</v>
      </c>
      <c r="C82" s="612" t="s">
        <v>265</v>
      </c>
      <c r="D82" s="689">
        <v>12</v>
      </c>
      <c r="E82" s="690">
        <v>9</v>
      </c>
      <c r="F82" s="691">
        <v>0</v>
      </c>
      <c r="G82" s="1265">
        <v>0</v>
      </c>
      <c r="H82" s="1265">
        <v>0</v>
      </c>
      <c r="I82" s="1265">
        <v>0</v>
      </c>
      <c r="J82" s="1265">
        <v>3</v>
      </c>
      <c r="K82" s="1265">
        <v>0</v>
      </c>
      <c r="L82" s="692">
        <f t="shared" si="5"/>
        <v>3</v>
      </c>
      <c r="M82" s="696"/>
      <c r="N82" s="692">
        <v>1</v>
      </c>
      <c r="O82" s="692">
        <v>3</v>
      </c>
      <c r="P82" s="692">
        <v>3</v>
      </c>
      <c r="Q82" s="403">
        <v>3</v>
      </c>
      <c r="R82" s="403">
        <v>2</v>
      </c>
    </row>
    <row r="83" spans="1:18" ht="16.5" customHeight="1">
      <c r="A83" s="687" t="s">
        <v>206</v>
      </c>
      <c r="B83" s="688" t="s">
        <v>207</v>
      </c>
      <c r="C83" s="612" t="s">
        <v>267</v>
      </c>
      <c r="D83" s="689">
        <v>297</v>
      </c>
      <c r="E83" s="690">
        <v>230</v>
      </c>
      <c r="F83" s="691">
        <v>34</v>
      </c>
      <c r="G83" s="691">
        <v>0</v>
      </c>
      <c r="H83" s="691">
        <v>1</v>
      </c>
      <c r="I83" s="691">
        <v>0</v>
      </c>
      <c r="J83" s="691">
        <v>31</v>
      </c>
      <c r="K83" s="691">
        <v>1</v>
      </c>
      <c r="L83" s="692">
        <f t="shared" si="5"/>
        <v>33</v>
      </c>
      <c r="M83" s="696"/>
      <c r="N83" s="692">
        <v>52</v>
      </c>
      <c r="O83" s="696">
        <v>87</v>
      </c>
      <c r="P83" s="692">
        <v>95</v>
      </c>
      <c r="Q83" s="403">
        <v>55</v>
      </c>
      <c r="R83" s="403">
        <v>8</v>
      </c>
    </row>
    <row r="84" spans="1:18" ht="16.5" customHeight="1">
      <c r="A84" s="687" t="s">
        <v>208</v>
      </c>
      <c r="B84" s="688" t="s">
        <v>209</v>
      </c>
      <c r="C84" s="612" t="s">
        <v>268</v>
      </c>
      <c r="D84" s="689">
        <v>48</v>
      </c>
      <c r="E84" s="690">
        <v>46</v>
      </c>
      <c r="F84" s="691">
        <v>2</v>
      </c>
      <c r="G84" s="1265">
        <v>0</v>
      </c>
      <c r="H84" s="1265">
        <v>0</v>
      </c>
      <c r="I84" s="1265">
        <v>0</v>
      </c>
      <c r="J84" s="1265">
        <v>0</v>
      </c>
      <c r="K84" s="1265">
        <v>0</v>
      </c>
      <c r="L84" s="692">
        <f t="shared" si="5"/>
        <v>0</v>
      </c>
      <c r="M84" s="695"/>
      <c r="N84" s="692">
        <v>6</v>
      </c>
      <c r="O84" s="692">
        <v>19</v>
      </c>
      <c r="P84" s="692">
        <v>16</v>
      </c>
      <c r="Q84" s="403">
        <v>5</v>
      </c>
      <c r="R84" s="403">
        <v>2</v>
      </c>
    </row>
    <row r="85" spans="1:18" ht="16.5" customHeight="1">
      <c r="A85" s="687" t="s">
        <v>210</v>
      </c>
      <c r="B85" s="688" t="s">
        <v>211</v>
      </c>
      <c r="C85" s="612" t="s">
        <v>268</v>
      </c>
      <c r="D85" s="689">
        <v>33</v>
      </c>
      <c r="E85" s="690">
        <v>33</v>
      </c>
      <c r="F85" s="691">
        <v>0</v>
      </c>
      <c r="G85" s="1265">
        <v>0</v>
      </c>
      <c r="H85" s="1265">
        <v>0</v>
      </c>
      <c r="I85" s="1265">
        <v>0</v>
      </c>
      <c r="J85" s="1265">
        <v>0</v>
      </c>
      <c r="K85" s="1265">
        <v>0</v>
      </c>
      <c r="L85" s="692">
        <f t="shared" si="5"/>
        <v>0</v>
      </c>
      <c r="M85" s="702"/>
      <c r="N85" s="692">
        <v>4</v>
      </c>
      <c r="O85" s="1266">
        <v>8</v>
      </c>
      <c r="P85" s="692">
        <v>13</v>
      </c>
      <c r="Q85" s="403">
        <v>6</v>
      </c>
      <c r="R85" s="403">
        <v>2</v>
      </c>
    </row>
    <row r="86" spans="1:18" ht="16.5" customHeight="1">
      <c r="A86" s="687" t="s">
        <v>212</v>
      </c>
      <c r="B86" s="688" t="s">
        <v>213</v>
      </c>
      <c r="C86" s="612" t="s">
        <v>267</v>
      </c>
      <c r="D86" s="689">
        <v>35</v>
      </c>
      <c r="E86" s="690">
        <v>26</v>
      </c>
      <c r="F86" s="691">
        <v>1</v>
      </c>
      <c r="G86" s="691">
        <v>0</v>
      </c>
      <c r="H86" s="691">
        <v>0</v>
      </c>
      <c r="I86" s="691">
        <v>0</v>
      </c>
      <c r="J86" s="691">
        <v>7</v>
      </c>
      <c r="K86" s="691">
        <v>1</v>
      </c>
      <c r="L86" s="692">
        <f t="shared" si="5"/>
        <v>8</v>
      </c>
      <c r="M86" s="694"/>
      <c r="N86" s="692">
        <v>2</v>
      </c>
      <c r="O86" s="692">
        <v>9</v>
      </c>
      <c r="P86" s="692">
        <v>16</v>
      </c>
      <c r="Q86" s="403">
        <v>7</v>
      </c>
      <c r="R86" s="403">
        <v>1</v>
      </c>
    </row>
    <row r="87" spans="1:18" ht="16.5" customHeight="1">
      <c r="A87" s="687" t="s">
        <v>214</v>
      </c>
      <c r="B87" s="688" t="s">
        <v>215</v>
      </c>
      <c r="C87" s="612" t="s">
        <v>268</v>
      </c>
      <c r="D87" s="689">
        <v>30</v>
      </c>
      <c r="E87" s="690">
        <v>25</v>
      </c>
      <c r="F87" s="691">
        <v>4</v>
      </c>
      <c r="G87" s="1265">
        <v>0</v>
      </c>
      <c r="H87" s="1265">
        <v>0</v>
      </c>
      <c r="I87" s="1265">
        <v>1</v>
      </c>
      <c r="J87" s="1265">
        <v>0</v>
      </c>
      <c r="K87" s="1265">
        <v>0</v>
      </c>
      <c r="L87" s="692">
        <f t="shared" si="5"/>
        <v>1</v>
      </c>
      <c r="M87" s="696"/>
      <c r="N87" s="692">
        <v>4</v>
      </c>
      <c r="O87" s="692">
        <v>11</v>
      </c>
      <c r="P87" s="692">
        <v>9</v>
      </c>
      <c r="Q87" s="403">
        <v>6</v>
      </c>
      <c r="R87" s="403">
        <v>0</v>
      </c>
    </row>
    <row r="88" spans="1:18" ht="16.5" customHeight="1">
      <c r="A88" s="687" t="s">
        <v>216</v>
      </c>
      <c r="B88" s="688" t="s">
        <v>217</v>
      </c>
      <c r="C88" s="612" t="s">
        <v>264</v>
      </c>
      <c r="D88" s="689">
        <v>6</v>
      </c>
      <c r="E88" s="690">
        <v>5</v>
      </c>
      <c r="F88" s="691">
        <v>0</v>
      </c>
      <c r="G88" s="691">
        <v>0</v>
      </c>
      <c r="H88" s="691">
        <v>0</v>
      </c>
      <c r="I88" s="691">
        <v>0</v>
      </c>
      <c r="J88" s="691">
        <v>0</v>
      </c>
      <c r="K88" s="691">
        <v>1</v>
      </c>
      <c r="L88" s="692">
        <f t="shared" si="5"/>
        <v>1</v>
      </c>
      <c r="M88" s="692"/>
      <c r="N88" s="692">
        <v>0</v>
      </c>
      <c r="O88" s="696">
        <v>1</v>
      </c>
      <c r="P88" s="692">
        <v>3</v>
      </c>
      <c r="Q88" s="403">
        <v>2</v>
      </c>
      <c r="R88" s="403">
        <v>0</v>
      </c>
    </row>
    <row r="89" spans="1:18" ht="16.5" customHeight="1">
      <c r="A89" s="687" t="s">
        <v>218</v>
      </c>
      <c r="B89" s="688" t="s">
        <v>219</v>
      </c>
      <c r="C89" s="612" t="s">
        <v>267</v>
      </c>
      <c r="D89" s="689">
        <v>82</v>
      </c>
      <c r="E89" s="690">
        <v>59</v>
      </c>
      <c r="F89" s="691">
        <v>18</v>
      </c>
      <c r="G89" s="691">
        <v>2</v>
      </c>
      <c r="H89" s="691">
        <v>0</v>
      </c>
      <c r="I89" s="691">
        <v>0</v>
      </c>
      <c r="J89" s="691">
        <v>3</v>
      </c>
      <c r="K89" s="691">
        <v>0</v>
      </c>
      <c r="L89" s="692">
        <f t="shared" si="5"/>
        <v>5</v>
      </c>
      <c r="M89" s="702"/>
      <c r="N89" s="692">
        <v>10</v>
      </c>
      <c r="O89" s="702">
        <v>19</v>
      </c>
      <c r="P89" s="692">
        <v>38</v>
      </c>
      <c r="Q89" s="403">
        <v>14</v>
      </c>
      <c r="R89" s="403">
        <v>1</v>
      </c>
    </row>
    <row r="90" spans="1:18" ht="16.5" customHeight="1">
      <c r="A90" s="687" t="s">
        <v>220</v>
      </c>
      <c r="B90" s="688" t="s">
        <v>221</v>
      </c>
      <c r="C90" s="612" t="s">
        <v>267</v>
      </c>
      <c r="D90" s="689">
        <v>128</v>
      </c>
      <c r="E90" s="690">
        <v>66</v>
      </c>
      <c r="F90" s="691">
        <v>45</v>
      </c>
      <c r="G90" s="691">
        <v>1</v>
      </c>
      <c r="H90" s="691">
        <v>0</v>
      </c>
      <c r="I90" s="691">
        <v>0</v>
      </c>
      <c r="J90" s="691">
        <v>7</v>
      </c>
      <c r="K90" s="691">
        <v>9</v>
      </c>
      <c r="L90" s="692">
        <f t="shared" si="5"/>
        <v>17</v>
      </c>
      <c r="M90" s="694"/>
      <c r="N90" s="692">
        <v>11</v>
      </c>
      <c r="O90" s="694">
        <v>35</v>
      </c>
      <c r="P90" s="692">
        <v>51</v>
      </c>
      <c r="Q90" s="403">
        <v>16</v>
      </c>
      <c r="R90" s="403">
        <v>15</v>
      </c>
    </row>
    <row r="91" spans="1:18" ht="16.5" customHeight="1">
      <c r="A91" s="687" t="s">
        <v>224</v>
      </c>
      <c r="B91" s="688" t="s">
        <v>225</v>
      </c>
      <c r="C91" s="612" t="s">
        <v>264</v>
      </c>
      <c r="D91" s="689">
        <v>1</v>
      </c>
      <c r="E91" s="698">
        <v>0</v>
      </c>
      <c r="F91" s="697">
        <v>1</v>
      </c>
      <c r="G91" s="697">
        <v>0</v>
      </c>
      <c r="H91" s="697">
        <v>0</v>
      </c>
      <c r="I91" s="697">
        <v>0</v>
      </c>
      <c r="J91" s="1274">
        <v>0</v>
      </c>
      <c r="K91" s="697">
        <v>0</v>
      </c>
      <c r="L91" s="692">
        <f t="shared" si="5"/>
        <v>0</v>
      </c>
      <c r="M91" s="702"/>
      <c r="N91" s="692">
        <v>0</v>
      </c>
      <c r="O91" s="692">
        <v>0</v>
      </c>
      <c r="P91" s="692">
        <v>1</v>
      </c>
      <c r="Q91" s="403">
        <v>0</v>
      </c>
      <c r="R91" s="403">
        <v>0</v>
      </c>
    </row>
    <row r="92" spans="1:18" ht="16.5" customHeight="1">
      <c r="A92" s="687" t="s">
        <v>226</v>
      </c>
      <c r="B92" s="688" t="s">
        <v>227</v>
      </c>
      <c r="C92" s="612" t="s">
        <v>264</v>
      </c>
      <c r="D92" s="689">
        <v>11</v>
      </c>
      <c r="E92" s="690">
        <v>6</v>
      </c>
      <c r="F92" s="691">
        <v>5</v>
      </c>
      <c r="G92" s="691">
        <v>0</v>
      </c>
      <c r="H92" s="691">
        <v>0</v>
      </c>
      <c r="I92" s="691">
        <v>0</v>
      </c>
      <c r="J92" s="691">
        <v>0</v>
      </c>
      <c r="K92" s="691">
        <v>0</v>
      </c>
      <c r="L92" s="692">
        <f t="shared" si="5"/>
        <v>0</v>
      </c>
      <c r="M92" s="702"/>
      <c r="N92" s="1266">
        <v>0</v>
      </c>
      <c r="O92" s="692">
        <v>3</v>
      </c>
      <c r="P92" s="692">
        <v>3</v>
      </c>
      <c r="Q92" s="403">
        <v>3</v>
      </c>
      <c r="R92" s="403">
        <v>2</v>
      </c>
    </row>
    <row r="93" spans="1:18" ht="16.5" customHeight="1">
      <c r="A93" s="687" t="s">
        <v>228</v>
      </c>
      <c r="B93" s="688" t="s">
        <v>229</v>
      </c>
      <c r="C93" s="612" t="s">
        <v>268</v>
      </c>
      <c r="D93" s="689">
        <v>120</v>
      </c>
      <c r="E93" s="690">
        <v>114</v>
      </c>
      <c r="F93" s="691">
        <v>5</v>
      </c>
      <c r="G93" s="691">
        <v>0</v>
      </c>
      <c r="H93" s="691">
        <v>0</v>
      </c>
      <c r="I93" s="691">
        <v>0</v>
      </c>
      <c r="J93" s="691">
        <v>1</v>
      </c>
      <c r="K93" s="691">
        <v>0</v>
      </c>
      <c r="L93" s="692">
        <f t="shared" si="5"/>
        <v>1</v>
      </c>
      <c r="M93" s="702"/>
      <c r="N93" s="692">
        <v>18</v>
      </c>
      <c r="O93" s="692">
        <v>35</v>
      </c>
      <c r="P93" s="692">
        <v>38</v>
      </c>
      <c r="Q93" s="403">
        <v>23</v>
      </c>
      <c r="R93" s="403">
        <v>6</v>
      </c>
    </row>
    <row r="94" spans="1:18" ht="16.5" customHeight="1">
      <c r="A94" s="687" t="s">
        <v>232</v>
      </c>
      <c r="B94" s="688" t="s">
        <v>233</v>
      </c>
      <c r="C94" s="612" t="s">
        <v>267</v>
      </c>
      <c r="D94" s="689">
        <v>56</v>
      </c>
      <c r="E94" s="690">
        <v>49</v>
      </c>
      <c r="F94" s="691">
        <v>3</v>
      </c>
      <c r="G94" s="691">
        <v>0</v>
      </c>
      <c r="H94" s="691">
        <v>0</v>
      </c>
      <c r="I94" s="691">
        <v>0</v>
      </c>
      <c r="J94" s="691">
        <v>4</v>
      </c>
      <c r="K94" s="691">
        <v>0</v>
      </c>
      <c r="L94" s="692">
        <f t="shared" si="5"/>
        <v>4</v>
      </c>
      <c r="M94" s="696"/>
      <c r="N94" s="692">
        <v>5</v>
      </c>
      <c r="O94" s="692">
        <v>16</v>
      </c>
      <c r="P94" s="692">
        <v>22</v>
      </c>
      <c r="Q94" s="403">
        <v>10</v>
      </c>
      <c r="R94" s="403">
        <v>3</v>
      </c>
    </row>
    <row r="95" spans="1:18" ht="16.5" customHeight="1">
      <c r="A95" s="687" t="s">
        <v>234</v>
      </c>
      <c r="B95" s="688" t="s">
        <v>235</v>
      </c>
      <c r="C95" s="612" t="s">
        <v>268</v>
      </c>
      <c r="D95" s="689">
        <v>58</v>
      </c>
      <c r="E95" s="690">
        <v>56</v>
      </c>
      <c r="F95" s="691">
        <v>0</v>
      </c>
      <c r="G95" s="1265">
        <v>0</v>
      </c>
      <c r="H95" s="1265">
        <v>0</v>
      </c>
      <c r="I95" s="1265">
        <v>0</v>
      </c>
      <c r="J95" s="1265">
        <v>1</v>
      </c>
      <c r="K95" s="1265">
        <v>1</v>
      </c>
      <c r="L95" s="692">
        <f t="shared" si="5"/>
        <v>2</v>
      </c>
      <c r="M95" s="694"/>
      <c r="N95" s="692">
        <v>5</v>
      </c>
      <c r="O95" s="695">
        <v>24</v>
      </c>
      <c r="P95" s="692">
        <v>23</v>
      </c>
      <c r="Q95" s="403">
        <v>5</v>
      </c>
      <c r="R95" s="403">
        <v>1</v>
      </c>
    </row>
    <row r="96" spans="1:18" ht="16.5" customHeight="1">
      <c r="A96" s="687" t="s">
        <v>236</v>
      </c>
      <c r="B96" s="688" t="s">
        <v>237</v>
      </c>
      <c r="C96" s="612" t="s">
        <v>266</v>
      </c>
      <c r="D96" s="689">
        <v>9</v>
      </c>
      <c r="E96" s="690">
        <v>7</v>
      </c>
      <c r="F96" s="691">
        <v>1</v>
      </c>
      <c r="G96" s="691">
        <v>0</v>
      </c>
      <c r="H96" s="691">
        <v>0</v>
      </c>
      <c r="I96" s="691">
        <v>0</v>
      </c>
      <c r="J96" s="691">
        <v>1</v>
      </c>
      <c r="K96" s="691">
        <v>0</v>
      </c>
      <c r="L96" s="692">
        <f t="shared" si="5"/>
        <v>1</v>
      </c>
      <c r="M96" s="694"/>
      <c r="N96" s="692">
        <v>0</v>
      </c>
      <c r="O96" s="1266">
        <v>1</v>
      </c>
      <c r="P96" s="692">
        <v>4</v>
      </c>
      <c r="Q96" s="403">
        <v>3</v>
      </c>
      <c r="R96" s="403">
        <v>1</v>
      </c>
    </row>
    <row r="97" spans="1:18" ht="16.5" customHeight="1">
      <c r="A97" s="687" t="s">
        <v>242</v>
      </c>
      <c r="B97" s="688" t="s">
        <v>243</v>
      </c>
      <c r="C97" s="612" t="s">
        <v>268</v>
      </c>
      <c r="D97" s="689">
        <v>148</v>
      </c>
      <c r="E97" s="690">
        <v>137</v>
      </c>
      <c r="F97" s="691">
        <v>10</v>
      </c>
      <c r="G97" s="691">
        <v>0</v>
      </c>
      <c r="H97" s="691">
        <v>0</v>
      </c>
      <c r="I97" s="691">
        <v>0</v>
      </c>
      <c r="J97" s="691">
        <v>1</v>
      </c>
      <c r="K97" s="691">
        <v>0</v>
      </c>
      <c r="L97" s="692">
        <f t="shared" si="5"/>
        <v>1</v>
      </c>
      <c r="M97" s="1266"/>
      <c r="N97" s="692">
        <v>18</v>
      </c>
      <c r="O97" s="1266">
        <v>45</v>
      </c>
      <c r="P97" s="692">
        <v>62</v>
      </c>
      <c r="Q97" s="403">
        <v>18</v>
      </c>
      <c r="R97" s="403">
        <v>5</v>
      </c>
    </row>
    <row r="98" spans="1:18" ht="16.5" customHeight="1">
      <c r="A98" s="687" t="s">
        <v>244</v>
      </c>
      <c r="B98" s="688" t="s">
        <v>245</v>
      </c>
      <c r="C98" s="612" t="s">
        <v>268</v>
      </c>
      <c r="D98" s="689">
        <v>46</v>
      </c>
      <c r="E98" s="690">
        <v>40</v>
      </c>
      <c r="F98" s="691">
        <v>0</v>
      </c>
      <c r="G98" s="1265">
        <v>0</v>
      </c>
      <c r="H98" s="1265">
        <v>0</v>
      </c>
      <c r="I98" s="1265">
        <v>0</v>
      </c>
      <c r="J98" s="1265">
        <v>6</v>
      </c>
      <c r="K98" s="1265">
        <v>0</v>
      </c>
      <c r="L98" s="692">
        <f t="shared" si="5"/>
        <v>6</v>
      </c>
      <c r="M98" s="692"/>
      <c r="N98" s="692">
        <v>11</v>
      </c>
      <c r="O98" s="692">
        <v>15</v>
      </c>
      <c r="P98" s="692">
        <v>14</v>
      </c>
      <c r="Q98" s="403">
        <v>6</v>
      </c>
      <c r="R98" s="403">
        <v>0</v>
      </c>
    </row>
    <row r="99" spans="1:18" ht="16.5" customHeight="1">
      <c r="A99" s="687" t="s">
        <v>246</v>
      </c>
      <c r="B99" s="688" t="s">
        <v>310</v>
      </c>
      <c r="C99" s="612" t="s">
        <v>264</v>
      </c>
      <c r="D99" s="689">
        <v>26</v>
      </c>
      <c r="E99" s="690">
        <v>9</v>
      </c>
      <c r="F99" s="691">
        <v>11</v>
      </c>
      <c r="G99" s="691">
        <v>1</v>
      </c>
      <c r="H99" s="691">
        <v>0</v>
      </c>
      <c r="I99" s="691">
        <v>0</v>
      </c>
      <c r="J99" s="691">
        <v>4</v>
      </c>
      <c r="K99" s="691">
        <v>1</v>
      </c>
      <c r="L99" s="692">
        <f t="shared" si="5"/>
        <v>6</v>
      </c>
      <c r="M99" s="694"/>
      <c r="N99" s="692">
        <v>3</v>
      </c>
      <c r="O99" s="695">
        <v>7</v>
      </c>
      <c r="P99" s="692">
        <v>9</v>
      </c>
      <c r="Q99" s="403">
        <v>7</v>
      </c>
      <c r="R99" s="403">
        <v>0</v>
      </c>
    </row>
    <row r="100" spans="1:18" ht="16.5" customHeight="1">
      <c r="A100" s="687" t="s">
        <v>14</v>
      </c>
      <c r="B100" s="688" t="s">
        <v>15</v>
      </c>
      <c r="C100" s="612" t="s">
        <v>267</v>
      </c>
      <c r="D100" s="689">
        <v>213</v>
      </c>
      <c r="E100" s="690">
        <v>48</v>
      </c>
      <c r="F100" s="691">
        <v>153</v>
      </c>
      <c r="G100" s="691">
        <v>0</v>
      </c>
      <c r="H100" s="691">
        <v>0</v>
      </c>
      <c r="I100" s="691">
        <v>0</v>
      </c>
      <c r="J100" s="691">
        <v>12</v>
      </c>
      <c r="K100" s="691">
        <v>0</v>
      </c>
      <c r="L100" s="692">
        <f t="shared" si="5"/>
        <v>12</v>
      </c>
      <c r="M100" s="696"/>
      <c r="N100" s="692">
        <v>27</v>
      </c>
      <c r="O100" s="696">
        <v>47</v>
      </c>
      <c r="P100" s="692">
        <v>77</v>
      </c>
      <c r="Q100" s="403">
        <v>44</v>
      </c>
      <c r="R100" s="403">
        <v>18</v>
      </c>
    </row>
    <row r="101" spans="1:18" ht="16.5" customHeight="1">
      <c r="A101" s="687" t="s">
        <v>34</v>
      </c>
      <c r="B101" s="688" t="s">
        <v>35</v>
      </c>
      <c r="C101" s="612" t="s">
        <v>268</v>
      </c>
      <c r="D101" s="689">
        <v>41</v>
      </c>
      <c r="E101" s="690">
        <v>34</v>
      </c>
      <c r="F101" s="691">
        <v>0</v>
      </c>
      <c r="G101" s="1265">
        <v>0</v>
      </c>
      <c r="H101" s="1265">
        <v>0</v>
      </c>
      <c r="I101" s="1265">
        <v>0</v>
      </c>
      <c r="J101" s="1265">
        <v>7</v>
      </c>
      <c r="K101" s="1265">
        <v>0</v>
      </c>
      <c r="L101" s="692">
        <f t="shared" ref="L101:L124" si="6">G101+H101+I101+J101+K101</f>
        <v>7</v>
      </c>
      <c r="M101" s="694"/>
      <c r="N101" s="692">
        <v>2</v>
      </c>
      <c r="O101" s="695">
        <v>19</v>
      </c>
      <c r="P101" s="692">
        <v>15</v>
      </c>
      <c r="Q101" s="403">
        <v>3</v>
      </c>
      <c r="R101" s="403">
        <v>2</v>
      </c>
    </row>
    <row r="102" spans="1:18" ht="16.5" customHeight="1">
      <c r="A102" s="687" t="s">
        <v>52</v>
      </c>
      <c r="B102" s="688" t="s">
        <v>53</v>
      </c>
      <c r="C102" s="612" t="s">
        <v>265</v>
      </c>
      <c r="D102" s="689">
        <v>96</v>
      </c>
      <c r="E102" s="690">
        <v>39</v>
      </c>
      <c r="F102" s="691">
        <v>43</v>
      </c>
      <c r="G102" s="691">
        <v>0</v>
      </c>
      <c r="H102" s="691">
        <v>0</v>
      </c>
      <c r="I102" s="691">
        <v>0</v>
      </c>
      <c r="J102" s="691">
        <v>14</v>
      </c>
      <c r="K102" s="691">
        <v>0</v>
      </c>
      <c r="L102" s="692">
        <f t="shared" si="6"/>
        <v>14</v>
      </c>
      <c r="M102" s="694"/>
      <c r="N102" s="692">
        <v>8</v>
      </c>
      <c r="O102" s="692">
        <v>23</v>
      </c>
      <c r="P102" s="692">
        <v>37</v>
      </c>
      <c r="Q102" s="403">
        <v>21</v>
      </c>
      <c r="R102" s="403">
        <v>7</v>
      </c>
    </row>
    <row r="103" spans="1:18" ht="16.5" customHeight="1">
      <c r="A103" s="687" t="s">
        <v>54</v>
      </c>
      <c r="B103" s="688" t="s">
        <v>55</v>
      </c>
      <c r="C103" s="612" t="s">
        <v>264</v>
      </c>
      <c r="D103" s="689">
        <v>134</v>
      </c>
      <c r="E103" s="690">
        <v>48</v>
      </c>
      <c r="F103" s="691">
        <v>72</v>
      </c>
      <c r="G103" s="691">
        <v>0</v>
      </c>
      <c r="H103" s="691">
        <v>0</v>
      </c>
      <c r="I103" s="691">
        <v>0</v>
      </c>
      <c r="J103" s="691">
        <v>14</v>
      </c>
      <c r="K103" s="691">
        <v>0</v>
      </c>
      <c r="L103" s="692">
        <f t="shared" si="6"/>
        <v>14</v>
      </c>
      <c r="M103" s="694"/>
      <c r="N103" s="692">
        <v>10</v>
      </c>
      <c r="O103" s="692">
        <v>38</v>
      </c>
      <c r="P103" s="692">
        <v>54</v>
      </c>
      <c r="Q103" s="403">
        <v>24</v>
      </c>
      <c r="R103" s="403">
        <v>8</v>
      </c>
    </row>
    <row r="104" spans="1:18" ht="16.5" customHeight="1">
      <c r="A104" s="687" t="s">
        <v>66</v>
      </c>
      <c r="B104" s="688" t="s">
        <v>67</v>
      </c>
      <c r="C104" s="612" t="s">
        <v>265</v>
      </c>
      <c r="D104" s="689">
        <v>49</v>
      </c>
      <c r="E104" s="690">
        <v>18</v>
      </c>
      <c r="F104" s="691">
        <v>29</v>
      </c>
      <c r="G104" s="691">
        <v>0</v>
      </c>
      <c r="H104" s="691">
        <v>0</v>
      </c>
      <c r="I104" s="691">
        <v>0</v>
      </c>
      <c r="J104" s="691">
        <v>2</v>
      </c>
      <c r="K104" s="691">
        <v>0</v>
      </c>
      <c r="L104" s="692">
        <f t="shared" si="6"/>
        <v>2</v>
      </c>
      <c r="M104" s="694"/>
      <c r="N104" s="692">
        <v>3</v>
      </c>
      <c r="O104" s="695">
        <v>8</v>
      </c>
      <c r="P104" s="692">
        <v>14</v>
      </c>
      <c r="Q104" s="403">
        <v>17</v>
      </c>
      <c r="R104" s="403">
        <v>7</v>
      </c>
    </row>
    <row r="105" spans="1:18" ht="16.5" customHeight="1">
      <c r="A105" s="687" t="s">
        <v>82</v>
      </c>
      <c r="B105" s="688" t="s">
        <v>311</v>
      </c>
      <c r="C105" s="612" t="s">
        <v>264</v>
      </c>
      <c r="D105" s="689">
        <v>1</v>
      </c>
      <c r="E105" s="690">
        <v>0</v>
      </c>
      <c r="F105" s="691">
        <v>1</v>
      </c>
      <c r="G105" s="691">
        <v>0</v>
      </c>
      <c r="H105" s="691">
        <v>0</v>
      </c>
      <c r="I105" s="691">
        <v>0</v>
      </c>
      <c r="J105" s="691">
        <v>0</v>
      </c>
      <c r="K105" s="691">
        <v>0</v>
      </c>
      <c r="L105" s="692">
        <f t="shared" si="6"/>
        <v>0</v>
      </c>
      <c r="M105" s="1266"/>
      <c r="N105" s="692">
        <v>0</v>
      </c>
      <c r="O105" s="1266">
        <v>1</v>
      </c>
      <c r="P105" s="692">
        <v>0</v>
      </c>
      <c r="Q105" s="403">
        <v>0</v>
      </c>
      <c r="R105" s="403">
        <v>0</v>
      </c>
    </row>
    <row r="106" spans="1:18" ht="16.5" customHeight="1">
      <c r="A106" s="687" t="s">
        <v>88</v>
      </c>
      <c r="B106" s="688" t="s">
        <v>89</v>
      </c>
      <c r="C106" s="612" t="s">
        <v>267</v>
      </c>
      <c r="D106" s="689">
        <v>92</v>
      </c>
      <c r="E106" s="690">
        <v>33</v>
      </c>
      <c r="F106" s="691">
        <v>42</v>
      </c>
      <c r="G106" s="691">
        <v>0</v>
      </c>
      <c r="H106" s="691">
        <v>0</v>
      </c>
      <c r="I106" s="691">
        <v>0</v>
      </c>
      <c r="J106" s="691">
        <v>17</v>
      </c>
      <c r="K106" s="691">
        <v>0</v>
      </c>
      <c r="L106" s="692">
        <f t="shared" si="6"/>
        <v>17</v>
      </c>
      <c r="M106" s="696"/>
      <c r="N106" s="692">
        <v>21</v>
      </c>
      <c r="O106" s="696">
        <v>33</v>
      </c>
      <c r="P106" s="692">
        <v>24</v>
      </c>
      <c r="Q106" s="403">
        <v>11</v>
      </c>
      <c r="R106" s="403">
        <v>3</v>
      </c>
    </row>
    <row r="107" spans="1:18" ht="16.5" customHeight="1">
      <c r="A107" s="687" t="s">
        <v>90</v>
      </c>
      <c r="B107" s="688" t="s">
        <v>91</v>
      </c>
      <c r="C107" s="612" t="s">
        <v>268</v>
      </c>
      <c r="D107" s="689">
        <v>12</v>
      </c>
      <c r="E107" s="690">
        <v>9</v>
      </c>
      <c r="F107" s="691">
        <v>2</v>
      </c>
      <c r="G107" s="691">
        <v>0</v>
      </c>
      <c r="H107" s="691">
        <v>0</v>
      </c>
      <c r="I107" s="691">
        <v>0</v>
      </c>
      <c r="J107" s="691">
        <v>0</v>
      </c>
      <c r="K107" s="691">
        <v>1</v>
      </c>
      <c r="L107" s="692">
        <f t="shared" si="6"/>
        <v>1</v>
      </c>
      <c r="M107" s="702"/>
      <c r="N107" s="692">
        <v>1</v>
      </c>
      <c r="O107" s="692">
        <v>5</v>
      </c>
      <c r="P107" s="692">
        <v>3</v>
      </c>
      <c r="Q107" s="403">
        <v>3</v>
      </c>
      <c r="R107" s="403">
        <v>0</v>
      </c>
    </row>
    <row r="108" spans="1:18" ht="16.5" customHeight="1">
      <c r="A108" s="687" t="s">
        <v>106</v>
      </c>
      <c r="B108" s="688" t="s">
        <v>107</v>
      </c>
      <c r="C108" s="612" t="s">
        <v>264</v>
      </c>
      <c r="D108" s="689">
        <v>151</v>
      </c>
      <c r="E108" s="690">
        <v>45</v>
      </c>
      <c r="F108" s="691">
        <v>90</v>
      </c>
      <c r="G108" s="691">
        <v>0</v>
      </c>
      <c r="H108" s="691">
        <v>0</v>
      </c>
      <c r="I108" s="691">
        <v>0</v>
      </c>
      <c r="J108" s="691">
        <v>16</v>
      </c>
      <c r="K108" s="691">
        <v>0</v>
      </c>
      <c r="L108" s="692">
        <f t="shared" si="6"/>
        <v>16</v>
      </c>
      <c r="M108" s="694"/>
      <c r="N108" s="692">
        <v>5</v>
      </c>
      <c r="O108" s="692">
        <v>33</v>
      </c>
      <c r="P108" s="692">
        <v>65</v>
      </c>
      <c r="Q108" s="403">
        <v>30</v>
      </c>
      <c r="R108" s="403">
        <v>18</v>
      </c>
    </row>
    <row r="109" spans="1:18" ht="16.5" customHeight="1">
      <c r="A109" s="687" t="s">
        <v>116</v>
      </c>
      <c r="B109" s="688" t="s">
        <v>117</v>
      </c>
      <c r="C109" s="612" t="s">
        <v>266</v>
      </c>
      <c r="D109" s="689">
        <v>31</v>
      </c>
      <c r="E109" s="690">
        <v>9</v>
      </c>
      <c r="F109" s="691">
        <v>20</v>
      </c>
      <c r="G109" s="691">
        <v>0</v>
      </c>
      <c r="H109" s="691">
        <v>0</v>
      </c>
      <c r="I109" s="691">
        <v>0</v>
      </c>
      <c r="J109" s="691">
        <v>2</v>
      </c>
      <c r="K109" s="691">
        <v>0</v>
      </c>
      <c r="L109" s="692">
        <f t="shared" si="6"/>
        <v>2</v>
      </c>
      <c r="M109" s="1266"/>
      <c r="N109" s="692">
        <v>7</v>
      </c>
      <c r="O109" s="695">
        <v>12</v>
      </c>
      <c r="P109" s="692">
        <v>6</v>
      </c>
      <c r="Q109" s="403">
        <v>3</v>
      </c>
      <c r="R109" s="403">
        <v>3</v>
      </c>
    </row>
    <row r="110" spans="1:18" ht="16.5" customHeight="1">
      <c r="A110" s="687" t="s">
        <v>138</v>
      </c>
      <c r="B110" s="688" t="s">
        <v>139</v>
      </c>
      <c r="C110" s="612" t="s">
        <v>265</v>
      </c>
      <c r="D110" s="689">
        <v>307</v>
      </c>
      <c r="E110" s="690">
        <v>81</v>
      </c>
      <c r="F110" s="691">
        <v>175</v>
      </c>
      <c r="G110" s="691">
        <v>0</v>
      </c>
      <c r="H110" s="691">
        <v>0</v>
      </c>
      <c r="I110" s="691">
        <v>1</v>
      </c>
      <c r="J110" s="691">
        <v>49</v>
      </c>
      <c r="K110" s="691">
        <v>1</v>
      </c>
      <c r="L110" s="692">
        <f t="shared" si="6"/>
        <v>51</v>
      </c>
      <c r="M110" s="696"/>
      <c r="N110" s="692">
        <v>29</v>
      </c>
      <c r="O110" s="696">
        <v>103</v>
      </c>
      <c r="P110" s="692">
        <v>108</v>
      </c>
      <c r="Q110" s="403">
        <v>48</v>
      </c>
      <c r="R110" s="403">
        <v>19</v>
      </c>
    </row>
    <row r="111" spans="1:18" ht="16.5" customHeight="1">
      <c r="A111" s="687" t="s">
        <v>142</v>
      </c>
      <c r="B111" s="688" t="s">
        <v>143</v>
      </c>
      <c r="C111" s="612" t="s">
        <v>267</v>
      </c>
      <c r="D111" s="689">
        <v>10</v>
      </c>
      <c r="E111" s="690">
        <v>2</v>
      </c>
      <c r="F111" s="691">
        <v>5</v>
      </c>
      <c r="G111" s="691">
        <v>0</v>
      </c>
      <c r="H111" s="691">
        <v>0</v>
      </c>
      <c r="I111" s="691">
        <v>0</v>
      </c>
      <c r="J111" s="691">
        <v>3</v>
      </c>
      <c r="K111" s="691">
        <v>0</v>
      </c>
      <c r="L111" s="692">
        <f t="shared" si="6"/>
        <v>3</v>
      </c>
      <c r="M111" s="695"/>
      <c r="N111" s="692">
        <v>0</v>
      </c>
      <c r="O111" s="695">
        <v>0</v>
      </c>
      <c r="P111" s="692">
        <v>4</v>
      </c>
      <c r="Q111" s="403">
        <v>5</v>
      </c>
      <c r="R111" s="403">
        <v>1</v>
      </c>
    </row>
    <row r="112" spans="1:18" ht="16.5" customHeight="1">
      <c r="A112" s="687" t="s">
        <v>144</v>
      </c>
      <c r="B112" s="688" t="s">
        <v>145</v>
      </c>
      <c r="C112" s="612" t="s">
        <v>267</v>
      </c>
      <c r="D112" s="689">
        <v>0</v>
      </c>
      <c r="E112" s="690">
        <v>0</v>
      </c>
      <c r="F112" s="691">
        <v>0</v>
      </c>
      <c r="G112" s="1265">
        <v>0</v>
      </c>
      <c r="H112" s="1265">
        <v>0</v>
      </c>
      <c r="I112" s="1265">
        <v>0</v>
      </c>
      <c r="J112" s="1265">
        <v>0</v>
      </c>
      <c r="K112" s="1265">
        <v>0</v>
      </c>
      <c r="L112" s="692">
        <f t="shared" si="6"/>
        <v>0</v>
      </c>
      <c r="M112" s="1266"/>
      <c r="N112" s="692">
        <v>0</v>
      </c>
      <c r="O112" s="1266">
        <v>0</v>
      </c>
      <c r="P112" s="692">
        <v>0</v>
      </c>
      <c r="Q112" s="403">
        <v>0</v>
      </c>
      <c r="R112" s="403">
        <v>0</v>
      </c>
    </row>
    <row r="113" spans="1:18" ht="16.5" customHeight="1">
      <c r="A113" s="687" t="s">
        <v>158</v>
      </c>
      <c r="B113" s="688" t="s">
        <v>159</v>
      </c>
      <c r="C113" s="612" t="s">
        <v>264</v>
      </c>
      <c r="D113" s="689">
        <v>301</v>
      </c>
      <c r="E113" s="690">
        <v>49</v>
      </c>
      <c r="F113" s="691">
        <v>224</v>
      </c>
      <c r="G113" s="691">
        <v>2</v>
      </c>
      <c r="H113" s="691">
        <v>0</v>
      </c>
      <c r="I113" s="691">
        <v>0</v>
      </c>
      <c r="J113" s="691">
        <v>26</v>
      </c>
      <c r="K113" s="691">
        <v>0</v>
      </c>
      <c r="L113" s="692">
        <f t="shared" si="6"/>
        <v>28</v>
      </c>
      <c r="M113" s="696"/>
      <c r="N113" s="692">
        <v>21</v>
      </c>
      <c r="O113" s="692">
        <v>86</v>
      </c>
      <c r="P113" s="692">
        <v>96</v>
      </c>
      <c r="Q113" s="403">
        <v>70</v>
      </c>
      <c r="R113" s="403">
        <v>28</v>
      </c>
    </row>
    <row r="114" spans="1:18" ht="16.5" customHeight="1">
      <c r="A114" s="687" t="s">
        <v>160</v>
      </c>
      <c r="B114" s="688" t="s">
        <v>161</v>
      </c>
      <c r="C114" s="612" t="s">
        <v>264</v>
      </c>
      <c r="D114" s="689">
        <v>211</v>
      </c>
      <c r="E114" s="690">
        <v>30</v>
      </c>
      <c r="F114" s="691">
        <v>158</v>
      </c>
      <c r="G114" s="691">
        <v>5</v>
      </c>
      <c r="H114" s="691">
        <v>2</v>
      </c>
      <c r="I114" s="691">
        <v>0</v>
      </c>
      <c r="J114" s="691">
        <v>16</v>
      </c>
      <c r="K114" s="691">
        <v>0</v>
      </c>
      <c r="L114" s="692">
        <f t="shared" si="6"/>
        <v>23</v>
      </c>
      <c r="M114" s="696"/>
      <c r="N114" s="696">
        <v>20</v>
      </c>
      <c r="O114" s="692">
        <v>62</v>
      </c>
      <c r="P114" s="692">
        <v>77</v>
      </c>
      <c r="Q114" s="403">
        <v>40</v>
      </c>
      <c r="R114" s="403">
        <v>12</v>
      </c>
    </row>
    <row r="115" spans="1:18" ht="16.5" customHeight="1">
      <c r="A115" s="687" t="s">
        <v>166</v>
      </c>
      <c r="B115" s="688" t="s">
        <v>167</v>
      </c>
      <c r="C115" s="612" t="s">
        <v>268</v>
      </c>
      <c r="D115" s="689">
        <v>12</v>
      </c>
      <c r="E115" s="690">
        <v>10</v>
      </c>
      <c r="F115" s="691">
        <v>0</v>
      </c>
      <c r="G115" s="1265">
        <v>0</v>
      </c>
      <c r="H115" s="1265">
        <v>0</v>
      </c>
      <c r="I115" s="1265">
        <v>0</v>
      </c>
      <c r="J115" s="1265">
        <v>2</v>
      </c>
      <c r="K115" s="1265">
        <v>0</v>
      </c>
      <c r="L115" s="692">
        <f t="shared" si="6"/>
        <v>2</v>
      </c>
      <c r="M115" s="696"/>
      <c r="N115" s="692">
        <v>1</v>
      </c>
      <c r="O115" s="692">
        <v>1</v>
      </c>
      <c r="P115" s="692">
        <v>3</v>
      </c>
      <c r="Q115" s="403">
        <v>5</v>
      </c>
      <c r="R115" s="403">
        <v>2</v>
      </c>
    </row>
    <row r="116" spans="1:18" ht="16.5" customHeight="1">
      <c r="A116" s="687" t="s">
        <v>176</v>
      </c>
      <c r="B116" s="688" t="s">
        <v>177</v>
      </c>
      <c r="C116" s="612" t="s">
        <v>266</v>
      </c>
      <c r="D116" s="689">
        <v>141</v>
      </c>
      <c r="E116" s="690">
        <v>28</v>
      </c>
      <c r="F116" s="691">
        <v>88</v>
      </c>
      <c r="G116" s="691">
        <v>0</v>
      </c>
      <c r="H116" s="691">
        <v>0</v>
      </c>
      <c r="I116" s="691">
        <v>0</v>
      </c>
      <c r="J116" s="691">
        <v>22</v>
      </c>
      <c r="K116" s="691">
        <v>3</v>
      </c>
      <c r="L116" s="692">
        <f t="shared" si="6"/>
        <v>25</v>
      </c>
      <c r="M116" s="694"/>
      <c r="N116" s="692">
        <v>31</v>
      </c>
      <c r="O116" s="694">
        <v>39</v>
      </c>
      <c r="P116" s="692">
        <v>45</v>
      </c>
      <c r="Q116" s="403">
        <v>23</v>
      </c>
      <c r="R116" s="403">
        <v>3</v>
      </c>
    </row>
    <row r="117" spans="1:18" ht="16.5" customHeight="1">
      <c r="A117" s="687" t="s">
        <v>180</v>
      </c>
      <c r="B117" s="688" t="s">
        <v>181</v>
      </c>
      <c r="C117" s="612" t="s">
        <v>264</v>
      </c>
      <c r="D117" s="689">
        <v>138</v>
      </c>
      <c r="E117" s="690">
        <v>30</v>
      </c>
      <c r="F117" s="691">
        <v>100</v>
      </c>
      <c r="G117" s="691">
        <v>0</v>
      </c>
      <c r="H117" s="691">
        <v>0</v>
      </c>
      <c r="I117" s="691">
        <v>0</v>
      </c>
      <c r="J117" s="691">
        <v>8</v>
      </c>
      <c r="K117" s="691">
        <v>0</v>
      </c>
      <c r="L117" s="692">
        <f t="shared" si="6"/>
        <v>8</v>
      </c>
      <c r="M117" s="694"/>
      <c r="N117" s="692">
        <v>14</v>
      </c>
      <c r="O117" s="692">
        <v>26</v>
      </c>
      <c r="P117" s="692">
        <v>62</v>
      </c>
      <c r="Q117" s="403">
        <v>25</v>
      </c>
      <c r="R117" s="403">
        <v>11</v>
      </c>
    </row>
    <row r="118" spans="1:18" ht="16.5" customHeight="1">
      <c r="A118" s="687" t="s">
        <v>192</v>
      </c>
      <c r="B118" s="688" t="s">
        <v>193</v>
      </c>
      <c r="C118" s="612" t="s">
        <v>268</v>
      </c>
      <c r="D118" s="689">
        <v>25</v>
      </c>
      <c r="E118" s="690">
        <v>21</v>
      </c>
      <c r="F118" s="691">
        <v>3</v>
      </c>
      <c r="G118" s="691">
        <v>0</v>
      </c>
      <c r="H118" s="691">
        <v>0</v>
      </c>
      <c r="I118" s="691">
        <v>0</v>
      </c>
      <c r="J118" s="691">
        <v>1</v>
      </c>
      <c r="K118" s="691">
        <v>0</v>
      </c>
      <c r="L118" s="692">
        <f t="shared" si="6"/>
        <v>1</v>
      </c>
      <c r="M118" s="695"/>
      <c r="N118" s="692">
        <v>5</v>
      </c>
      <c r="O118" s="692">
        <v>6</v>
      </c>
      <c r="P118" s="692">
        <v>11</v>
      </c>
      <c r="Q118" s="403">
        <v>3</v>
      </c>
      <c r="R118" s="403">
        <v>0</v>
      </c>
    </row>
    <row r="119" spans="1:18" ht="16.5" customHeight="1">
      <c r="A119" s="687" t="s">
        <v>196</v>
      </c>
      <c r="B119" s="688" t="s">
        <v>312</v>
      </c>
      <c r="C119" s="612" t="s">
        <v>266</v>
      </c>
      <c r="D119" s="689">
        <v>449</v>
      </c>
      <c r="E119" s="690">
        <v>51</v>
      </c>
      <c r="F119" s="691">
        <v>373</v>
      </c>
      <c r="G119" s="691">
        <v>1</v>
      </c>
      <c r="H119" s="691">
        <v>2</v>
      </c>
      <c r="I119" s="691">
        <v>0</v>
      </c>
      <c r="J119" s="691">
        <v>18</v>
      </c>
      <c r="K119" s="691">
        <v>4</v>
      </c>
      <c r="L119" s="692">
        <f t="shared" si="6"/>
        <v>25</v>
      </c>
      <c r="M119" s="694"/>
      <c r="N119" s="692">
        <v>25</v>
      </c>
      <c r="O119" s="696">
        <v>101</v>
      </c>
      <c r="P119" s="692">
        <v>195</v>
      </c>
      <c r="Q119" s="403">
        <v>87</v>
      </c>
      <c r="R119" s="403">
        <v>41</v>
      </c>
    </row>
    <row r="120" spans="1:18" ht="16.5" customHeight="1">
      <c r="A120" s="687" t="s">
        <v>200</v>
      </c>
      <c r="B120" s="688" t="s">
        <v>313</v>
      </c>
      <c r="C120" s="612" t="s">
        <v>265</v>
      </c>
      <c r="D120" s="689">
        <v>393</v>
      </c>
      <c r="E120" s="690">
        <v>206</v>
      </c>
      <c r="F120" s="691">
        <v>131</v>
      </c>
      <c r="G120" s="691">
        <v>0</v>
      </c>
      <c r="H120" s="691">
        <v>1</v>
      </c>
      <c r="I120" s="691">
        <v>1</v>
      </c>
      <c r="J120" s="691">
        <v>53</v>
      </c>
      <c r="K120" s="691">
        <v>1</v>
      </c>
      <c r="L120" s="692">
        <f t="shared" si="6"/>
        <v>56</v>
      </c>
      <c r="M120" s="696"/>
      <c r="N120" s="692">
        <v>45</v>
      </c>
      <c r="O120" s="696">
        <v>135</v>
      </c>
      <c r="P120" s="692">
        <v>128</v>
      </c>
      <c r="Q120" s="403">
        <v>74</v>
      </c>
      <c r="R120" s="403">
        <v>11</v>
      </c>
    </row>
    <row r="121" spans="1:18" ht="16.5" customHeight="1">
      <c r="A121" s="687" t="s">
        <v>222</v>
      </c>
      <c r="B121" s="688" t="s">
        <v>223</v>
      </c>
      <c r="C121" s="612" t="s">
        <v>264</v>
      </c>
      <c r="D121" s="689">
        <v>34</v>
      </c>
      <c r="E121" s="690">
        <v>6</v>
      </c>
      <c r="F121" s="691">
        <v>25</v>
      </c>
      <c r="G121" s="691">
        <v>1</v>
      </c>
      <c r="H121" s="691">
        <v>0</v>
      </c>
      <c r="I121" s="691">
        <v>0</v>
      </c>
      <c r="J121" s="691">
        <v>1</v>
      </c>
      <c r="K121" s="691">
        <v>1</v>
      </c>
      <c r="L121" s="692">
        <f t="shared" si="6"/>
        <v>3</v>
      </c>
      <c r="M121" s="695"/>
      <c r="N121" s="692">
        <v>0</v>
      </c>
      <c r="O121" s="692">
        <v>6</v>
      </c>
      <c r="P121" s="692">
        <v>23</v>
      </c>
      <c r="Q121" s="403">
        <v>4</v>
      </c>
      <c r="R121" s="403">
        <v>1</v>
      </c>
    </row>
    <row r="122" spans="1:18" ht="16.5" customHeight="1">
      <c r="A122" s="687" t="s">
        <v>230</v>
      </c>
      <c r="B122" s="688" t="s">
        <v>231</v>
      </c>
      <c r="C122" s="612" t="s">
        <v>264</v>
      </c>
      <c r="D122" s="689">
        <v>278</v>
      </c>
      <c r="E122" s="690">
        <v>134</v>
      </c>
      <c r="F122" s="691">
        <v>100</v>
      </c>
      <c r="G122" s="691">
        <v>2</v>
      </c>
      <c r="H122" s="691">
        <v>2</v>
      </c>
      <c r="I122" s="691">
        <v>0</v>
      </c>
      <c r="J122" s="691">
        <v>36</v>
      </c>
      <c r="K122" s="691">
        <v>4</v>
      </c>
      <c r="L122" s="692">
        <f t="shared" si="6"/>
        <v>44</v>
      </c>
      <c r="M122" s="696"/>
      <c r="N122" s="692">
        <v>20</v>
      </c>
      <c r="O122" s="696">
        <v>73</v>
      </c>
      <c r="P122" s="692">
        <v>121</v>
      </c>
      <c r="Q122" s="403">
        <v>57</v>
      </c>
      <c r="R122" s="403">
        <v>7</v>
      </c>
    </row>
    <row r="123" spans="1:18" ht="16.5" customHeight="1">
      <c r="A123" s="687" t="s">
        <v>238</v>
      </c>
      <c r="B123" s="688" t="s">
        <v>239</v>
      </c>
      <c r="C123" s="612" t="s">
        <v>264</v>
      </c>
      <c r="D123" s="689">
        <v>9</v>
      </c>
      <c r="E123" s="690">
        <v>0</v>
      </c>
      <c r="F123" s="691">
        <v>9</v>
      </c>
      <c r="G123" s="691">
        <v>0</v>
      </c>
      <c r="H123" s="691">
        <v>0</v>
      </c>
      <c r="I123" s="691">
        <v>0</v>
      </c>
      <c r="J123" s="691">
        <v>0</v>
      </c>
      <c r="K123" s="691">
        <v>0</v>
      </c>
      <c r="L123" s="692">
        <f t="shared" si="6"/>
        <v>0</v>
      </c>
      <c r="M123" s="1266"/>
      <c r="N123" s="692">
        <v>0</v>
      </c>
      <c r="O123" s="1266">
        <v>5</v>
      </c>
      <c r="P123" s="692">
        <v>2</v>
      </c>
      <c r="Q123" s="403">
        <v>2</v>
      </c>
      <c r="R123" s="403">
        <v>0</v>
      </c>
    </row>
    <row r="124" spans="1:18" ht="16.5" customHeight="1">
      <c r="A124" s="687" t="s">
        <v>240</v>
      </c>
      <c r="B124" s="688" t="s">
        <v>241</v>
      </c>
      <c r="C124" s="612" t="s">
        <v>267</v>
      </c>
      <c r="D124" s="689">
        <v>44</v>
      </c>
      <c r="E124" s="690">
        <v>31</v>
      </c>
      <c r="F124" s="691">
        <v>6</v>
      </c>
      <c r="G124" s="691">
        <v>1</v>
      </c>
      <c r="H124" s="691">
        <v>0</v>
      </c>
      <c r="I124" s="691">
        <v>0</v>
      </c>
      <c r="J124" s="691">
        <v>5</v>
      </c>
      <c r="K124" s="691">
        <v>1</v>
      </c>
      <c r="L124" s="692">
        <f t="shared" si="6"/>
        <v>7</v>
      </c>
      <c r="M124" s="694"/>
      <c r="N124" s="692">
        <v>5</v>
      </c>
      <c r="O124" s="692">
        <v>13</v>
      </c>
      <c r="P124" s="692">
        <v>13</v>
      </c>
      <c r="Q124" s="403">
        <v>8</v>
      </c>
      <c r="R124" s="403">
        <v>5</v>
      </c>
    </row>
    <row r="125" spans="1:18">
      <c r="D125" s="692"/>
      <c r="E125" s="692"/>
      <c r="F125" s="692"/>
      <c r="G125" s="692"/>
      <c r="H125" s="692"/>
      <c r="I125" s="692"/>
      <c r="J125" s="692"/>
      <c r="K125" s="692"/>
      <c r="L125" s="692"/>
      <c r="M125" s="692"/>
      <c r="N125" s="692"/>
      <c r="O125" s="692"/>
      <c r="P125" s="692"/>
    </row>
    <row r="126" spans="1:18" ht="32.25" customHeight="1">
      <c r="A126" s="1928" t="s">
        <v>1245</v>
      </c>
      <c r="B126" s="1927"/>
      <c r="C126" s="1927"/>
      <c r="D126" s="1927"/>
      <c r="E126" s="1927"/>
      <c r="F126" s="1927"/>
      <c r="G126" s="1927"/>
      <c r="H126" s="1927"/>
      <c r="I126" s="1927"/>
      <c r="J126" s="1927"/>
      <c r="K126" s="1927"/>
      <c r="L126" s="1927"/>
      <c r="M126" s="1927"/>
      <c r="N126" s="703"/>
      <c r="O126" s="703"/>
      <c r="P126" s="703"/>
      <c r="Q126" s="703"/>
      <c r="R126" s="703"/>
    </row>
    <row r="127" spans="1:18">
      <c r="A127" s="403" t="s">
        <v>1243</v>
      </c>
    </row>
    <row r="129" spans="1:3" s="428" customFormat="1">
      <c r="A129" s="428" t="s">
        <v>248</v>
      </c>
    </row>
    <row r="130" spans="1:3" s="428" customFormat="1">
      <c r="A130" s="429" t="s">
        <v>249</v>
      </c>
      <c r="B130" s="430" t="s">
        <v>250</v>
      </c>
      <c r="C130" s="430"/>
    </row>
  </sheetData>
  <autoFilter ref="A3:C3"/>
  <sortState ref="A5:R124">
    <sortCondition ref="A5:A124"/>
  </sortState>
  <mergeCells count="1">
    <mergeCell ref="A126:M126"/>
  </mergeCells>
  <hyperlinks>
    <hyperlink ref="B130" r:id="rId1"/>
  </hyperlinks>
  <pageMargins left="0.7" right="0.7" top="0.75" bottom="0.75" header="0.3" footer="0.3"/>
</worksheet>
</file>

<file path=xl/worksheets/sheet38.xml><?xml version="1.0" encoding="utf-8"?>
<worksheet xmlns="http://schemas.openxmlformats.org/spreadsheetml/2006/main" xmlns:r="http://schemas.openxmlformats.org/officeDocument/2006/relationships">
  <dimension ref="A1:I141"/>
  <sheetViews>
    <sheetView workbookViewId="0">
      <pane ySplit="5" topLeftCell="A6" activePane="bottomLeft" state="frozen"/>
      <selection pane="bottomLeft" activeCell="A6" sqref="A6:XFD125"/>
    </sheetView>
  </sheetViews>
  <sheetFormatPr defaultRowHeight="15.75"/>
  <cols>
    <col min="1" max="1" width="9.125" style="714" customWidth="1"/>
    <col min="2" max="2" width="34.625" style="714" customWidth="1"/>
    <col min="3" max="3" width="11.25" style="714" customWidth="1"/>
    <col min="4" max="4" width="10.125" style="758" bestFit="1" customWidth="1"/>
    <col min="5" max="8" width="9.125" style="758" bestFit="1" customWidth="1"/>
    <col min="9" max="9" width="12.75" style="758" customWidth="1"/>
    <col min="10" max="16384" width="9" style="758"/>
  </cols>
  <sheetData>
    <row r="1" spans="1:9">
      <c r="A1" s="64" t="s">
        <v>1228</v>
      </c>
      <c r="B1" s="758"/>
      <c r="C1" s="758"/>
    </row>
    <row r="2" spans="1:9">
      <c r="A2" s="758"/>
      <c r="B2" s="758"/>
      <c r="C2" s="758"/>
    </row>
    <row r="3" spans="1:9">
      <c r="A3" s="758"/>
      <c r="B3" s="758"/>
      <c r="C3" s="758"/>
      <c r="D3" s="64"/>
      <c r="E3" s="1892" t="s">
        <v>798</v>
      </c>
      <c r="F3" s="1892"/>
      <c r="G3" s="1892"/>
      <c r="H3" s="1892" t="s">
        <v>799</v>
      </c>
      <c r="I3" s="1892"/>
    </row>
    <row r="4" spans="1:9">
      <c r="A4" s="715" t="s">
        <v>4</v>
      </c>
      <c r="B4" s="727" t="s">
        <v>5</v>
      </c>
      <c r="C4" s="715" t="s">
        <v>251</v>
      </c>
      <c r="D4" s="903" t="s">
        <v>281</v>
      </c>
      <c r="E4" s="903" t="s">
        <v>2</v>
      </c>
      <c r="F4" s="903" t="s">
        <v>450</v>
      </c>
      <c r="G4" s="903" t="s">
        <v>451</v>
      </c>
      <c r="H4" s="903" t="s">
        <v>1229</v>
      </c>
      <c r="I4" s="903" t="s">
        <v>1230</v>
      </c>
    </row>
    <row r="5" spans="1:9">
      <c r="A5" s="908">
        <v>999</v>
      </c>
      <c r="B5" s="909" t="s">
        <v>9</v>
      </c>
      <c r="C5" s="908"/>
      <c r="D5" s="1673">
        <f>SUM(D6:D125)</f>
        <v>21626</v>
      </c>
      <c r="E5" s="1673">
        <f t="shared" ref="E5:I5" si="0">SUM(E6:E125)</f>
        <v>14580</v>
      </c>
      <c r="F5" s="1673">
        <f t="shared" si="0"/>
        <v>5150</v>
      </c>
      <c r="G5" s="1673">
        <f t="shared" si="0"/>
        <v>1737</v>
      </c>
      <c r="H5" s="1673">
        <f t="shared" si="0"/>
        <v>6030</v>
      </c>
      <c r="I5" s="1673">
        <f t="shared" si="0"/>
        <v>15491</v>
      </c>
    </row>
    <row r="6" spans="1:9">
      <c r="A6" s="706" t="s">
        <v>10</v>
      </c>
      <c r="B6" s="707" t="s">
        <v>11</v>
      </c>
      <c r="C6" s="708" t="s">
        <v>264</v>
      </c>
      <c r="D6" s="271">
        <v>72</v>
      </c>
      <c r="E6" s="271">
        <v>44</v>
      </c>
      <c r="F6" s="271">
        <v>24</v>
      </c>
      <c r="G6" s="271">
        <v>2</v>
      </c>
      <c r="H6" s="271">
        <v>25</v>
      </c>
      <c r="I6" s="271">
        <v>44</v>
      </c>
    </row>
    <row r="7" spans="1:9">
      <c r="A7" s="706" t="s">
        <v>12</v>
      </c>
      <c r="B7" s="707" t="s">
        <v>13</v>
      </c>
      <c r="C7" s="708" t="s">
        <v>265</v>
      </c>
      <c r="D7" s="271">
        <v>472</v>
      </c>
      <c r="E7" s="271">
        <v>372</v>
      </c>
      <c r="F7" s="271">
        <v>79</v>
      </c>
      <c r="G7" s="271">
        <v>18</v>
      </c>
      <c r="H7" s="271">
        <v>105</v>
      </c>
      <c r="I7" s="271">
        <v>354</v>
      </c>
    </row>
    <row r="8" spans="1:9">
      <c r="A8" s="706" t="s">
        <v>16</v>
      </c>
      <c r="B8" s="707" t="s">
        <v>297</v>
      </c>
      <c r="C8" s="708" t="s">
        <v>265</v>
      </c>
      <c r="D8" s="271">
        <v>58</v>
      </c>
      <c r="E8" s="271">
        <v>49</v>
      </c>
      <c r="F8" s="271">
        <v>9</v>
      </c>
      <c r="G8" s="271"/>
      <c r="H8" s="271">
        <v>44</v>
      </c>
      <c r="I8" s="271">
        <v>14</v>
      </c>
    </row>
    <row r="9" spans="1:9">
      <c r="A9" s="706" t="s">
        <v>18</v>
      </c>
      <c r="B9" s="707" t="s">
        <v>19</v>
      </c>
      <c r="C9" s="708" t="s">
        <v>266</v>
      </c>
      <c r="D9" s="271">
        <v>24</v>
      </c>
      <c r="E9" s="271">
        <v>16</v>
      </c>
      <c r="F9" s="271">
        <v>8</v>
      </c>
      <c r="G9" s="271">
        <v>0</v>
      </c>
      <c r="H9" s="271">
        <v>12</v>
      </c>
      <c r="I9" s="271">
        <v>12</v>
      </c>
    </row>
    <row r="10" spans="1:9">
      <c r="A10" s="706" t="s">
        <v>20</v>
      </c>
      <c r="B10" s="707" t="s">
        <v>21</v>
      </c>
      <c r="C10" s="708" t="s">
        <v>265</v>
      </c>
      <c r="D10" s="271">
        <v>103</v>
      </c>
      <c r="E10" s="271">
        <v>72</v>
      </c>
      <c r="F10" s="271">
        <v>14</v>
      </c>
      <c r="G10" s="271">
        <v>17</v>
      </c>
      <c r="H10" s="271">
        <v>36</v>
      </c>
      <c r="I10" s="271">
        <v>64</v>
      </c>
    </row>
    <row r="11" spans="1:9">
      <c r="A11" s="706" t="s">
        <v>22</v>
      </c>
      <c r="B11" s="707" t="s">
        <v>23</v>
      </c>
      <c r="C11" s="708" t="s">
        <v>265</v>
      </c>
      <c r="D11" s="271">
        <v>39</v>
      </c>
      <c r="E11" s="271">
        <v>26</v>
      </c>
      <c r="F11" s="271">
        <v>13</v>
      </c>
      <c r="G11" s="271">
        <v>0</v>
      </c>
      <c r="H11" s="271">
        <v>11</v>
      </c>
      <c r="I11" s="271">
        <v>28</v>
      </c>
    </row>
    <row r="12" spans="1:9">
      <c r="A12" s="706" t="s">
        <v>24</v>
      </c>
      <c r="B12" s="707" t="s">
        <v>25</v>
      </c>
      <c r="C12" s="708" t="s">
        <v>267</v>
      </c>
      <c r="D12" s="271">
        <v>269</v>
      </c>
      <c r="E12" s="271">
        <v>185</v>
      </c>
      <c r="F12" s="271">
        <v>43</v>
      </c>
      <c r="G12" s="271">
        <v>27</v>
      </c>
      <c r="H12" s="271">
        <v>47</v>
      </c>
      <c r="I12" s="271">
        <v>221</v>
      </c>
    </row>
    <row r="13" spans="1:9">
      <c r="A13" s="706" t="s">
        <v>26</v>
      </c>
      <c r="B13" s="707" t="s">
        <v>298</v>
      </c>
      <c r="C13" s="708" t="s">
        <v>265</v>
      </c>
      <c r="D13" s="271">
        <v>1035</v>
      </c>
      <c r="E13" s="271">
        <v>877</v>
      </c>
      <c r="F13" s="271">
        <v>69</v>
      </c>
      <c r="G13" s="271">
        <v>86</v>
      </c>
      <c r="H13" s="271">
        <v>251</v>
      </c>
      <c r="I13" s="271">
        <v>787</v>
      </c>
    </row>
    <row r="14" spans="1:9">
      <c r="A14" s="706" t="s">
        <v>27</v>
      </c>
      <c r="B14" s="707" t="s">
        <v>28</v>
      </c>
      <c r="C14" s="708" t="s">
        <v>265</v>
      </c>
      <c r="D14" s="271">
        <v>23</v>
      </c>
      <c r="E14" s="271">
        <v>20</v>
      </c>
      <c r="F14" s="271">
        <v>3</v>
      </c>
      <c r="G14" s="271">
        <v>0</v>
      </c>
      <c r="H14" s="271">
        <v>4</v>
      </c>
      <c r="I14" s="271">
        <v>19</v>
      </c>
    </row>
    <row r="15" spans="1:9">
      <c r="A15" s="706" t="s">
        <v>29</v>
      </c>
      <c r="B15" s="707" t="s">
        <v>1012</v>
      </c>
      <c r="C15" s="708" t="s">
        <v>265</v>
      </c>
      <c r="D15" s="271">
        <v>407</v>
      </c>
      <c r="E15" s="271">
        <v>338</v>
      </c>
      <c r="F15" s="271">
        <v>42</v>
      </c>
      <c r="G15" s="271">
        <v>27</v>
      </c>
      <c r="H15" s="271">
        <v>141</v>
      </c>
      <c r="I15" s="271">
        <v>266</v>
      </c>
    </row>
    <row r="16" spans="1:9">
      <c r="A16" s="706" t="s">
        <v>30</v>
      </c>
      <c r="B16" s="707" t="s">
        <v>31</v>
      </c>
      <c r="C16" s="708" t="s">
        <v>268</v>
      </c>
      <c r="D16" s="271">
        <v>5</v>
      </c>
      <c r="E16" s="271">
        <v>5</v>
      </c>
      <c r="F16" s="271">
        <v>0</v>
      </c>
      <c r="G16" s="271">
        <v>0</v>
      </c>
      <c r="H16" s="271">
        <v>1</v>
      </c>
      <c r="I16" s="271">
        <v>4</v>
      </c>
    </row>
    <row r="17" spans="1:9">
      <c r="A17" s="706" t="s">
        <v>32</v>
      </c>
      <c r="B17" s="707" t="s">
        <v>33</v>
      </c>
      <c r="C17" s="708" t="s">
        <v>265</v>
      </c>
      <c r="D17" s="271">
        <v>11</v>
      </c>
      <c r="E17" s="271">
        <v>8</v>
      </c>
      <c r="F17" s="271">
        <v>1</v>
      </c>
      <c r="G17" s="271">
        <v>2</v>
      </c>
      <c r="H17" s="271">
        <v>2</v>
      </c>
      <c r="I17" s="271">
        <v>9</v>
      </c>
    </row>
    <row r="18" spans="1:9">
      <c r="A18" s="706" t="s">
        <v>36</v>
      </c>
      <c r="B18" s="707" t="s">
        <v>37</v>
      </c>
      <c r="C18" s="708" t="s">
        <v>264</v>
      </c>
      <c r="D18" s="271">
        <v>47</v>
      </c>
      <c r="E18" s="271">
        <v>12</v>
      </c>
      <c r="F18" s="271">
        <v>35</v>
      </c>
      <c r="G18" s="271">
        <v>0</v>
      </c>
      <c r="H18" s="271">
        <v>8</v>
      </c>
      <c r="I18" s="271">
        <v>39</v>
      </c>
    </row>
    <row r="19" spans="1:9">
      <c r="A19" s="706" t="s">
        <v>38</v>
      </c>
      <c r="B19" s="707" t="s">
        <v>39</v>
      </c>
      <c r="C19" s="708" t="s">
        <v>268</v>
      </c>
      <c r="D19" s="271">
        <v>8</v>
      </c>
      <c r="E19" s="271">
        <v>8</v>
      </c>
      <c r="F19" s="271">
        <v>0</v>
      </c>
      <c r="G19" s="271">
        <v>0</v>
      </c>
      <c r="H19" s="271">
        <v>0</v>
      </c>
      <c r="I19" s="271">
        <v>8</v>
      </c>
    </row>
    <row r="20" spans="1:9">
      <c r="A20" s="706" t="s">
        <v>40</v>
      </c>
      <c r="B20" s="707" t="s">
        <v>41</v>
      </c>
      <c r="C20" s="708" t="s">
        <v>266</v>
      </c>
      <c r="D20" s="271">
        <v>62</v>
      </c>
      <c r="E20" s="271">
        <v>37</v>
      </c>
      <c r="F20" s="271">
        <v>21</v>
      </c>
      <c r="G20" s="271">
        <v>4</v>
      </c>
      <c r="H20" s="271">
        <v>12</v>
      </c>
      <c r="I20" s="271">
        <v>50</v>
      </c>
    </row>
    <row r="21" spans="1:9">
      <c r="A21" s="706" t="s">
        <v>42</v>
      </c>
      <c r="B21" s="707" t="s">
        <v>43</v>
      </c>
      <c r="C21" s="708" t="s">
        <v>265</v>
      </c>
      <c r="D21" s="271">
        <v>118</v>
      </c>
      <c r="E21" s="271">
        <v>91</v>
      </c>
      <c r="F21" s="271">
        <v>26</v>
      </c>
      <c r="G21" s="271">
        <v>1</v>
      </c>
      <c r="H21" s="271">
        <v>21</v>
      </c>
      <c r="I21" s="271">
        <v>97</v>
      </c>
    </row>
    <row r="22" spans="1:9">
      <c r="A22" s="706" t="s">
        <v>44</v>
      </c>
      <c r="B22" s="707" t="s">
        <v>45</v>
      </c>
      <c r="C22" s="708" t="s">
        <v>266</v>
      </c>
      <c r="D22" s="271">
        <v>57</v>
      </c>
      <c r="E22" s="271">
        <v>36</v>
      </c>
      <c r="F22" s="271">
        <v>18</v>
      </c>
      <c r="G22" s="271">
        <v>3</v>
      </c>
      <c r="H22" s="271">
        <v>15</v>
      </c>
      <c r="I22" s="271">
        <v>42</v>
      </c>
    </row>
    <row r="23" spans="1:9">
      <c r="A23" s="706" t="s">
        <v>46</v>
      </c>
      <c r="B23" s="707" t="s">
        <v>47</v>
      </c>
      <c r="C23" s="708" t="s">
        <v>268</v>
      </c>
      <c r="D23" s="271">
        <v>227</v>
      </c>
      <c r="E23" s="271">
        <v>222</v>
      </c>
      <c r="F23" s="271">
        <v>2</v>
      </c>
      <c r="G23" s="271">
        <v>3</v>
      </c>
      <c r="H23" s="271">
        <v>86</v>
      </c>
      <c r="I23" s="271">
        <v>140</v>
      </c>
    </row>
    <row r="24" spans="1:9">
      <c r="A24" s="706" t="s">
        <v>48</v>
      </c>
      <c r="B24" s="707" t="s">
        <v>269</v>
      </c>
      <c r="C24" s="708" t="s">
        <v>266</v>
      </c>
      <c r="D24" s="271">
        <v>11</v>
      </c>
      <c r="E24" s="271">
        <v>7</v>
      </c>
      <c r="F24" s="271">
        <v>4</v>
      </c>
      <c r="G24" s="271">
        <v>0</v>
      </c>
      <c r="H24" s="271">
        <v>5</v>
      </c>
      <c r="I24" s="271">
        <v>6</v>
      </c>
    </row>
    <row r="25" spans="1:9">
      <c r="A25" s="706" t="s">
        <v>50</v>
      </c>
      <c r="B25" s="707" t="s">
        <v>51</v>
      </c>
      <c r="C25" s="708" t="s">
        <v>265</v>
      </c>
      <c r="D25" s="271">
        <v>5</v>
      </c>
      <c r="E25" s="271">
        <v>3</v>
      </c>
      <c r="F25" s="271">
        <v>2</v>
      </c>
      <c r="G25" s="271">
        <v>0</v>
      </c>
      <c r="H25" s="271">
        <v>3</v>
      </c>
      <c r="I25" s="271">
        <v>2</v>
      </c>
    </row>
    <row r="26" spans="1:9">
      <c r="A26" s="706" t="s">
        <v>56</v>
      </c>
      <c r="B26" s="707" t="s">
        <v>295</v>
      </c>
      <c r="C26" s="708" t="s">
        <v>266</v>
      </c>
      <c r="D26" s="271">
        <v>534</v>
      </c>
      <c r="E26" s="271">
        <v>357</v>
      </c>
      <c r="F26" s="271">
        <v>121</v>
      </c>
      <c r="G26" s="271">
        <v>53</v>
      </c>
      <c r="H26" s="271">
        <v>161</v>
      </c>
      <c r="I26" s="271">
        <v>372</v>
      </c>
    </row>
    <row r="27" spans="1:9">
      <c r="A27" s="706" t="s">
        <v>58</v>
      </c>
      <c r="B27" s="707" t="s">
        <v>59</v>
      </c>
      <c r="C27" s="708" t="s">
        <v>267</v>
      </c>
      <c r="D27" s="271">
        <v>43</v>
      </c>
      <c r="E27" s="271">
        <v>24</v>
      </c>
      <c r="F27" s="271">
        <v>12</v>
      </c>
      <c r="G27" s="271">
        <v>7</v>
      </c>
      <c r="H27" s="271">
        <v>6</v>
      </c>
      <c r="I27" s="271">
        <v>37</v>
      </c>
    </row>
    <row r="28" spans="1:9">
      <c r="A28" s="706" t="s">
        <v>60</v>
      </c>
      <c r="B28" s="707" t="s">
        <v>61</v>
      </c>
      <c r="C28" s="708" t="s">
        <v>265</v>
      </c>
      <c r="D28" s="271">
        <v>20</v>
      </c>
      <c r="E28" s="271">
        <v>17</v>
      </c>
      <c r="F28" s="271">
        <v>0</v>
      </c>
      <c r="G28" s="271">
        <v>3</v>
      </c>
      <c r="H28" s="271">
        <v>3</v>
      </c>
      <c r="I28" s="271">
        <v>17</v>
      </c>
    </row>
    <row r="29" spans="1:9">
      <c r="A29" s="706" t="s">
        <v>62</v>
      </c>
      <c r="B29" s="707" t="s">
        <v>63</v>
      </c>
      <c r="C29" s="708" t="s">
        <v>267</v>
      </c>
      <c r="D29" s="271">
        <v>43</v>
      </c>
      <c r="E29" s="271">
        <v>30</v>
      </c>
      <c r="F29" s="271">
        <v>11</v>
      </c>
      <c r="G29" s="271">
        <v>1</v>
      </c>
      <c r="H29" s="271">
        <v>11</v>
      </c>
      <c r="I29" s="271">
        <v>32</v>
      </c>
    </row>
    <row r="30" spans="1:9">
      <c r="A30" s="706" t="s">
        <v>64</v>
      </c>
      <c r="B30" s="707" t="s">
        <v>65</v>
      </c>
      <c r="C30" s="708" t="s">
        <v>266</v>
      </c>
      <c r="D30" s="271">
        <v>65</v>
      </c>
      <c r="E30" s="271">
        <v>47</v>
      </c>
      <c r="F30" s="271">
        <v>18</v>
      </c>
      <c r="G30" s="271">
        <v>0</v>
      </c>
      <c r="H30" s="271">
        <v>23</v>
      </c>
      <c r="I30" s="271">
        <v>42</v>
      </c>
    </row>
    <row r="31" spans="1:9">
      <c r="A31" s="706" t="s">
        <v>68</v>
      </c>
      <c r="B31" s="707" t="s">
        <v>69</v>
      </c>
      <c r="C31" s="708" t="s">
        <v>268</v>
      </c>
      <c r="D31" s="271">
        <v>22</v>
      </c>
      <c r="E31" s="271">
        <v>22</v>
      </c>
      <c r="F31" s="271">
        <v>0</v>
      </c>
      <c r="G31" s="271">
        <v>0</v>
      </c>
      <c r="H31" s="271">
        <v>6</v>
      </c>
      <c r="I31" s="271">
        <v>16</v>
      </c>
    </row>
    <row r="32" spans="1:9">
      <c r="A32" s="706" t="s">
        <v>70</v>
      </c>
      <c r="B32" s="707" t="s">
        <v>71</v>
      </c>
      <c r="C32" s="708" t="s">
        <v>264</v>
      </c>
      <c r="D32" s="271">
        <v>55</v>
      </c>
      <c r="E32" s="271">
        <v>44</v>
      </c>
      <c r="F32" s="271">
        <v>9</v>
      </c>
      <c r="G32" s="271">
        <v>1</v>
      </c>
      <c r="H32" s="271">
        <v>31</v>
      </c>
      <c r="I32" s="271">
        <v>24</v>
      </c>
    </row>
    <row r="33" spans="1:9">
      <c r="A33" s="706" t="s">
        <v>72</v>
      </c>
      <c r="B33" s="707" t="s">
        <v>73</v>
      </c>
      <c r="C33" s="708" t="s">
        <v>266</v>
      </c>
      <c r="D33" s="271">
        <v>18</v>
      </c>
      <c r="E33" s="271">
        <v>6</v>
      </c>
      <c r="F33" s="271">
        <v>5</v>
      </c>
      <c r="G33" s="271">
        <v>7</v>
      </c>
      <c r="H33" s="271">
        <v>5</v>
      </c>
      <c r="I33" s="271">
        <v>13</v>
      </c>
    </row>
    <row r="34" spans="1:9">
      <c r="A34" s="706" t="s">
        <v>74</v>
      </c>
      <c r="B34" s="707" t="s">
        <v>651</v>
      </c>
      <c r="C34" s="708" t="s">
        <v>267</v>
      </c>
      <c r="D34" s="271">
        <v>1025</v>
      </c>
      <c r="E34" s="271">
        <v>677</v>
      </c>
      <c r="F34" s="271">
        <v>101</v>
      </c>
      <c r="G34" s="271">
        <v>246</v>
      </c>
      <c r="H34" s="271">
        <v>221</v>
      </c>
      <c r="I34" s="271">
        <v>801</v>
      </c>
    </row>
    <row r="35" spans="1:9">
      <c r="A35" s="706" t="s">
        <v>76</v>
      </c>
      <c r="B35" s="707" t="s">
        <v>77</v>
      </c>
      <c r="C35" s="708" t="s">
        <v>267</v>
      </c>
      <c r="D35" s="271">
        <v>311</v>
      </c>
      <c r="E35" s="271">
        <v>229</v>
      </c>
      <c r="F35" s="271">
        <v>54</v>
      </c>
      <c r="G35" s="271">
        <v>26</v>
      </c>
      <c r="H35" s="271">
        <v>79</v>
      </c>
      <c r="I35" s="271">
        <v>232</v>
      </c>
    </row>
    <row r="36" spans="1:9">
      <c r="A36" s="706" t="s">
        <v>78</v>
      </c>
      <c r="B36" s="707" t="s">
        <v>79</v>
      </c>
      <c r="C36" s="708" t="s">
        <v>268</v>
      </c>
      <c r="D36" s="271">
        <v>55</v>
      </c>
      <c r="E36" s="271">
        <v>51</v>
      </c>
      <c r="F36" s="271">
        <v>2</v>
      </c>
      <c r="G36" s="271">
        <v>2</v>
      </c>
      <c r="H36" s="271">
        <v>10</v>
      </c>
      <c r="I36" s="271">
        <v>45</v>
      </c>
    </row>
    <row r="37" spans="1:9">
      <c r="A37" s="706" t="s">
        <v>80</v>
      </c>
      <c r="B37" s="707" t="s">
        <v>81</v>
      </c>
      <c r="C37" s="708" t="s">
        <v>266</v>
      </c>
      <c r="D37" s="271">
        <v>142</v>
      </c>
      <c r="E37" s="271">
        <v>89</v>
      </c>
      <c r="F37" s="271">
        <v>37</v>
      </c>
      <c r="G37" s="271">
        <v>16</v>
      </c>
      <c r="H37" s="271">
        <v>46</v>
      </c>
      <c r="I37" s="271">
        <v>93</v>
      </c>
    </row>
    <row r="38" spans="1:9">
      <c r="A38" s="706" t="s">
        <v>84</v>
      </c>
      <c r="B38" s="707" t="s">
        <v>85</v>
      </c>
      <c r="C38" s="708" t="s">
        <v>265</v>
      </c>
      <c r="D38" s="271">
        <v>205</v>
      </c>
      <c r="E38" s="271">
        <v>169</v>
      </c>
      <c r="F38" s="271">
        <v>26</v>
      </c>
      <c r="G38" s="271">
        <v>9</v>
      </c>
      <c r="H38" s="271">
        <v>59</v>
      </c>
      <c r="I38" s="271">
        <v>144</v>
      </c>
    </row>
    <row r="39" spans="1:9">
      <c r="A39" s="706" t="s">
        <v>86</v>
      </c>
      <c r="B39" s="707" t="s">
        <v>87</v>
      </c>
      <c r="C39" s="708" t="s">
        <v>267</v>
      </c>
      <c r="D39" s="271">
        <v>295</v>
      </c>
      <c r="E39" s="271">
        <v>271</v>
      </c>
      <c r="F39" s="271">
        <v>4</v>
      </c>
      <c r="G39" s="271">
        <v>22</v>
      </c>
      <c r="H39" s="271">
        <v>62</v>
      </c>
      <c r="I39" s="271">
        <v>234</v>
      </c>
    </row>
    <row r="40" spans="1:9">
      <c r="A40" s="706" t="s">
        <v>92</v>
      </c>
      <c r="B40" s="707" t="s">
        <v>93</v>
      </c>
      <c r="C40" s="708" t="s">
        <v>268</v>
      </c>
      <c r="D40" s="271">
        <v>116</v>
      </c>
      <c r="E40" s="271">
        <v>106</v>
      </c>
      <c r="F40" s="271">
        <v>3</v>
      </c>
      <c r="G40" s="271">
        <v>7</v>
      </c>
      <c r="H40" s="271">
        <v>33</v>
      </c>
      <c r="I40" s="271">
        <v>79</v>
      </c>
    </row>
    <row r="41" spans="1:9">
      <c r="A41" s="706" t="s">
        <v>94</v>
      </c>
      <c r="B41" s="707" t="s">
        <v>95</v>
      </c>
      <c r="C41" s="708" t="s">
        <v>264</v>
      </c>
      <c r="D41" s="271">
        <v>79</v>
      </c>
      <c r="E41" s="271">
        <v>56</v>
      </c>
      <c r="F41" s="271">
        <v>16</v>
      </c>
      <c r="G41" s="271">
        <v>7</v>
      </c>
      <c r="H41" s="271">
        <v>21</v>
      </c>
      <c r="I41" s="271">
        <v>58</v>
      </c>
    </row>
    <row r="42" spans="1:9">
      <c r="A42" s="706" t="s">
        <v>96</v>
      </c>
      <c r="B42" s="707" t="s">
        <v>97</v>
      </c>
      <c r="C42" s="708" t="s">
        <v>266</v>
      </c>
      <c r="D42" s="271">
        <v>47</v>
      </c>
      <c r="E42" s="271">
        <v>28</v>
      </c>
      <c r="F42" s="271">
        <v>14</v>
      </c>
      <c r="G42" s="271">
        <v>5</v>
      </c>
      <c r="H42" s="271">
        <v>19</v>
      </c>
      <c r="I42" s="271">
        <v>28</v>
      </c>
    </row>
    <row r="43" spans="1:9">
      <c r="A43" s="706" t="s">
        <v>98</v>
      </c>
      <c r="B43" s="707" t="s">
        <v>99</v>
      </c>
      <c r="C43" s="708" t="s">
        <v>268</v>
      </c>
      <c r="D43" s="271">
        <v>85</v>
      </c>
      <c r="E43" s="271">
        <v>83</v>
      </c>
      <c r="F43" s="271">
        <v>2</v>
      </c>
      <c r="G43" s="271">
        <v>0</v>
      </c>
      <c r="H43" s="271">
        <v>19</v>
      </c>
      <c r="I43" s="271">
        <v>66</v>
      </c>
    </row>
    <row r="44" spans="1:9">
      <c r="A44" s="706" t="s">
        <v>100</v>
      </c>
      <c r="B44" s="707" t="s">
        <v>101</v>
      </c>
      <c r="C44" s="708" t="s">
        <v>267</v>
      </c>
      <c r="D44" s="271">
        <v>44</v>
      </c>
      <c r="E44" s="271">
        <v>35</v>
      </c>
      <c r="F44" s="271">
        <v>3</v>
      </c>
      <c r="G44" s="271">
        <v>6</v>
      </c>
      <c r="H44" s="271">
        <v>10</v>
      </c>
      <c r="I44" s="271">
        <v>34</v>
      </c>
    </row>
    <row r="45" spans="1:9">
      <c r="A45" s="706" t="s">
        <v>102</v>
      </c>
      <c r="B45" s="707" t="s">
        <v>282</v>
      </c>
      <c r="C45" s="708" t="s">
        <v>264</v>
      </c>
      <c r="D45" s="271">
        <v>27</v>
      </c>
      <c r="E45" s="271">
        <v>8</v>
      </c>
      <c r="F45" s="271">
        <v>15</v>
      </c>
      <c r="G45" s="271">
        <v>4</v>
      </c>
      <c r="H45" s="271">
        <v>12</v>
      </c>
      <c r="I45" s="271">
        <v>15</v>
      </c>
    </row>
    <row r="46" spans="1:9">
      <c r="A46" s="706" t="s">
        <v>104</v>
      </c>
      <c r="B46" s="707" t="s">
        <v>105</v>
      </c>
      <c r="C46" s="708" t="s">
        <v>265</v>
      </c>
      <c r="D46" s="271">
        <v>125</v>
      </c>
      <c r="E46" s="271">
        <v>74</v>
      </c>
      <c r="F46" s="271">
        <v>47</v>
      </c>
      <c r="G46" s="271">
        <v>4</v>
      </c>
      <c r="H46" s="271">
        <v>27</v>
      </c>
      <c r="I46" s="271">
        <v>98</v>
      </c>
    </row>
    <row r="47" spans="1:9">
      <c r="A47" s="706" t="s">
        <v>108</v>
      </c>
      <c r="B47" s="707" t="s">
        <v>109</v>
      </c>
      <c r="C47" s="708" t="s">
        <v>266</v>
      </c>
      <c r="D47" s="271">
        <v>258</v>
      </c>
      <c r="E47" s="271">
        <v>168</v>
      </c>
      <c r="F47" s="271">
        <v>54</v>
      </c>
      <c r="G47" s="271">
        <v>35</v>
      </c>
      <c r="H47" s="271">
        <v>51</v>
      </c>
      <c r="I47" s="271">
        <v>203</v>
      </c>
    </row>
    <row r="48" spans="1:9">
      <c r="A48" s="706" t="s">
        <v>110</v>
      </c>
      <c r="B48" s="707" t="s">
        <v>111</v>
      </c>
      <c r="C48" s="708" t="s">
        <v>266</v>
      </c>
      <c r="D48" s="271">
        <v>909</v>
      </c>
      <c r="E48" s="271">
        <v>487</v>
      </c>
      <c r="F48" s="271">
        <v>263</v>
      </c>
      <c r="G48" s="271">
        <v>147</v>
      </c>
      <c r="H48" s="271">
        <v>271</v>
      </c>
      <c r="I48" s="271">
        <v>633</v>
      </c>
    </row>
    <row r="49" spans="1:9">
      <c r="A49" s="706" t="s">
        <v>112</v>
      </c>
      <c r="B49" s="707" t="s">
        <v>300</v>
      </c>
      <c r="C49" s="708" t="s">
        <v>265</v>
      </c>
      <c r="D49" s="271">
        <v>296</v>
      </c>
      <c r="E49" s="271">
        <v>191</v>
      </c>
      <c r="F49" s="271">
        <v>68</v>
      </c>
      <c r="G49" s="271">
        <v>36</v>
      </c>
      <c r="H49" s="271">
        <v>72</v>
      </c>
      <c r="I49" s="271">
        <v>222</v>
      </c>
    </row>
    <row r="50" spans="1:9">
      <c r="A50" s="706" t="s">
        <v>114</v>
      </c>
      <c r="B50" s="707" t="s">
        <v>115</v>
      </c>
      <c r="C50" s="708" t="s">
        <v>265</v>
      </c>
      <c r="D50" s="271">
        <v>16</v>
      </c>
      <c r="E50" s="271">
        <v>16</v>
      </c>
      <c r="F50" s="271">
        <v>0</v>
      </c>
      <c r="G50" s="271">
        <v>0</v>
      </c>
      <c r="H50" s="271">
        <v>1</v>
      </c>
      <c r="I50" s="271">
        <v>15</v>
      </c>
    </row>
    <row r="51" spans="1:9">
      <c r="A51" s="706" t="s">
        <v>118</v>
      </c>
      <c r="B51" s="707" t="s">
        <v>270</v>
      </c>
      <c r="C51" s="708" t="s">
        <v>264</v>
      </c>
      <c r="D51" s="271">
        <v>73</v>
      </c>
      <c r="E51" s="271">
        <v>41</v>
      </c>
      <c r="F51" s="271">
        <v>30</v>
      </c>
      <c r="G51" s="271">
        <v>2</v>
      </c>
      <c r="H51" s="271">
        <v>13</v>
      </c>
      <c r="I51" s="271">
        <v>60</v>
      </c>
    </row>
    <row r="52" spans="1:9">
      <c r="A52" s="706" t="s">
        <v>120</v>
      </c>
      <c r="B52" s="707" t="s">
        <v>121</v>
      </c>
      <c r="C52" s="708" t="s">
        <v>264</v>
      </c>
      <c r="D52" s="271">
        <v>278</v>
      </c>
      <c r="E52" s="271">
        <v>161</v>
      </c>
      <c r="F52" s="271">
        <v>75</v>
      </c>
      <c r="G52" s="271">
        <v>40</v>
      </c>
      <c r="H52" s="271">
        <v>80</v>
      </c>
      <c r="I52" s="271">
        <v>197</v>
      </c>
    </row>
    <row r="53" spans="1:9">
      <c r="A53" s="706" t="s">
        <v>122</v>
      </c>
      <c r="B53" s="707" t="s">
        <v>287</v>
      </c>
      <c r="C53" s="708" t="s">
        <v>266</v>
      </c>
      <c r="D53" s="271">
        <v>27</v>
      </c>
      <c r="E53" s="271">
        <v>18</v>
      </c>
      <c r="F53" s="271">
        <v>9</v>
      </c>
      <c r="G53" s="271">
        <v>0</v>
      </c>
      <c r="H53" s="271">
        <v>8</v>
      </c>
      <c r="I53" s="271">
        <v>19</v>
      </c>
    </row>
    <row r="54" spans="1:9">
      <c r="A54" s="706" t="s">
        <v>124</v>
      </c>
      <c r="B54" s="707" t="s">
        <v>125</v>
      </c>
      <c r="C54" s="708" t="s">
        <v>267</v>
      </c>
      <c r="D54" s="271">
        <v>19</v>
      </c>
      <c r="E54" s="271">
        <v>16</v>
      </c>
      <c r="F54" s="271">
        <v>3</v>
      </c>
      <c r="G54" s="271">
        <v>1</v>
      </c>
      <c r="H54" s="271">
        <v>7</v>
      </c>
      <c r="I54" s="271">
        <v>13</v>
      </c>
    </row>
    <row r="55" spans="1:9">
      <c r="A55" s="706" t="s">
        <v>126</v>
      </c>
      <c r="B55" s="707" t="s">
        <v>127</v>
      </c>
      <c r="C55" s="708" t="s">
        <v>266</v>
      </c>
      <c r="D55" s="271">
        <v>1</v>
      </c>
      <c r="E55" s="271">
        <v>1</v>
      </c>
      <c r="F55" s="271">
        <v>0</v>
      </c>
      <c r="G55" s="271">
        <v>0</v>
      </c>
      <c r="H55" s="271">
        <v>0</v>
      </c>
      <c r="I55" s="271">
        <v>1</v>
      </c>
    </row>
    <row r="56" spans="1:9">
      <c r="A56" s="706" t="s">
        <v>128</v>
      </c>
      <c r="B56" s="707" t="s">
        <v>129</v>
      </c>
      <c r="C56" s="708" t="s">
        <v>266</v>
      </c>
      <c r="D56" s="271">
        <v>57</v>
      </c>
      <c r="E56" s="271">
        <v>28</v>
      </c>
      <c r="F56" s="271">
        <v>22</v>
      </c>
      <c r="G56" s="271">
        <v>7</v>
      </c>
      <c r="H56" s="271">
        <v>11</v>
      </c>
      <c r="I56" s="271">
        <v>46</v>
      </c>
    </row>
    <row r="57" spans="1:9">
      <c r="A57" s="706" t="s">
        <v>130</v>
      </c>
      <c r="B57" s="707" t="s">
        <v>131</v>
      </c>
      <c r="C57" s="708" t="s">
        <v>268</v>
      </c>
      <c r="D57" s="271">
        <v>47</v>
      </c>
      <c r="E57" s="271">
        <v>47</v>
      </c>
      <c r="F57" s="271">
        <v>0</v>
      </c>
      <c r="G57" s="271">
        <v>0</v>
      </c>
      <c r="H57" s="271">
        <v>13</v>
      </c>
      <c r="I57" s="271">
        <v>34</v>
      </c>
    </row>
    <row r="58" spans="1:9">
      <c r="A58" s="706" t="s">
        <v>132</v>
      </c>
      <c r="B58" s="707" t="s">
        <v>133</v>
      </c>
      <c r="C58" s="708" t="s">
        <v>267</v>
      </c>
      <c r="D58" s="271">
        <v>424</v>
      </c>
      <c r="E58" s="271">
        <v>305</v>
      </c>
      <c r="F58" s="271">
        <v>59</v>
      </c>
      <c r="G58" s="271">
        <v>52</v>
      </c>
      <c r="H58" s="271">
        <v>122</v>
      </c>
      <c r="I58" s="271">
        <v>302</v>
      </c>
    </row>
    <row r="59" spans="1:9">
      <c r="A59" s="706" t="s">
        <v>134</v>
      </c>
      <c r="B59" s="707" t="s">
        <v>135</v>
      </c>
      <c r="C59" s="708" t="s">
        <v>267</v>
      </c>
      <c r="D59" s="271">
        <v>94</v>
      </c>
      <c r="E59" s="271">
        <v>61</v>
      </c>
      <c r="F59" s="271">
        <v>30</v>
      </c>
      <c r="G59" s="271">
        <v>3</v>
      </c>
      <c r="H59" s="271">
        <v>21</v>
      </c>
      <c r="I59" s="271">
        <v>73</v>
      </c>
    </row>
    <row r="60" spans="1:9">
      <c r="A60" s="706" t="s">
        <v>136</v>
      </c>
      <c r="B60" s="707" t="s">
        <v>137</v>
      </c>
      <c r="C60" s="708" t="s">
        <v>266</v>
      </c>
      <c r="D60" s="271">
        <v>5</v>
      </c>
      <c r="E60" s="271">
        <v>2</v>
      </c>
      <c r="F60" s="271">
        <v>3</v>
      </c>
      <c r="G60" s="271">
        <v>0</v>
      </c>
      <c r="H60" s="271">
        <v>2</v>
      </c>
      <c r="I60" s="271">
        <v>3</v>
      </c>
    </row>
    <row r="61" spans="1:9">
      <c r="A61" s="706" t="s">
        <v>140</v>
      </c>
      <c r="B61" s="707" t="s">
        <v>141</v>
      </c>
      <c r="C61" s="708" t="s">
        <v>267</v>
      </c>
      <c r="D61" s="271">
        <v>3</v>
      </c>
      <c r="E61" s="271">
        <v>3</v>
      </c>
      <c r="F61" s="271">
        <v>0</v>
      </c>
      <c r="G61" s="271">
        <v>0</v>
      </c>
      <c r="H61" s="271">
        <v>0</v>
      </c>
      <c r="I61" s="271">
        <v>3</v>
      </c>
    </row>
    <row r="62" spans="1:9">
      <c r="A62" s="706" t="s">
        <v>146</v>
      </c>
      <c r="B62" s="707" t="s">
        <v>147</v>
      </c>
      <c r="C62" s="708" t="s">
        <v>264</v>
      </c>
      <c r="D62" s="271">
        <v>39</v>
      </c>
      <c r="E62" s="271">
        <v>28</v>
      </c>
      <c r="F62" s="271">
        <v>4</v>
      </c>
      <c r="G62" s="271">
        <v>7</v>
      </c>
      <c r="H62" s="271">
        <v>12</v>
      </c>
      <c r="I62" s="271">
        <v>27</v>
      </c>
    </row>
    <row r="63" spans="1:9">
      <c r="A63" s="706" t="s">
        <v>148</v>
      </c>
      <c r="B63" s="707" t="s">
        <v>149</v>
      </c>
      <c r="C63" s="708" t="s">
        <v>265</v>
      </c>
      <c r="D63" s="271">
        <v>131</v>
      </c>
      <c r="E63" s="271">
        <v>59</v>
      </c>
      <c r="F63" s="271">
        <v>63</v>
      </c>
      <c r="G63" s="271">
        <v>9</v>
      </c>
      <c r="H63" s="271">
        <v>30</v>
      </c>
      <c r="I63" s="271">
        <v>101</v>
      </c>
    </row>
    <row r="64" spans="1:9">
      <c r="A64" s="706" t="s">
        <v>150</v>
      </c>
      <c r="B64" s="707" t="s">
        <v>151</v>
      </c>
      <c r="C64" s="708" t="s">
        <v>266</v>
      </c>
      <c r="D64" s="271">
        <v>81</v>
      </c>
      <c r="E64" s="271">
        <v>50</v>
      </c>
      <c r="F64" s="271">
        <v>14</v>
      </c>
      <c r="G64" s="271">
        <v>17</v>
      </c>
      <c r="H64" s="271">
        <v>24</v>
      </c>
      <c r="I64" s="271">
        <v>57</v>
      </c>
    </row>
    <row r="65" spans="1:9">
      <c r="A65" s="706" t="s">
        <v>152</v>
      </c>
      <c r="B65" s="707" t="s">
        <v>153</v>
      </c>
      <c r="C65" s="708" t="s">
        <v>268</v>
      </c>
      <c r="D65" s="271">
        <v>169</v>
      </c>
      <c r="E65" s="271">
        <v>160</v>
      </c>
      <c r="F65" s="271">
        <v>4</v>
      </c>
      <c r="G65" s="271">
        <v>5</v>
      </c>
      <c r="H65" s="271">
        <v>36</v>
      </c>
      <c r="I65" s="271">
        <v>132</v>
      </c>
    </row>
    <row r="66" spans="1:9">
      <c r="A66" s="706" t="s">
        <v>154</v>
      </c>
      <c r="B66" s="707" t="s">
        <v>155</v>
      </c>
      <c r="C66" s="708" t="s">
        <v>265</v>
      </c>
      <c r="D66" s="271">
        <v>66</v>
      </c>
      <c r="E66" s="271">
        <v>51</v>
      </c>
      <c r="F66" s="271">
        <v>10</v>
      </c>
      <c r="G66" s="271">
        <v>5</v>
      </c>
      <c r="H66" s="271">
        <v>18</v>
      </c>
      <c r="I66" s="271">
        <v>48</v>
      </c>
    </row>
    <row r="67" spans="1:9">
      <c r="A67" s="706" t="s">
        <v>156</v>
      </c>
      <c r="B67" s="707" t="s">
        <v>157</v>
      </c>
      <c r="C67" s="708" t="s">
        <v>266</v>
      </c>
      <c r="D67" s="271">
        <v>31</v>
      </c>
      <c r="E67" s="271">
        <v>27</v>
      </c>
      <c r="F67" s="271">
        <v>3</v>
      </c>
      <c r="G67" s="271">
        <v>0</v>
      </c>
      <c r="H67" s="271">
        <v>9</v>
      </c>
      <c r="I67" s="271">
        <v>22</v>
      </c>
    </row>
    <row r="68" spans="1:9">
      <c r="A68" s="706" t="s">
        <v>162</v>
      </c>
      <c r="B68" s="707" t="s">
        <v>163</v>
      </c>
      <c r="C68" s="708" t="s">
        <v>264</v>
      </c>
      <c r="D68" s="271">
        <v>12</v>
      </c>
      <c r="E68" s="271">
        <v>4</v>
      </c>
      <c r="F68" s="271">
        <v>8</v>
      </c>
      <c r="G68" s="271">
        <v>0</v>
      </c>
      <c r="H68" s="271">
        <v>6</v>
      </c>
      <c r="I68" s="271">
        <v>6</v>
      </c>
    </row>
    <row r="69" spans="1:9">
      <c r="A69" s="706" t="s">
        <v>164</v>
      </c>
      <c r="B69" s="707" t="s">
        <v>165</v>
      </c>
      <c r="C69" s="708" t="s">
        <v>266</v>
      </c>
      <c r="D69" s="271">
        <v>7</v>
      </c>
      <c r="E69" s="271">
        <v>2</v>
      </c>
      <c r="F69" s="271">
        <v>5</v>
      </c>
      <c r="G69" s="271">
        <v>0</v>
      </c>
      <c r="H69" s="271">
        <v>3</v>
      </c>
      <c r="I69" s="271">
        <v>4</v>
      </c>
    </row>
    <row r="70" spans="1:9">
      <c r="A70" s="706" t="s">
        <v>168</v>
      </c>
      <c r="B70" s="707" t="s">
        <v>169</v>
      </c>
      <c r="C70" s="708" t="s">
        <v>266</v>
      </c>
      <c r="D70" s="271">
        <v>9</v>
      </c>
      <c r="E70" s="271">
        <v>9</v>
      </c>
      <c r="F70" s="271">
        <v>0</v>
      </c>
      <c r="G70" s="271">
        <v>0</v>
      </c>
      <c r="H70" s="271">
        <v>4</v>
      </c>
      <c r="I70" s="271">
        <v>5</v>
      </c>
    </row>
    <row r="71" spans="1:9">
      <c r="A71" s="706" t="s">
        <v>170</v>
      </c>
      <c r="B71" s="707" t="s">
        <v>171</v>
      </c>
      <c r="C71" s="708" t="s">
        <v>267</v>
      </c>
      <c r="D71" s="271">
        <v>54</v>
      </c>
      <c r="E71" s="271">
        <v>38</v>
      </c>
      <c r="F71" s="271">
        <v>14</v>
      </c>
      <c r="G71" s="271">
        <v>2</v>
      </c>
      <c r="H71" s="271">
        <v>8</v>
      </c>
      <c r="I71" s="271">
        <v>46</v>
      </c>
    </row>
    <row r="72" spans="1:9">
      <c r="A72" s="706" t="s">
        <v>172</v>
      </c>
      <c r="B72" s="707" t="s">
        <v>173</v>
      </c>
      <c r="C72" s="708" t="s">
        <v>267</v>
      </c>
      <c r="D72" s="271">
        <v>54</v>
      </c>
      <c r="E72" s="271">
        <v>50</v>
      </c>
      <c r="F72" s="271">
        <v>0</v>
      </c>
      <c r="G72" s="271">
        <v>4</v>
      </c>
      <c r="H72" s="271">
        <v>7</v>
      </c>
      <c r="I72" s="271">
        <v>47</v>
      </c>
    </row>
    <row r="73" spans="1:9">
      <c r="A73" s="706" t="s">
        <v>174</v>
      </c>
      <c r="B73" s="707" t="s">
        <v>175</v>
      </c>
      <c r="C73" s="708" t="s">
        <v>268</v>
      </c>
      <c r="D73" s="271">
        <v>141</v>
      </c>
      <c r="E73" s="271">
        <v>117</v>
      </c>
      <c r="F73" s="271">
        <v>24</v>
      </c>
      <c r="G73" s="271">
        <v>0</v>
      </c>
      <c r="H73" s="271">
        <v>59</v>
      </c>
      <c r="I73" s="271">
        <v>81</v>
      </c>
    </row>
    <row r="74" spans="1:9">
      <c r="A74" s="706" t="s">
        <v>178</v>
      </c>
      <c r="B74" s="707" t="s">
        <v>179</v>
      </c>
      <c r="C74" s="708" t="s">
        <v>265</v>
      </c>
      <c r="D74" s="271">
        <v>138</v>
      </c>
      <c r="E74" s="271">
        <v>86</v>
      </c>
      <c r="F74" s="271">
        <v>50</v>
      </c>
      <c r="G74" s="271">
        <v>2</v>
      </c>
      <c r="H74" s="271">
        <v>20</v>
      </c>
      <c r="I74" s="271">
        <v>117</v>
      </c>
    </row>
    <row r="75" spans="1:9">
      <c r="A75" s="706" t="s">
        <v>182</v>
      </c>
      <c r="B75" s="707" t="s">
        <v>183</v>
      </c>
      <c r="C75" s="708" t="s">
        <v>266</v>
      </c>
      <c r="D75" s="271">
        <v>11</v>
      </c>
      <c r="E75" s="271">
        <v>11</v>
      </c>
      <c r="F75" s="271">
        <v>0</v>
      </c>
      <c r="G75" s="271">
        <v>0</v>
      </c>
      <c r="H75" s="271">
        <v>3</v>
      </c>
      <c r="I75" s="271">
        <v>8</v>
      </c>
    </row>
    <row r="76" spans="1:9">
      <c r="A76" s="706" t="s">
        <v>184</v>
      </c>
      <c r="B76" s="707" t="s">
        <v>185</v>
      </c>
      <c r="C76" s="708" t="s">
        <v>266</v>
      </c>
      <c r="D76" s="271">
        <v>51</v>
      </c>
      <c r="E76" s="271">
        <v>19</v>
      </c>
      <c r="F76" s="271">
        <v>27</v>
      </c>
      <c r="G76" s="271">
        <v>5</v>
      </c>
      <c r="H76" s="271">
        <v>13</v>
      </c>
      <c r="I76" s="271">
        <v>38</v>
      </c>
    </row>
    <row r="77" spans="1:9">
      <c r="A77" s="706" t="s">
        <v>186</v>
      </c>
      <c r="B77" s="707" t="s">
        <v>187</v>
      </c>
      <c r="C77" s="708" t="s">
        <v>264</v>
      </c>
      <c r="D77" s="271">
        <v>53</v>
      </c>
      <c r="E77" s="271">
        <v>38</v>
      </c>
      <c r="F77" s="271">
        <v>13</v>
      </c>
      <c r="G77" s="271">
        <v>2</v>
      </c>
      <c r="H77" s="271">
        <v>23</v>
      </c>
      <c r="I77" s="271">
        <v>30</v>
      </c>
    </row>
    <row r="78" spans="1:9">
      <c r="A78" s="706" t="s">
        <v>188</v>
      </c>
      <c r="B78" s="707" t="s">
        <v>189</v>
      </c>
      <c r="C78" s="708" t="s">
        <v>267</v>
      </c>
      <c r="D78" s="271">
        <v>804</v>
      </c>
      <c r="E78" s="271">
        <v>469</v>
      </c>
      <c r="F78" s="271">
        <v>170</v>
      </c>
      <c r="G78" s="271">
        <v>138</v>
      </c>
      <c r="H78" s="271">
        <v>264</v>
      </c>
      <c r="I78" s="271">
        <v>511</v>
      </c>
    </row>
    <row r="79" spans="1:9">
      <c r="A79" s="706" t="s">
        <v>190</v>
      </c>
      <c r="B79" s="707" t="s">
        <v>191</v>
      </c>
      <c r="C79" s="708" t="s">
        <v>268</v>
      </c>
      <c r="D79" s="271">
        <v>223</v>
      </c>
      <c r="E79" s="271">
        <v>209</v>
      </c>
      <c r="F79" s="271">
        <v>9</v>
      </c>
      <c r="G79" s="271">
        <v>5</v>
      </c>
      <c r="H79" s="271">
        <v>22</v>
      </c>
      <c r="I79" s="271">
        <v>200</v>
      </c>
    </row>
    <row r="80" spans="1:9">
      <c r="A80" s="706" t="s">
        <v>194</v>
      </c>
      <c r="B80" s="707" t="s">
        <v>195</v>
      </c>
      <c r="C80" s="708" t="s">
        <v>267</v>
      </c>
      <c r="D80" s="271">
        <v>30</v>
      </c>
      <c r="E80" s="271">
        <v>26</v>
      </c>
      <c r="F80" s="271">
        <v>4</v>
      </c>
      <c r="G80" s="271">
        <v>0</v>
      </c>
      <c r="H80" s="271">
        <v>2</v>
      </c>
      <c r="I80" s="271">
        <v>28</v>
      </c>
    </row>
    <row r="81" spans="1:9">
      <c r="A81" s="706" t="s">
        <v>198</v>
      </c>
      <c r="B81" s="707" t="s">
        <v>272</v>
      </c>
      <c r="C81" s="708" t="s">
        <v>266</v>
      </c>
      <c r="D81" s="271">
        <v>2</v>
      </c>
      <c r="E81" s="271">
        <v>1</v>
      </c>
      <c r="F81" s="271">
        <v>1</v>
      </c>
      <c r="G81" s="271">
        <v>0</v>
      </c>
      <c r="H81" s="271">
        <v>0</v>
      </c>
      <c r="I81" s="271">
        <v>2</v>
      </c>
    </row>
    <row r="82" spans="1:9">
      <c r="A82" s="706" t="s">
        <v>202</v>
      </c>
      <c r="B82" s="707" t="s">
        <v>301</v>
      </c>
      <c r="C82" s="708" t="s">
        <v>265</v>
      </c>
      <c r="D82" s="271">
        <v>697</v>
      </c>
      <c r="E82" s="271">
        <v>614</v>
      </c>
      <c r="F82" s="271">
        <v>60</v>
      </c>
      <c r="G82" s="271">
        <v>21</v>
      </c>
      <c r="H82" s="271">
        <v>193</v>
      </c>
      <c r="I82" s="271">
        <v>505</v>
      </c>
    </row>
    <row r="83" spans="1:9">
      <c r="A83" s="706" t="s">
        <v>204</v>
      </c>
      <c r="B83" s="707" t="s">
        <v>293</v>
      </c>
      <c r="C83" s="708" t="s">
        <v>265</v>
      </c>
      <c r="D83" s="271">
        <v>42</v>
      </c>
      <c r="E83" s="271">
        <v>41</v>
      </c>
      <c r="F83" s="271">
        <v>1</v>
      </c>
      <c r="G83" s="271">
        <v>0</v>
      </c>
      <c r="H83" s="271">
        <v>13</v>
      </c>
      <c r="I83" s="271">
        <v>29</v>
      </c>
    </row>
    <row r="84" spans="1:9">
      <c r="A84" s="706" t="s">
        <v>206</v>
      </c>
      <c r="B84" s="707" t="s">
        <v>294</v>
      </c>
      <c r="C84" s="708" t="s">
        <v>267</v>
      </c>
      <c r="D84" s="271">
        <v>344</v>
      </c>
      <c r="E84" s="271">
        <v>318</v>
      </c>
      <c r="F84" s="271">
        <v>20</v>
      </c>
      <c r="G84" s="271">
        <v>5</v>
      </c>
      <c r="H84" s="271">
        <v>75</v>
      </c>
      <c r="I84" s="271">
        <v>269</v>
      </c>
    </row>
    <row r="85" spans="1:9">
      <c r="A85" s="706" t="s">
        <v>208</v>
      </c>
      <c r="B85" s="707" t="s">
        <v>209</v>
      </c>
      <c r="C85" s="708" t="s">
        <v>268</v>
      </c>
      <c r="D85" s="271">
        <v>154</v>
      </c>
      <c r="E85" s="271">
        <v>153</v>
      </c>
      <c r="F85" s="271">
        <v>1</v>
      </c>
      <c r="G85" s="271">
        <v>0</v>
      </c>
      <c r="H85" s="271">
        <v>39</v>
      </c>
      <c r="I85" s="271">
        <v>105</v>
      </c>
    </row>
    <row r="86" spans="1:9">
      <c r="A86" s="706" t="s">
        <v>210</v>
      </c>
      <c r="B86" s="707" t="s">
        <v>211</v>
      </c>
      <c r="C86" s="708" t="s">
        <v>268</v>
      </c>
      <c r="D86" s="271">
        <v>107</v>
      </c>
      <c r="E86" s="271">
        <v>105</v>
      </c>
      <c r="F86" s="271">
        <v>2</v>
      </c>
      <c r="G86" s="271">
        <v>0</v>
      </c>
      <c r="H86" s="271">
        <v>43</v>
      </c>
      <c r="I86" s="271">
        <v>64</v>
      </c>
    </row>
    <row r="87" spans="1:9">
      <c r="A87" s="706" t="s">
        <v>212</v>
      </c>
      <c r="B87" s="707" t="s">
        <v>213</v>
      </c>
      <c r="C87" s="708" t="s">
        <v>267</v>
      </c>
      <c r="D87" s="271">
        <v>115</v>
      </c>
      <c r="E87" s="271">
        <v>107</v>
      </c>
      <c r="F87" s="271">
        <v>1</v>
      </c>
      <c r="G87" s="271">
        <v>6</v>
      </c>
      <c r="H87" s="271">
        <v>40</v>
      </c>
      <c r="I87" s="271">
        <v>74</v>
      </c>
    </row>
    <row r="88" spans="1:9">
      <c r="A88" s="706" t="s">
        <v>214</v>
      </c>
      <c r="B88" s="707" t="s">
        <v>215</v>
      </c>
      <c r="C88" s="708" t="s">
        <v>268</v>
      </c>
      <c r="D88" s="271">
        <v>271</v>
      </c>
      <c r="E88" s="271">
        <v>254</v>
      </c>
      <c r="F88" s="271">
        <v>5</v>
      </c>
      <c r="G88" s="271">
        <v>12</v>
      </c>
      <c r="H88" s="271">
        <v>74</v>
      </c>
      <c r="I88" s="271">
        <v>195</v>
      </c>
    </row>
    <row r="89" spans="1:9">
      <c r="A89" s="706" t="s">
        <v>216</v>
      </c>
      <c r="B89" s="707" t="s">
        <v>217</v>
      </c>
      <c r="C89" s="708" t="s">
        <v>264</v>
      </c>
      <c r="D89" s="271">
        <v>31</v>
      </c>
      <c r="E89" s="271">
        <v>8</v>
      </c>
      <c r="F89" s="271">
        <v>23</v>
      </c>
      <c r="G89" s="271">
        <v>0</v>
      </c>
      <c r="H89" s="271">
        <v>6</v>
      </c>
      <c r="I89" s="271">
        <v>25</v>
      </c>
    </row>
    <row r="90" spans="1:9">
      <c r="A90" s="706" t="s">
        <v>218</v>
      </c>
      <c r="B90" s="707" t="s">
        <v>219</v>
      </c>
      <c r="C90" s="708" t="s">
        <v>267</v>
      </c>
      <c r="D90" s="271">
        <v>112</v>
      </c>
      <c r="E90" s="271">
        <v>77</v>
      </c>
      <c r="F90" s="271">
        <v>29</v>
      </c>
      <c r="G90" s="271">
        <v>4</v>
      </c>
      <c r="H90" s="271">
        <v>31</v>
      </c>
      <c r="I90" s="271">
        <v>80</v>
      </c>
    </row>
    <row r="91" spans="1:9">
      <c r="A91" s="706" t="s">
        <v>220</v>
      </c>
      <c r="B91" s="707" t="s">
        <v>221</v>
      </c>
      <c r="C91" s="708" t="s">
        <v>267</v>
      </c>
      <c r="D91" s="271">
        <v>65</v>
      </c>
      <c r="E91" s="271">
        <v>49</v>
      </c>
      <c r="F91" s="271">
        <v>9</v>
      </c>
      <c r="G91" s="271">
        <v>6</v>
      </c>
      <c r="H91" s="271">
        <v>21</v>
      </c>
      <c r="I91" s="271">
        <v>44</v>
      </c>
    </row>
    <row r="92" spans="1:9">
      <c r="A92" s="706" t="s">
        <v>224</v>
      </c>
      <c r="B92" s="707" t="s">
        <v>225</v>
      </c>
      <c r="C92" s="708" t="s">
        <v>264</v>
      </c>
      <c r="D92" s="271">
        <v>11</v>
      </c>
      <c r="E92" s="271">
        <v>2</v>
      </c>
      <c r="F92" s="271">
        <v>9</v>
      </c>
      <c r="G92" s="271">
        <v>0</v>
      </c>
      <c r="H92" s="271">
        <v>4</v>
      </c>
      <c r="I92" s="271">
        <v>7</v>
      </c>
    </row>
    <row r="93" spans="1:9">
      <c r="A93" s="706" t="s">
        <v>226</v>
      </c>
      <c r="B93" s="707" t="s">
        <v>227</v>
      </c>
      <c r="C93" s="708" t="s">
        <v>264</v>
      </c>
      <c r="D93" s="271">
        <v>67</v>
      </c>
      <c r="E93" s="271">
        <v>32</v>
      </c>
      <c r="F93" s="271">
        <v>34</v>
      </c>
      <c r="G93" s="271">
        <v>1</v>
      </c>
      <c r="H93" s="271">
        <v>37</v>
      </c>
      <c r="I93" s="271">
        <v>30</v>
      </c>
    </row>
    <row r="94" spans="1:9">
      <c r="A94" s="706" t="s">
        <v>228</v>
      </c>
      <c r="B94" s="707" t="s">
        <v>229</v>
      </c>
      <c r="C94" s="708" t="s">
        <v>268</v>
      </c>
      <c r="D94" s="271">
        <v>250</v>
      </c>
      <c r="E94" s="271">
        <v>239</v>
      </c>
      <c r="F94" s="271">
        <v>5</v>
      </c>
      <c r="G94" s="271">
        <v>6</v>
      </c>
      <c r="H94" s="271">
        <v>66</v>
      </c>
      <c r="I94" s="271">
        <v>184</v>
      </c>
    </row>
    <row r="95" spans="1:9">
      <c r="A95" s="706" t="s">
        <v>232</v>
      </c>
      <c r="B95" s="707" t="s">
        <v>233</v>
      </c>
      <c r="C95" s="708" t="s">
        <v>267</v>
      </c>
      <c r="D95" s="271">
        <v>70</v>
      </c>
      <c r="E95" s="271">
        <v>61</v>
      </c>
      <c r="F95" s="271">
        <v>6</v>
      </c>
      <c r="G95" s="271">
        <v>2</v>
      </c>
      <c r="H95" s="271">
        <v>20</v>
      </c>
      <c r="I95" s="271">
        <v>50</v>
      </c>
    </row>
    <row r="96" spans="1:9">
      <c r="A96" s="706" t="s">
        <v>234</v>
      </c>
      <c r="B96" s="707" t="s">
        <v>235</v>
      </c>
      <c r="C96" s="708" t="s">
        <v>268</v>
      </c>
      <c r="D96" s="271">
        <v>86</v>
      </c>
      <c r="E96" s="271">
        <v>84</v>
      </c>
      <c r="F96" s="271">
        <v>1</v>
      </c>
      <c r="G96" s="271">
        <v>1</v>
      </c>
      <c r="H96" s="271">
        <v>16</v>
      </c>
      <c r="I96" s="271">
        <v>70</v>
      </c>
    </row>
    <row r="97" spans="1:9">
      <c r="A97" s="706" t="s">
        <v>236</v>
      </c>
      <c r="B97" s="707" t="s">
        <v>237</v>
      </c>
      <c r="C97" s="708" t="s">
        <v>266</v>
      </c>
      <c r="D97" s="271">
        <v>51</v>
      </c>
      <c r="E97" s="271">
        <v>33</v>
      </c>
      <c r="F97" s="271">
        <v>11</v>
      </c>
      <c r="G97" s="271">
        <v>7</v>
      </c>
      <c r="H97" s="271">
        <v>6</v>
      </c>
      <c r="I97" s="271">
        <v>45</v>
      </c>
    </row>
    <row r="98" spans="1:9">
      <c r="A98" s="706" t="s">
        <v>242</v>
      </c>
      <c r="B98" s="707" t="s">
        <v>243</v>
      </c>
      <c r="C98" s="708" t="s">
        <v>268</v>
      </c>
      <c r="D98" s="271">
        <v>224</v>
      </c>
      <c r="E98" s="271">
        <v>213</v>
      </c>
      <c r="F98" s="271">
        <v>8</v>
      </c>
      <c r="G98" s="271">
        <v>3</v>
      </c>
      <c r="H98" s="271">
        <v>58</v>
      </c>
      <c r="I98" s="271">
        <v>166</v>
      </c>
    </row>
    <row r="99" spans="1:9">
      <c r="A99" s="706" t="s">
        <v>244</v>
      </c>
      <c r="B99" s="707" t="s">
        <v>245</v>
      </c>
      <c r="C99" s="708" t="s">
        <v>268</v>
      </c>
      <c r="D99" s="505">
        <v>98</v>
      </c>
      <c r="E99" s="505">
        <v>93</v>
      </c>
      <c r="F99" s="505">
        <v>2</v>
      </c>
      <c r="G99" s="505">
        <v>3</v>
      </c>
      <c r="H99" s="505">
        <v>29</v>
      </c>
      <c r="I99" s="505">
        <v>68</v>
      </c>
    </row>
    <row r="100" spans="1:9">
      <c r="A100" s="706" t="s">
        <v>246</v>
      </c>
      <c r="B100" s="707" t="s">
        <v>247</v>
      </c>
      <c r="C100" s="708" t="s">
        <v>264</v>
      </c>
      <c r="D100" s="271">
        <v>210</v>
      </c>
      <c r="E100" s="271">
        <v>148</v>
      </c>
      <c r="F100" s="271">
        <v>48</v>
      </c>
      <c r="G100" s="271">
        <v>13</v>
      </c>
      <c r="H100" s="271">
        <v>44</v>
      </c>
      <c r="I100" s="271">
        <v>166</v>
      </c>
    </row>
    <row r="101" spans="1:9">
      <c r="A101" s="706" t="s">
        <v>14</v>
      </c>
      <c r="B101" s="707" t="s">
        <v>15</v>
      </c>
      <c r="C101" s="708" t="s">
        <v>267</v>
      </c>
      <c r="D101" s="271">
        <v>292</v>
      </c>
      <c r="E101" s="271">
        <v>187</v>
      </c>
      <c r="F101" s="271">
        <v>83</v>
      </c>
      <c r="G101" s="271">
        <v>21</v>
      </c>
      <c r="H101" s="271">
        <v>57</v>
      </c>
      <c r="I101" s="271">
        <v>235</v>
      </c>
    </row>
    <row r="102" spans="1:9">
      <c r="A102" s="706" t="s">
        <v>34</v>
      </c>
      <c r="B102" s="707" t="s">
        <v>35</v>
      </c>
      <c r="C102" s="708" t="s">
        <v>268</v>
      </c>
      <c r="D102" s="271">
        <v>64</v>
      </c>
      <c r="E102" s="271">
        <v>56</v>
      </c>
      <c r="F102" s="271">
        <v>8</v>
      </c>
      <c r="G102" s="271">
        <v>0</v>
      </c>
      <c r="H102" s="271">
        <v>24</v>
      </c>
      <c r="I102" s="271">
        <v>39</v>
      </c>
    </row>
    <row r="103" spans="1:9">
      <c r="A103" s="706" t="s">
        <v>52</v>
      </c>
      <c r="B103" s="707" t="s">
        <v>53</v>
      </c>
      <c r="C103" s="708" t="s">
        <v>265</v>
      </c>
      <c r="D103" s="271">
        <v>380</v>
      </c>
      <c r="E103" s="271">
        <v>216</v>
      </c>
      <c r="F103" s="271">
        <v>143</v>
      </c>
      <c r="G103" s="271">
        <v>20</v>
      </c>
      <c r="H103" s="271">
        <v>170</v>
      </c>
      <c r="I103" s="271">
        <v>211</v>
      </c>
    </row>
    <row r="104" spans="1:9">
      <c r="A104" s="706" t="s">
        <v>54</v>
      </c>
      <c r="B104" s="707" t="s">
        <v>55</v>
      </c>
      <c r="C104" s="708" t="s">
        <v>264</v>
      </c>
      <c r="D104" s="271">
        <v>691</v>
      </c>
      <c r="E104" s="271">
        <v>380</v>
      </c>
      <c r="F104" s="271">
        <v>243</v>
      </c>
      <c r="G104" s="271">
        <v>62</v>
      </c>
      <c r="H104" s="271">
        <v>245</v>
      </c>
      <c r="I104" s="271">
        <v>448</v>
      </c>
    </row>
    <row r="105" spans="1:9">
      <c r="A105" s="706" t="s">
        <v>66</v>
      </c>
      <c r="B105" s="707" t="s">
        <v>67</v>
      </c>
      <c r="C105" s="708" t="s">
        <v>265</v>
      </c>
      <c r="D105" s="271">
        <v>186</v>
      </c>
      <c r="E105" s="271">
        <v>104</v>
      </c>
      <c r="F105" s="271">
        <v>78</v>
      </c>
      <c r="G105" s="271">
        <v>3</v>
      </c>
      <c r="H105" s="271">
        <v>59</v>
      </c>
      <c r="I105" s="271">
        <v>127</v>
      </c>
    </row>
    <row r="106" spans="1:9">
      <c r="A106" s="706" t="s">
        <v>82</v>
      </c>
      <c r="B106" s="707" t="s">
        <v>83</v>
      </c>
      <c r="C106" s="708" t="s">
        <v>264</v>
      </c>
      <c r="D106" s="271">
        <v>2</v>
      </c>
      <c r="E106" s="271">
        <v>0</v>
      </c>
      <c r="F106" s="271">
        <v>2</v>
      </c>
      <c r="G106" s="271">
        <v>0</v>
      </c>
      <c r="H106" s="271">
        <v>0</v>
      </c>
      <c r="I106" s="271">
        <v>2</v>
      </c>
    </row>
    <row r="107" spans="1:9">
      <c r="A107" s="706" t="s">
        <v>88</v>
      </c>
      <c r="B107" s="707" t="s">
        <v>89</v>
      </c>
      <c r="C107" s="708" t="s">
        <v>267</v>
      </c>
      <c r="D107" s="271">
        <v>72</v>
      </c>
      <c r="E107" s="271">
        <v>41</v>
      </c>
      <c r="F107" s="271">
        <v>24</v>
      </c>
      <c r="G107" s="271">
        <v>7</v>
      </c>
      <c r="H107" s="271">
        <v>20</v>
      </c>
      <c r="I107" s="271">
        <v>52</v>
      </c>
    </row>
    <row r="108" spans="1:9">
      <c r="A108" s="706" t="s">
        <v>90</v>
      </c>
      <c r="B108" s="707" t="s">
        <v>91</v>
      </c>
      <c r="C108" s="708" t="s">
        <v>268</v>
      </c>
      <c r="D108" s="271">
        <v>36</v>
      </c>
      <c r="E108" s="271">
        <v>33</v>
      </c>
      <c r="F108" s="271">
        <v>3</v>
      </c>
      <c r="G108" s="271">
        <v>0</v>
      </c>
      <c r="H108" s="271">
        <v>16</v>
      </c>
      <c r="I108" s="271">
        <v>20</v>
      </c>
    </row>
    <row r="109" spans="1:9">
      <c r="A109" s="706" t="s">
        <v>106</v>
      </c>
      <c r="B109" s="707" t="s">
        <v>107</v>
      </c>
      <c r="C109" s="708" t="s">
        <v>264</v>
      </c>
      <c r="D109" s="271">
        <v>194</v>
      </c>
      <c r="E109" s="271">
        <v>73</v>
      </c>
      <c r="F109" s="271">
        <v>112</v>
      </c>
      <c r="G109" s="271">
        <v>8</v>
      </c>
      <c r="H109" s="271">
        <v>45</v>
      </c>
      <c r="I109" s="271">
        <v>149</v>
      </c>
    </row>
    <row r="110" spans="1:9">
      <c r="A110" s="706" t="s">
        <v>116</v>
      </c>
      <c r="B110" s="707" t="s">
        <v>117</v>
      </c>
      <c r="C110" s="708" t="s">
        <v>266</v>
      </c>
      <c r="D110" s="271">
        <v>79</v>
      </c>
      <c r="E110" s="271">
        <v>55</v>
      </c>
      <c r="F110" s="271">
        <v>23</v>
      </c>
      <c r="G110" s="271">
        <v>1</v>
      </c>
      <c r="H110" s="271">
        <v>22</v>
      </c>
      <c r="I110" s="271">
        <v>57</v>
      </c>
    </row>
    <row r="111" spans="1:9">
      <c r="A111" s="706" t="s">
        <v>138</v>
      </c>
      <c r="B111" s="707" t="s">
        <v>139</v>
      </c>
      <c r="C111" s="708" t="s">
        <v>265</v>
      </c>
      <c r="D111" s="271">
        <v>646</v>
      </c>
      <c r="E111" s="271">
        <v>368</v>
      </c>
      <c r="F111" s="271">
        <v>214</v>
      </c>
      <c r="G111" s="271">
        <v>61</v>
      </c>
      <c r="H111" s="271">
        <v>214</v>
      </c>
      <c r="I111" s="271">
        <v>432</v>
      </c>
    </row>
    <row r="112" spans="1:9">
      <c r="A112" s="706" t="s">
        <v>142</v>
      </c>
      <c r="B112" s="707" t="s">
        <v>143</v>
      </c>
      <c r="C112" s="708" t="s">
        <v>267</v>
      </c>
      <c r="D112" s="271">
        <v>74</v>
      </c>
      <c r="E112" s="271">
        <v>47</v>
      </c>
      <c r="F112" s="271">
        <v>20</v>
      </c>
      <c r="G112" s="271">
        <v>4</v>
      </c>
      <c r="H112" s="271">
        <v>27</v>
      </c>
      <c r="I112" s="271">
        <v>47</v>
      </c>
    </row>
    <row r="113" spans="1:9">
      <c r="A113" s="706" t="s">
        <v>144</v>
      </c>
      <c r="B113" s="707" t="s">
        <v>145</v>
      </c>
      <c r="C113" s="708" t="s">
        <v>267</v>
      </c>
      <c r="D113" s="271">
        <v>43</v>
      </c>
      <c r="E113" s="271">
        <v>23</v>
      </c>
      <c r="F113" s="271">
        <v>4</v>
      </c>
      <c r="G113" s="271">
        <v>10</v>
      </c>
      <c r="H113" s="271">
        <v>6</v>
      </c>
      <c r="I113" s="271">
        <v>37</v>
      </c>
    </row>
    <row r="114" spans="1:9">
      <c r="A114" s="706" t="s">
        <v>158</v>
      </c>
      <c r="B114" s="707" t="s">
        <v>159</v>
      </c>
      <c r="C114" s="708" t="s">
        <v>264</v>
      </c>
      <c r="D114" s="271">
        <v>494</v>
      </c>
      <c r="E114" s="271">
        <v>246</v>
      </c>
      <c r="F114" s="271">
        <v>195</v>
      </c>
      <c r="G114" s="271">
        <v>42</v>
      </c>
      <c r="H114" s="271">
        <v>107</v>
      </c>
      <c r="I114" s="271">
        <v>388</v>
      </c>
    </row>
    <row r="115" spans="1:9">
      <c r="A115" s="706" t="s">
        <v>160</v>
      </c>
      <c r="B115" s="707" t="s">
        <v>161</v>
      </c>
      <c r="C115" s="708" t="s">
        <v>264</v>
      </c>
      <c r="D115" s="271">
        <v>1026</v>
      </c>
      <c r="E115" s="271">
        <v>430</v>
      </c>
      <c r="F115" s="271">
        <v>498</v>
      </c>
      <c r="G115" s="271">
        <v>92</v>
      </c>
      <c r="H115" s="271">
        <v>308</v>
      </c>
      <c r="I115" s="271">
        <v>712</v>
      </c>
    </row>
    <row r="116" spans="1:9">
      <c r="A116" s="706" t="s">
        <v>166</v>
      </c>
      <c r="B116" s="707" t="s">
        <v>167</v>
      </c>
      <c r="C116" s="708" t="s">
        <v>268</v>
      </c>
      <c r="D116" s="906">
        <v>1</v>
      </c>
      <c r="E116" s="906">
        <v>1</v>
      </c>
      <c r="F116" s="906">
        <v>0</v>
      </c>
      <c r="G116" s="906">
        <v>0</v>
      </c>
      <c r="H116" s="906">
        <v>0</v>
      </c>
      <c r="I116" s="906">
        <v>1</v>
      </c>
    </row>
    <row r="117" spans="1:9">
      <c r="A117" s="706" t="s">
        <v>176</v>
      </c>
      <c r="B117" s="707" t="s">
        <v>177</v>
      </c>
      <c r="C117" s="708" t="s">
        <v>266</v>
      </c>
      <c r="D117" s="271">
        <v>160</v>
      </c>
      <c r="E117" s="271">
        <v>49</v>
      </c>
      <c r="F117" s="271">
        <v>101</v>
      </c>
      <c r="G117" s="271">
        <v>9</v>
      </c>
      <c r="H117" s="271">
        <v>58</v>
      </c>
      <c r="I117" s="271">
        <v>101</v>
      </c>
    </row>
    <row r="118" spans="1:9">
      <c r="A118" s="706" t="s">
        <v>180</v>
      </c>
      <c r="B118" s="707" t="s">
        <v>181</v>
      </c>
      <c r="C118" s="708" t="s">
        <v>264</v>
      </c>
      <c r="D118" s="271">
        <v>226</v>
      </c>
      <c r="E118" s="271">
        <v>75</v>
      </c>
      <c r="F118" s="271">
        <v>138</v>
      </c>
      <c r="G118" s="271">
        <v>12</v>
      </c>
      <c r="H118" s="271">
        <v>59</v>
      </c>
      <c r="I118" s="271">
        <v>165</v>
      </c>
    </row>
    <row r="119" spans="1:9">
      <c r="A119" s="706" t="s">
        <v>192</v>
      </c>
      <c r="B119" s="707" t="s">
        <v>193</v>
      </c>
      <c r="C119" s="708" t="s">
        <v>268</v>
      </c>
      <c r="D119" s="505">
        <v>35</v>
      </c>
      <c r="E119" s="505">
        <v>26</v>
      </c>
      <c r="F119" s="505">
        <v>2</v>
      </c>
      <c r="G119" s="505">
        <v>7</v>
      </c>
      <c r="H119" s="505">
        <v>11</v>
      </c>
      <c r="I119" s="505">
        <v>24</v>
      </c>
    </row>
    <row r="120" spans="1:9">
      <c r="A120" s="706" t="s">
        <v>196</v>
      </c>
      <c r="B120" s="707" t="s">
        <v>197</v>
      </c>
      <c r="C120" s="708" t="s">
        <v>266</v>
      </c>
      <c r="D120" s="271">
        <v>665</v>
      </c>
      <c r="E120" s="271">
        <v>205</v>
      </c>
      <c r="F120" s="271">
        <v>444</v>
      </c>
      <c r="G120" s="271">
        <v>11</v>
      </c>
      <c r="H120" s="271">
        <v>183</v>
      </c>
      <c r="I120" s="271">
        <v>478</v>
      </c>
    </row>
    <row r="121" spans="1:9">
      <c r="A121" s="706" t="s">
        <v>200</v>
      </c>
      <c r="B121" s="707" t="s">
        <v>201</v>
      </c>
      <c r="C121" s="708" t="s">
        <v>265</v>
      </c>
      <c r="D121" s="271">
        <v>665</v>
      </c>
      <c r="E121" s="271">
        <v>448</v>
      </c>
      <c r="F121" s="271">
        <v>170</v>
      </c>
      <c r="G121" s="271">
        <v>45</v>
      </c>
      <c r="H121" s="271">
        <v>228</v>
      </c>
      <c r="I121" s="271">
        <v>436</v>
      </c>
    </row>
    <row r="122" spans="1:9">
      <c r="A122" s="706" t="s">
        <v>222</v>
      </c>
      <c r="B122" s="707" t="s">
        <v>223</v>
      </c>
      <c r="C122" s="708" t="s">
        <v>264</v>
      </c>
      <c r="D122" s="271">
        <v>194</v>
      </c>
      <c r="E122" s="271">
        <v>76</v>
      </c>
      <c r="F122" s="271">
        <v>109</v>
      </c>
      <c r="G122" s="271">
        <v>9</v>
      </c>
      <c r="H122" s="271">
        <v>43</v>
      </c>
      <c r="I122" s="271">
        <v>148</v>
      </c>
    </row>
    <row r="123" spans="1:9">
      <c r="A123" s="706" t="s">
        <v>230</v>
      </c>
      <c r="B123" s="707" t="s">
        <v>231</v>
      </c>
      <c r="C123" s="708" t="s">
        <v>264</v>
      </c>
      <c r="D123" s="271">
        <v>1122</v>
      </c>
      <c r="E123" s="271">
        <v>787</v>
      </c>
      <c r="F123" s="271">
        <v>253</v>
      </c>
      <c r="G123" s="271">
        <v>66</v>
      </c>
      <c r="H123" s="271">
        <v>304</v>
      </c>
      <c r="I123" s="271">
        <v>814</v>
      </c>
    </row>
    <row r="124" spans="1:9">
      <c r="A124" s="706" t="s">
        <v>238</v>
      </c>
      <c r="B124" s="707" t="s">
        <v>239</v>
      </c>
      <c r="C124" s="708" t="s">
        <v>264</v>
      </c>
      <c r="D124" s="271">
        <v>95</v>
      </c>
      <c r="E124" s="271">
        <v>51</v>
      </c>
      <c r="F124" s="271">
        <v>38</v>
      </c>
      <c r="G124" s="271">
        <v>3</v>
      </c>
      <c r="H124" s="271">
        <v>30</v>
      </c>
      <c r="I124" s="271">
        <v>65</v>
      </c>
    </row>
    <row r="125" spans="1:9">
      <c r="A125" s="709" t="s">
        <v>240</v>
      </c>
      <c r="B125" s="710" t="s">
        <v>241</v>
      </c>
      <c r="C125" s="711" t="s">
        <v>267</v>
      </c>
      <c r="D125" s="907">
        <v>157</v>
      </c>
      <c r="E125" s="907">
        <v>122</v>
      </c>
      <c r="F125" s="907">
        <v>18</v>
      </c>
      <c r="G125" s="907">
        <v>14</v>
      </c>
      <c r="H125" s="907">
        <v>51</v>
      </c>
      <c r="I125" s="907">
        <v>107</v>
      </c>
    </row>
    <row r="126" spans="1:9">
      <c r="A126" s="706"/>
      <c r="B126" s="707"/>
      <c r="C126" s="708"/>
    </row>
    <row r="127" spans="1:9" ht="30" customHeight="1">
      <c r="A127" s="1931" t="s">
        <v>1231</v>
      </c>
      <c r="B127" s="1931"/>
      <c r="C127" s="1931"/>
      <c r="D127" s="1931"/>
      <c r="E127" s="1931"/>
      <c r="F127" s="1931"/>
      <c r="G127" s="1931"/>
      <c r="H127" s="1931"/>
      <c r="I127" s="1931"/>
    </row>
    <row r="128" spans="1:9">
      <c r="A128" s="898"/>
      <c r="B128" s="898"/>
      <c r="C128" s="898"/>
      <c r="D128" s="898"/>
      <c r="E128" s="898"/>
      <c r="F128" s="898"/>
      <c r="G128" s="893"/>
      <c r="H128" s="893"/>
      <c r="I128" s="893"/>
    </row>
    <row r="129" spans="1:9" s="428" customFormat="1">
      <c r="A129" s="1930" t="s">
        <v>248</v>
      </c>
      <c r="B129" s="1930"/>
      <c r="C129" s="1930"/>
      <c r="D129" s="1930"/>
      <c r="E129" s="1930"/>
      <c r="F129" s="1930"/>
      <c r="G129" s="1930"/>
      <c r="H129" s="1930"/>
      <c r="I129" s="1930"/>
    </row>
    <row r="130" spans="1:9" s="271" customFormat="1">
      <c r="A130" s="429" t="s">
        <v>249</v>
      </c>
      <c r="B130" s="430" t="s">
        <v>250</v>
      </c>
      <c r="C130" s="902"/>
    </row>
    <row r="141" spans="1:9" ht="15.75" customHeight="1">
      <c r="A141" s="1929" t="s">
        <v>797</v>
      </c>
      <c r="B141" s="1929"/>
      <c r="C141" s="1929"/>
      <c r="D141" s="1929"/>
      <c r="E141" s="1929"/>
      <c r="F141" s="1929"/>
    </row>
  </sheetData>
  <autoFilter ref="A4:C125"/>
  <sortState ref="A6:I125">
    <sortCondition ref="A6:A125"/>
  </sortState>
  <mergeCells count="5">
    <mergeCell ref="A141:F141"/>
    <mergeCell ref="A129:I129"/>
    <mergeCell ref="E3:G3"/>
    <mergeCell ref="H3:I3"/>
    <mergeCell ref="A127:I127"/>
  </mergeCells>
  <hyperlinks>
    <hyperlink ref="B130" r:id="rId1"/>
  </hyperlinks>
  <pageMargins left="0.7" right="0.7" top="0.75" bottom="0.75" header="0.3" footer="0.3"/>
  <pageSetup orientation="portrait" r:id="rId2"/>
</worksheet>
</file>

<file path=xl/worksheets/sheet39.xml><?xml version="1.0" encoding="utf-8"?>
<worksheet xmlns="http://schemas.openxmlformats.org/spreadsheetml/2006/main" xmlns:r="http://schemas.openxmlformats.org/officeDocument/2006/relationships">
  <dimension ref="A1:T129"/>
  <sheetViews>
    <sheetView workbookViewId="0">
      <pane ySplit="4" topLeftCell="A5" activePane="bottomLeft" state="frozen"/>
      <selection pane="bottomLeft" activeCell="A5" sqref="A5:XFD124"/>
    </sheetView>
  </sheetViews>
  <sheetFormatPr defaultRowHeight="15.75"/>
  <cols>
    <col min="1" max="1" width="9.125" style="714" customWidth="1"/>
    <col min="2" max="2" width="30.625" style="714" customWidth="1"/>
    <col min="3" max="3" width="11.25" style="732" customWidth="1"/>
    <col min="4" max="4" width="9" style="704"/>
    <col min="5" max="6" width="9" style="758"/>
    <col min="7" max="9" width="9" style="704"/>
    <col min="10" max="10" width="9" style="758"/>
    <col min="11" max="11" width="9" style="704"/>
    <col min="12" max="12" width="4.25" style="704" customWidth="1"/>
    <col min="13" max="16384" width="9" style="704"/>
  </cols>
  <sheetData>
    <row r="1" spans="1:20" ht="15.75" customHeight="1">
      <c r="A1" s="1932" t="s">
        <v>1197</v>
      </c>
      <c r="B1" s="1932"/>
      <c r="C1" s="1932"/>
      <c r="D1" s="1932"/>
      <c r="E1" s="1932"/>
      <c r="F1" s="1932"/>
      <c r="G1" s="1932"/>
      <c r="H1" s="1932"/>
      <c r="I1" s="1932"/>
      <c r="J1" s="1254"/>
    </row>
    <row r="2" spans="1:20">
      <c r="A2" s="704"/>
      <c r="B2" s="704"/>
      <c r="C2" s="726"/>
    </row>
    <row r="3" spans="1:20" ht="31.5">
      <c r="A3" s="715" t="s">
        <v>4</v>
      </c>
      <c r="B3" s="715" t="s">
        <v>286</v>
      </c>
      <c r="C3" s="727" t="s">
        <v>251</v>
      </c>
      <c r="D3" s="720" t="s">
        <v>281</v>
      </c>
      <c r="E3" s="1263" t="s">
        <v>2</v>
      </c>
      <c r="F3" s="1263" t="s">
        <v>450</v>
      </c>
      <c r="G3" s="716" t="s">
        <v>547</v>
      </c>
      <c r="H3" s="716" t="s">
        <v>792</v>
      </c>
      <c r="I3" s="716" t="s">
        <v>744</v>
      </c>
      <c r="J3" s="1263" t="s">
        <v>556</v>
      </c>
      <c r="K3" s="716" t="s">
        <v>793</v>
      </c>
      <c r="L3" s="271"/>
      <c r="M3" s="720" t="s">
        <v>2</v>
      </c>
      <c r="N3" s="716" t="s">
        <v>450</v>
      </c>
      <c r="O3" s="716" t="s">
        <v>896</v>
      </c>
      <c r="Q3" s="1636" t="s">
        <v>1200</v>
      </c>
      <c r="R3" s="1636" t="s">
        <v>1201</v>
      </c>
      <c r="S3" s="1636" t="s">
        <v>1199</v>
      </c>
      <c r="T3" s="1636" t="s">
        <v>1202</v>
      </c>
    </row>
    <row r="4" spans="1:20">
      <c r="A4" s="717">
        <v>999</v>
      </c>
      <c r="B4" s="705" t="s">
        <v>9</v>
      </c>
      <c r="C4" s="705"/>
      <c r="D4" s="642">
        <f>SUM(D5:D124)</f>
        <v>97282</v>
      </c>
      <c r="E4" s="643">
        <f t="shared" ref="E4:K4" si="0">SUM(E5:E124)</f>
        <v>61358</v>
      </c>
      <c r="F4" s="643">
        <f t="shared" si="0"/>
        <v>30455</v>
      </c>
      <c r="G4" s="643">
        <f t="shared" si="0"/>
        <v>1425</v>
      </c>
      <c r="H4" s="643">
        <f t="shared" si="0"/>
        <v>562</v>
      </c>
      <c r="I4" s="643">
        <f t="shared" si="0"/>
        <v>205</v>
      </c>
      <c r="J4" s="643">
        <f t="shared" si="0"/>
        <v>10748</v>
      </c>
      <c r="K4" s="643">
        <f t="shared" si="0"/>
        <v>201</v>
      </c>
      <c r="L4" s="271"/>
      <c r="M4" s="724">
        <f>SUM(M5:M124)</f>
        <v>61358</v>
      </c>
      <c r="N4" s="725">
        <f>SUM(N5:N124)</f>
        <v>30455</v>
      </c>
      <c r="O4" s="725">
        <f>SUM(O5:O124)</f>
        <v>2192</v>
      </c>
      <c r="Q4" s="725">
        <f t="shared" ref="Q4:T4" si="1">SUM(Q5:Q124)</f>
        <v>43859</v>
      </c>
      <c r="R4" s="725">
        <f t="shared" si="1"/>
        <v>36129</v>
      </c>
      <c r="S4" s="725">
        <f t="shared" si="1"/>
        <v>6574</v>
      </c>
      <c r="T4" s="725">
        <f t="shared" si="1"/>
        <v>0</v>
      </c>
    </row>
    <row r="5" spans="1:20">
      <c r="A5" s="718" t="s">
        <v>10</v>
      </c>
      <c r="B5" s="190" t="s">
        <v>11</v>
      </c>
      <c r="C5" s="728" t="s">
        <v>264</v>
      </c>
      <c r="D5" s="645">
        <v>302</v>
      </c>
      <c r="E5" s="646">
        <v>192</v>
      </c>
      <c r="F5" s="646">
        <v>106</v>
      </c>
      <c r="G5" s="646">
        <v>0</v>
      </c>
      <c r="H5" s="646">
        <v>1</v>
      </c>
      <c r="I5" s="646">
        <v>0</v>
      </c>
      <c r="J5" s="646">
        <v>32</v>
      </c>
      <c r="K5" s="646">
        <v>0</v>
      </c>
      <c r="L5" s="271"/>
      <c r="M5" s="722">
        <f t="shared" ref="M5:M36" si="2">E5</f>
        <v>192</v>
      </c>
      <c r="N5" s="723">
        <f t="shared" ref="N5:N36" si="3">F5</f>
        <v>106</v>
      </c>
      <c r="O5" s="723">
        <f t="shared" ref="O5:O36" si="4">SUM(G5:I5)</f>
        <v>1</v>
      </c>
      <c r="Q5" s="704">
        <v>154</v>
      </c>
      <c r="R5" s="704">
        <v>119</v>
      </c>
      <c r="S5" s="704">
        <v>22</v>
      </c>
    </row>
    <row r="6" spans="1:20">
      <c r="A6" s="718" t="s">
        <v>12</v>
      </c>
      <c r="B6" s="190" t="s">
        <v>13</v>
      </c>
      <c r="C6" s="728" t="s">
        <v>265</v>
      </c>
      <c r="D6" s="645">
        <v>981</v>
      </c>
      <c r="E6" s="646">
        <v>731</v>
      </c>
      <c r="F6" s="646">
        <v>276</v>
      </c>
      <c r="G6" s="646">
        <v>14</v>
      </c>
      <c r="H6" s="646">
        <v>7</v>
      </c>
      <c r="I6" s="646">
        <v>0</v>
      </c>
      <c r="J6" s="646">
        <v>115</v>
      </c>
      <c r="K6" s="646">
        <v>2</v>
      </c>
      <c r="L6" s="271"/>
      <c r="M6" s="722">
        <f t="shared" si="2"/>
        <v>731</v>
      </c>
      <c r="N6" s="723">
        <f t="shared" si="3"/>
        <v>276</v>
      </c>
      <c r="O6" s="723">
        <f t="shared" si="4"/>
        <v>21</v>
      </c>
      <c r="Q6" s="704">
        <v>437</v>
      </c>
      <c r="R6" s="704">
        <v>379</v>
      </c>
      <c r="S6" s="704">
        <v>87</v>
      </c>
    </row>
    <row r="7" spans="1:20">
      <c r="A7" s="718" t="s">
        <v>16</v>
      </c>
      <c r="B7" s="190" t="s">
        <v>297</v>
      </c>
      <c r="C7" s="728" t="s">
        <v>265</v>
      </c>
      <c r="D7" s="645">
        <v>528</v>
      </c>
      <c r="E7" s="646">
        <v>479</v>
      </c>
      <c r="F7" s="646">
        <v>81</v>
      </c>
      <c r="G7" s="646">
        <v>5</v>
      </c>
      <c r="H7" s="646">
        <v>0</v>
      </c>
      <c r="I7" s="646">
        <v>1</v>
      </c>
      <c r="J7" s="646">
        <v>16</v>
      </c>
      <c r="K7" s="646">
        <v>3</v>
      </c>
      <c r="L7" s="271"/>
      <c r="M7" s="722">
        <f t="shared" si="2"/>
        <v>479</v>
      </c>
      <c r="N7" s="723">
        <f t="shared" si="3"/>
        <v>81</v>
      </c>
      <c r="O7" s="723">
        <f t="shared" si="4"/>
        <v>6</v>
      </c>
      <c r="Q7" s="704">
        <v>246</v>
      </c>
      <c r="R7" s="704">
        <v>212</v>
      </c>
      <c r="S7" s="704">
        <v>44</v>
      </c>
    </row>
    <row r="8" spans="1:20">
      <c r="A8" s="718" t="s">
        <v>18</v>
      </c>
      <c r="B8" s="190" t="s">
        <v>19</v>
      </c>
      <c r="C8" s="728" t="s">
        <v>266</v>
      </c>
      <c r="D8" s="645">
        <v>151</v>
      </c>
      <c r="E8" s="646">
        <v>111</v>
      </c>
      <c r="F8" s="646">
        <v>44</v>
      </c>
      <c r="G8" s="646">
        <v>1</v>
      </c>
      <c r="H8" s="646">
        <v>0</v>
      </c>
      <c r="I8" s="646">
        <v>0</v>
      </c>
      <c r="J8" s="646">
        <v>0</v>
      </c>
      <c r="K8" s="646">
        <v>1</v>
      </c>
      <c r="L8" s="271"/>
      <c r="M8" s="722">
        <f t="shared" si="2"/>
        <v>111</v>
      </c>
      <c r="N8" s="723">
        <f t="shared" si="3"/>
        <v>44</v>
      </c>
      <c r="O8" s="723">
        <f t="shared" si="4"/>
        <v>1</v>
      </c>
      <c r="Q8" s="704">
        <v>74</v>
      </c>
      <c r="R8" s="704">
        <v>63</v>
      </c>
      <c r="S8" s="704">
        <v>7</v>
      </c>
    </row>
    <row r="9" spans="1:20">
      <c r="A9" s="718" t="s">
        <v>20</v>
      </c>
      <c r="B9" s="190" t="s">
        <v>21</v>
      </c>
      <c r="C9" s="728" t="s">
        <v>265</v>
      </c>
      <c r="D9" s="645">
        <v>479</v>
      </c>
      <c r="E9" s="646">
        <v>394</v>
      </c>
      <c r="F9" s="646">
        <v>85</v>
      </c>
      <c r="G9" s="646">
        <v>0</v>
      </c>
      <c r="H9" s="646">
        <v>2</v>
      </c>
      <c r="I9" s="646">
        <v>1</v>
      </c>
      <c r="J9" s="646">
        <v>17</v>
      </c>
      <c r="K9" s="646">
        <v>0</v>
      </c>
      <c r="L9" s="271"/>
      <c r="M9" s="722">
        <f t="shared" si="2"/>
        <v>394</v>
      </c>
      <c r="N9" s="723">
        <f t="shared" si="3"/>
        <v>85</v>
      </c>
      <c r="O9" s="723">
        <f t="shared" si="4"/>
        <v>3</v>
      </c>
      <c r="Q9" s="704">
        <v>209</v>
      </c>
      <c r="R9" s="704">
        <v>194</v>
      </c>
      <c r="S9" s="704">
        <v>43</v>
      </c>
    </row>
    <row r="10" spans="1:20">
      <c r="A10" s="718" t="s">
        <v>22</v>
      </c>
      <c r="B10" s="190" t="s">
        <v>23</v>
      </c>
      <c r="C10" s="728" t="s">
        <v>265</v>
      </c>
      <c r="D10" s="645">
        <v>174</v>
      </c>
      <c r="E10" s="646">
        <v>127</v>
      </c>
      <c r="F10" s="646">
        <v>43</v>
      </c>
      <c r="G10" s="646">
        <v>0</v>
      </c>
      <c r="H10" s="646">
        <v>0</v>
      </c>
      <c r="I10" s="646">
        <v>0</v>
      </c>
      <c r="J10" s="646">
        <v>0</v>
      </c>
      <c r="K10" s="646">
        <v>0</v>
      </c>
      <c r="L10" s="271"/>
      <c r="M10" s="722">
        <f t="shared" si="2"/>
        <v>127</v>
      </c>
      <c r="N10" s="723">
        <f t="shared" si="3"/>
        <v>43</v>
      </c>
      <c r="O10" s="723">
        <f t="shared" si="4"/>
        <v>0</v>
      </c>
      <c r="Q10" s="704">
        <v>77</v>
      </c>
      <c r="R10" s="704">
        <v>64</v>
      </c>
      <c r="S10" s="704">
        <v>12</v>
      </c>
    </row>
    <row r="11" spans="1:20">
      <c r="A11" s="718" t="s">
        <v>24</v>
      </c>
      <c r="B11" s="190" t="s">
        <v>25</v>
      </c>
      <c r="C11" s="728" t="s">
        <v>267</v>
      </c>
      <c r="D11" s="645">
        <v>1263</v>
      </c>
      <c r="E11" s="646">
        <v>789</v>
      </c>
      <c r="F11" s="646">
        <v>385</v>
      </c>
      <c r="G11" s="646">
        <v>75</v>
      </c>
      <c r="H11" s="646">
        <v>11</v>
      </c>
      <c r="I11" s="646">
        <v>1</v>
      </c>
      <c r="J11" s="646">
        <v>515</v>
      </c>
      <c r="K11" s="646">
        <v>0</v>
      </c>
      <c r="L11" s="271"/>
      <c r="M11" s="722">
        <f t="shared" si="2"/>
        <v>789</v>
      </c>
      <c r="N11" s="723">
        <f t="shared" si="3"/>
        <v>385</v>
      </c>
      <c r="O11" s="723">
        <f t="shared" si="4"/>
        <v>87</v>
      </c>
      <c r="Q11" s="704">
        <v>560</v>
      </c>
      <c r="R11" s="704">
        <v>463</v>
      </c>
      <c r="S11" s="704">
        <v>84</v>
      </c>
    </row>
    <row r="12" spans="1:20">
      <c r="A12" s="718" t="s">
        <v>26</v>
      </c>
      <c r="B12" s="190" t="s">
        <v>298</v>
      </c>
      <c r="C12" s="728" t="s">
        <v>265</v>
      </c>
      <c r="D12" s="645">
        <v>3413</v>
      </c>
      <c r="E12" s="646">
        <v>2991</v>
      </c>
      <c r="F12" s="646">
        <v>507</v>
      </c>
      <c r="G12" s="646">
        <v>22</v>
      </c>
      <c r="H12" s="646">
        <v>35</v>
      </c>
      <c r="I12" s="646">
        <v>5</v>
      </c>
      <c r="J12" s="646">
        <v>217</v>
      </c>
      <c r="K12" s="646">
        <v>11</v>
      </c>
      <c r="L12" s="271"/>
      <c r="M12" s="722">
        <f t="shared" si="2"/>
        <v>2991</v>
      </c>
      <c r="N12" s="723">
        <f t="shared" si="3"/>
        <v>507</v>
      </c>
      <c r="O12" s="723">
        <f t="shared" si="4"/>
        <v>62</v>
      </c>
      <c r="Q12" s="704">
        <v>1330</v>
      </c>
      <c r="R12" s="704">
        <v>1181</v>
      </c>
      <c r="S12" s="704">
        <v>203</v>
      </c>
    </row>
    <row r="13" spans="1:20">
      <c r="A13" s="718" t="s">
        <v>27</v>
      </c>
      <c r="B13" s="190" t="s">
        <v>28</v>
      </c>
      <c r="C13" s="728" t="s">
        <v>265</v>
      </c>
      <c r="D13" s="645">
        <v>73</v>
      </c>
      <c r="E13" s="646">
        <v>70</v>
      </c>
      <c r="F13" s="646">
        <v>4</v>
      </c>
      <c r="G13" s="646">
        <v>0</v>
      </c>
      <c r="H13" s="646">
        <v>0</v>
      </c>
      <c r="I13" s="646">
        <v>0</v>
      </c>
      <c r="J13" s="646">
        <v>3</v>
      </c>
      <c r="K13" s="646">
        <v>0</v>
      </c>
      <c r="L13" s="271"/>
      <c r="M13" s="722">
        <f t="shared" si="2"/>
        <v>70</v>
      </c>
      <c r="N13" s="723">
        <f t="shared" si="3"/>
        <v>4</v>
      </c>
      <c r="O13" s="723">
        <f t="shared" si="4"/>
        <v>0</v>
      </c>
      <c r="Q13" s="704">
        <v>46</v>
      </c>
      <c r="R13" s="704">
        <v>25</v>
      </c>
      <c r="S13" s="704">
        <v>1</v>
      </c>
    </row>
    <row r="14" spans="1:20">
      <c r="A14" s="718" t="s">
        <v>29</v>
      </c>
      <c r="B14" s="190" t="s">
        <v>1012</v>
      </c>
      <c r="C14" s="728" t="s">
        <v>265</v>
      </c>
      <c r="D14" s="645">
        <v>1087</v>
      </c>
      <c r="E14" s="646">
        <v>914</v>
      </c>
      <c r="F14" s="646">
        <v>185</v>
      </c>
      <c r="G14" s="646">
        <v>0</v>
      </c>
      <c r="H14" s="646">
        <v>2</v>
      </c>
      <c r="I14" s="646">
        <v>0</v>
      </c>
      <c r="J14" s="646">
        <v>16</v>
      </c>
      <c r="K14" s="646">
        <v>3</v>
      </c>
      <c r="L14" s="271"/>
      <c r="M14" s="722">
        <f t="shared" si="2"/>
        <v>914</v>
      </c>
      <c r="N14" s="723">
        <f t="shared" si="3"/>
        <v>185</v>
      </c>
      <c r="O14" s="723">
        <f t="shared" si="4"/>
        <v>2</v>
      </c>
      <c r="Q14" s="704">
        <v>490</v>
      </c>
      <c r="R14" s="704">
        <v>479</v>
      </c>
      <c r="S14" s="704">
        <v>83</v>
      </c>
    </row>
    <row r="15" spans="1:20">
      <c r="A15" s="718" t="s">
        <v>30</v>
      </c>
      <c r="B15" s="190" t="s">
        <v>31</v>
      </c>
      <c r="C15" s="728" t="s">
        <v>268</v>
      </c>
      <c r="D15" s="645">
        <v>53</v>
      </c>
      <c r="E15" s="646">
        <v>52</v>
      </c>
      <c r="F15" s="646">
        <v>1</v>
      </c>
      <c r="G15" s="646">
        <v>0</v>
      </c>
      <c r="H15" s="646">
        <v>1</v>
      </c>
      <c r="I15" s="646">
        <v>0</v>
      </c>
      <c r="J15" s="646">
        <v>0</v>
      </c>
      <c r="K15" s="646">
        <v>0</v>
      </c>
      <c r="L15" s="271"/>
      <c r="M15" s="722">
        <f t="shared" si="2"/>
        <v>52</v>
      </c>
      <c r="N15" s="723">
        <f t="shared" si="3"/>
        <v>1</v>
      </c>
      <c r="O15" s="723">
        <f t="shared" si="4"/>
        <v>1</v>
      </c>
      <c r="Q15" s="704">
        <v>30</v>
      </c>
      <c r="R15" s="704">
        <v>15</v>
      </c>
      <c r="S15" s="704">
        <v>2</v>
      </c>
    </row>
    <row r="16" spans="1:20">
      <c r="A16" s="718" t="s">
        <v>32</v>
      </c>
      <c r="B16" s="190" t="s">
        <v>33</v>
      </c>
      <c r="C16" s="728" t="s">
        <v>265</v>
      </c>
      <c r="D16" s="645">
        <v>103</v>
      </c>
      <c r="E16" s="646">
        <v>94</v>
      </c>
      <c r="F16" s="646">
        <v>2</v>
      </c>
      <c r="G16" s="646">
        <v>0</v>
      </c>
      <c r="H16" s="646">
        <v>0</v>
      </c>
      <c r="I16" s="646">
        <v>0</v>
      </c>
      <c r="J16" s="646">
        <v>3</v>
      </c>
      <c r="K16" s="646">
        <v>0</v>
      </c>
      <c r="L16" s="271"/>
      <c r="M16" s="722">
        <f t="shared" si="2"/>
        <v>94</v>
      </c>
      <c r="N16" s="723">
        <f t="shared" si="3"/>
        <v>2</v>
      </c>
      <c r="O16" s="723">
        <f t="shared" si="4"/>
        <v>0</v>
      </c>
      <c r="Q16" s="704">
        <v>50</v>
      </c>
      <c r="R16" s="704">
        <v>31</v>
      </c>
      <c r="S16" s="704">
        <v>5</v>
      </c>
    </row>
    <row r="17" spans="1:19">
      <c r="A17" s="718" t="s">
        <v>36</v>
      </c>
      <c r="B17" s="190" t="s">
        <v>37</v>
      </c>
      <c r="C17" s="728" t="s">
        <v>264</v>
      </c>
      <c r="D17" s="645">
        <v>71</v>
      </c>
      <c r="E17" s="646">
        <v>12</v>
      </c>
      <c r="F17" s="646">
        <v>45</v>
      </c>
      <c r="G17" s="646">
        <v>1</v>
      </c>
      <c r="H17" s="646">
        <v>0</v>
      </c>
      <c r="I17" s="646">
        <v>0</v>
      </c>
      <c r="J17" s="646">
        <v>0</v>
      </c>
      <c r="K17" s="646">
        <v>0</v>
      </c>
      <c r="L17" s="271"/>
      <c r="M17" s="722">
        <f t="shared" si="2"/>
        <v>12</v>
      </c>
      <c r="N17" s="723">
        <f t="shared" si="3"/>
        <v>45</v>
      </c>
      <c r="O17" s="723">
        <f t="shared" si="4"/>
        <v>1</v>
      </c>
      <c r="Q17" s="704">
        <v>37</v>
      </c>
      <c r="R17" s="704">
        <v>19</v>
      </c>
      <c r="S17" s="704">
        <v>2</v>
      </c>
    </row>
    <row r="18" spans="1:19">
      <c r="A18" s="718" t="s">
        <v>38</v>
      </c>
      <c r="B18" s="190" t="s">
        <v>39</v>
      </c>
      <c r="C18" s="728" t="s">
        <v>268</v>
      </c>
      <c r="D18" s="645">
        <v>340</v>
      </c>
      <c r="E18" s="646">
        <v>334</v>
      </c>
      <c r="F18" s="646">
        <v>1</v>
      </c>
      <c r="G18" s="646">
        <v>0</v>
      </c>
      <c r="H18" s="646">
        <v>0</v>
      </c>
      <c r="I18" s="646">
        <v>0</v>
      </c>
      <c r="J18" s="646">
        <v>4</v>
      </c>
      <c r="K18" s="646">
        <v>2</v>
      </c>
      <c r="L18" s="271"/>
      <c r="M18" s="722">
        <f t="shared" si="2"/>
        <v>334</v>
      </c>
      <c r="N18" s="723">
        <f t="shared" si="3"/>
        <v>1</v>
      </c>
      <c r="O18" s="723">
        <f t="shared" si="4"/>
        <v>0</v>
      </c>
      <c r="Q18" s="704">
        <v>170</v>
      </c>
      <c r="R18" s="704">
        <v>134</v>
      </c>
      <c r="S18" s="704">
        <v>24</v>
      </c>
    </row>
    <row r="19" spans="1:19">
      <c r="A19" s="718" t="s">
        <v>40</v>
      </c>
      <c r="B19" s="190" t="s">
        <v>41</v>
      </c>
      <c r="C19" s="728" t="s">
        <v>266</v>
      </c>
      <c r="D19" s="645">
        <v>206</v>
      </c>
      <c r="E19" s="646">
        <v>124</v>
      </c>
      <c r="F19" s="646">
        <v>78</v>
      </c>
      <c r="G19" s="646">
        <v>0</v>
      </c>
      <c r="H19" s="646">
        <v>0</v>
      </c>
      <c r="I19" s="646">
        <v>1</v>
      </c>
      <c r="J19" s="646">
        <v>2</v>
      </c>
      <c r="K19" s="646">
        <v>0</v>
      </c>
      <c r="L19" s="271"/>
      <c r="M19" s="722">
        <f t="shared" si="2"/>
        <v>124</v>
      </c>
      <c r="N19" s="723">
        <f t="shared" si="3"/>
        <v>78</v>
      </c>
      <c r="O19" s="723">
        <f t="shared" si="4"/>
        <v>1</v>
      </c>
      <c r="Q19" s="704">
        <v>108</v>
      </c>
      <c r="R19" s="704">
        <v>71</v>
      </c>
      <c r="S19" s="704">
        <v>17</v>
      </c>
    </row>
    <row r="20" spans="1:19">
      <c r="A20" s="718" t="s">
        <v>42</v>
      </c>
      <c r="B20" s="190" t="s">
        <v>43</v>
      </c>
      <c r="C20" s="728" t="s">
        <v>265</v>
      </c>
      <c r="D20" s="645">
        <v>1239</v>
      </c>
      <c r="E20" s="646">
        <v>1001</v>
      </c>
      <c r="F20" s="646">
        <v>254</v>
      </c>
      <c r="G20" s="646">
        <v>6</v>
      </c>
      <c r="H20" s="646">
        <v>4</v>
      </c>
      <c r="I20" s="646">
        <v>5</v>
      </c>
      <c r="J20" s="646">
        <v>57</v>
      </c>
      <c r="K20" s="646">
        <v>8</v>
      </c>
      <c r="L20" s="271"/>
      <c r="M20" s="722">
        <f t="shared" si="2"/>
        <v>1001</v>
      </c>
      <c r="N20" s="723">
        <f t="shared" si="3"/>
        <v>254</v>
      </c>
      <c r="O20" s="723">
        <f t="shared" si="4"/>
        <v>15</v>
      </c>
      <c r="Q20" s="704">
        <v>578</v>
      </c>
      <c r="R20" s="704">
        <v>487</v>
      </c>
      <c r="S20" s="704">
        <v>79</v>
      </c>
    </row>
    <row r="21" spans="1:19">
      <c r="A21" s="718" t="s">
        <v>44</v>
      </c>
      <c r="B21" s="190" t="s">
        <v>45</v>
      </c>
      <c r="C21" s="728" t="s">
        <v>266</v>
      </c>
      <c r="D21" s="645">
        <v>520</v>
      </c>
      <c r="E21" s="646">
        <v>329</v>
      </c>
      <c r="F21" s="646">
        <v>144</v>
      </c>
      <c r="G21" s="646">
        <v>4</v>
      </c>
      <c r="H21" s="646">
        <v>2</v>
      </c>
      <c r="I21" s="646">
        <v>2</v>
      </c>
      <c r="J21" s="646">
        <v>18</v>
      </c>
      <c r="K21" s="646">
        <v>0</v>
      </c>
      <c r="L21" s="271"/>
      <c r="M21" s="722">
        <f t="shared" si="2"/>
        <v>329</v>
      </c>
      <c r="N21" s="723">
        <f t="shared" si="3"/>
        <v>144</v>
      </c>
      <c r="O21" s="723">
        <f t="shared" si="4"/>
        <v>8</v>
      </c>
      <c r="Q21" s="704">
        <v>216</v>
      </c>
      <c r="R21" s="704">
        <v>203</v>
      </c>
      <c r="S21" s="704">
        <v>29</v>
      </c>
    </row>
    <row r="22" spans="1:19">
      <c r="A22" s="718" t="s">
        <v>46</v>
      </c>
      <c r="B22" s="190" t="s">
        <v>47</v>
      </c>
      <c r="C22" s="728" t="s">
        <v>268</v>
      </c>
      <c r="D22" s="645">
        <v>672</v>
      </c>
      <c r="E22" s="646">
        <v>661</v>
      </c>
      <c r="F22" s="646">
        <v>3</v>
      </c>
      <c r="G22" s="646">
        <v>2</v>
      </c>
      <c r="H22" s="646">
        <v>2</v>
      </c>
      <c r="I22" s="646">
        <v>3</v>
      </c>
      <c r="J22" s="646">
        <v>54</v>
      </c>
      <c r="K22" s="646">
        <v>1</v>
      </c>
      <c r="L22" s="271"/>
      <c r="M22" s="722">
        <f t="shared" si="2"/>
        <v>661</v>
      </c>
      <c r="N22" s="723">
        <f t="shared" si="3"/>
        <v>3</v>
      </c>
      <c r="O22" s="723">
        <f t="shared" si="4"/>
        <v>7</v>
      </c>
      <c r="Q22" s="704">
        <v>301</v>
      </c>
      <c r="R22" s="704">
        <v>311</v>
      </c>
      <c r="S22" s="704">
        <v>45</v>
      </c>
    </row>
    <row r="23" spans="1:19">
      <c r="A23" s="718" t="s">
        <v>48</v>
      </c>
      <c r="B23" s="190" t="s">
        <v>269</v>
      </c>
      <c r="C23" s="728" t="s">
        <v>266</v>
      </c>
      <c r="D23" s="645">
        <v>19</v>
      </c>
      <c r="E23" s="646">
        <v>9</v>
      </c>
      <c r="F23" s="646">
        <v>8</v>
      </c>
      <c r="G23" s="646">
        <v>0</v>
      </c>
      <c r="H23" s="646">
        <v>0</v>
      </c>
      <c r="I23" s="646">
        <v>3</v>
      </c>
      <c r="J23" s="646">
        <v>0</v>
      </c>
      <c r="K23" s="646">
        <v>0</v>
      </c>
      <c r="L23" s="271"/>
      <c r="M23" s="722">
        <f t="shared" si="2"/>
        <v>9</v>
      </c>
      <c r="N23" s="723">
        <f t="shared" si="3"/>
        <v>8</v>
      </c>
      <c r="O23" s="723">
        <f t="shared" si="4"/>
        <v>3</v>
      </c>
      <c r="Q23" s="704">
        <v>11</v>
      </c>
      <c r="R23" s="704">
        <v>6</v>
      </c>
      <c r="S23" s="704">
        <v>1</v>
      </c>
    </row>
    <row r="24" spans="1:19">
      <c r="A24" s="718" t="s">
        <v>50</v>
      </c>
      <c r="B24" s="190" t="s">
        <v>51</v>
      </c>
      <c r="C24" s="728" t="s">
        <v>265</v>
      </c>
      <c r="D24" s="645">
        <v>187</v>
      </c>
      <c r="E24" s="646">
        <v>143</v>
      </c>
      <c r="F24" s="646">
        <v>57</v>
      </c>
      <c r="G24" s="646">
        <v>0</v>
      </c>
      <c r="H24" s="646">
        <v>2</v>
      </c>
      <c r="I24" s="646">
        <v>1</v>
      </c>
      <c r="J24" s="646">
        <v>7</v>
      </c>
      <c r="K24" s="646">
        <v>0</v>
      </c>
      <c r="L24" s="271"/>
      <c r="M24" s="722">
        <f t="shared" si="2"/>
        <v>143</v>
      </c>
      <c r="N24" s="723">
        <f t="shared" si="3"/>
        <v>57</v>
      </c>
      <c r="O24" s="723">
        <f t="shared" si="4"/>
        <v>3</v>
      </c>
      <c r="Q24" s="704">
        <v>99</v>
      </c>
      <c r="R24" s="704">
        <v>62</v>
      </c>
      <c r="S24" s="704">
        <v>19</v>
      </c>
    </row>
    <row r="25" spans="1:19">
      <c r="A25" s="718" t="s">
        <v>56</v>
      </c>
      <c r="B25" s="190" t="s">
        <v>295</v>
      </c>
      <c r="C25" s="728" t="s">
        <v>266</v>
      </c>
      <c r="D25" s="645">
        <v>2922</v>
      </c>
      <c r="E25" s="646">
        <v>1965</v>
      </c>
      <c r="F25" s="646">
        <v>969</v>
      </c>
      <c r="G25" s="646">
        <v>58</v>
      </c>
      <c r="H25" s="646">
        <v>33</v>
      </c>
      <c r="I25" s="646">
        <v>9</v>
      </c>
      <c r="J25" s="646">
        <v>268</v>
      </c>
      <c r="K25" s="646">
        <v>1</v>
      </c>
      <c r="L25" s="271"/>
      <c r="M25" s="722">
        <f t="shared" si="2"/>
        <v>1965</v>
      </c>
      <c r="N25" s="723">
        <f t="shared" si="3"/>
        <v>969</v>
      </c>
      <c r="O25" s="723">
        <f t="shared" si="4"/>
        <v>100</v>
      </c>
      <c r="Q25" s="704">
        <v>1104</v>
      </c>
      <c r="R25" s="704">
        <v>1116</v>
      </c>
      <c r="S25" s="704">
        <v>216</v>
      </c>
    </row>
    <row r="26" spans="1:19">
      <c r="A26" s="718" t="s">
        <v>58</v>
      </c>
      <c r="B26" s="190" t="s">
        <v>59</v>
      </c>
      <c r="C26" s="728" t="s">
        <v>267</v>
      </c>
      <c r="D26" s="645">
        <v>178</v>
      </c>
      <c r="E26" s="646">
        <v>159</v>
      </c>
      <c r="F26" s="646">
        <v>18</v>
      </c>
      <c r="G26" s="646">
        <v>2</v>
      </c>
      <c r="H26" s="646">
        <v>0</v>
      </c>
      <c r="I26" s="646">
        <v>0</v>
      </c>
      <c r="J26" s="646">
        <v>2</v>
      </c>
      <c r="K26" s="646">
        <v>0</v>
      </c>
      <c r="L26" s="271"/>
      <c r="M26" s="722">
        <f t="shared" si="2"/>
        <v>159</v>
      </c>
      <c r="N26" s="723">
        <f t="shared" si="3"/>
        <v>18</v>
      </c>
      <c r="O26" s="723">
        <f t="shared" si="4"/>
        <v>2</v>
      </c>
      <c r="Q26" s="704">
        <v>65</v>
      </c>
      <c r="R26" s="704">
        <v>78</v>
      </c>
      <c r="S26" s="704">
        <v>18</v>
      </c>
    </row>
    <row r="27" spans="1:19">
      <c r="A27" s="718" t="s">
        <v>60</v>
      </c>
      <c r="B27" s="190" t="s">
        <v>61</v>
      </c>
      <c r="C27" s="728" t="s">
        <v>265</v>
      </c>
      <c r="D27" s="645">
        <v>58</v>
      </c>
      <c r="E27" s="646">
        <v>58</v>
      </c>
      <c r="F27" s="646">
        <v>3</v>
      </c>
      <c r="G27" s="646">
        <v>0</v>
      </c>
      <c r="H27" s="646">
        <v>0</v>
      </c>
      <c r="I27" s="646">
        <v>0</v>
      </c>
      <c r="J27" s="646">
        <v>0</v>
      </c>
      <c r="K27" s="646">
        <v>0</v>
      </c>
      <c r="L27" s="271"/>
      <c r="M27" s="722">
        <f t="shared" si="2"/>
        <v>58</v>
      </c>
      <c r="N27" s="723">
        <f t="shared" si="3"/>
        <v>3</v>
      </c>
      <c r="O27" s="723">
        <f t="shared" si="4"/>
        <v>0</v>
      </c>
      <c r="Q27" s="704">
        <v>20</v>
      </c>
      <c r="R27" s="704">
        <v>33</v>
      </c>
      <c r="S27" s="704">
        <v>5</v>
      </c>
    </row>
    <row r="28" spans="1:19">
      <c r="A28" s="718" t="s">
        <v>62</v>
      </c>
      <c r="B28" s="190" t="s">
        <v>63</v>
      </c>
      <c r="C28" s="728" t="s">
        <v>267</v>
      </c>
      <c r="D28" s="645">
        <v>745</v>
      </c>
      <c r="E28" s="646">
        <v>550</v>
      </c>
      <c r="F28" s="646">
        <v>183</v>
      </c>
      <c r="G28" s="646">
        <v>5</v>
      </c>
      <c r="H28" s="646">
        <v>5</v>
      </c>
      <c r="I28" s="646">
        <v>2</v>
      </c>
      <c r="J28" s="646">
        <v>79</v>
      </c>
      <c r="K28" s="646">
        <v>2</v>
      </c>
      <c r="L28" s="271"/>
      <c r="M28" s="722">
        <f t="shared" si="2"/>
        <v>550</v>
      </c>
      <c r="N28" s="723">
        <f t="shared" si="3"/>
        <v>183</v>
      </c>
      <c r="O28" s="723">
        <f t="shared" si="4"/>
        <v>12</v>
      </c>
      <c r="Q28" s="704">
        <v>335</v>
      </c>
      <c r="R28" s="704">
        <v>266</v>
      </c>
      <c r="S28" s="704">
        <v>40</v>
      </c>
    </row>
    <row r="29" spans="1:19">
      <c r="A29" s="718" t="s">
        <v>64</v>
      </c>
      <c r="B29" s="190" t="s">
        <v>65</v>
      </c>
      <c r="C29" s="728" t="s">
        <v>266</v>
      </c>
      <c r="D29" s="645">
        <v>98</v>
      </c>
      <c r="E29" s="646">
        <v>60</v>
      </c>
      <c r="F29" s="646">
        <v>35</v>
      </c>
      <c r="G29" s="646">
        <v>0</v>
      </c>
      <c r="H29" s="646">
        <v>0</v>
      </c>
      <c r="I29" s="646">
        <v>2</v>
      </c>
      <c r="J29" s="646">
        <v>8</v>
      </c>
      <c r="K29" s="646">
        <v>1</v>
      </c>
      <c r="L29" s="271"/>
      <c r="M29" s="722">
        <f t="shared" si="2"/>
        <v>60</v>
      </c>
      <c r="N29" s="723">
        <f t="shared" si="3"/>
        <v>35</v>
      </c>
      <c r="O29" s="723">
        <f t="shared" si="4"/>
        <v>2</v>
      </c>
      <c r="Q29" s="704">
        <v>53</v>
      </c>
      <c r="R29" s="704">
        <v>34</v>
      </c>
      <c r="S29" s="704">
        <v>6</v>
      </c>
    </row>
    <row r="30" spans="1:19">
      <c r="A30" s="718" t="s">
        <v>68</v>
      </c>
      <c r="B30" s="190" t="s">
        <v>69</v>
      </c>
      <c r="C30" s="728" t="s">
        <v>268</v>
      </c>
      <c r="D30" s="645">
        <v>268</v>
      </c>
      <c r="E30" s="646">
        <v>266</v>
      </c>
      <c r="F30" s="646">
        <v>3</v>
      </c>
      <c r="G30" s="646">
        <v>0</v>
      </c>
      <c r="H30" s="646">
        <v>2</v>
      </c>
      <c r="I30" s="646">
        <v>0</v>
      </c>
      <c r="J30" s="646">
        <v>2</v>
      </c>
      <c r="K30" s="646">
        <v>0</v>
      </c>
      <c r="L30" s="271"/>
      <c r="M30" s="722">
        <f t="shared" si="2"/>
        <v>266</v>
      </c>
      <c r="N30" s="723">
        <f t="shared" si="3"/>
        <v>3</v>
      </c>
      <c r="O30" s="723">
        <f t="shared" si="4"/>
        <v>2</v>
      </c>
      <c r="Q30" s="704">
        <v>154</v>
      </c>
      <c r="R30" s="704">
        <v>93</v>
      </c>
      <c r="S30" s="704">
        <v>9</v>
      </c>
    </row>
    <row r="31" spans="1:19">
      <c r="A31" s="718" t="s">
        <v>70</v>
      </c>
      <c r="B31" s="190" t="s">
        <v>71</v>
      </c>
      <c r="C31" s="728" t="s">
        <v>264</v>
      </c>
      <c r="D31" s="645">
        <v>215</v>
      </c>
      <c r="E31" s="646">
        <v>145</v>
      </c>
      <c r="F31" s="646">
        <v>73</v>
      </c>
      <c r="G31" s="646">
        <v>0</v>
      </c>
      <c r="H31" s="646">
        <v>0</v>
      </c>
      <c r="I31" s="646">
        <v>3</v>
      </c>
      <c r="J31" s="646">
        <v>16</v>
      </c>
      <c r="K31" s="646">
        <v>0</v>
      </c>
      <c r="L31" s="271"/>
      <c r="M31" s="722">
        <f t="shared" si="2"/>
        <v>145</v>
      </c>
      <c r="N31" s="723">
        <f t="shared" si="3"/>
        <v>73</v>
      </c>
      <c r="O31" s="723">
        <f t="shared" si="4"/>
        <v>3</v>
      </c>
      <c r="Q31" s="704">
        <v>87</v>
      </c>
      <c r="R31" s="704">
        <v>84</v>
      </c>
      <c r="S31" s="704">
        <v>20</v>
      </c>
    </row>
    <row r="32" spans="1:19">
      <c r="A32" s="718" t="s">
        <v>72</v>
      </c>
      <c r="B32" s="190" t="s">
        <v>73</v>
      </c>
      <c r="C32" s="728" t="s">
        <v>266</v>
      </c>
      <c r="D32" s="645">
        <v>114</v>
      </c>
      <c r="E32" s="646">
        <v>56</v>
      </c>
      <c r="F32" s="646">
        <v>32</v>
      </c>
      <c r="G32" s="646">
        <v>0</v>
      </c>
      <c r="H32" s="646">
        <v>0</v>
      </c>
      <c r="I32" s="646">
        <v>0</v>
      </c>
      <c r="J32" s="646">
        <v>4</v>
      </c>
      <c r="K32" s="646">
        <v>0</v>
      </c>
      <c r="L32" s="271"/>
      <c r="M32" s="722">
        <f t="shared" si="2"/>
        <v>56</v>
      </c>
      <c r="N32" s="723">
        <f t="shared" si="3"/>
        <v>32</v>
      </c>
      <c r="O32" s="723">
        <f t="shared" si="4"/>
        <v>0</v>
      </c>
      <c r="Q32" s="704">
        <v>41</v>
      </c>
      <c r="R32" s="704">
        <v>21</v>
      </c>
      <c r="S32" s="704">
        <v>3</v>
      </c>
    </row>
    <row r="33" spans="1:19">
      <c r="A33" s="718" t="s">
        <v>74</v>
      </c>
      <c r="B33" s="190" t="s">
        <v>296</v>
      </c>
      <c r="C33" s="728" t="s">
        <v>267</v>
      </c>
      <c r="D33" s="645">
        <v>7651</v>
      </c>
      <c r="E33" s="646">
        <v>5047</v>
      </c>
      <c r="F33" s="646">
        <v>1944</v>
      </c>
      <c r="G33" s="646">
        <v>436</v>
      </c>
      <c r="H33" s="646">
        <v>70</v>
      </c>
      <c r="I33" s="646">
        <v>25</v>
      </c>
      <c r="J33" s="646">
        <v>2718</v>
      </c>
      <c r="K33" s="646">
        <v>17</v>
      </c>
      <c r="L33" s="271"/>
      <c r="M33" s="722">
        <f t="shared" si="2"/>
        <v>5047</v>
      </c>
      <c r="N33" s="723">
        <f t="shared" si="3"/>
        <v>1944</v>
      </c>
      <c r="O33" s="723">
        <f t="shared" si="4"/>
        <v>531</v>
      </c>
      <c r="Q33" s="704">
        <v>3077</v>
      </c>
      <c r="R33" s="704">
        <v>3129</v>
      </c>
      <c r="S33" s="704">
        <v>704</v>
      </c>
    </row>
    <row r="34" spans="1:19">
      <c r="A34" s="718" t="s">
        <v>76</v>
      </c>
      <c r="B34" s="190" t="s">
        <v>77</v>
      </c>
      <c r="C34" s="728" t="s">
        <v>267</v>
      </c>
      <c r="D34" s="645">
        <v>526</v>
      </c>
      <c r="E34" s="646">
        <v>422</v>
      </c>
      <c r="F34" s="646">
        <v>134</v>
      </c>
      <c r="G34" s="646">
        <v>4</v>
      </c>
      <c r="H34" s="646">
        <v>2</v>
      </c>
      <c r="I34" s="646">
        <v>0</v>
      </c>
      <c r="J34" s="646">
        <v>25</v>
      </c>
      <c r="K34" s="646">
        <v>0</v>
      </c>
      <c r="L34" s="271"/>
      <c r="M34" s="722">
        <f t="shared" si="2"/>
        <v>422</v>
      </c>
      <c r="N34" s="723">
        <f t="shared" si="3"/>
        <v>134</v>
      </c>
      <c r="O34" s="723">
        <f t="shared" si="4"/>
        <v>6</v>
      </c>
      <c r="Q34" s="704">
        <v>235</v>
      </c>
      <c r="R34" s="704">
        <v>183</v>
      </c>
      <c r="S34" s="704">
        <v>22</v>
      </c>
    </row>
    <row r="35" spans="1:19">
      <c r="A35" s="718" t="s">
        <v>78</v>
      </c>
      <c r="B35" s="190" t="s">
        <v>79</v>
      </c>
      <c r="C35" s="728" t="s">
        <v>268</v>
      </c>
      <c r="D35" s="645">
        <v>169</v>
      </c>
      <c r="E35" s="646">
        <v>151</v>
      </c>
      <c r="F35" s="646">
        <v>0</v>
      </c>
      <c r="G35" s="646">
        <v>0</v>
      </c>
      <c r="H35" s="646">
        <v>2</v>
      </c>
      <c r="I35" s="646">
        <v>0</v>
      </c>
      <c r="J35" s="646">
        <v>14</v>
      </c>
      <c r="K35" s="646">
        <v>1</v>
      </c>
      <c r="L35" s="271"/>
      <c r="M35" s="722">
        <f t="shared" si="2"/>
        <v>151</v>
      </c>
      <c r="N35" s="723">
        <f t="shared" si="3"/>
        <v>0</v>
      </c>
      <c r="O35" s="723">
        <f t="shared" si="4"/>
        <v>2</v>
      </c>
      <c r="Q35" s="704">
        <v>84</v>
      </c>
      <c r="R35" s="704">
        <v>69</v>
      </c>
      <c r="S35" s="704">
        <v>7</v>
      </c>
    </row>
    <row r="36" spans="1:19">
      <c r="A36" s="718" t="s">
        <v>80</v>
      </c>
      <c r="B36" s="190" t="s">
        <v>81</v>
      </c>
      <c r="C36" s="728" t="s">
        <v>266</v>
      </c>
      <c r="D36" s="645">
        <v>282</v>
      </c>
      <c r="E36" s="646">
        <v>207</v>
      </c>
      <c r="F36" s="646">
        <v>72</v>
      </c>
      <c r="G36" s="646">
        <v>0</v>
      </c>
      <c r="H36" s="646">
        <v>0</v>
      </c>
      <c r="I36" s="646">
        <v>0</v>
      </c>
      <c r="J36" s="646">
        <v>7</v>
      </c>
      <c r="K36" s="646">
        <v>0</v>
      </c>
      <c r="L36" s="271"/>
      <c r="M36" s="722">
        <f t="shared" si="2"/>
        <v>207</v>
      </c>
      <c r="N36" s="723">
        <f t="shared" si="3"/>
        <v>72</v>
      </c>
      <c r="O36" s="723">
        <f t="shared" si="4"/>
        <v>0</v>
      </c>
      <c r="Q36" s="704">
        <v>139</v>
      </c>
      <c r="R36" s="704">
        <v>107</v>
      </c>
      <c r="S36" s="704">
        <v>16</v>
      </c>
    </row>
    <row r="37" spans="1:19">
      <c r="A37" s="718" t="s">
        <v>84</v>
      </c>
      <c r="B37" s="190" t="s">
        <v>85</v>
      </c>
      <c r="C37" s="728" t="s">
        <v>265</v>
      </c>
      <c r="D37" s="645">
        <v>1201</v>
      </c>
      <c r="E37" s="646">
        <v>869</v>
      </c>
      <c r="F37" s="646">
        <v>113</v>
      </c>
      <c r="G37" s="646">
        <v>0</v>
      </c>
      <c r="H37" s="646">
        <v>2</v>
      </c>
      <c r="I37" s="646">
        <v>0</v>
      </c>
      <c r="J37" s="646">
        <v>54</v>
      </c>
      <c r="K37" s="646">
        <v>4</v>
      </c>
      <c r="L37" s="271"/>
      <c r="M37" s="722">
        <f t="shared" ref="M37:M68" si="5">E37</f>
        <v>869</v>
      </c>
      <c r="N37" s="723">
        <f t="shared" ref="N37:N68" si="6">F37</f>
        <v>113</v>
      </c>
      <c r="O37" s="723">
        <f t="shared" ref="O37:O68" si="7">SUM(G37:I37)</f>
        <v>2</v>
      </c>
      <c r="Q37" s="704">
        <v>548</v>
      </c>
      <c r="R37" s="704">
        <v>472</v>
      </c>
      <c r="S37" s="704">
        <v>54</v>
      </c>
    </row>
    <row r="38" spans="1:19">
      <c r="A38" s="718" t="s">
        <v>86</v>
      </c>
      <c r="B38" s="190" t="s">
        <v>87</v>
      </c>
      <c r="C38" s="728" t="s">
        <v>267</v>
      </c>
      <c r="D38" s="645">
        <v>1382</v>
      </c>
      <c r="E38" s="646">
        <v>1131</v>
      </c>
      <c r="F38" s="646">
        <v>126</v>
      </c>
      <c r="G38" s="646">
        <v>10</v>
      </c>
      <c r="H38" s="646">
        <v>6</v>
      </c>
      <c r="I38" s="646">
        <v>0</v>
      </c>
      <c r="J38" s="646">
        <v>118</v>
      </c>
      <c r="K38" s="646">
        <v>2</v>
      </c>
      <c r="L38" s="271"/>
      <c r="M38" s="722">
        <f t="shared" si="5"/>
        <v>1131</v>
      </c>
      <c r="N38" s="723">
        <f t="shared" si="6"/>
        <v>126</v>
      </c>
      <c r="O38" s="723">
        <f t="shared" si="7"/>
        <v>16</v>
      </c>
      <c r="Q38" s="704">
        <v>588</v>
      </c>
      <c r="R38" s="704">
        <v>553</v>
      </c>
      <c r="S38" s="704">
        <v>84</v>
      </c>
    </row>
    <row r="39" spans="1:19">
      <c r="A39" s="718" t="s">
        <v>92</v>
      </c>
      <c r="B39" s="190" t="s">
        <v>93</v>
      </c>
      <c r="C39" s="728" t="s">
        <v>268</v>
      </c>
      <c r="D39" s="645">
        <v>456</v>
      </c>
      <c r="E39" s="646">
        <v>439</v>
      </c>
      <c r="F39" s="646">
        <v>8</v>
      </c>
      <c r="G39" s="646">
        <v>0</v>
      </c>
      <c r="H39" s="646">
        <v>3</v>
      </c>
      <c r="I39" s="646">
        <v>0</v>
      </c>
      <c r="J39" s="646">
        <v>11</v>
      </c>
      <c r="K39" s="646">
        <v>0</v>
      </c>
      <c r="L39" s="271"/>
      <c r="M39" s="722">
        <f t="shared" si="5"/>
        <v>439</v>
      </c>
      <c r="N39" s="723">
        <f t="shared" si="6"/>
        <v>8</v>
      </c>
      <c r="O39" s="723">
        <f t="shared" si="7"/>
        <v>3</v>
      </c>
      <c r="Q39" s="704">
        <v>230</v>
      </c>
      <c r="R39" s="704">
        <v>145</v>
      </c>
      <c r="S39" s="704">
        <v>44</v>
      </c>
    </row>
    <row r="40" spans="1:19">
      <c r="A40" s="718" t="s">
        <v>94</v>
      </c>
      <c r="B40" s="190" t="s">
        <v>95</v>
      </c>
      <c r="C40" s="728" t="s">
        <v>264</v>
      </c>
      <c r="D40" s="645">
        <v>594</v>
      </c>
      <c r="E40" s="646">
        <v>483</v>
      </c>
      <c r="F40" s="646">
        <v>56</v>
      </c>
      <c r="G40" s="646">
        <v>0</v>
      </c>
      <c r="H40" s="646">
        <v>0</v>
      </c>
      <c r="I40" s="646">
        <v>1</v>
      </c>
      <c r="J40" s="646">
        <v>21</v>
      </c>
      <c r="K40" s="646">
        <v>1</v>
      </c>
      <c r="L40" s="271"/>
      <c r="M40" s="722">
        <f t="shared" si="5"/>
        <v>483</v>
      </c>
      <c r="N40" s="723">
        <f t="shared" si="6"/>
        <v>56</v>
      </c>
      <c r="O40" s="723">
        <f t="shared" si="7"/>
        <v>1</v>
      </c>
      <c r="Q40" s="704">
        <v>241</v>
      </c>
      <c r="R40" s="704">
        <v>228</v>
      </c>
      <c r="S40" s="704">
        <v>61</v>
      </c>
    </row>
    <row r="41" spans="1:19">
      <c r="A41" s="718" t="s">
        <v>96</v>
      </c>
      <c r="B41" s="190" t="s">
        <v>97</v>
      </c>
      <c r="C41" s="728" t="s">
        <v>266</v>
      </c>
      <c r="D41" s="645">
        <v>111</v>
      </c>
      <c r="E41" s="646">
        <v>71</v>
      </c>
      <c r="F41" s="646">
        <v>29</v>
      </c>
      <c r="G41" s="646">
        <v>1</v>
      </c>
      <c r="H41" s="646">
        <v>2</v>
      </c>
      <c r="I41" s="646">
        <v>0</v>
      </c>
      <c r="J41" s="646">
        <v>4</v>
      </c>
      <c r="K41" s="646">
        <v>0</v>
      </c>
      <c r="L41" s="271"/>
      <c r="M41" s="722">
        <f t="shared" si="5"/>
        <v>71</v>
      </c>
      <c r="N41" s="723">
        <f t="shared" si="6"/>
        <v>29</v>
      </c>
      <c r="O41" s="723">
        <f t="shared" si="7"/>
        <v>3</v>
      </c>
      <c r="Q41" s="704">
        <v>32</v>
      </c>
      <c r="R41" s="704">
        <v>58</v>
      </c>
      <c r="S41" s="704">
        <v>11</v>
      </c>
    </row>
    <row r="42" spans="1:19">
      <c r="A42" s="718" t="s">
        <v>98</v>
      </c>
      <c r="B42" s="190" t="s">
        <v>99</v>
      </c>
      <c r="C42" s="728" t="s">
        <v>268</v>
      </c>
      <c r="D42" s="645">
        <v>196</v>
      </c>
      <c r="E42" s="646">
        <v>191</v>
      </c>
      <c r="F42" s="646">
        <v>10</v>
      </c>
      <c r="G42" s="646">
        <v>0</v>
      </c>
      <c r="H42" s="646">
        <v>0</v>
      </c>
      <c r="I42" s="646">
        <v>0</v>
      </c>
      <c r="J42" s="646">
        <v>14</v>
      </c>
      <c r="K42" s="646">
        <v>1</v>
      </c>
      <c r="L42" s="271"/>
      <c r="M42" s="722">
        <f t="shared" si="5"/>
        <v>191</v>
      </c>
      <c r="N42" s="723">
        <f t="shared" si="6"/>
        <v>10</v>
      </c>
      <c r="O42" s="723">
        <f t="shared" si="7"/>
        <v>0</v>
      </c>
      <c r="Q42" s="704">
        <v>97</v>
      </c>
      <c r="R42" s="704">
        <v>80</v>
      </c>
      <c r="S42" s="704">
        <v>7</v>
      </c>
    </row>
    <row r="43" spans="1:19">
      <c r="A43" s="718" t="s">
        <v>100</v>
      </c>
      <c r="B43" s="190" t="s">
        <v>101</v>
      </c>
      <c r="C43" s="728" t="s">
        <v>267</v>
      </c>
      <c r="D43" s="645">
        <v>136</v>
      </c>
      <c r="E43" s="646">
        <v>106</v>
      </c>
      <c r="F43" s="646">
        <v>17</v>
      </c>
      <c r="G43" s="646">
        <v>1</v>
      </c>
      <c r="H43" s="646">
        <v>3</v>
      </c>
      <c r="I43" s="646">
        <v>0</v>
      </c>
      <c r="J43" s="646">
        <v>6</v>
      </c>
      <c r="K43" s="646">
        <v>0</v>
      </c>
      <c r="L43" s="271"/>
      <c r="M43" s="722">
        <f t="shared" si="5"/>
        <v>106</v>
      </c>
      <c r="N43" s="723">
        <f t="shared" si="6"/>
        <v>17</v>
      </c>
      <c r="O43" s="723">
        <f t="shared" si="7"/>
        <v>4</v>
      </c>
      <c r="Q43" s="704">
        <v>48</v>
      </c>
      <c r="R43" s="704">
        <v>75</v>
      </c>
      <c r="S43" s="704">
        <v>6</v>
      </c>
    </row>
    <row r="44" spans="1:19">
      <c r="A44" s="718" t="s">
        <v>102</v>
      </c>
      <c r="B44" s="190" t="s">
        <v>282</v>
      </c>
      <c r="C44" s="728" t="s">
        <v>264</v>
      </c>
      <c r="D44" s="645">
        <v>226</v>
      </c>
      <c r="E44" s="646">
        <v>52</v>
      </c>
      <c r="F44" s="646">
        <v>157</v>
      </c>
      <c r="G44" s="646">
        <v>0</v>
      </c>
      <c r="H44" s="646">
        <v>0</v>
      </c>
      <c r="I44" s="646">
        <v>0</v>
      </c>
      <c r="J44" s="646">
        <v>12</v>
      </c>
      <c r="K44" s="646">
        <v>0</v>
      </c>
      <c r="L44" s="271"/>
      <c r="M44" s="722">
        <f t="shared" si="5"/>
        <v>52</v>
      </c>
      <c r="N44" s="723">
        <f t="shared" si="6"/>
        <v>157</v>
      </c>
      <c r="O44" s="723">
        <f t="shared" si="7"/>
        <v>0</v>
      </c>
      <c r="Q44" s="704">
        <v>113</v>
      </c>
      <c r="R44" s="704">
        <v>86</v>
      </c>
      <c r="S44" s="704">
        <v>15</v>
      </c>
    </row>
    <row r="45" spans="1:19">
      <c r="A45" s="718" t="s">
        <v>104</v>
      </c>
      <c r="B45" s="190" t="s">
        <v>105</v>
      </c>
      <c r="C45" s="728" t="s">
        <v>265</v>
      </c>
      <c r="D45" s="645">
        <v>400</v>
      </c>
      <c r="E45" s="646">
        <v>238</v>
      </c>
      <c r="F45" s="646">
        <v>169</v>
      </c>
      <c r="G45" s="646">
        <v>0</v>
      </c>
      <c r="H45" s="646">
        <v>1</v>
      </c>
      <c r="I45" s="646">
        <v>0</v>
      </c>
      <c r="J45" s="646">
        <v>1</v>
      </c>
      <c r="K45" s="646">
        <v>1</v>
      </c>
      <c r="L45" s="271"/>
      <c r="M45" s="722">
        <f t="shared" si="5"/>
        <v>238</v>
      </c>
      <c r="N45" s="723">
        <f t="shared" si="6"/>
        <v>169</v>
      </c>
      <c r="O45" s="723">
        <f t="shared" si="7"/>
        <v>1</v>
      </c>
      <c r="Q45" s="704">
        <v>196</v>
      </c>
      <c r="R45" s="704">
        <v>148</v>
      </c>
      <c r="S45" s="704">
        <v>26</v>
      </c>
    </row>
    <row r="46" spans="1:19">
      <c r="A46" s="718" t="s">
        <v>108</v>
      </c>
      <c r="B46" s="190" t="s">
        <v>109</v>
      </c>
      <c r="C46" s="728" t="s">
        <v>266</v>
      </c>
      <c r="D46" s="645">
        <v>650</v>
      </c>
      <c r="E46" s="646">
        <v>548</v>
      </c>
      <c r="F46" s="646">
        <v>109</v>
      </c>
      <c r="G46" s="646">
        <v>3</v>
      </c>
      <c r="H46" s="646">
        <v>1</v>
      </c>
      <c r="I46" s="646">
        <v>0</v>
      </c>
      <c r="J46" s="646">
        <v>30</v>
      </c>
      <c r="K46" s="646">
        <v>3</v>
      </c>
      <c r="L46" s="271"/>
      <c r="M46" s="722">
        <f t="shared" si="5"/>
        <v>548</v>
      </c>
      <c r="N46" s="723">
        <f t="shared" si="6"/>
        <v>109</v>
      </c>
      <c r="O46" s="723">
        <f t="shared" si="7"/>
        <v>4</v>
      </c>
      <c r="Q46" s="704">
        <v>292</v>
      </c>
      <c r="R46" s="704">
        <v>238</v>
      </c>
      <c r="S46" s="704">
        <v>57</v>
      </c>
    </row>
    <row r="47" spans="1:19">
      <c r="A47" s="718" t="s">
        <v>110</v>
      </c>
      <c r="B47" s="190" t="s">
        <v>111</v>
      </c>
      <c r="C47" s="728" t="s">
        <v>266</v>
      </c>
      <c r="D47" s="645">
        <v>2595</v>
      </c>
      <c r="E47" s="646">
        <v>1187</v>
      </c>
      <c r="F47" s="646">
        <v>1402</v>
      </c>
      <c r="G47" s="646">
        <v>33</v>
      </c>
      <c r="H47" s="646">
        <v>7</v>
      </c>
      <c r="I47" s="646">
        <v>16</v>
      </c>
      <c r="J47" s="646">
        <v>169</v>
      </c>
      <c r="K47" s="646">
        <v>2</v>
      </c>
      <c r="L47" s="271"/>
      <c r="M47" s="722">
        <f t="shared" si="5"/>
        <v>1187</v>
      </c>
      <c r="N47" s="723">
        <f t="shared" si="6"/>
        <v>1402</v>
      </c>
      <c r="O47" s="723">
        <f t="shared" si="7"/>
        <v>56</v>
      </c>
      <c r="Q47" s="704">
        <v>1183</v>
      </c>
      <c r="R47" s="704">
        <v>956</v>
      </c>
      <c r="S47" s="704">
        <v>193</v>
      </c>
    </row>
    <row r="48" spans="1:19">
      <c r="A48" s="718" t="s">
        <v>112</v>
      </c>
      <c r="B48" s="190" t="s">
        <v>300</v>
      </c>
      <c r="C48" s="728" t="s">
        <v>265</v>
      </c>
      <c r="D48" s="645">
        <v>1132</v>
      </c>
      <c r="E48" s="646">
        <v>734</v>
      </c>
      <c r="F48" s="646">
        <v>287</v>
      </c>
      <c r="G48" s="646">
        <v>0</v>
      </c>
      <c r="H48" s="646">
        <v>6</v>
      </c>
      <c r="I48" s="646">
        <v>4</v>
      </c>
      <c r="J48" s="646">
        <v>86</v>
      </c>
      <c r="K48" s="646">
        <v>8</v>
      </c>
      <c r="L48" s="271"/>
      <c r="M48" s="722">
        <f t="shared" si="5"/>
        <v>734</v>
      </c>
      <c r="N48" s="723">
        <f t="shared" si="6"/>
        <v>287</v>
      </c>
      <c r="O48" s="723">
        <f t="shared" si="7"/>
        <v>10</v>
      </c>
      <c r="Q48" s="704">
        <v>622</v>
      </c>
      <c r="R48" s="704">
        <v>374</v>
      </c>
      <c r="S48" s="704">
        <v>51</v>
      </c>
    </row>
    <row r="49" spans="1:19">
      <c r="A49" s="718" t="s">
        <v>114</v>
      </c>
      <c r="B49" s="190" t="s">
        <v>115</v>
      </c>
      <c r="C49" s="728" t="s">
        <v>265</v>
      </c>
      <c r="D49" s="645">
        <v>27</v>
      </c>
      <c r="E49" s="646">
        <v>27</v>
      </c>
      <c r="F49" s="646">
        <v>0</v>
      </c>
      <c r="G49" s="646">
        <v>0</v>
      </c>
      <c r="H49" s="646">
        <v>0</v>
      </c>
      <c r="I49" s="646">
        <v>1</v>
      </c>
      <c r="J49" s="646">
        <v>0</v>
      </c>
      <c r="K49" s="646">
        <v>0</v>
      </c>
      <c r="L49" s="271"/>
      <c r="M49" s="722">
        <f t="shared" si="5"/>
        <v>27</v>
      </c>
      <c r="N49" s="723">
        <f t="shared" si="6"/>
        <v>0</v>
      </c>
      <c r="O49" s="723">
        <f t="shared" si="7"/>
        <v>1</v>
      </c>
      <c r="Q49" s="704">
        <v>9</v>
      </c>
      <c r="R49" s="704">
        <v>12</v>
      </c>
      <c r="S49" s="704">
        <v>2</v>
      </c>
    </row>
    <row r="50" spans="1:19">
      <c r="A50" s="718" t="s">
        <v>118</v>
      </c>
      <c r="B50" s="190" t="s">
        <v>270</v>
      </c>
      <c r="C50" s="728" t="s">
        <v>264</v>
      </c>
      <c r="D50" s="645">
        <v>317</v>
      </c>
      <c r="E50" s="646">
        <v>221</v>
      </c>
      <c r="F50" s="646">
        <v>106</v>
      </c>
      <c r="G50" s="646">
        <v>5</v>
      </c>
      <c r="H50" s="646">
        <v>1</v>
      </c>
      <c r="I50" s="646">
        <v>5</v>
      </c>
      <c r="J50" s="646">
        <v>6</v>
      </c>
      <c r="K50" s="646">
        <v>0</v>
      </c>
      <c r="L50" s="271"/>
      <c r="M50" s="722">
        <f t="shared" si="5"/>
        <v>221</v>
      </c>
      <c r="N50" s="723">
        <f t="shared" si="6"/>
        <v>106</v>
      </c>
      <c r="O50" s="723">
        <f t="shared" si="7"/>
        <v>11</v>
      </c>
      <c r="Q50" s="704">
        <v>143</v>
      </c>
      <c r="R50" s="704">
        <v>111</v>
      </c>
      <c r="S50" s="704">
        <v>20</v>
      </c>
    </row>
    <row r="51" spans="1:19">
      <c r="A51" s="718" t="s">
        <v>120</v>
      </c>
      <c r="B51" s="190" t="s">
        <v>121</v>
      </c>
      <c r="C51" s="728" t="s">
        <v>264</v>
      </c>
      <c r="D51" s="645">
        <v>716</v>
      </c>
      <c r="E51" s="646">
        <v>410</v>
      </c>
      <c r="F51" s="646">
        <v>301</v>
      </c>
      <c r="G51" s="646">
        <v>2</v>
      </c>
      <c r="H51" s="646">
        <v>3</v>
      </c>
      <c r="I51" s="646">
        <v>1</v>
      </c>
      <c r="J51" s="646">
        <v>80</v>
      </c>
      <c r="K51" s="646">
        <v>2</v>
      </c>
      <c r="L51" s="271"/>
      <c r="M51" s="722">
        <f t="shared" si="5"/>
        <v>410</v>
      </c>
      <c r="N51" s="723">
        <f t="shared" si="6"/>
        <v>301</v>
      </c>
      <c r="O51" s="723">
        <f t="shared" si="7"/>
        <v>6</v>
      </c>
      <c r="Q51" s="704">
        <v>329</v>
      </c>
      <c r="R51" s="704">
        <v>278</v>
      </c>
      <c r="S51" s="704">
        <v>46</v>
      </c>
    </row>
    <row r="52" spans="1:19">
      <c r="A52" s="718" t="s">
        <v>122</v>
      </c>
      <c r="B52" s="190" t="s">
        <v>287</v>
      </c>
      <c r="C52" s="728" t="s">
        <v>266</v>
      </c>
      <c r="D52" s="645">
        <v>96</v>
      </c>
      <c r="E52" s="646">
        <v>67</v>
      </c>
      <c r="F52" s="646">
        <v>26</v>
      </c>
      <c r="G52" s="646">
        <v>0</v>
      </c>
      <c r="H52" s="646">
        <v>0</v>
      </c>
      <c r="I52" s="646">
        <v>0</v>
      </c>
      <c r="J52" s="646">
        <v>4</v>
      </c>
      <c r="K52" s="646">
        <v>0</v>
      </c>
      <c r="L52" s="271"/>
      <c r="M52" s="722">
        <f t="shared" si="5"/>
        <v>67</v>
      </c>
      <c r="N52" s="723">
        <f t="shared" si="6"/>
        <v>26</v>
      </c>
      <c r="O52" s="723">
        <f t="shared" si="7"/>
        <v>0</v>
      </c>
      <c r="Q52" s="704">
        <v>36</v>
      </c>
      <c r="R52" s="704">
        <v>27</v>
      </c>
      <c r="S52" s="704">
        <v>7</v>
      </c>
    </row>
    <row r="53" spans="1:19">
      <c r="A53" s="718" t="s">
        <v>124</v>
      </c>
      <c r="B53" s="190" t="s">
        <v>125</v>
      </c>
      <c r="C53" s="728" t="s">
        <v>267</v>
      </c>
      <c r="D53" s="645">
        <v>206</v>
      </c>
      <c r="E53" s="646">
        <v>151</v>
      </c>
      <c r="F53" s="646">
        <v>61</v>
      </c>
      <c r="G53" s="646">
        <v>2</v>
      </c>
      <c r="H53" s="646">
        <v>1</v>
      </c>
      <c r="I53" s="646">
        <v>0</v>
      </c>
      <c r="J53" s="646">
        <v>9</v>
      </c>
      <c r="K53" s="646">
        <v>0</v>
      </c>
      <c r="L53" s="271"/>
      <c r="M53" s="722">
        <f t="shared" si="5"/>
        <v>151</v>
      </c>
      <c r="N53" s="723">
        <f t="shared" si="6"/>
        <v>61</v>
      </c>
      <c r="O53" s="723">
        <f t="shared" si="7"/>
        <v>3</v>
      </c>
      <c r="Q53" s="704">
        <v>79</v>
      </c>
      <c r="R53" s="704">
        <v>80</v>
      </c>
      <c r="S53" s="704">
        <v>15</v>
      </c>
    </row>
    <row r="54" spans="1:19">
      <c r="A54" s="718" t="s">
        <v>126</v>
      </c>
      <c r="B54" s="190" t="s">
        <v>127</v>
      </c>
      <c r="C54" s="728" t="s">
        <v>266</v>
      </c>
      <c r="D54" s="645">
        <v>189</v>
      </c>
      <c r="E54" s="646">
        <v>161</v>
      </c>
      <c r="F54" s="646">
        <v>42</v>
      </c>
      <c r="G54" s="646">
        <v>1</v>
      </c>
      <c r="H54" s="646">
        <v>1</v>
      </c>
      <c r="I54" s="646">
        <v>0</v>
      </c>
      <c r="J54" s="646">
        <v>6</v>
      </c>
      <c r="K54" s="646">
        <v>0</v>
      </c>
      <c r="L54" s="271"/>
      <c r="M54" s="722">
        <f t="shared" si="5"/>
        <v>161</v>
      </c>
      <c r="N54" s="723">
        <f t="shared" si="6"/>
        <v>42</v>
      </c>
      <c r="O54" s="723">
        <f t="shared" si="7"/>
        <v>2</v>
      </c>
      <c r="Q54" s="704">
        <v>85</v>
      </c>
      <c r="R54" s="704">
        <v>77</v>
      </c>
      <c r="S54" s="704">
        <v>12</v>
      </c>
    </row>
    <row r="55" spans="1:19">
      <c r="A55" s="718" t="s">
        <v>128</v>
      </c>
      <c r="B55" s="190" t="s">
        <v>129</v>
      </c>
      <c r="C55" s="728" t="s">
        <v>266</v>
      </c>
      <c r="D55" s="645">
        <v>122</v>
      </c>
      <c r="E55" s="646">
        <v>49</v>
      </c>
      <c r="F55" s="646">
        <v>69</v>
      </c>
      <c r="G55" s="646">
        <v>1</v>
      </c>
      <c r="H55" s="646">
        <v>0</v>
      </c>
      <c r="I55" s="646">
        <v>0</v>
      </c>
      <c r="J55" s="646">
        <v>1</v>
      </c>
      <c r="K55" s="646">
        <v>0</v>
      </c>
      <c r="L55" s="271"/>
      <c r="M55" s="722">
        <f t="shared" si="5"/>
        <v>49</v>
      </c>
      <c r="N55" s="723">
        <f t="shared" si="6"/>
        <v>69</v>
      </c>
      <c r="O55" s="723">
        <f t="shared" si="7"/>
        <v>1</v>
      </c>
      <c r="Q55" s="704">
        <v>47</v>
      </c>
      <c r="R55" s="704">
        <v>44</v>
      </c>
      <c r="S55" s="704">
        <v>5</v>
      </c>
    </row>
    <row r="56" spans="1:19">
      <c r="A56" s="718" t="s">
        <v>130</v>
      </c>
      <c r="B56" s="190" t="s">
        <v>131</v>
      </c>
      <c r="C56" s="728" t="s">
        <v>268</v>
      </c>
      <c r="D56" s="645">
        <v>769</v>
      </c>
      <c r="E56" s="646">
        <v>744</v>
      </c>
      <c r="F56" s="646">
        <v>7</v>
      </c>
      <c r="G56" s="646">
        <v>3</v>
      </c>
      <c r="H56" s="646">
        <v>17</v>
      </c>
      <c r="I56" s="646">
        <v>0</v>
      </c>
      <c r="J56" s="646">
        <v>8</v>
      </c>
      <c r="K56" s="646">
        <v>1</v>
      </c>
      <c r="L56" s="271"/>
      <c r="M56" s="722">
        <f t="shared" si="5"/>
        <v>744</v>
      </c>
      <c r="N56" s="723">
        <f t="shared" si="6"/>
        <v>7</v>
      </c>
      <c r="O56" s="723">
        <f t="shared" si="7"/>
        <v>20</v>
      </c>
      <c r="Q56" s="704">
        <v>405</v>
      </c>
      <c r="R56" s="704">
        <v>277</v>
      </c>
      <c r="S56" s="704">
        <v>58</v>
      </c>
    </row>
    <row r="57" spans="1:19">
      <c r="A57" s="718" t="s">
        <v>132</v>
      </c>
      <c r="B57" s="190" t="s">
        <v>133</v>
      </c>
      <c r="C57" s="728" t="s">
        <v>267</v>
      </c>
      <c r="D57" s="645">
        <v>2645</v>
      </c>
      <c r="E57" s="646">
        <v>314</v>
      </c>
      <c r="F57" s="646">
        <v>90</v>
      </c>
      <c r="G57" s="646">
        <v>38</v>
      </c>
      <c r="H57" s="646">
        <v>0</v>
      </c>
      <c r="I57" s="646">
        <v>0</v>
      </c>
      <c r="J57" s="646">
        <v>600</v>
      </c>
      <c r="K57" s="646">
        <v>2</v>
      </c>
      <c r="L57" s="271"/>
      <c r="M57" s="722">
        <f t="shared" si="5"/>
        <v>314</v>
      </c>
      <c r="N57" s="723">
        <f t="shared" si="6"/>
        <v>90</v>
      </c>
      <c r="O57" s="723">
        <f t="shared" si="7"/>
        <v>38</v>
      </c>
      <c r="Q57" s="704">
        <v>943</v>
      </c>
      <c r="R57" s="704">
        <v>1015</v>
      </c>
      <c r="S57" s="704">
        <v>221</v>
      </c>
    </row>
    <row r="58" spans="1:19">
      <c r="A58" s="718" t="s">
        <v>134</v>
      </c>
      <c r="B58" s="190" t="s">
        <v>135</v>
      </c>
      <c r="C58" s="728" t="s">
        <v>267</v>
      </c>
      <c r="D58" s="645">
        <v>497</v>
      </c>
      <c r="E58" s="646">
        <v>432</v>
      </c>
      <c r="F58" s="646">
        <v>71</v>
      </c>
      <c r="G58" s="646">
        <v>0</v>
      </c>
      <c r="H58" s="646">
        <v>2</v>
      </c>
      <c r="I58" s="646">
        <v>0</v>
      </c>
      <c r="J58" s="646">
        <v>7</v>
      </c>
      <c r="K58" s="646">
        <v>1</v>
      </c>
      <c r="L58" s="271"/>
      <c r="M58" s="722">
        <f t="shared" si="5"/>
        <v>432</v>
      </c>
      <c r="N58" s="723">
        <f t="shared" si="6"/>
        <v>71</v>
      </c>
      <c r="O58" s="723">
        <f t="shared" si="7"/>
        <v>2</v>
      </c>
      <c r="Q58" s="704">
        <v>223</v>
      </c>
      <c r="R58" s="704">
        <v>209</v>
      </c>
      <c r="S58" s="704">
        <v>38</v>
      </c>
    </row>
    <row r="59" spans="1:19">
      <c r="A59" s="718" t="s">
        <v>136</v>
      </c>
      <c r="B59" s="190" t="s">
        <v>137</v>
      </c>
      <c r="C59" s="728" t="s">
        <v>266</v>
      </c>
      <c r="D59" s="645">
        <v>85</v>
      </c>
      <c r="E59" s="646">
        <v>44</v>
      </c>
      <c r="F59" s="646">
        <v>39</v>
      </c>
      <c r="G59" s="646">
        <v>1</v>
      </c>
      <c r="H59" s="646">
        <v>1</v>
      </c>
      <c r="I59" s="646">
        <v>0</v>
      </c>
      <c r="J59" s="646">
        <v>0</v>
      </c>
      <c r="K59" s="646">
        <v>0</v>
      </c>
      <c r="L59" s="271"/>
      <c r="M59" s="722">
        <f t="shared" si="5"/>
        <v>44</v>
      </c>
      <c r="N59" s="723">
        <f t="shared" si="6"/>
        <v>39</v>
      </c>
      <c r="O59" s="723">
        <f t="shared" si="7"/>
        <v>2</v>
      </c>
      <c r="Q59" s="704">
        <v>43</v>
      </c>
      <c r="R59" s="704">
        <v>32</v>
      </c>
      <c r="S59" s="704">
        <v>7</v>
      </c>
    </row>
    <row r="60" spans="1:19">
      <c r="A60" s="718" t="s">
        <v>140</v>
      </c>
      <c r="B60" s="190" t="s">
        <v>141</v>
      </c>
      <c r="C60" s="728" t="s">
        <v>267</v>
      </c>
      <c r="D60" s="645">
        <v>183</v>
      </c>
      <c r="E60" s="646">
        <v>141</v>
      </c>
      <c r="F60" s="646">
        <v>18</v>
      </c>
      <c r="G60" s="646">
        <v>0</v>
      </c>
      <c r="H60" s="646">
        <v>1</v>
      </c>
      <c r="I60" s="646">
        <v>0</v>
      </c>
      <c r="J60" s="646">
        <v>3</v>
      </c>
      <c r="K60" s="646">
        <v>0</v>
      </c>
      <c r="L60" s="271"/>
      <c r="M60" s="722">
        <f t="shared" si="5"/>
        <v>141</v>
      </c>
      <c r="N60" s="723">
        <f t="shared" si="6"/>
        <v>18</v>
      </c>
      <c r="O60" s="723">
        <f t="shared" si="7"/>
        <v>1</v>
      </c>
      <c r="Q60" s="704">
        <v>66</v>
      </c>
      <c r="R60" s="704">
        <v>76</v>
      </c>
      <c r="S60" s="704">
        <v>14</v>
      </c>
    </row>
    <row r="61" spans="1:19">
      <c r="A61" s="718" t="s">
        <v>146</v>
      </c>
      <c r="B61" s="190" t="s">
        <v>147</v>
      </c>
      <c r="C61" s="728" t="s">
        <v>264</v>
      </c>
      <c r="D61" s="645">
        <v>178</v>
      </c>
      <c r="E61" s="646">
        <v>135</v>
      </c>
      <c r="F61" s="646">
        <v>25</v>
      </c>
      <c r="G61" s="646">
        <v>1</v>
      </c>
      <c r="H61" s="646">
        <v>2</v>
      </c>
      <c r="I61" s="646">
        <v>0</v>
      </c>
      <c r="J61" s="646">
        <v>14</v>
      </c>
      <c r="K61" s="646">
        <v>2</v>
      </c>
      <c r="L61" s="271"/>
      <c r="M61" s="722">
        <f t="shared" si="5"/>
        <v>135</v>
      </c>
      <c r="N61" s="723">
        <f t="shared" si="6"/>
        <v>25</v>
      </c>
      <c r="O61" s="723">
        <f t="shared" si="7"/>
        <v>3</v>
      </c>
      <c r="Q61" s="704">
        <v>74</v>
      </c>
      <c r="R61" s="704">
        <v>61</v>
      </c>
      <c r="S61" s="704">
        <v>4</v>
      </c>
    </row>
    <row r="62" spans="1:19">
      <c r="A62" s="718" t="s">
        <v>148</v>
      </c>
      <c r="B62" s="190" t="s">
        <v>149</v>
      </c>
      <c r="C62" s="728" t="s">
        <v>265</v>
      </c>
      <c r="D62" s="645">
        <v>307</v>
      </c>
      <c r="E62" s="646">
        <v>160</v>
      </c>
      <c r="F62" s="646">
        <v>147</v>
      </c>
      <c r="G62" s="646">
        <v>0</v>
      </c>
      <c r="H62" s="646">
        <v>1</v>
      </c>
      <c r="I62" s="646">
        <v>0</v>
      </c>
      <c r="J62" s="646">
        <v>2</v>
      </c>
      <c r="K62" s="646">
        <v>0</v>
      </c>
      <c r="L62" s="271"/>
      <c r="M62" s="722">
        <f t="shared" si="5"/>
        <v>160</v>
      </c>
      <c r="N62" s="723">
        <f t="shared" si="6"/>
        <v>147</v>
      </c>
      <c r="O62" s="723">
        <f t="shared" si="7"/>
        <v>1</v>
      </c>
      <c r="Q62" s="704">
        <v>154</v>
      </c>
      <c r="R62" s="704">
        <v>118</v>
      </c>
      <c r="S62" s="704">
        <v>24</v>
      </c>
    </row>
    <row r="63" spans="1:19">
      <c r="A63" s="718" t="s">
        <v>150</v>
      </c>
      <c r="B63" s="190" t="s">
        <v>151</v>
      </c>
      <c r="C63" s="728" t="s">
        <v>266</v>
      </c>
      <c r="D63" s="645">
        <v>245</v>
      </c>
      <c r="E63" s="646">
        <v>158</v>
      </c>
      <c r="F63" s="646">
        <v>31</v>
      </c>
      <c r="G63" s="646">
        <v>0</v>
      </c>
      <c r="H63" s="646">
        <v>0</v>
      </c>
      <c r="I63" s="646">
        <v>0</v>
      </c>
      <c r="J63" s="646">
        <v>14</v>
      </c>
      <c r="K63" s="646">
        <v>0</v>
      </c>
      <c r="L63" s="271"/>
      <c r="M63" s="722">
        <f t="shared" si="5"/>
        <v>158</v>
      </c>
      <c r="N63" s="723">
        <f t="shared" si="6"/>
        <v>31</v>
      </c>
      <c r="O63" s="723">
        <f t="shared" si="7"/>
        <v>0</v>
      </c>
      <c r="Q63" s="704">
        <v>109</v>
      </c>
      <c r="R63" s="704">
        <v>92</v>
      </c>
      <c r="S63" s="704">
        <v>10</v>
      </c>
    </row>
    <row r="64" spans="1:19">
      <c r="A64" s="718" t="s">
        <v>152</v>
      </c>
      <c r="B64" s="190" t="s">
        <v>153</v>
      </c>
      <c r="C64" s="728" t="s">
        <v>268</v>
      </c>
      <c r="D64" s="645">
        <v>774</v>
      </c>
      <c r="E64" s="646">
        <v>708</v>
      </c>
      <c r="F64" s="646">
        <v>56</v>
      </c>
      <c r="G64" s="646">
        <v>5</v>
      </c>
      <c r="H64" s="646">
        <v>1</v>
      </c>
      <c r="I64" s="646">
        <v>0</v>
      </c>
      <c r="J64" s="646">
        <v>16</v>
      </c>
      <c r="K64" s="646">
        <v>0</v>
      </c>
      <c r="L64" s="271"/>
      <c r="M64" s="722">
        <f t="shared" si="5"/>
        <v>708</v>
      </c>
      <c r="N64" s="723">
        <f t="shared" si="6"/>
        <v>56</v>
      </c>
      <c r="O64" s="723">
        <f t="shared" si="7"/>
        <v>6</v>
      </c>
      <c r="Q64" s="704">
        <v>378</v>
      </c>
      <c r="R64" s="704">
        <v>237</v>
      </c>
      <c r="S64" s="704">
        <v>47</v>
      </c>
    </row>
    <row r="65" spans="1:19">
      <c r="A65" s="718" t="s">
        <v>154</v>
      </c>
      <c r="B65" s="190" t="s">
        <v>155</v>
      </c>
      <c r="C65" s="728" t="s">
        <v>265</v>
      </c>
      <c r="D65" s="645">
        <v>225</v>
      </c>
      <c r="E65" s="646">
        <v>197</v>
      </c>
      <c r="F65" s="646">
        <v>42</v>
      </c>
      <c r="G65" s="646">
        <v>0</v>
      </c>
      <c r="H65" s="646">
        <v>2</v>
      </c>
      <c r="I65" s="646">
        <v>0</v>
      </c>
      <c r="J65" s="646">
        <v>11</v>
      </c>
      <c r="K65" s="646">
        <v>0</v>
      </c>
      <c r="L65" s="271"/>
      <c r="M65" s="722">
        <f t="shared" si="5"/>
        <v>197</v>
      </c>
      <c r="N65" s="723">
        <f t="shared" si="6"/>
        <v>42</v>
      </c>
      <c r="O65" s="723">
        <f t="shared" si="7"/>
        <v>2</v>
      </c>
      <c r="Q65" s="704">
        <v>107</v>
      </c>
      <c r="R65" s="704">
        <v>101</v>
      </c>
      <c r="S65" s="704">
        <v>11</v>
      </c>
    </row>
    <row r="66" spans="1:19">
      <c r="A66" s="718" t="s">
        <v>156</v>
      </c>
      <c r="B66" s="190" t="s">
        <v>157</v>
      </c>
      <c r="C66" s="728" t="s">
        <v>266</v>
      </c>
      <c r="D66" s="645">
        <v>132</v>
      </c>
      <c r="E66" s="646">
        <v>89</v>
      </c>
      <c r="F66" s="646">
        <v>23</v>
      </c>
      <c r="G66" s="646">
        <v>1</v>
      </c>
      <c r="H66" s="646">
        <v>0</v>
      </c>
      <c r="I66" s="646">
        <v>0</v>
      </c>
      <c r="J66" s="646">
        <v>5</v>
      </c>
      <c r="K66" s="646">
        <v>0</v>
      </c>
      <c r="L66" s="271"/>
      <c r="M66" s="722">
        <f t="shared" si="5"/>
        <v>89</v>
      </c>
      <c r="N66" s="723">
        <f t="shared" si="6"/>
        <v>23</v>
      </c>
      <c r="O66" s="723">
        <f t="shared" si="7"/>
        <v>1</v>
      </c>
      <c r="Q66" s="704">
        <v>37</v>
      </c>
      <c r="R66" s="704">
        <v>67</v>
      </c>
      <c r="S66" s="704">
        <v>9</v>
      </c>
    </row>
    <row r="67" spans="1:19">
      <c r="A67" s="718" t="s">
        <v>162</v>
      </c>
      <c r="B67" s="190" t="s">
        <v>163</v>
      </c>
      <c r="C67" s="728" t="s">
        <v>264</v>
      </c>
      <c r="D67" s="645">
        <v>43</v>
      </c>
      <c r="E67" s="646">
        <v>17</v>
      </c>
      <c r="F67" s="646">
        <v>24</v>
      </c>
      <c r="G67" s="646">
        <v>0</v>
      </c>
      <c r="H67" s="646">
        <v>0</v>
      </c>
      <c r="I67" s="646">
        <v>1</v>
      </c>
      <c r="J67" s="646">
        <v>1</v>
      </c>
      <c r="K67" s="646">
        <v>0</v>
      </c>
      <c r="L67" s="271"/>
      <c r="M67" s="722">
        <f t="shared" si="5"/>
        <v>17</v>
      </c>
      <c r="N67" s="723">
        <f t="shared" si="6"/>
        <v>24</v>
      </c>
      <c r="O67" s="723">
        <f t="shared" si="7"/>
        <v>1</v>
      </c>
      <c r="Q67" s="704">
        <v>15</v>
      </c>
      <c r="R67" s="704">
        <v>20</v>
      </c>
      <c r="S67" s="704">
        <v>3</v>
      </c>
    </row>
    <row r="68" spans="1:19">
      <c r="A68" s="718" t="s">
        <v>164</v>
      </c>
      <c r="B68" s="190" t="s">
        <v>165</v>
      </c>
      <c r="C68" s="728" t="s">
        <v>266</v>
      </c>
      <c r="D68" s="645">
        <v>155</v>
      </c>
      <c r="E68" s="646">
        <v>89</v>
      </c>
      <c r="F68" s="646">
        <v>69</v>
      </c>
      <c r="G68" s="646">
        <v>0</v>
      </c>
      <c r="H68" s="646">
        <v>1</v>
      </c>
      <c r="I68" s="646">
        <v>0</v>
      </c>
      <c r="J68" s="646">
        <v>9</v>
      </c>
      <c r="K68" s="646">
        <v>1</v>
      </c>
      <c r="L68" s="271"/>
      <c r="M68" s="722">
        <f t="shared" si="5"/>
        <v>89</v>
      </c>
      <c r="N68" s="723">
        <f t="shared" si="6"/>
        <v>69</v>
      </c>
      <c r="O68" s="723">
        <f t="shared" si="7"/>
        <v>1</v>
      </c>
      <c r="Q68" s="704">
        <v>76</v>
      </c>
      <c r="R68" s="704">
        <v>53</v>
      </c>
      <c r="S68" s="704">
        <v>5</v>
      </c>
    </row>
    <row r="69" spans="1:19">
      <c r="A69" s="718" t="s">
        <v>168</v>
      </c>
      <c r="B69" s="190" t="s">
        <v>169</v>
      </c>
      <c r="C69" s="728" t="s">
        <v>266</v>
      </c>
      <c r="D69" s="645">
        <v>73</v>
      </c>
      <c r="E69" s="646">
        <v>40</v>
      </c>
      <c r="F69" s="646">
        <v>30</v>
      </c>
      <c r="G69" s="646">
        <v>0</v>
      </c>
      <c r="H69" s="646">
        <v>0</v>
      </c>
      <c r="I69" s="646">
        <v>0</v>
      </c>
      <c r="J69" s="646">
        <v>3</v>
      </c>
      <c r="K69" s="646">
        <v>0</v>
      </c>
      <c r="L69" s="271"/>
      <c r="M69" s="722">
        <f t="shared" ref="M69:M100" si="8">E69</f>
        <v>40</v>
      </c>
      <c r="N69" s="723">
        <f t="shared" ref="N69:N100" si="9">F69</f>
        <v>30</v>
      </c>
      <c r="O69" s="723">
        <f t="shared" ref="O69:O100" si="10">SUM(G69:I69)</f>
        <v>0</v>
      </c>
      <c r="Q69" s="704">
        <v>38</v>
      </c>
      <c r="R69" s="704">
        <v>23</v>
      </c>
      <c r="S69" s="704">
        <v>7</v>
      </c>
    </row>
    <row r="70" spans="1:19">
      <c r="A70" s="718" t="s">
        <v>170</v>
      </c>
      <c r="B70" s="190" t="s">
        <v>171</v>
      </c>
      <c r="C70" s="728" t="s">
        <v>267</v>
      </c>
      <c r="D70" s="645">
        <v>383</v>
      </c>
      <c r="E70" s="646">
        <v>289</v>
      </c>
      <c r="F70" s="646">
        <v>85</v>
      </c>
      <c r="G70" s="646">
        <v>4</v>
      </c>
      <c r="H70" s="646">
        <v>4</v>
      </c>
      <c r="I70" s="646">
        <v>11</v>
      </c>
      <c r="J70" s="646">
        <v>19</v>
      </c>
      <c r="K70" s="646">
        <v>1</v>
      </c>
      <c r="L70" s="271"/>
      <c r="M70" s="722">
        <f t="shared" si="8"/>
        <v>289</v>
      </c>
      <c r="N70" s="723">
        <f t="shared" si="9"/>
        <v>85</v>
      </c>
      <c r="O70" s="723">
        <f t="shared" si="10"/>
        <v>19</v>
      </c>
      <c r="Q70" s="704">
        <v>185</v>
      </c>
      <c r="R70" s="704">
        <v>138</v>
      </c>
      <c r="S70" s="704">
        <v>20</v>
      </c>
    </row>
    <row r="71" spans="1:19">
      <c r="A71" s="718" t="s">
        <v>172</v>
      </c>
      <c r="B71" s="190" t="s">
        <v>173</v>
      </c>
      <c r="C71" s="728" t="s">
        <v>267</v>
      </c>
      <c r="D71" s="645">
        <v>216</v>
      </c>
      <c r="E71" s="646">
        <v>199</v>
      </c>
      <c r="F71" s="646">
        <v>4</v>
      </c>
      <c r="G71" s="646">
        <v>0</v>
      </c>
      <c r="H71" s="646">
        <v>3</v>
      </c>
      <c r="I71" s="646">
        <v>0</v>
      </c>
      <c r="J71" s="646">
        <v>4</v>
      </c>
      <c r="K71" s="646">
        <v>0</v>
      </c>
      <c r="L71" s="271"/>
      <c r="M71" s="722">
        <f t="shared" si="8"/>
        <v>199</v>
      </c>
      <c r="N71" s="723">
        <f t="shared" si="9"/>
        <v>4</v>
      </c>
      <c r="O71" s="723">
        <f t="shared" si="10"/>
        <v>3</v>
      </c>
      <c r="Q71" s="704">
        <v>104</v>
      </c>
      <c r="R71" s="704">
        <v>75</v>
      </c>
      <c r="S71" s="704">
        <v>11</v>
      </c>
    </row>
    <row r="72" spans="1:19">
      <c r="A72" s="718" t="s">
        <v>174</v>
      </c>
      <c r="B72" s="190" t="s">
        <v>175</v>
      </c>
      <c r="C72" s="728" t="s">
        <v>268</v>
      </c>
      <c r="D72" s="645">
        <v>296</v>
      </c>
      <c r="E72" s="646">
        <v>275</v>
      </c>
      <c r="F72" s="646">
        <v>29</v>
      </c>
      <c r="G72" s="646">
        <v>0</v>
      </c>
      <c r="H72" s="646">
        <v>0</v>
      </c>
      <c r="I72" s="646">
        <v>0</v>
      </c>
      <c r="J72" s="646">
        <v>3</v>
      </c>
      <c r="K72" s="646">
        <v>0</v>
      </c>
      <c r="L72" s="271"/>
      <c r="M72" s="722">
        <f t="shared" si="8"/>
        <v>275</v>
      </c>
      <c r="N72" s="723">
        <f t="shared" si="9"/>
        <v>29</v>
      </c>
      <c r="O72" s="723">
        <f t="shared" si="10"/>
        <v>0</v>
      </c>
      <c r="Q72" s="704">
        <v>170</v>
      </c>
      <c r="R72" s="704">
        <v>101</v>
      </c>
      <c r="S72" s="704">
        <v>16</v>
      </c>
    </row>
    <row r="73" spans="1:19">
      <c r="A73" s="718" t="s">
        <v>178</v>
      </c>
      <c r="B73" s="190" t="s">
        <v>179</v>
      </c>
      <c r="C73" s="728" t="s">
        <v>265</v>
      </c>
      <c r="D73" s="645">
        <v>784</v>
      </c>
      <c r="E73" s="646">
        <v>613</v>
      </c>
      <c r="F73" s="646">
        <v>179</v>
      </c>
      <c r="G73" s="646">
        <v>2</v>
      </c>
      <c r="H73" s="646">
        <v>1</v>
      </c>
      <c r="I73" s="646">
        <v>0</v>
      </c>
      <c r="J73" s="646">
        <v>22</v>
      </c>
      <c r="K73" s="646">
        <v>0</v>
      </c>
      <c r="L73" s="271"/>
      <c r="M73" s="722">
        <f t="shared" si="8"/>
        <v>613</v>
      </c>
      <c r="N73" s="723">
        <f t="shared" si="9"/>
        <v>179</v>
      </c>
      <c r="O73" s="723">
        <f t="shared" si="10"/>
        <v>3</v>
      </c>
      <c r="Q73" s="704">
        <v>323</v>
      </c>
      <c r="R73" s="704">
        <v>302</v>
      </c>
      <c r="S73" s="704">
        <v>44</v>
      </c>
    </row>
    <row r="74" spans="1:19">
      <c r="A74" s="718" t="s">
        <v>182</v>
      </c>
      <c r="B74" s="190" t="s">
        <v>183</v>
      </c>
      <c r="C74" s="728" t="s">
        <v>266</v>
      </c>
      <c r="D74" s="645">
        <v>104</v>
      </c>
      <c r="E74" s="646">
        <v>82</v>
      </c>
      <c r="F74" s="646">
        <v>13</v>
      </c>
      <c r="G74" s="646">
        <v>1</v>
      </c>
      <c r="H74" s="646">
        <v>0</v>
      </c>
      <c r="I74" s="646">
        <v>0</v>
      </c>
      <c r="J74" s="646">
        <v>0</v>
      </c>
      <c r="K74" s="646">
        <v>0</v>
      </c>
      <c r="L74" s="271"/>
      <c r="M74" s="722">
        <f t="shared" si="8"/>
        <v>82</v>
      </c>
      <c r="N74" s="723">
        <f t="shared" si="9"/>
        <v>13</v>
      </c>
      <c r="O74" s="723">
        <f t="shared" si="10"/>
        <v>1</v>
      </c>
      <c r="Q74" s="704">
        <v>37</v>
      </c>
      <c r="R74" s="704">
        <v>34</v>
      </c>
      <c r="S74" s="704">
        <v>6</v>
      </c>
    </row>
    <row r="75" spans="1:19">
      <c r="A75" s="718" t="s">
        <v>184</v>
      </c>
      <c r="B75" s="190" t="s">
        <v>185</v>
      </c>
      <c r="C75" s="728" t="s">
        <v>266</v>
      </c>
      <c r="D75" s="645">
        <v>206</v>
      </c>
      <c r="E75" s="646">
        <v>122</v>
      </c>
      <c r="F75" s="646">
        <v>76</v>
      </c>
      <c r="G75" s="646">
        <v>2</v>
      </c>
      <c r="H75" s="646">
        <v>0</v>
      </c>
      <c r="I75" s="646">
        <v>0</v>
      </c>
      <c r="J75" s="646">
        <v>5</v>
      </c>
      <c r="K75" s="646">
        <v>0</v>
      </c>
      <c r="L75" s="271"/>
      <c r="M75" s="722">
        <f t="shared" si="8"/>
        <v>122</v>
      </c>
      <c r="N75" s="723">
        <f t="shared" si="9"/>
        <v>76</v>
      </c>
      <c r="O75" s="723">
        <f t="shared" si="10"/>
        <v>2</v>
      </c>
      <c r="Q75" s="704">
        <v>105</v>
      </c>
      <c r="R75" s="704">
        <v>75</v>
      </c>
      <c r="S75" s="704">
        <v>13</v>
      </c>
    </row>
    <row r="76" spans="1:19">
      <c r="A76" s="718" t="s">
        <v>186</v>
      </c>
      <c r="B76" s="190" t="s">
        <v>187</v>
      </c>
      <c r="C76" s="728" t="s">
        <v>264</v>
      </c>
      <c r="D76" s="645">
        <v>276</v>
      </c>
      <c r="E76" s="646">
        <v>155</v>
      </c>
      <c r="F76" s="646">
        <v>86</v>
      </c>
      <c r="G76" s="646">
        <v>5</v>
      </c>
      <c r="H76" s="646">
        <v>1</v>
      </c>
      <c r="I76" s="646">
        <v>1</v>
      </c>
      <c r="J76" s="646">
        <v>22</v>
      </c>
      <c r="K76" s="646">
        <v>0</v>
      </c>
      <c r="L76" s="271"/>
      <c r="M76" s="722">
        <f t="shared" si="8"/>
        <v>155</v>
      </c>
      <c r="N76" s="723">
        <f t="shared" si="9"/>
        <v>86</v>
      </c>
      <c r="O76" s="723">
        <f t="shared" si="10"/>
        <v>7</v>
      </c>
      <c r="Q76" s="704">
        <v>137</v>
      </c>
      <c r="R76" s="704">
        <v>91</v>
      </c>
      <c r="S76" s="704">
        <v>32</v>
      </c>
    </row>
    <row r="77" spans="1:19">
      <c r="A77" s="718" t="s">
        <v>188</v>
      </c>
      <c r="B77" s="190" t="s">
        <v>189</v>
      </c>
      <c r="C77" s="728" t="s">
        <v>267</v>
      </c>
      <c r="D77" s="645">
        <v>5795</v>
      </c>
      <c r="E77" s="646">
        <v>3502</v>
      </c>
      <c r="F77" s="646">
        <v>2058</v>
      </c>
      <c r="G77" s="646">
        <v>216</v>
      </c>
      <c r="H77" s="646">
        <v>27</v>
      </c>
      <c r="I77" s="646">
        <v>22</v>
      </c>
      <c r="J77" s="646">
        <v>1558</v>
      </c>
      <c r="K77" s="646">
        <v>20</v>
      </c>
      <c r="L77" s="271"/>
      <c r="M77" s="722">
        <f t="shared" si="8"/>
        <v>3502</v>
      </c>
      <c r="N77" s="723">
        <f t="shared" si="9"/>
        <v>2058</v>
      </c>
      <c r="O77" s="723">
        <f t="shared" si="10"/>
        <v>265</v>
      </c>
      <c r="Q77" s="704">
        <v>2346</v>
      </c>
      <c r="R77" s="704">
        <v>2396</v>
      </c>
      <c r="S77" s="704">
        <v>456</v>
      </c>
    </row>
    <row r="78" spans="1:19">
      <c r="A78" s="718" t="s">
        <v>190</v>
      </c>
      <c r="B78" s="190" t="s">
        <v>191</v>
      </c>
      <c r="C78" s="728" t="s">
        <v>268</v>
      </c>
      <c r="D78" s="645">
        <v>997</v>
      </c>
      <c r="E78" s="646">
        <v>913</v>
      </c>
      <c r="F78" s="646">
        <v>147</v>
      </c>
      <c r="G78" s="646">
        <v>0</v>
      </c>
      <c r="H78" s="646">
        <v>2</v>
      </c>
      <c r="I78" s="646">
        <v>1</v>
      </c>
      <c r="J78" s="646">
        <v>27</v>
      </c>
      <c r="K78" s="646">
        <v>1</v>
      </c>
      <c r="L78" s="271"/>
      <c r="M78" s="722">
        <f t="shared" si="8"/>
        <v>913</v>
      </c>
      <c r="N78" s="723">
        <f t="shared" si="9"/>
        <v>147</v>
      </c>
      <c r="O78" s="723">
        <f t="shared" si="10"/>
        <v>3</v>
      </c>
      <c r="Q78" s="704">
        <v>519</v>
      </c>
      <c r="R78" s="704">
        <v>395</v>
      </c>
      <c r="S78" s="704">
        <v>54</v>
      </c>
    </row>
    <row r="79" spans="1:19">
      <c r="A79" s="718" t="s">
        <v>194</v>
      </c>
      <c r="B79" s="190" t="s">
        <v>195</v>
      </c>
      <c r="C79" s="728" t="s">
        <v>267</v>
      </c>
      <c r="D79" s="645">
        <v>78</v>
      </c>
      <c r="E79" s="646">
        <v>77</v>
      </c>
      <c r="F79" s="646">
        <v>0</v>
      </c>
      <c r="G79" s="646">
        <v>0</v>
      </c>
      <c r="H79" s="646">
        <v>0</v>
      </c>
      <c r="I79" s="646">
        <v>0</v>
      </c>
      <c r="J79" s="646">
        <v>1</v>
      </c>
      <c r="K79" s="646">
        <v>0</v>
      </c>
      <c r="L79" s="271"/>
      <c r="M79" s="722">
        <f t="shared" si="8"/>
        <v>77</v>
      </c>
      <c r="N79" s="723">
        <f t="shared" si="9"/>
        <v>0</v>
      </c>
      <c r="O79" s="723">
        <f t="shared" si="10"/>
        <v>0</v>
      </c>
      <c r="Q79" s="704">
        <v>38</v>
      </c>
      <c r="R79" s="704">
        <v>31</v>
      </c>
      <c r="S79" s="704">
        <v>7</v>
      </c>
    </row>
    <row r="80" spans="1:19">
      <c r="A80" s="718" t="s">
        <v>198</v>
      </c>
      <c r="B80" s="190" t="s">
        <v>272</v>
      </c>
      <c r="C80" s="728" t="s">
        <v>266</v>
      </c>
      <c r="D80" s="645">
        <v>28</v>
      </c>
      <c r="E80" s="646">
        <v>16</v>
      </c>
      <c r="F80" s="646">
        <v>11</v>
      </c>
      <c r="G80" s="646">
        <v>0</v>
      </c>
      <c r="H80" s="646">
        <v>1</v>
      </c>
      <c r="I80" s="646">
        <v>0</v>
      </c>
      <c r="J80" s="646">
        <v>2</v>
      </c>
      <c r="K80" s="646">
        <v>0</v>
      </c>
      <c r="L80" s="271"/>
      <c r="M80" s="722">
        <f t="shared" si="8"/>
        <v>16</v>
      </c>
      <c r="N80" s="723">
        <f t="shared" si="9"/>
        <v>11</v>
      </c>
      <c r="O80" s="723">
        <f t="shared" si="10"/>
        <v>1</v>
      </c>
      <c r="Q80" s="704">
        <v>9</v>
      </c>
      <c r="R80" s="704">
        <v>15</v>
      </c>
      <c r="S80" s="704">
        <v>1</v>
      </c>
    </row>
    <row r="81" spans="1:19">
      <c r="A81" s="718" t="s">
        <v>202</v>
      </c>
      <c r="B81" s="190" t="s">
        <v>301</v>
      </c>
      <c r="C81" s="728" t="s">
        <v>265</v>
      </c>
      <c r="D81" s="645">
        <v>1379</v>
      </c>
      <c r="E81" s="646">
        <v>1105</v>
      </c>
      <c r="F81" s="646">
        <v>217</v>
      </c>
      <c r="G81" s="646">
        <v>20</v>
      </c>
      <c r="H81" s="646">
        <v>1</v>
      </c>
      <c r="I81" s="646">
        <v>0</v>
      </c>
      <c r="J81" s="646">
        <v>46</v>
      </c>
      <c r="K81" s="646">
        <v>6</v>
      </c>
      <c r="L81" s="271"/>
      <c r="M81" s="722">
        <f t="shared" si="8"/>
        <v>1105</v>
      </c>
      <c r="N81" s="723">
        <f t="shared" si="9"/>
        <v>217</v>
      </c>
      <c r="O81" s="723">
        <f t="shared" si="10"/>
        <v>21</v>
      </c>
      <c r="Q81" s="704">
        <v>612</v>
      </c>
      <c r="R81" s="704">
        <v>523</v>
      </c>
      <c r="S81" s="704">
        <v>115</v>
      </c>
    </row>
    <row r="82" spans="1:19">
      <c r="A82" s="718" t="s">
        <v>204</v>
      </c>
      <c r="B82" s="190" t="s">
        <v>293</v>
      </c>
      <c r="C82" s="728" t="s">
        <v>265</v>
      </c>
      <c r="D82" s="645">
        <v>292</v>
      </c>
      <c r="E82" s="646">
        <v>242</v>
      </c>
      <c r="F82" s="646">
        <v>18</v>
      </c>
      <c r="G82" s="646">
        <v>0</v>
      </c>
      <c r="H82" s="646">
        <v>3</v>
      </c>
      <c r="I82" s="646">
        <v>0</v>
      </c>
      <c r="J82" s="646">
        <v>2</v>
      </c>
      <c r="K82" s="646">
        <v>0</v>
      </c>
      <c r="L82" s="271"/>
      <c r="M82" s="722">
        <f t="shared" si="8"/>
        <v>242</v>
      </c>
      <c r="N82" s="723">
        <f t="shared" si="9"/>
        <v>18</v>
      </c>
      <c r="O82" s="723">
        <f t="shared" si="10"/>
        <v>3</v>
      </c>
      <c r="Q82" s="704">
        <v>162</v>
      </c>
      <c r="R82" s="704">
        <v>88</v>
      </c>
      <c r="S82" s="704">
        <v>11</v>
      </c>
    </row>
    <row r="83" spans="1:19">
      <c r="A83" s="718" t="s">
        <v>206</v>
      </c>
      <c r="B83" s="190" t="s">
        <v>294</v>
      </c>
      <c r="C83" s="728" t="s">
        <v>267</v>
      </c>
      <c r="D83" s="645">
        <v>2315</v>
      </c>
      <c r="E83" s="646">
        <v>2118</v>
      </c>
      <c r="F83" s="646">
        <v>173</v>
      </c>
      <c r="G83" s="646">
        <v>18</v>
      </c>
      <c r="H83" s="646">
        <v>7</v>
      </c>
      <c r="I83" s="646">
        <v>1</v>
      </c>
      <c r="J83" s="646">
        <v>391</v>
      </c>
      <c r="K83" s="646">
        <v>0</v>
      </c>
      <c r="L83" s="271"/>
      <c r="M83" s="722">
        <f t="shared" si="8"/>
        <v>2118</v>
      </c>
      <c r="N83" s="723">
        <f t="shared" si="9"/>
        <v>173</v>
      </c>
      <c r="O83" s="723">
        <f t="shared" si="10"/>
        <v>26</v>
      </c>
      <c r="Q83" s="704">
        <v>978</v>
      </c>
      <c r="R83" s="704">
        <v>930</v>
      </c>
      <c r="S83" s="704">
        <v>150</v>
      </c>
    </row>
    <row r="84" spans="1:19">
      <c r="A84" s="718" t="s">
        <v>208</v>
      </c>
      <c r="B84" s="190" t="s">
        <v>209</v>
      </c>
      <c r="C84" s="728" t="s">
        <v>268</v>
      </c>
      <c r="D84" s="645">
        <v>591</v>
      </c>
      <c r="E84" s="646">
        <v>528</v>
      </c>
      <c r="F84" s="646">
        <v>6</v>
      </c>
      <c r="G84" s="646">
        <v>0</v>
      </c>
      <c r="H84" s="646">
        <v>0</v>
      </c>
      <c r="I84" s="646">
        <v>1</v>
      </c>
      <c r="J84" s="646">
        <v>1</v>
      </c>
      <c r="K84" s="646">
        <v>0</v>
      </c>
      <c r="L84" s="271"/>
      <c r="M84" s="722">
        <f t="shared" si="8"/>
        <v>528</v>
      </c>
      <c r="N84" s="723">
        <f t="shared" si="9"/>
        <v>6</v>
      </c>
      <c r="O84" s="723">
        <f t="shared" si="10"/>
        <v>1</v>
      </c>
      <c r="Q84" s="704">
        <v>309</v>
      </c>
      <c r="R84" s="704">
        <v>199</v>
      </c>
      <c r="S84" s="704">
        <v>28</v>
      </c>
    </row>
    <row r="85" spans="1:19">
      <c r="A85" s="718" t="s">
        <v>210</v>
      </c>
      <c r="B85" s="190" t="s">
        <v>211</v>
      </c>
      <c r="C85" s="728" t="s">
        <v>268</v>
      </c>
      <c r="D85" s="645">
        <v>359</v>
      </c>
      <c r="E85" s="646">
        <v>329</v>
      </c>
      <c r="F85" s="646">
        <v>13</v>
      </c>
      <c r="G85" s="646">
        <v>0</v>
      </c>
      <c r="H85" s="646">
        <v>0</v>
      </c>
      <c r="I85" s="646">
        <v>0</v>
      </c>
      <c r="J85" s="646">
        <v>4</v>
      </c>
      <c r="K85" s="646">
        <v>0</v>
      </c>
      <c r="L85" s="271"/>
      <c r="M85" s="722">
        <f t="shared" si="8"/>
        <v>329</v>
      </c>
      <c r="N85" s="723">
        <f t="shared" si="9"/>
        <v>13</v>
      </c>
      <c r="O85" s="723">
        <f t="shared" si="10"/>
        <v>0</v>
      </c>
      <c r="Q85" s="704">
        <v>183</v>
      </c>
      <c r="R85" s="704">
        <v>138</v>
      </c>
      <c r="S85" s="704">
        <v>18</v>
      </c>
    </row>
    <row r="86" spans="1:19">
      <c r="A86" s="718" t="s">
        <v>212</v>
      </c>
      <c r="B86" s="190" t="s">
        <v>213</v>
      </c>
      <c r="C86" s="728" t="s">
        <v>267</v>
      </c>
      <c r="D86" s="645">
        <v>757</v>
      </c>
      <c r="E86" s="646">
        <v>709</v>
      </c>
      <c r="F86" s="646">
        <v>36</v>
      </c>
      <c r="G86" s="646">
        <v>1</v>
      </c>
      <c r="H86" s="646">
        <v>0</v>
      </c>
      <c r="I86" s="646">
        <v>0</v>
      </c>
      <c r="J86" s="646">
        <v>48</v>
      </c>
      <c r="K86" s="646">
        <v>2</v>
      </c>
      <c r="L86" s="271"/>
      <c r="M86" s="722">
        <f t="shared" si="8"/>
        <v>709</v>
      </c>
      <c r="N86" s="723">
        <f t="shared" si="9"/>
        <v>36</v>
      </c>
      <c r="O86" s="723">
        <f t="shared" si="10"/>
        <v>1</v>
      </c>
      <c r="Q86" s="704">
        <v>361</v>
      </c>
      <c r="R86" s="704">
        <v>296</v>
      </c>
      <c r="S86" s="704">
        <v>47</v>
      </c>
    </row>
    <row r="87" spans="1:19">
      <c r="A87" s="718" t="s">
        <v>214</v>
      </c>
      <c r="B87" s="190" t="s">
        <v>215</v>
      </c>
      <c r="C87" s="728" t="s">
        <v>268</v>
      </c>
      <c r="D87" s="645">
        <v>967</v>
      </c>
      <c r="E87" s="646">
        <v>937</v>
      </c>
      <c r="F87" s="646">
        <v>35</v>
      </c>
      <c r="G87" s="646">
        <v>0</v>
      </c>
      <c r="H87" s="646">
        <v>3</v>
      </c>
      <c r="I87" s="646">
        <v>1</v>
      </c>
      <c r="J87" s="646">
        <v>10</v>
      </c>
      <c r="K87" s="646">
        <v>0</v>
      </c>
      <c r="L87" s="271"/>
      <c r="M87" s="722">
        <f t="shared" si="8"/>
        <v>937</v>
      </c>
      <c r="N87" s="723">
        <f t="shared" si="9"/>
        <v>35</v>
      </c>
      <c r="O87" s="723">
        <f t="shared" si="10"/>
        <v>4</v>
      </c>
      <c r="Q87" s="704">
        <v>447</v>
      </c>
      <c r="R87" s="704">
        <v>271</v>
      </c>
      <c r="S87" s="704">
        <v>51</v>
      </c>
    </row>
    <row r="88" spans="1:19">
      <c r="A88" s="718" t="s">
        <v>216</v>
      </c>
      <c r="B88" s="190" t="s">
        <v>217</v>
      </c>
      <c r="C88" s="728" t="s">
        <v>264</v>
      </c>
      <c r="D88" s="645">
        <v>94</v>
      </c>
      <c r="E88" s="646">
        <v>48</v>
      </c>
      <c r="F88" s="646">
        <v>42</v>
      </c>
      <c r="G88" s="646">
        <v>2</v>
      </c>
      <c r="H88" s="646">
        <v>1</v>
      </c>
      <c r="I88" s="646">
        <v>0</v>
      </c>
      <c r="J88" s="646">
        <v>0</v>
      </c>
      <c r="K88" s="646">
        <v>0</v>
      </c>
      <c r="L88" s="271"/>
      <c r="M88" s="722">
        <f t="shared" si="8"/>
        <v>48</v>
      </c>
      <c r="N88" s="723">
        <f t="shared" si="9"/>
        <v>42</v>
      </c>
      <c r="O88" s="723">
        <f t="shared" si="10"/>
        <v>3</v>
      </c>
      <c r="Q88" s="704">
        <v>43</v>
      </c>
      <c r="R88" s="704">
        <v>34</v>
      </c>
      <c r="S88" s="704">
        <v>4</v>
      </c>
    </row>
    <row r="89" spans="1:19">
      <c r="A89" s="718" t="s">
        <v>218</v>
      </c>
      <c r="B89" s="190" t="s">
        <v>219</v>
      </c>
      <c r="C89" s="728" t="s">
        <v>267</v>
      </c>
      <c r="D89" s="645">
        <v>1498</v>
      </c>
      <c r="E89" s="646">
        <v>858</v>
      </c>
      <c r="F89" s="646">
        <v>255</v>
      </c>
      <c r="G89" s="646">
        <v>7</v>
      </c>
      <c r="H89" s="646">
        <v>4</v>
      </c>
      <c r="I89" s="646">
        <v>1</v>
      </c>
      <c r="J89" s="646">
        <v>94</v>
      </c>
      <c r="K89" s="646">
        <v>1</v>
      </c>
      <c r="L89" s="271"/>
      <c r="M89" s="722">
        <f t="shared" si="8"/>
        <v>858</v>
      </c>
      <c r="N89" s="723">
        <f t="shared" si="9"/>
        <v>255</v>
      </c>
      <c r="O89" s="723">
        <f t="shared" si="10"/>
        <v>12</v>
      </c>
      <c r="Q89" s="704">
        <v>605</v>
      </c>
      <c r="R89" s="704">
        <v>584</v>
      </c>
      <c r="S89" s="704">
        <v>110</v>
      </c>
    </row>
    <row r="90" spans="1:19">
      <c r="A90" s="718" t="s">
        <v>220</v>
      </c>
      <c r="B90" s="190" t="s">
        <v>221</v>
      </c>
      <c r="C90" s="728" t="s">
        <v>267</v>
      </c>
      <c r="D90" s="645">
        <v>1089</v>
      </c>
      <c r="E90" s="646">
        <v>775</v>
      </c>
      <c r="F90" s="646">
        <v>319</v>
      </c>
      <c r="G90" s="646">
        <v>10</v>
      </c>
      <c r="H90" s="646">
        <v>22</v>
      </c>
      <c r="I90" s="646">
        <v>1</v>
      </c>
      <c r="J90" s="646">
        <v>119</v>
      </c>
      <c r="K90" s="646">
        <v>0</v>
      </c>
      <c r="L90" s="271"/>
      <c r="M90" s="722">
        <f t="shared" si="8"/>
        <v>775</v>
      </c>
      <c r="N90" s="723">
        <f t="shared" si="9"/>
        <v>319</v>
      </c>
      <c r="O90" s="723">
        <f t="shared" si="10"/>
        <v>33</v>
      </c>
      <c r="Q90" s="704">
        <v>508</v>
      </c>
      <c r="R90" s="704">
        <v>371</v>
      </c>
      <c r="S90" s="704">
        <v>69</v>
      </c>
    </row>
    <row r="91" spans="1:19">
      <c r="A91" s="718" t="s">
        <v>224</v>
      </c>
      <c r="B91" s="190" t="s">
        <v>225</v>
      </c>
      <c r="C91" s="728" t="s">
        <v>264</v>
      </c>
      <c r="D91" s="645">
        <v>54</v>
      </c>
      <c r="E91" s="646">
        <v>34</v>
      </c>
      <c r="F91" s="646">
        <v>19</v>
      </c>
      <c r="G91" s="646">
        <v>0</v>
      </c>
      <c r="H91" s="646">
        <v>0</v>
      </c>
      <c r="I91" s="646">
        <v>0</v>
      </c>
      <c r="J91" s="646">
        <v>0</v>
      </c>
      <c r="K91" s="646">
        <v>0</v>
      </c>
      <c r="L91" s="271"/>
      <c r="M91" s="722">
        <f t="shared" si="8"/>
        <v>34</v>
      </c>
      <c r="N91" s="723">
        <f t="shared" si="9"/>
        <v>19</v>
      </c>
      <c r="O91" s="723">
        <f t="shared" si="10"/>
        <v>0</v>
      </c>
      <c r="Q91" s="704">
        <v>25</v>
      </c>
      <c r="R91" s="704">
        <v>23</v>
      </c>
      <c r="S91" s="704">
        <v>4</v>
      </c>
    </row>
    <row r="92" spans="1:19">
      <c r="A92" s="718" t="s">
        <v>226</v>
      </c>
      <c r="B92" s="190" t="s">
        <v>227</v>
      </c>
      <c r="C92" s="728" t="s">
        <v>264</v>
      </c>
      <c r="D92" s="645">
        <v>56</v>
      </c>
      <c r="E92" s="646">
        <v>29</v>
      </c>
      <c r="F92" s="646">
        <v>32</v>
      </c>
      <c r="G92" s="646">
        <v>0</v>
      </c>
      <c r="H92" s="646">
        <v>0</v>
      </c>
      <c r="I92" s="646">
        <v>0</v>
      </c>
      <c r="J92" s="646">
        <v>0</v>
      </c>
      <c r="K92" s="646">
        <v>0</v>
      </c>
      <c r="L92" s="271"/>
      <c r="M92" s="722">
        <f t="shared" si="8"/>
        <v>29</v>
      </c>
      <c r="N92" s="723">
        <f t="shared" si="9"/>
        <v>32</v>
      </c>
      <c r="O92" s="723">
        <f t="shared" si="10"/>
        <v>0</v>
      </c>
      <c r="Q92" s="704">
        <v>30</v>
      </c>
      <c r="R92" s="704">
        <v>22</v>
      </c>
      <c r="S92" s="704">
        <v>3</v>
      </c>
    </row>
    <row r="93" spans="1:19">
      <c r="A93" s="718" t="s">
        <v>228</v>
      </c>
      <c r="B93" s="190" t="s">
        <v>229</v>
      </c>
      <c r="C93" s="728" t="s">
        <v>268</v>
      </c>
      <c r="D93" s="645">
        <v>502</v>
      </c>
      <c r="E93" s="646">
        <v>493</v>
      </c>
      <c r="F93" s="646">
        <v>27</v>
      </c>
      <c r="G93" s="646">
        <v>0</v>
      </c>
      <c r="H93" s="646">
        <v>0</v>
      </c>
      <c r="I93" s="646">
        <v>0</v>
      </c>
      <c r="J93" s="646">
        <v>5</v>
      </c>
      <c r="K93" s="646">
        <v>0</v>
      </c>
      <c r="L93" s="271"/>
      <c r="M93" s="722">
        <f t="shared" si="8"/>
        <v>493</v>
      </c>
      <c r="N93" s="723">
        <f t="shared" si="9"/>
        <v>27</v>
      </c>
      <c r="O93" s="723">
        <f t="shared" si="10"/>
        <v>0</v>
      </c>
      <c r="Q93" s="704">
        <v>285</v>
      </c>
      <c r="R93" s="704">
        <v>170</v>
      </c>
      <c r="S93" s="704">
        <v>20</v>
      </c>
    </row>
    <row r="94" spans="1:19">
      <c r="A94" s="718" t="s">
        <v>232</v>
      </c>
      <c r="B94" s="190" t="s">
        <v>233</v>
      </c>
      <c r="C94" s="728" t="s">
        <v>267</v>
      </c>
      <c r="D94" s="645">
        <v>747</v>
      </c>
      <c r="E94" s="646">
        <v>613</v>
      </c>
      <c r="F94" s="646">
        <v>54</v>
      </c>
      <c r="G94" s="646">
        <v>1</v>
      </c>
      <c r="H94" s="646">
        <v>0</v>
      </c>
      <c r="I94" s="646">
        <v>0</v>
      </c>
      <c r="J94" s="646">
        <v>50</v>
      </c>
      <c r="K94" s="646">
        <v>7</v>
      </c>
      <c r="L94" s="271"/>
      <c r="M94" s="722">
        <f t="shared" si="8"/>
        <v>613</v>
      </c>
      <c r="N94" s="723">
        <f t="shared" si="9"/>
        <v>54</v>
      </c>
      <c r="O94" s="723">
        <f t="shared" si="10"/>
        <v>1</v>
      </c>
      <c r="Q94" s="704">
        <v>365</v>
      </c>
      <c r="R94" s="704">
        <v>269</v>
      </c>
      <c r="S94" s="704">
        <v>29</v>
      </c>
    </row>
    <row r="95" spans="1:19">
      <c r="A95" s="718" t="s">
        <v>234</v>
      </c>
      <c r="B95" s="190" t="s">
        <v>235</v>
      </c>
      <c r="C95" s="728" t="s">
        <v>268</v>
      </c>
      <c r="D95" s="645">
        <v>684</v>
      </c>
      <c r="E95" s="646">
        <v>643</v>
      </c>
      <c r="F95" s="646">
        <v>13</v>
      </c>
      <c r="G95" s="646">
        <v>1</v>
      </c>
      <c r="H95" s="646">
        <v>25</v>
      </c>
      <c r="I95" s="646">
        <v>0</v>
      </c>
      <c r="J95" s="646">
        <v>20</v>
      </c>
      <c r="K95" s="646">
        <v>0</v>
      </c>
      <c r="L95" s="271"/>
      <c r="M95" s="722">
        <f t="shared" si="8"/>
        <v>643</v>
      </c>
      <c r="N95" s="723">
        <f t="shared" si="9"/>
        <v>13</v>
      </c>
      <c r="O95" s="723">
        <f t="shared" si="10"/>
        <v>26</v>
      </c>
      <c r="Q95" s="704">
        <v>260</v>
      </c>
      <c r="R95" s="704">
        <v>218</v>
      </c>
      <c r="S95" s="704">
        <v>40</v>
      </c>
    </row>
    <row r="96" spans="1:19">
      <c r="A96" s="718" t="s">
        <v>236</v>
      </c>
      <c r="B96" s="190" t="s">
        <v>237</v>
      </c>
      <c r="C96" s="728" t="s">
        <v>266</v>
      </c>
      <c r="D96" s="645">
        <v>235</v>
      </c>
      <c r="E96" s="646">
        <v>139</v>
      </c>
      <c r="F96" s="646">
        <v>76</v>
      </c>
      <c r="G96" s="646">
        <v>0</v>
      </c>
      <c r="H96" s="646">
        <v>0</v>
      </c>
      <c r="I96" s="646">
        <v>0</v>
      </c>
      <c r="J96" s="646">
        <v>17</v>
      </c>
      <c r="K96" s="646">
        <v>0</v>
      </c>
      <c r="L96" s="271"/>
      <c r="M96" s="722">
        <f t="shared" si="8"/>
        <v>139</v>
      </c>
      <c r="N96" s="723">
        <f t="shared" si="9"/>
        <v>76</v>
      </c>
      <c r="O96" s="723">
        <f t="shared" si="10"/>
        <v>0</v>
      </c>
      <c r="Q96" s="704">
        <v>123</v>
      </c>
      <c r="R96" s="704">
        <v>63</v>
      </c>
      <c r="S96" s="704">
        <v>13</v>
      </c>
    </row>
    <row r="97" spans="1:19">
      <c r="A97" s="718" t="s">
        <v>242</v>
      </c>
      <c r="B97" s="190" t="s">
        <v>243</v>
      </c>
      <c r="C97" s="728" t="s">
        <v>268</v>
      </c>
      <c r="D97" s="645">
        <v>1284</v>
      </c>
      <c r="E97" s="646">
        <v>1268</v>
      </c>
      <c r="F97" s="646">
        <v>38</v>
      </c>
      <c r="G97" s="646">
        <v>0</v>
      </c>
      <c r="H97" s="646">
        <v>5</v>
      </c>
      <c r="I97" s="646">
        <v>0</v>
      </c>
      <c r="J97" s="646">
        <v>13</v>
      </c>
      <c r="K97" s="646">
        <v>0</v>
      </c>
      <c r="L97" s="271"/>
      <c r="M97" s="722">
        <f t="shared" si="8"/>
        <v>1268</v>
      </c>
      <c r="N97" s="723">
        <f t="shared" si="9"/>
        <v>38</v>
      </c>
      <c r="O97" s="723">
        <f t="shared" si="10"/>
        <v>5</v>
      </c>
      <c r="Q97" s="704">
        <v>689</v>
      </c>
      <c r="R97" s="704">
        <v>453</v>
      </c>
      <c r="S97" s="704">
        <v>77</v>
      </c>
    </row>
    <row r="98" spans="1:19">
      <c r="A98" s="718" t="s">
        <v>244</v>
      </c>
      <c r="B98" s="190" t="s">
        <v>245</v>
      </c>
      <c r="C98" s="728" t="s">
        <v>268</v>
      </c>
      <c r="D98" s="645">
        <v>604</v>
      </c>
      <c r="E98" s="646">
        <v>559</v>
      </c>
      <c r="F98" s="646">
        <v>44</v>
      </c>
      <c r="G98" s="646">
        <v>3</v>
      </c>
      <c r="H98" s="646">
        <v>6</v>
      </c>
      <c r="I98" s="646">
        <v>0</v>
      </c>
      <c r="J98" s="646">
        <v>11</v>
      </c>
      <c r="K98" s="646">
        <v>1</v>
      </c>
      <c r="L98" s="271"/>
      <c r="M98" s="722">
        <f t="shared" si="8"/>
        <v>559</v>
      </c>
      <c r="N98" s="723">
        <f t="shared" si="9"/>
        <v>44</v>
      </c>
      <c r="O98" s="723">
        <f t="shared" si="10"/>
        <v>9</v>
      </c>
      <c r="Q98" s="704">
        <v>308</v>
      </c>
      <c r="R98" s="704">
        <v>225</v>
      </c>
      <c r="S98" s="704">
        <v>37</v>
      </c>
    </row>
    <row r="99" spans="1:19">
      <c r="A99" s="718" t="s">
        <v>246</v>
      </c>
      <c r="B99" s="190" t="s">
        <v>247</v>
      </c>
      <c r="C99" s="728" t="s">
        <v>264</v>
      </c>
      <c r="D99" s="645">
        <v>821</v>
      </c>
      <c r="E99" s="646">
        <v>557</v>
      </c>
      <c r="F99" s="646">
        <v>188</v>
      </c>
      <c r="G99" s="646">
        <v>11</v>
      </c>
      <c r="H99" s="646">
        <v>4</v>
      </c>
      <c r="I99" s="646">
        <v>5</v>
      </c>
      <c r="J99" s="646">
        <v>44</v>
      </c>
      <c r="K99" s="646">
        <v>6</v>
      </c>
      <c r="L99" s="271"/>
      <c r="M99" s="722">
        <f t="shared" si="8"/>
        <v>557</v>
      </c>
      <c r="N99" s="723">
        <f t="shared" si="9"/>
        <v>188</v>
      </c>
      <c r="O99" s="723">
        <f t="shared" si="10"/>
        <v>20</v>
      </c>
      <c r="Q99" s="704">
        <v>346</v>
      </c>
      <c r="R99" s="704">
        <v>316</v>
      </c>
      <c r="S99" s="704">
        <v>65</v>
      </c>
    </row>
    <row r="100" spans="1:19">
      <c r="A100" s="718" t="s">
        <v>14</v>
      </c>
      <c r="B100" s="190" t="s">
        <v>15</v>
      </c>
      <c r="C100" s="728" t="s">
        <v>267</v>
      </c>
      <c r="D100" s="645">
        <v>1518</v>
      </c>
      <c r="E100" s="646">
        <v>732</v>
      </c>
      <c r="F100" s="646">
        <v>683</v>
      </c>
      <c r="G100" s="646">
        <v>35</v>
      </c>
      <c r="H100" s="646">
        <v>5</v>
      </c>
      <c r="I100" s="646">
        <v>3</v>
      </c>
      <c r="J100" s="646">
        <v>561</v>
      </c>
      <c r="K100" s="646">
        <v>7</v>
      </c>
      <c r="L100" s="271"/>
      <c r="M100" s="722">
        <f t="shared" si="8"/>
        <v>732</v>
      </c>
      <c r="N100" s="723">
        <f t="shared" si="9"/>
        <v>683</v>
      </c>
      <c r="O100" s="723">
        <f t="shared" si="10"/>
        <v>43</v>
      </c>
      <c r="Q100" s="704">
        <v>726</v>
      </c>
      <c r="R100" s="704">
        <v>555</v>
      </c>
      <c r="S100" s="704">
        <v>113</v>
      </c>
    </row>
    <row r="101" spans="1:19">
      <c r="A101" s="718" t="s">
        <v>34</v>
      </c>
      <c r="B101" s="190" t="s">
        <v>35</v>
      </c>
      <c r="C101" s="728" t="s">
        <v>268</v>
      </c>
      <c r="D101" s="645">
        <v>342</v>
      </c>
      <c r="E101" s="646">
        <v>260</v>
      </c>
      <c r="F101" s="646">
        <v>50</v>
      </c>
      <c r="G101" s="646">
        <v>0</v>
      </c>
      <c r="H101" s="646">
        <v>2</v>
      </c>
      <c r="I101" s="646">
        <v>0</v>
      </c>
      <c r="J101" s="646">
        <v>6</v>
      </c>
      <c r="K101" s="646">
        <v>0</v>
      </c>
      <c r="L101" s="271"/>
      <c r="M101" s="722">
        <f t="shared" ref="M101:M124" si="11">E101</f>
        <v>260</v>
      </c>
      <c r="N101" s="723">
        <f t="shared" ref="N101:N124" si="12">F101</f>
        <v>50</v>
      </c>
      <c r="O101" s="723">
        <f t="shared" ref="O101:O124" si="13">SUM(G101:I101)</f>
        <v>2</v>
      </c>
      <c r="Q101" s="704">
        <v>176</v>
      </c>
      <c r="R101" s="704">
        <v>81</v>
      </c>
      <c r="S101" s="704">
        <v>23</v>
      </c>
    </row>
    <row r="102" spans="1:19">
      <c r="A102" s="718" t="s">
        <v>52</v>
      </c>
      <c r="B102" s="190" t="s">
        <v>53</v>
      </c>
      <c r="C102" s="728" t="s">
        <v>265</v>
      </c>
      <c r="D102" s="645">
        <v>1003</v>
      </c>
      <c r="E102" s="646">
        <v>356</v>
      </c>
      <c r="F102" s="646">
        <v>686</v>
      </c>
      <c r="G102" s="646">
        <v>27</v>
      </c>
      <c r="H102" s="646">
        <v>2</v>
      </c>
      <c r="I102" s="646">
        <v>0</v>
      </c>
      <c r="J102" s="646">
        <v>53</v>
      </c>
      <c r="K102" s="646">
        <v>8</v>
      </c>
      <c r="L102" s="271"/>
      <c r="M102" s="722">
        <f t="shared" si="11"/>
        <v>356</v>
      </c>
      <c r="N102" s="723">
        <f t="shared" si="12"/>
        <v>686</v>
      </c>
      <c r="O102" s="723">
        <f t="shared" si="13"/>
        <v>29</v>
      </c>
      <c r="Q102" s="704">
        <v>525</v>
      </c>
      <c r="R102" s="704">
        <v>348</v>
      </c>
      <c r="S102" s="704">
        <v>58</v>
      </c>
    </row>
    <row r="103" spans="1:19">
      <c r="A103" s="718" t="s">
        <v>54</v>
      </c>
      <c r="B103" s="190" t="s">
        <v>55</v>
      </c>
      <c r="C103" s="728" t="s">
        <v>264</v>
      </c>
      <c r="D103" s="645">
        <v>2557</v>
      </c>
      <c r="E103" s="646">
        <v>1368</v>
      </c>
      <c r="F103" s="646">
        <v>1119</v>
      </c>
      <c r="G103" s="646">
        <v>38</v>
      </c>
      <c r="H103" s="646">
        <v>33</v>
      </c>
      <c r="I103" s="646">
        <v>5</v>
      </c>
      <c r="J103" s="646">
        <v>171</v>
      </c>
      <c r="K103" s="646">
        <v>6</v>
      </c>
      <c r="L103" s="271"/>
      <c r="M103" s="722">
        <f t="shared" si="11"/>
        <v>1368</v>
      </c>
      <c r="N103" s="723">
        <f t="shared" si="12"/>
        <v>1119</v>
      </c>
      <c r="O103" s="723">
        <f t="shared" si="13"/>
        <v>76</v>
      </c>
      <c r="Q103" s="704">
        <v>1011</v>
      </c>
      <c r="R103" s="704">
        <v>1075</v>
      </c>
      <c r="S103" s="704">
        <v>202</v>
      </c>
    </row>
    <row r="104" spans="1:19">
      <c r="A104" s="718" t="s">
        <v>66</v>
      </c>
      <c r="B104" s="190" t="s">
        <v>67</v>
      </c>
      <c r="C104" s="728" t="s">
        <v>265</v>
      </c>
      <c r="D104" s="645">
        <v>693</v>
      </c>
      <c r="E104" s="646">
        <v>239</v>
      </c>
      <c r="F104" s="646">
        <v>450</v>
      </c>
      <c r="G104" s="646">
        <v>0</v>
      </c>
      <c r="H104" s="646">
        <v>0</v>
      </c>
      <c r="I104" s="646">
        <v>0</v>
      </c>
      <c r="J104" s="646">
        <v>14</v>
      </c>
      <c r="K104" s="646">
        <v>1</v>
      </c>
      <c r="L104" s="271"/>
      <c r="M104" s="722">
        <f t="shared" si="11"/>
        <v>239</v>
      </c>
      <c r="N104" s="723">
        <f t="shared" si="12"/>
        <v>450</v>
      </c>
      <c r="O104" s="723">
        <f t="shared" si="13"/>
        <v>0</v>
      </c>
      <c r="Q104" s="704">
        <v>386</v>
      </c>
      <c r="R104" s="704">
        <v>239</v>
      </c>
      <c r="S104" s="704">
        <v>28</v>
      </c>
    </row>
    <row r="105" spans="1:19">
      <c r="A105" s="718" t="s">
        <v>82</v>
      </c>
      <c r="B105" s="190" t="s">
        <v>83</v>
      </c>
      <c r="C105" s="728" t="s">
        <v>264</v>
      </c>
      <c r="D105" s="645">
        <v>132</v>
      </c>
      <c r="E105" s="646">
        <v>28</v>
      </c>
      <c r="F105" s="646">
        <v>107</v>
      </c>
      <c r="G105" s="646">
        <v>1</v>
      </c>
      <c r="H105" s="646">
        <v>0</v>
      </c>
      <c r="I105" s="646">
        <v>0</v>
      </c>
      <c r="J105" s="646">
        <v>1</v>
      </c>
      <c r="K105" s="646">
        <v>0</v>
      </c>
      <c r="L105" s="271"/>
      <c r="M105" s="722">
        <f t="shared" si="11"/>
        <v>28</v>
      </c>
      <c r="N105" s="723">
        <f t="shared" si="12"/>
        <v>107</v>
      </c>
      <c r="O105" s="723">
        <f t="shared" si="13"/>
        <v>1</v>
      </c>
      <c r="Q105" s="704">
        <v>86</v>
      </c>
      <c r="R105" s="704">
        <v>31</v>
      </c>
      <c r="S105" s="704">
        <v>6</v>
      </c>
    </row>
    <row r="106" spans="1:19">
      <c r="A106" s="718" t="s">
        <v>88</v>
      </c>
      <c r="B106" s="190" t="s">
        <v>89</v>
      </c>
      <c r="C106" s="728" t="s">
        <v>267</v>
      </c>
      <c r="D106" s="645">
        <v>452</v>
      </c>
      <c r="E106" s="646">
        <v>262</v>
      </c>
      <c r="F106" s="646">
        <v>212</v>
      </c>
      <c r="G106" s="646">
        <v>2</v>
      </c>
      <c r="H106" s="646">
        <v>0</v>
      </c>
      <c r="I106" s="646">
        <v>2</v>
      </c>
      <c r="J106" s="646">
        <v>73</v>
      </c>
      <c r="K106" s="646">
        <v>2</v>
      </c>
      <c r="L106" s="271"/>
      <c r="M106" s="722">
        <f t="shared" si="11"/>
        <v>262</v>
      </c>
      <c r="N106" s="723">
        <f t="shared" si="12"/>
        <v>212</v>
      </c>
      <c r="O106" s="723">
        <f t="shared" si="13"/>
        <v>4</v>
      </c>
      <c r="Q106" s="704">
        <v>277</v>
      </c>
      <c r="R106" s="704">
        <v>131</v>
      </c>
      <c r="S106" s="704">
        <v>28</v>
      </c>
    </row>
    <row r="107" spans="1:19">
      <c r="A107" s="718" t="s">
        <v>90</v>
      </c>
      <c r="B107" s="190" t="s">
        <v>91</v>
      </c>
      <c r="C107" s="728" t="s">
        <v>268</v>
      </c>
      <c r="D107" s="645">
        <v>64</v>
      </c>
      <c r="E107" s="646">
        <v>61</v>
      </c>
      <c r="F107" s="646">
        <v>9</v>
      </c>
      <c r="G107" s="646">
        <v>0</v>
      </c>
      <c r="H107" s="646">
        <v>0</v>
      </c>
      <c r="I107" s="646">
        <v>0</v>
      </c>
      <c r="J107" s="646">
        <v>2</v>
      </c>
      <c r="K107" s="646">
        <v>0</v>
      </c>
      <c r="L107" s="271"/>
      <c r="M107" s="722">
        <f t="shared" si="11"/>
        <v>61</v>
      </c>
      <c r="N107" s="723">
        <f t="shared" si="12"/>
        <v>9</v>
      </c>
      <c r="O107" s="723">
        <f t="shared" si="13"/>
        <v>0</v>
      </c>
      <c r="Q107" s="704">
        <v>45</v>
      </c>
      <c r="R107" s="704">
        <v>15</v>
      </c>
      <c r="S107" s="704">
        <v>2</v>
      </c>
    </row>
    <row r="108" spans="1:19">
      <c r="A108" s="718" t="s">
        <v>106</v>
      </c>
      <c r="B108" s="190" t="s">
        <v>107</v>
      </c>
      <c r="C108" s="728" t="s">
        <v>264</v>
      </c>
      <c r="D108" s="645">
        <v>1296</v>
      </c>
      <c r="E108" s="646">
        <v>484</v>
      </c>
      <c r="F108" s="646">
        <v>783</v>
      </c>
      <c r="G108" s="646">
        <v>13</v>
      </c>
      <c r="H108" s="646">
        <v>5</v>
      </c>
      <c r="I108" s="646">
        <v>0</v>
      </c>
      <c r="J108" s="646">
        <v>54</v>
      </c>
      <c r="K108" s="646">
        <v>1</v>
      </c>
      <c r="L108" s="271"/>
      <c r="M108" s="722">
        <f t="shared" si="11"/>
        <v>484</v>
      </c>
      <c r="N108" s="723">
        <f t="shared" si="12"/>
        <v>783</v>
      </c>
      <c r="O108" s="723">
        <f t="shared" si="13"/>
        <v>18</v>
      </c>
      <c r="Q108" s="704">
        <v>483</v>
      </c>
      <c r="R108" s="704">
        <v>400</v>
      </c>
      <c r="S108" s="704">
        <v>83</v>
      </c>
    </row>
    <row r="109" spans="1:19">
      <c r="A109" s="718" t="s">
        <v>116</v>
      </c>
      <c r="B109" s="190" t="s">
        <v>117</v>
      </c>
      <c r="C109" s="728" t="s">
        <v>266</v>
      </c>
      <c r="D109" s="645">
        <v>546</v>
      </c>
      <c r="E109" s="646">
        <v>265</v>
      </c>
      <c r="F109" s="646">
        <v>260</v>
      </c>
      <c r="G109" s="646">
        <v>9</v>
      </c>
      <c r="H109" s="646">
        <v>22</v>
      </c>
      <c r="I109" s="646">
        <v>0</v>
      </c>
      <c r="J109" s="646">
        <v>26</v>
      </c>
      <c r="K109" s="646">
        <v>0</v>
      </c>
      <c r="L109" s="271"/>
      <c r="M109" s="722">
        <f t="shared" si="11"/>
        <v>265</v>
      </c>
      <c r="N109" s="723">
        <f t="shared" si="12"/>
        <v>260</v>
      </c>
      <c r="O109" s="723">
        <f t="shared" si="13"/>
        <v>31</v>
      </c>
      <c r="Q109" s="704">
        <v>274</v>
      </c>
      <c r="R109" s="704">
        <v>180</v>
      </c>
      <c r="S109" s="704">
        <v>17</v>
      </c>
    </row>
    <row r="110" spans="1:19">
      <c r="A110" s="718" t="s">
        <v>138</v>
      </c>
      <c r="B110" s="190" t="s">
        <v>139</v>
      </c>
      <c r="C110" s="728" t="s">
        <v>265</v>
      </c>
      <c r="D110" s="645">
        <v>1647</v>
      </c>
      <c r="E110" s="646">
        <v>737</v>
      </c>
      <c r="F110" s="646">
        <v>911</v>
      </c>
      <c r="G110" s="646">
        <v>3</v>
      </c>
      <c r="H110" s="646">
        <v>0</v>
      </c>
      <c r="I110" s="646">
        <v>4</v>
      </c>
      <c r="J110" s="646">
        <v>76</v>
      </c>
      <c r="K110" s="646">
        <v>5</v>
      </c>
      <c r="L110" s="271"/>
      <c r="M110" s="722">
        <f t="shared" si="11"/>
        <v>737</v>
      </c>
      <c r="N110" s="723">
        <f t="shared" si="12"/>
        <v>911</v>
      </c>
      <c r="O110" s="723">
        <f t="shared" si="13"/>
        <v>7</v>
      </c>
      <c r="Q110" s="704">
        <v>817</v>
      </c>
      <c r="R110" s="704">
        <v>588</v>
      </c>
      <c r="S110" s="704">
        <v>91</v>
      </c>
    </row>
    <row r="111" spans="1:19">
      <c r="A111" s="718" t="s">
        <v>142</v>
      </c>
      <c r="B111" s="190" t="s">
        <v>143</v>
      </c>
      <c r="C111" s="728" t="s">
        <v>267</v>
      </c>
      <c r="D111" s="645">
        <v>603</v>
      </c>
      <c r="E111" s="646">
        <v>400</v>
      </c>
      <c r="F111" s="646">
        <v>208</v>
      </c>
      <c r="G111" s="646">
        <v>5</v>
      </c>
      <c r="H111" s="646">
        <v>1</v>
      </c>
      <c r="I111" s="646">
        <v>10</v>
      </c>
      <c r="J111" s="646">
        <v>238</v>
      </c>
      <c r="K111" s="646">
        <v>1</v>
      </c>
      <c r="L111" s="271"/>
      <c r="M111" s="722">
        <f t="shared" si="11"/>
        <v>400</v>
      </c>
      <c r="N111" s="723">
        <f t="shared" si="12"/>
        <v>208</v>
      </c>
      <c r="O111" s="723">
        <f t="shared" si="13"/>
        <v>16</v>
      </c>
      <c r="Q111" s="704">
        <v>295</v>
      </c>
      <c r="R111" s="704">
        <v>202</v>
      </c>
      <c r="S111" s="704">
        <v>36</v>
      </c>
    </row>
    <row r="112" spans="1:19">
      <c r="A112" s="718" t="s">
        <v>144</v>
      </c>
      <c r="B112" s="190" t="s">
        <v>145</v>
      </c>
      <c r="C112" s="728" t="s">
        <v>267</v>
      </c>
      <c r="D112" s="645">
        <v>215</v>
      </c>
      <c r="E112" s="646">
        <v>133</v>
      </c>
      <c r="F112" s="646">
        <v>31</v>
      </c>
      <c r="G112" s="646">
        <v>3</v>
      </c>
      <c r="H112" s="646">
        <v>2</v>
      </c>
      <c r="I112" s="646">
        <v>0</v>
      </c>
      <c r="J112" s="646">
        <v>76</v>
      </c>
      <c r="K112" s="646">
        <v>0</v>
      </c>
      <c r="L112" s="271"/>
      <c r="M112" s="722">
        <f t="shared" si="11"/>
        <v>133</v>
      </c>
      <c r="N112" s="723">
        <f t="shared" si="12"/>
        <v>31</v>
      </c>
      <c r="O112" s="723">
        <f t="shared" si="13"/>
        <v>5</v>
      </c>
      <c r="Q112" s="704">
        <v>74</v>
      </c>
      <c r="R112" s="704">
        <v>79</v>
      </c>
      <c r="S112" s="704">
        <v>28</v>
      </c>
    </row>
    <row r="113" spans="1:19">
      <c r="A113" s="718" t="s">
        <v>158</v>
      </c>
      <c r="B113" s="190" t="s">
        <v>159</v>
      </c>
      <c r="C113" s="728" t="s">
        <v>264</v>
      </c>
      <c r="D113" s="645">
        <v>2447</v>
      </c>
      <c r="E113" s="646">
        <v>833</v>
      </c>
      <c r="F113" s="646">
        <v>1512</v>
      </c>
      <c r="G113" s="646">
        <v>35</v>
      </c>
      <c r="H113" s="646">
        <v>11</v>
      </c>
      <c r="I113" s="646">
        <v>10</v>
      </c>
      <c r="J113" s="646">
        <v>211</v>
      </c>
      <c r="K113" s="646">
        <v>1</v>
      </c>
      <c r="L113" s="271"/>
      <c r="M113" s="722">
        <f t="shared" si="11"/>
        <v>833</v>
      </c>
      <c r="N113" s="723">
        <f t="shared" si="12"/>
        <v>1512</v>
      </c>
      <c r="O113" s="723">
        <f t="shared" si="13"/>
        <v>56</v>
      </c>
      <c r="Q113" s="704">
        <v>1175</v>
      </c>
      <c r="R113" s="704">
        <v>854</v>
      </c>
      <c r="S113" s="704">
        <v>129</v>
      </c>
    </row>
    <row r="114" spans="1:19">
      <c r="A114" s="718" t="s">
        <v>160</v>
      </c>
      <c r="B114" s="190" t="s">
        <v>161</v>
      </c>
      <c r="C114" s="728" t="s">
        <v>264</v>
      </c>
      <c r="D114" s="645">
        <v>2613</v>
      </c>
      <c r="E114" s="646">
        <v>878</v>
      </c>
      <c r="F114" s="646">
        <v>1703</v>
      </c>
      <c r="G114" s="646">
        <v>39</v>
      </c>
      <c r="H114" s="646">
        <v>12</v>
      </c>
      <c r="I114" s="646">
        <v>2</v>
      </c>
      <c r="J114" s="646">
        <v>140</v>
      </c>
      <c r="K114" s="646">
        <v>7</v>
      </c>
      <c r="L114" s="271"/>
      <c r="M114" s="722">
        <f t="shared" si="11"/>
        <v>878</v>
      </c>
      <c r="N114" s="723">
        <f t="shared" si="12"/>
        <v>1703</v>
      </c>
      <c r="O114" s="723">
        <f t="shared" si="13"/>
        <v>53</v>
      </c>
      <c r="Q114" s="704">
        <v>1217</v>
      </c>
      <c r="R114" s="704">
        <v>887</v>
      </c>
      <c r="S114" s="704">
        <v>150</v>
      </c>
    </row>
    <row r="115" spans="1:19">
      <c r="A115" s="718" t="s">
        <v>166</v>
      </c>
      <c r="B115" s="190" t="s">
        <v>167</v>
      </c>
      <c r="C115" s="728" t="s">
        <v>268</v>
      </c>
      <c r="D115" s="645">
        <v>143</v>
      </c>
      <c r="E115" s="646">
        <v>142</v>
      </c>
      <c r="F115" s="646">
        <v>7</v>
      </c>
      <c r="G115" s="646">
        <v>0</v>
      </c>
      <c r="H115" s="646">
        <v>0</v>
      </c>
      <c r="I115" s="646">
        <v>0</v>
      </c>
      <c r="J115" s="646">
        <v>1</v>
      </c>
      <c r="K115" s="646">
        <v>0</v>
      </c>
      <c r="L115" s="271"/>
      <c r="M115" s="722">
        <f t="shared" si="11"/>
        <v>142</v>
      </c>
      <c r="N115" s="723">
        <f t="shared" si="12"/>
        <v>7</v>
      </c>
      <c r="O115" s="723">
        <f t="shared" si="13"/>
        <v>0</v>
      </c>
      <c r="Q115" s="704">
        <v>70</v>
      </c>
      <c r="R115" s="704">
        <v>44</v>
      </c>
      <c r="S115" s="704">
        <v>10</v>
      </c>
    </row>
    <row r="116" spans="1:19">
      <c r="A116" s="718" t="s">
        <v>176</v>
      </c>
      <c r="B116" s="190" t="s">
        <v>177</v>
      </c>
      <c r="C116" s="728" t="s">
        <v>266</v>
      </c>
      <c r="D116" s="645">
        <v>440</v>
      </c>
      <c r="E116" s="646">
        <v>74</v>
      </c>
      <c r="F116" s="646">
        <v>387</v>
      </c>
      <c r="G116" s="646">
        <v>1</v>
      </c>
      <c r="H116" s="646">
        <v>0</v>
      </c>
      <c r="I116" s="646">
        <v>0</v>
      </c>
      <c r="J116" s="646">
        <v>11</v>
      </c>
      <c r="K116" s="646">
        <v>0</v>
      </c>
      <c r="L116" s="271"/>
      <c r="M116" s="722">
        <f t="shared" si="11"/>
        <v>74</v>
      </c>
      <c r="N116" s="723">
        <f t="shared" si="12"/>
        <v>387</v>
      </c>
      <c r="O116" s="723">
        <f t="shared" si="13"/>
        <v>1</v>
      </c>
      <c r="Q116" s="704">
        <v>263</v>
      </c>
      <c r="R116" s="704">
        <v>129</v>
      </c>
      <c r="S116" s="704">
        <v>15</v>
      </c>
    </row>
    <row r="117" spans="1:19">
      <c r="A117" s="718" t="s">
        <v>180</v>
      </c>
      <c r="B117" s="190" t="s">
        <v>181</v>
      </c>
      <c r="C117" s="728" t="s">
        <v>264</v>
      </c>
      <c r="D117" s="645">
        <v>1616</v>
      </c>
      <c r="E117" s="646">
        <v>465</v>
      </c>
      <c r="F117" s="646">
        <v>1106</v>
      </c>
      <c r="G117" s="646">
        <v>6</v>
      </c>
      <c r="H117" s="646">
        <v>14</v>
      </c>
      <c r="I117" s="646">
        <v>0</v>
      </c>
      <c r="J117" s="646">
        <v>42</v>
      </c>
      <c r="K117" s="646">
        <v>3</v>
      </c>
      <c r="L117" s="271"/>
      <c r="M117" s="722">
        <f t="shared" si="11"/>
        <v>465</v>
      </c>
      <c r="N117" s="723">
        <f t="shared" si="12"/>
        <v>1106</v>
      </c>
      <c r="O117" s="723">
        <f t="shared" si="13"/>
        <v>20</v>
      </c>
      <c r="Q117" s="704">
        <v>838</v>
      </c>
      <c r="R117" s="704">
        <v>579</v>
      </c>
      <c r="S117" s="704">
        <v>72</v>
      </c>
    </row>
    <row r="118" spans="1:19">
      <c r="A118" s="718" t="s">
        <v>192</v>
      </c>
      <c r="B118" s="190" t="s">
        <v>193</v>
      </c>
      <c r="C118" s="728" t="s">
        <v>268</v>
      </c>
      <c r="D118" s="645">
        <v>207</v>
      </c>
      <c r="E118" s="646">
        <v>157</v>
      </c>
      <c r="F118" s="646">
        <v>64</v>
      </c>
      <c r="G118" s="646">
        <v>0</v>
      </c>
      <c r="H118" s="646">
        <v>2</v>
      </c>
      <c r="I118" s="646">
        <v>0</v>
      </c>
      <c r="J118" s="646">
        <v>2</v>
      </c>
      <c r="K118" s="646">
        <v>0</v>
      </c>
      <c r="L118" s="271"/>
      <c r="M118" s="722">
        <f t="shared" si="11"/>
        <v>157</v>
      </c>
      <c r="N118" s="723">
        <f t="shared" si="12"/>
        <v>64</v>
      </c>
      <c r="O118" s="723">
        <f t="shared" si="13"/>
        <v>2</v>
      </c>
      <c r="Q118" s="704">
        <v>117</v>
      </c>
      <c r="R118" s="704">
        <v>65</v>
      </c>
      <c r="S118" s="704">
        <v>12</v>
      </c>
    </row>
    <row r="119" spans="1:19">
      <c r="A119" s="718" t="s">
        <v>196</v>
      </c>
      <c r="B119" s="190" t="s">
        <v>197</v>
      </c>
      <c r="C119" s="728" t="s">
        <v>266</v>
      </c>
      <c r="D119" s="645">
        <v>3171</v>
      </c>
      <c r="E119" s="646">
        <v>500</v>
      </c>
      <c r="F119" s="646">
        <v>2618</v>
      </c>
      <c r="G119" s="646">
        <v>9</v>
      </c>
      <c r="H119" s="646">
        <v>8</v>
      </c>
      <c r="I119" s="646">
        <v>9</v>
      </c>
      <c r="J119" s="646">
        <v>185</v>
      </c>
      <c r="K119" s="646">
        <v>6</v>
      </c>
      <c r="L119" s="271"/>
      <c r="M119" s="722">
        <f t="shared" si="11"/>
        <v>500</v>
      </c>
      <c r="N119" s="723">
        <f t="shared" si="12"/>
        <v>2618</v>
      </c>
      <c r="O119" s="723">
        <f t="shared" si="13"/>
        <v>26</v>
      </c>
      <c r="Q119" s="704">
        <v>1375</v>
      </c>
      <c r="R119" s="704">
        <v>1097</v>
      </c>
      <c r="S119" s="704">
        <v>183</v>
      </c>
    </row>
    <row r="120" spans="1:19">
      <c r="A120" s="718" t="s">
        <v>200</v>
      </c>
      <c r="B120" s="190" t="s">
        <v>201</v>
      </c>
      <c r="C120" s="728" t="s">
        <v>265</v>
      </c>
      <c r="D120" s="645">
        <v>3429</v>
      </c>
      <c r="E120" s="646">
        <v>1782</v>
      </c>
      <c r="F120" s="646">
        <v>1260</v>
      </c>
      <c r="G120" s="646">
        <v>14</v>
      </c>
      <c r="H120" s="646">
        <v>9</v>
      </c>
      <c r="I120" s="646">
        <v>4</v>
      </c>
      <c r="J120" s="646">
        <v>141</v>
      </c>
      <c r="K120" s="646">
        <v>11</v>
      </c>
      <c r="L120" s="271"/>
      <c r="M120" s="722">
        <f t="shared" si="11"/>
        <v>1782</v>
      </c>
      <c r="N120" s="723">
        <f t="shared" si="12"/>
        <v>1260</v>
      </c>
      <c r="O120" s="723">
        <f t="shared" si="13"/>
        <v>27</v>
      </c>
      <c r="Q120" s="704">
        <v>1861</v>
      </c>
      <c r="R120" s="704">
        <v>1120</v>
      </c>
      <c r="S120" s="704">
        <v>155</v>
      </c>
    </row>
    <row r="121" spans="1:19">
      <c r="A121" s="718" t="s">
        <v>222</v>
      </c>
      <c r="B121" s="190" t="s">
        <v>223</v>
      </c>
      <c r="C121" s="728" t="s">
        <v>264</v>
      </c>
      <c r="D121" s="645">
        <v>790</v>
      </c>
      <c r="E121" s="646">
        <v>293</v>
      </c>
      <c r="F121" s="646">
        <v>471</v>
      </c>
      <c r="G121" s="646">
        <v>14</v>
      </c>
      <c r="H121" s="646">
        <v>2</v>
      </c>
      <c r="I121" s="646">
        <v>2</v>
      </c>
      <c r="J121" s="646">
        <v>30</v>
      </c>
      <c r="K121" s="646">
        <v>1</v>
      </c>
      <c r="L121" s="271"/>
      <c r="M121" s="722">
        <f t="shared" si="11"/>
        <v>293</v>
      </c>
      <c r="N121" s="723">
        <f t="shared" si="12"/>
        <v>471</v>
      </c>
      <c r="O121" s="723">
        <f t="shared" si="13"/>
        <v>18</v>
      </c>
      <c r="Q121" s="704">
        <v>323</v>
      </c>
      <c r="R121" s="704">
        <v>280</v>
      </c>
      <c r="S121" s="704">
        <v>52</v>
      </c>
    </row>
    <row r="122" spans="1:19">
      <c r="A122" s="718" t="s">
        <v>230</v>
      </c>
      <c r="B122" s="190" t="s">
        <v>231</v>
      </c>
      <c r="C122" s="728" t="s">
        <v>264</v>
      </c>
      <c r="D122" s="645">
        <v>4842</v>
      </c>
      <c r="E122" s="646">
        <v>2954</v>
      </c>
      <c r="F122" s="646">
        <v>1744</v>
      </c>
      <c r="G122" s="646">
        <v>120</v>
      </c>
      <c r="H122" s="646">
        <v>57</v>
      </c>
      <c r="I122" s="646">
        <v>15</v>
      </c>
      <c r="J122" s="646">
        <v>423</v>
      </c>
      <c r="K122" s="646">
        <v>10</v>
      </c>
      <c r="L122" s="271"/>
      <c r="M122" s="722">
        <f t="shared" si="11"/>
        <v>2954</v>
      </c>
      <c r="N122" s="723">
        <f t="shared" si="12"/>
        <v>1744</v>
      </c>
      <c r="O122" s="723">
        <f t="shared" si="13"/>
        <v>192</v>
      </c>
      <c r="Q122" s="704">
        <v>2174</v>
      </c>
      <c r="R122" s="704">
        <v>1837</v>
      </c>
      <c r="S122" s="704">
        <v>435</v>
      </c>
    </row>
    <row r="123" spans="1:19">
      <c r="A123" s="718" t="s">
        <v>238</v>
      </c>
      <c r="B123" s="190" t="s">
        <v>239</v>
      </c>
      <c r="C123" s="728" t="s">
        <v>264</v>
      </c>
      <c r="D123" s="645">
        <v>128</v>
      </c>
      <c r="E123" s="646">
        <v>76</v>
      </c>
      <c r="F123" s="646">
        <v>55</v>
      </c>
      <c r="G123" s="646">
        <v>3</v>
      </c>
      <c r="H123" s="646">
        <v>6</v>
      </c>
      <c r="I123" s="646">
        <v>0</v>
      </c>
      <c r="J123" s="646">
        <v>15</v>
      </c>
      <c r="K123" s="646">
        <v>0</v>
      </c>
      <c r="L123" s="271"/>
      <c r="M123" s="722">
        <f t="shared" si="11"/>
        <v>76</v>
      </c>
      <c r="N123" s="723">
        <f t="shared" si="12"/>
        <v>55</v>
      </c>
      <c r="O123" s="723">
        <f t="shared" si="13"/>
        <v>9</v>
      </c>
      <c r="Q123" s="704">
        <v>65</v>
      </c>
      <c r="R123" s="704">
        <v>40</v>
      </c>
      <c r="S123" s="704">
        <v>15</v>
      </c>
    </row>
    <row r="124" spans="1:19">
      <c r="A124" s="719" t="s">
        <v>240</v>
      </c>
      <c r="B124" s="472" t="s">
        <v>241</v>
      </c>
      <c r="C124" s="729" t="s">
        <v>267</v>
      </c>
      <c r="D124" s="721">
        <v>747</v>
      </c>
      <c r="E124" s="1264">
        <v>606</v>
      </c>
      <c r="F124" s="1264">
        <v>191</v>
      </c>
      <c r="G124" s="1264">
        <v>1</v>
      </c>
      <c r="H124" s="1264">
        <v>1</v>
      </c>
      <c r="I124" s="1264">
        <v>1</v>
      </c>
      <c r="J124" s="1264">
        <v>114</v>
      </c>
      <c r="K124" s="1264">
        <v>2</v>
      </c>
      <c r="L124" s="271"/>
      <c r="M124" s="722">
        <f t="shared" si="11"/>
        <v>606</v>
      </c>
      <c r="N124" s="723">
        <f t="shared" si="12"/>
        <v>191</v>
      </c>
      <c r="O124" s="723">
        <f t="shared" si="13"/>
        <v>3</v>
      </c>
      <c r="Q124" s="704">
        <v>391</v>
      </c>
      <c r="R124" s="704">
        <v>273</v>
      </c>
      <c r="S124" s="704">
        <v>31</v>
      </c>
    </row>
    <row r="125" spans="1:19">
      <c r="A125" s="712"/>
      <c r="B125" s="712"/>
      <c r="C125" s="730"/>
    </row>
    <row r="126" spans="1:19" ht="63.75" customHeight="1">
      <c r="A126" s="1924" t="s">
        <v>1198</v>
      </c>
      <c r="B126" s="1924"/>
      <c r="C126" s="1924"/>
      <c r="D126" s="1924"/>
      <c r="E126" s="1924"/>
      <c r="F126" s="1924"/>
      <c r="G126" s="1924"/>
      <c r="H126" s="1924"/>
    </row>
    <row r="127" spans="1:19">
      <c r="A127" s="704"/>
      <c r="B127" s="704"/>
      <c r="C127" s="726"/>
    </row>
    <row r="128" spans="1:19" s="590" customFormat="1">
      <c r="A128" s="1925" t="s">
        <v>248</v>
      </c>
      <c r="B128" s="1925"/>
      <c r="C128" s="1925"/>
      <c r="D128" s="1925"/>
      <c r="E128" s="1925"/>
      <c r="F128" s="1925"/>
      <c r="G128" s="1925"/>
      <c r="H128" s="1925"/>
      <c r="I128" s="713"/>
      <c r="J128" s="713"/>
    </row>
    <row r="129" spans="1:10" s="590" customFormat="1">
      <c r="A129" s="616" t="s">
        <v>249</v>
      </c>
      <c r="B129" s="617" t="s">
        <v>250</v>
      </c>
      <c r="C129" s="731"/>
      <c r="D129" s="618"/>
      <c r="E129" s="618"/>
      <c r="F129" s="618"/>
      <c r="G129" s="618"/>
      <c r="H129" s="618"/>
      <c r="I129" s="618"/>
      <c r="J129" s="618"/>
    </row>
  </sheetData>
  <autoFilter ref="A3:C3"/>
  <sortState ref="A5:T124">
    <sortCondition ref="A5:A124"/>
  </sortState>
  <mergeCells count="3">
    <mergeCell ref="A1:I1"/>
    <mergeCell ref="A128:H128"/>
    <mergeCell ref="A126:H126"/>
  </mergeCells>
  <hyperlinks>
    <hyperlink ref="B129" r:id="rId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dimension ref="A1:E134"/>
  <sheetViews>
    <sheetView workbookViewId="0">
      <pane ySplit="3" topLeftCell="A102" activePane="bottomLeft" state="frozen"/>
      <selection pane="bottomLeft" activeCell="E119" sqref="E119"/>
    </sheetView>
  </sheetViews>
  <sheetFormatPr defaultRowHeight="15.75"/>
  <cols>
    <col min="1" max="1" width="9.375" style="538" customWidth="1"/>
    <col min="2" max="2" width="33.375" style="537" customWidth="1"/>
    <col min="3" max="3" width="39.375" style="537" customWidth="1"/>
    <col min="4" max="4" width="12" style="545" bestFit="1" customWidth="1"/>
    <col min="5" max="5" width="27.875" style="537" customWidth="1"/>
    <col min="6" max="16384" width="9" style="537"/>
  </cols>
  <sheetData>
    <row r="1" spans="1:5">
      <c r="A1" s="1883" t="s">
        <v>677</v>
      </c>
      <c r="B1" s="1883"/>
      <c r="C1" s="1883"/>
      <c r="D1" s="1883"/>
    </row>
    <row r="2" spans="1:5">
      <c r="A2" s="401"/>
      <c r="B2" s="401"/>
      <c r="C2" s="401"/>
      <c r="D2" s="401"/>
    </row>
    <row r="3" spans="1:5" s="541" customFormat="1" ht="40.5" customHeight="1">
      <c r="A3" s="543" t="s">
        <v>4</v>
      </c>
      <c r="B3" s="535" t="s">
        <v>612</v>
      </c>
      <c r="C3" s="535" t="s">
        <v>251</v>
      </c>
      <c r="D3" s="544" t="s">
        <v>613</v>
      </c>
      <c r="E3" s="541" t="s">
        <v>621</v>
      </c>
    </row>
    <row r="4" spans="1:5" ht="16.5" customHeight="1">
      <c r="A4" s="536" t="s">
        <v>10</v>
      </c>
      <c r="B4" s="505" t="s">
        <v>11</v>
      </c>
      <c r="C4" s="537" t="s">
        <v>264</v>
      </c>
      <c r="D4" s="545" t="s">
        <v>614</v>
      </c>
      <c r="E4" s="537" t="s">
        <v>730</v>
      </c>
    </row>
    <row r="5" spans="1:5" ht="16.5" customHeight="1">
      <c r="A5" s="536" t="s">
        <v>12</v>
      </c>
      <c r="B5" s="505" t="s">
        <v>13</v>
      </c>
      <c r="C5" s="537" t="s">
        <v>265</v>
      </c>
      <c r="D5" s="545" t="s">
        <v>986</v>
      </c>
      <c r="E5" s="537" t="s">
        <v>731</v>
      </c>
    </row>
    <row r="6" spans="1:5" s="541" customFormat="1" ht="16.5" customHeight="1">
      <c r="A6" s="536" t="s">
        <v>16</v>
      </c>
      <c r="B6" s="505" t="s">
        <v>605</v>
      </c>
      <c r="C6" s="537" t="s">
        <v>265</v>
      </c>
      <c r="D6" s="545" t="s">
        <v>986</v>
      </c>
      <c r="E6" s="537" t="s">
        <v>731</v>
      </c>
    </row>
    <row r="7" spans="1:5" ht="16.5" customHeight="1">
      <c r="A7" s="536" t="s">
        <v>18</v>
      </c>
      <c r="B7" s="505" t="s">
        <v>19</v>
      </c>
      <c r="C7" s="537" t="s">
        <v>266</v>
      </c>
      <c r="D7" s="545" t="s">
        <v>986</v>
      </c>
      <c r="E7" s="537" t="s">
        <v>731</v>
      </c>
    </row>
    <row r="8" spans="1:5" ht="16.5" customHeight="1">
      <c r="A8" s="536" t="s">
        <v>20</v>
      </c>
      <c r="B8" s="505" t="s">
        <v>21</v>
      </c>
      <c r="C8" s="537" t="s">
        <v>265</v>
      </c>
      <c r="D8" s="545" t="s">
        <v>614</v>
      </c>
      <c r="E8" s="537" t="s">
        <v>730</v>
      </c>
    </row>
    <row r="9" spans="1:5" ht="16.5" customHeight="1">
      <c r="A9" s="536" t="s">
        <v>22</v>
      </c>
      <c r="B9" s="505" t="s">
        <v>23</v>
      </c>
      <c r="C9" s="537" t="s">
        <v>265</v>
      </c>
      <c r="D9" s="545" t="s">
        <v>986</v>
      </c>
      <c r="E9" s="537" t="s">
        <v>731</v>
      </c>
    </row>
    <row r="10" spans="1:5" ht="16.5" customHeight="1">
      <c r="A10" s="536" t="s">
        <v>24</v>
      </c>
      <c r="B10" s="505" t="s">
        <v>25</v>
      </c>
      <c r="C10" s="537" t="s">
        <v>267</v>
      </c>
      <c r="D10" s="545" t="s">
        <v>615</v>
      </c>
      <c r="E10" s="537" t="s">
        <v>732</v>
      </c>
    </row>
    <row r="11" spans="1:5" ht="16.5" customHeight="1">
      <c r="A11" s="536" t="s">
        <v>26</v>
      </c>
      <c r="B11" s="505" t="s">
        <v>706</v>
      </c>
      <c r="C11" s="537" t="s">
        <v>265</v>
      </c>
      <c r="D11" s="545" t="s">
        <v>986</v>
      </c>
      <c r="E11" s="537" t="s">
        <v>731</v>
      </c>
    </row>
    <row r="12" spans="1:5" ht="16.5" customHeight="1">
      <c r="A12" s="536" t="s">
        <v>27</v>
      </c>
      <c r="B12" s="505" t="s">
        <v>28</v>
      </c>
      <c r="C12" s="537" t="s">
        <v>265</v>
      </c>
      <c r="D12" s="545" t="s">
        <v>614</v>
      </c>
      <c r="E12" s="537" t="s">
        <v>730</v>
      </c>
    </row>
    <row r="13" spans="1:5" ht="16.5" customHeight="1">
      <c r="A13" s="536" t="s">
        <v>29</v>
      </c>
      <c r="B13" s="505" t="s">
        <v>1012</v>
      </c>
      <c r="C13" s="537" t="s">
        <v>265</v>
      </c>
      <c r="D13" s="545" t="s">
        <v>986</v>
      </c>
      <c r="E13" s="537" t="s">
        <v>731</v>
      </c>
    </row>
    <row r="14" spans="1:5" ht="16.5" customHeight="1">
      <c r="A14" s="536" t="s">
        <v>30</v>
      </c>
      <c r="B14" s="505" t="s">
        <v>31</v>
      </c>
      <c r="C14" s="537" t="s">
        <v>268</v>
      </c>
      <c r="D14" s="545" t="s">
        <v>986</v>
      </c>
      <c r="E14" s="537" t="s">
        <v>731</v>
      </c>
    </row>
    <row r="15" spans="1:5" ht="16.5" customHeight="1">
      <c r="A15" s="536" t="s">
        <v>32</v>
      </c>
      <c r="B15" s="505" t="s">
        <v>33</v>
      </c>
      <c r="C15" s="537" t="s">
        <v>265</v>
      </c>
      <c r="D15" s="545" t="s">
        <v>614</v>
      </c>
      <c r="E15" s="537" t="s">
        <v>730</v>
      </c>
    </row>
    <row r="16" spans="1:5" ht="16.5" customHeight="1">
      <c r="A16" s="536" t="s">
        <v>36</v>
      </c>
      <c r="B16" s="505" t="s">
        <v>37</v>
      </c>
      <c r="C16" s="537" t="s">
        <v>264</v>
      </c>
      <c r="D16" s="545" t="s">
        <v>614</v>
      </c>
      <c r="E16" s="537" t="s">
        <v>730</v>
      </c>
    </row>
    <row r="17" spans="1:5" ht="16.5" customHeight="1">
      <c r="A17" s="536" t="s">
        <v>38</v>
      </c>
      <c r="B17" s="505" t="s">
        <v>39</v>
      </c>
      <c r="C17" s="537" t="s">
        <v>268</v>
      </c>
      <c r="D17" s="545" t="s">
        <v>986</v>
      </c>
      <c r="E17" s="537" t="s">
        <v>731</v>
      </c>
    </row>
    <row r="18" spans="1:5" ht="16.5" customHeight="1">
      <c r="A18" s="536" t="s">
        <v>40</v>
      </c>
      <c r="B18" s="505" t="s">
        <v>41</v>
      </c>
      <c r="C18" s="537" t="s">
        <v>266</v>
      </c>
      <c r="D18" s="545" t="s">
        <v>986</v>
      </c>
      <c r="E18" s="537" t="s">
        <v>731</v>
      </c>
    </row>
    <row r="19" spans="1:5" ht="16.5" customHeight="1">
      <c r="A19" s="536" t="s">
        <v>42</v>
      </c>
      <c r="B19" s="505" t="s">
        <v>43</v>
      </c>
      <c r="C19" s="537" t="s">
        <v>265</v>
      </c>
      <c r="D19" s="545" t="s">
        <v>986</v>
      </c>
      <c r="E19" s="537" t="s">
        <v>731</v>
      </c>
    </row>
    <row r="20" spans="1:5" ht="16.5" customHeight="1">
      <c r="A20" s="536" t="s">
        <v>44</v>
      </c>
      <c r="B20" s="505" t="s">
        <v>45</v>
      </c>
      <c r="C20" s="537" t="s">
        <v>266</v>
      </c>
      <c r="D20" s="545" t="s">
        <v>986</v>
      </c>
      <c r="E20" s="537" t="s">
        <v>731</v>
      </c>
    </row>
    <row r="21" spans="1:5" ht="16.5" customHeight="1">
      <c r="A21" s="536" t="s">
        <v>46</v>
      </c>
      <c r="B21" s="505" t="s">
        <v>47</v>
      </c>
      <c r="C21" s="537" t="s">
        <v>268</v>
      </c>
      <c r="D21" s="545" t="s">
        <v>986</v>
      </c>
      <c r="E21" s="537" t="s">
        <v>731</v>
      </c>
    </row>
    <row r="22" spans="1:5" ht="16.5" customHeight="1">
      <c r="A22" s="536" t="s">
        <v>48</v>
      </c>
      <c r="B22" s="505" t="s">
        <v>269</v>
      </c>
      <c r="C22" s="537" t="s">
        <v>266</v>
      </c>
      <c r="D22" s="545" t="s">
        <v>986</v>
      </c>
      <c r="E22" s="537" t="s">
        <v>731</v>
      </c>
    </row>
    <row r="23" spans="1:5" ht="16.5" customHeight="1">
      <c r="A23" s="536" t="s">
        <v>50</v>
      </c>
      <c r="B23" s="505" t="s">
        <v>51</v>
      </c>
      <c r="C23" s="537" t="s">
        <v>265</v>
      </c>
      <c r="D23" s="545" t="s">
        <v>986</v>
      </c>
      <c r="E23" s="537" t="s">
        <v>731</v>
      </c>
    </row>
    <row r="24" spans="1:5" ht="16.5" customHeight="1">
      <c r="A24" s="536" t="s">
        <v>56</v>
      </c>
      <c r="B24" s="505" t="s">
        <v>295</v>
      </c>
      <c r="C24" s="537" t="s">
        <v>266</v>
      </c>
      <c r="D24" s="545" t="s">
        <v>615</v>
      </c>
      <c r="E24" s="537" t="s">
        <v>732</v>
      </c>
    </row>
    <row r="25" spans="1:5" ht="16.5" customHeight="1">
      <c r="A25" s="536" t="s">
        <v>58</v>
      </c>
      <c r="B25" s="505" t="s">
        <v>59</v>
      </c>
      <c r="C25" s="537" t="s">
        <v>267</v>
      </c>
      <c r="D25" s="545" t="s">
        <v>614</v>
      </c>
      <c r="E25" s="537" t="s">
        <v>730</v>
      </c>
    </row>
    <row r="26" spans="1:5" ht="16.5" customHeight="1">
      <c r="A26" s="536" t="s">
        <v>60</v>
      </c>
      <c r="B26" s="505" t="s">
        <v>61</v>
      </c>
      <c r="C26" s="537" t="s">
        <v>265</v>
      </c>
      <c r="D26" s="545" t="s">
        <v>614</v>
      </c>
      <c r="E26" s="537" t="s">
        <v>730</v>
      </c>
    </row>
    <row r="27" spans="1:5" ht="16.5" customHeight="1">
      <c r="A27" s="536" t="s">
        <v>62</v>
      </c>
      <c r="B27" s="505" t="s">
        <v>63</v>
      </c>
      <c r="C27" s="537" t="s">
        <v>267</v>
      </c>
      <c r="D27" s="545" t="s">
        <v>986</v>
      </c>
      <c r="E27" s="537" t="s">
        <v>731</v>
      </c>
    </row>
    <row r="28" spans="1:5" ht="16.5" customHeight="1">
      <c r="A28" s="536" t="s">
        <v>64</v>
      </c>
      <c r="B28" s="505" t="s">
        <v>65</v>
      </c>
      <c r="C28" s="537" t="s">
        <v>266</v>
      </c>
      <c r="D28" s="545" t="s">
        <v>986</v>
      </c>
      <c r="E28" s="537" t="s">
        <v>731</v>
      </c>
    </row>
    <row r="29" spans="1:5" ht="16.5" customHeight="1">
      <c r="A29" s="536" t="s">
        <v>68</v>
      </c>
      <c r="B29" s="505" t="s">
        <v>69</v>
      </c>
      <c r="C29" s="537" t="s">
        <v>268</v>
      </c>
      <c r="D29" s="545" t="s">
        <v>614</v>
      </c>
      <c r="E29" s="537" t="s">
        <v>730</v>
      </c>
    </row>
    <row r="30" spans="1:5" ht="16.5" customHeight="1">
      <c r="A30" s="536" t="s">
        <v>70</v>
      </c>
      <c r="B30" s="505" t="s">
        <v>71</v>
      </c>
      <c r="C30" s="537" t="s">
        <v>264</v>
      </c>
      <c r="D30" s="545" t="s">
        <v>986</v>
      </c>
      <c r="E30" s="537" t="s">
        <v>731</v>
      </c>
    </row>
    <row r="31" spans="1:5" ht="16.5" customHeight="1">
      <c r="A31" s="536" t="s">
        <v>72</v>
      </c>
      <c r="B31" s="505" t="s">
        <v>73</v>
      </c>
      <c r="C31" s="537" t="s">
        <v>266</v>
      </c>
      <c r="D31" s="545" t="s">
        <v>986</v>
      </c>
      <c r="E31" s="537" t="s">
        <v>731</v>
      </c>
    </row>
    <row r="32" spans="1:5" ht="16.5" customHeight="1">
      <c r="A32" s="536" t="s">
        <v>74</v>
      </c>
      <c r="B32" s="505" t="s">
        <v>618</v>
      </c>
      <c r="C32" s="537" t="s">
        <v>267</v>
      </c>
      <c r="D32" s="545" t="s">
        <v>615</v>
      </c>
      <c r="E32" s="537" t="s">
        <v>732</v>
      </c>
    </row>
    <row r="33" spans="1:5" ht="16.5" customHeight="1">
      <c r="A33" s="536" t="s">
        <v>76</v>
      </c>
      <c r="B33" s="505" t="s">
        <v>77</v>
      </c>
      <c r="C33" s="537" t="s">
        <v>267</v>
      </c>
      <c r="D33" s="545" t="s">
        <v>615</v>
      </c>
      <c r="E33" s="537" t="s">
        <v>732</v>
      </c>
    </row>
    <row r="34" spans="1:5" ht="16.5" customHeight="1">
      <c r="A34" s="536" t="s">
        <v>78</v>
      </c>
      <c r="B34" s="505" t="s">
        <v>79</v>
      </c>
      <c r="C34" s="537" t="s">
        <v>268</v>
      </c>
      <c r="D34" s="545" t="s">
        <v>614</v>
      </c>
      <c r="E34" s="537" t="s">
        <v>730</v>
      </c>
    </row>
    <row r="35" spans="1:5" ht="16.5" customHeight="1">
      <c r="A35" s="536" t="s">
        <v>80</v>
      </c>
      <c r="B35" s="505" t="s">
        <v>81</v>
      </c>
      <c r="C35" s="537" t="s">
        <v>266</v>
      </c>
      <c r="D35" s="545" t="s">
        <v>986</v>
      </c>
      <c r="E35" s="537" t="s">
        <v>731</v>
      </c>
    </row>
    <row r="36" spans="1:5" ht="16.5" customHeight="1">
      <c r="A36" s="536" t="s">
        <v>84</v>
      </c>
      <c r="B36" s="505" t="s">
        <v>308</v>
      </c>
      <c r="C36" s="537" t="s">
        <v>265</v>
      </c>
      <c r="D36" s="545" t="s">
        <v>614</v>
      </c>
      <c r="E36" s="537" t="s">
        <v>730</v>
      </c>
    </row>
    <row r="37" spans="1:5" ht="16.5" customHeight="1">
      <c r="A37" s="536" t="s">
        <v>86</v>
      </c>
      <c r="B37" s="505" t="s">
        <v>87</v>
      </c>
      <c r="C37" s="537" t="s">
        <v>267</v>
      </c>
      <c r="D37" s="545" t="s">
        <v>986</v>
      </c>
      <c r="E37" s="537" t="s">
        <v>731</v>
      </c>
    </row>
    <row r="38" spans="1:5" ht="16.5" customHeight="1">
      <c r="A38" s="536" t="s">
        <v>92</v>
      </c>
      <c r="B38" s="505" t="s">
        <v>93</v>
      </c>
      <c r="C38" s="537" t="s">
        <v>268</v>
      </c>
      <c r="D38" s="545" t="s">
        <v>986</v>
      </c>
      <c r="E38" s="537" t="s">
        <v>731</v>
      </c>
    </row>
    <row r="39" spans="1:5" ht="16.5" customHeight="1">
      <c r="A39" s="536" t="s">
        <v>94</v>
      </c>
      <c r="B39" s="505" t="s">
        <v>95</v>
      </c>
      <c r="C39" s="537" t="s">
        <v>264</v>
      </c>
      <c r="D39" s="545" t="s">
        <v>986</v>
      </c>
      <c r="E39" s="537" t="s">
        <v>731</v>
      </c>
    </row>
    <row r="40" spans="1:5" ht="16.5" customHeight="1">
      <c r="A40" s="536" t="s">
        <v>96</v>
      </c>
      <c r="B40" s="505" t="s">
        <v>97</v>
      </c>
      <c r="C40" s="537" t="s">
        <v>266</v>
      </c>
      <c r="D40" s="545" t="s">
        <v>986</v>
      </c>
      <c r="E40" s="537" t="s">
        <v>731</v>
      </c>
    </row>
    <row r="41" spans="1:5" ht="16.5" customHeight="1">
      <c r="A41" s="536" t="s">
        <v>98</v>
      </c>
      <c r="B41" s="505" t="s">
        <v>99</v>
      </c>
      <c r="C41" s="537" t="s">
        <v>268</v>
      </c>
      <c r="D41" s="545" t="s">
        <v>986</v>
      </c>
      <c r="E41" s="537" t="s">
        <v>731</v>
      </c>
    </row>
    <row r="42" spans="1:5" ht="16.5" customHeight="1">
      <c r="A42" s="536" t="s">
        <v>100</v>
      </c>
      <c r="B42" s="505" t="s">
        <v>101</v>
      </c>
      <c r="C42" s="537" t="s">
        <v>267</v>
      </c>
      <c r="D42" s="545" t="s">
        <v>986</v>
      </c>
      <c r="E42" s="537" t="s">
        <v>731</v>
      </c>
    </row>
    <row r="43" spans="1:5" ht="16.5" customHeight="1">
      <c r="A43" s="536" t="s">
        <v>102</v>
      </c>
      <c r="B43" s="505" t="s">
        <v>282</v>
      </c>
      <c r="C43" s="537" t="s">
        <v>264</v>
      </c>
      <c r="D43" s="545" t="s">
        <v>986</v>
      </c>
      <c r="E43" s="537" t="s">
        <v>731</v>
      </c>
    </row>
    <row r="44" spans="1:5" ht="16.5" customHeight="1">
      <c r="A44" s="536" t="s">
        <v>104</v>
      </c>
      <c r="B44" s="505" t="s">
        <v>607</v>
      </c>
      <c r="C44" s="537" t="s">
        <v>265</v>
      </c>
      <c r="D44" s="545" t="s">
        <v>614</v>
      </c>
      <c r="E44" s="537" t="s">
        <v>730</v>
      </c>
    </row>
    <row r="45" spans="1:5" ht="16.5" customHeight="1">
      <c r="A45" s="536" t="s">
        <v>108</v>
      </c>
      <c r="B45" s="505" t="s">
        <v>109</v>
      </c>
      <c r="C45" s="537" t="s">
        <v>266</v>
      </c>
      <c r="D45" s="545" t="s">
        <v>615</v>
      </c>
      <c r="E45" s="537" t="s">
        <v>732</v>
      </c>
    </row>
    <row r="46" spans="1:5" ht="16.5" customHeight="1">
      <c r="A46" s="536" t="s">
        <v>110</v>
      </c>
      <c r="B46" s="505" t="s">
        <v>111</v>
      </c>
      <c r="C46" s="537" t="s">
        <v>266</v>
      </c>
      <c r="D46" s="545" t="s">
        <v>615</v>
      </c>
      <c r="E46" s="537" t="s">
        <v>732</v>
      </c>
    </row>
    <row r="47" spans="1:5" ht="16.5" customHeight="1">
      <c r="A47" s="536" t="s">
        <v>112</v>
      </c>
      <c r="B47" s="505" t="s">
        <v>300</v>
      </c>
      <c r="C47" s="537" t="s">
        <v>265</v>
      </c>
      <c r="D47" s="545" t="s">
        <v>614</v>
      </c>
      <c r="E47" s="537" t="s">
        <v>730</v>
      </c>
    </row>
    <row r="48" spans="1:5" ht="16.5" customHeight="1">
      <c r="A48" s="536" t="s">
        <v>114</v>
      </c>
      <c r="B48" s="505" t="s">
        <v>115</v>
      </c>
      <c r="C48" s="537" t="s">
        <v>265</v>
      </c>
      <c r="D48" s="545" t="s">
        <v>614</v>
      </c>
      <c r="E48" s="537" t="s">
        <v>730</v>
      </c>
    </row>
    <row r="49" spans="1:5" ht="16.5" customHeight="1">
      <c r="A49" s="536" t="s">
        <v>118</v>
      </c>
      <c r="B49" s="505" t="s">
        <v>119</v>
      </c>
      <c r="C49" s="537" t="s">
        <v>264</v>
      </c>
      <c r="D49" s="545" t="s">
        <v>986</v>
      </c>
      <c r="E49" s="537" t="s">
        <v>731</v>
      </c>
    </row>
    <row r="50" spans="1:5" ht="16.5" customHeight="1">
      <c r="A50" s="536" t="s">
        <v>120</v>
      </c>
      <c r="B50" s="505" t="s">
        <v>121</v>
      </c>
      <c r="C50" s="537" t="s">
        <v>264</v>
      </c>
      <c r="D50" s="545" t="s">
        <v>615</v>
      </c>
      <c r="E50" s="537" t="s">
        <v>732</v>
      </c>
    </row>
    <row r="51" spans="1:5" ht="16.5" customHeight="1">
      <c r="A51" s="536" t="s">
        <v>122</v>
      </c>
      <c r="B51" s="505" t="s">
        <v>271</v>
      </c>
      <c r="C51" s="537" t="s">
        <v>266</v>
      </c>
      <c r="D51" s="545" t="s">
        <v>986</v>
      </c>
      <c r="E51" s="537" t="s">
        <v>731</v>
      </c>
    </row>
    <row r="52" spans="1:5" ht="16.5" customHeight="1">
      <c r="A52" s="536" t="s">
        <v>124</v>
      </c>
      <c r="B52" s="505" t="s">
        <v>125</v>
      </c>
      <c r="C52" s="537" t="s">
        <v>267</v>
      </c>
      <c r="D52" s="545" t="s">
        <v>986</v>
      </c>
      <c r="E52" s="537" t="s">
        <v>731</v>
      </c>
    </row>
    <row r="53" spans="1:5" ht="16.5" customHeight="1">
      <c r="A53" s="536" t="s">
        <v>126</v>
      </c>
      <c r="B53" s="505" t="s">
        <v>127</v>
      </c>
      <c r="C53" s="537" t="s">
        <v>266</v>
      </c>
      <c r="D53" s="545" t="s">
        <v>986</v>
      </c>
      <c r="E53" s="537" t="s">
        <v>731</v>
      </c>
    </row>
    <row r="54" spans="1:5" ht="16.5" customHeight="1">
      <c r="A54" s="536" t="s">
        <v>128</v>
      </c>
      <c r="B54" s="505" t="s">
        <v>129</v>
      </c>
      <c r="C54" s="537" t="s">
        <v>266</v>
      </c>
      <c r="D54" s="545" t="s">
        <v>986</v>
      </c>
      <c r="E54" s="537" t="s">
        <v>731</v>
      </c>
    </row>
    <row r="55" spans="1:5" ht="16.5" customHeight="1">
      <c r="A55" s="536" t="s">
        <v>130</v>
      </c>
      <c r="B55" s="505" t="s">
        <v>131</v>
      </c>
      <c r="C55" s="537" t="s">
        <v>268</v>
      </c>
      <c r="D55" s="545" t="s">
        <v>614</v>
      </c>
      <c r="E55" s="537" t="s">
        <v>730</v>
      </c>
    </row>
    <row r="56" spans="1:5" ht="16.5" customHeight="1">
      <c r="A56" s="536" t="s">
        <v>132</v>
      </c>
      <c r="B56" s="505" t="s">
        <v>133</v>
      </c>
      <c r="C56" s="537" t="s">
        <v>267</v>
      </c>
      <c r="D56" s="545" t="s">
        <v>615</v>
      </c>
      <c r="E56" s="537" t="s">
        <v>732</v>
      </c>
    </row>
    <row r="57" spans="1:5" ht="16.5" customHeight="1">
      <c r="A57" s="536" t="s">
        <v>134</v>
      </c>
      <c r="B57" s="505" t="s">
        <v>135</v>
      </c>
      <c r="C57" s="537" t="s">
        <v>267</v>
      </c>
      <c r="D57" s="545" t="s">
        <v>615</v>
      </c>
      <c r="E57" s="537" t="s">
        <v>732</v>
      </c>
    </row>
    <row r="58" spans="1:5" ht="16.5" customHeight="1">
      <c r="A58" s="536" t="s">
        <v>136</v>
      </c>
      <c r="B58" s="505" t="s">
        <v>137</v>
      </c>
      <c r="C58" s="537" t="s">
        <v>266</v>
      </c>
      <c r="D58" s="545" t="s">
        <v>986</v>
      </c>
      <c r="E58" s="537" t="s">
        <v>731</v>
      </c>
    </row>
    <row r="59" spans="1:5" ht="16.5" customHeight="1">
      <c r="A59" s="536" t="s">
        <v>140</v>
      </c>
      <c r="B59" s="505" t="s">
        <v>141</v>
      </c>
      <c r="C59" s="537" t="s">
        <v>267</v>
      </c>
      <c r="D59" s="545" t="s">
        <v>614</v>
      </c>
      <c r="E59" s="537" t="s">
        <v>730</v>
      </c>
    </row>
    <row r="60" spans="1:5" ht="16.5" customHeight="1">
      <c r="A60" s="536" t="s">
        <v>146</v>
      </c>
      <c r="B60" s="505" t="s">
        <v>147</v>
      </c>
      <c r="C60" s="537" t="s">
        <v>264</v>
      </c>
      <c r="D60" s="545" t="s">
        <v>986</v>
      </c>
      <c r="E60" s="537" t="s">
        <v>731</v>
      </c>
    </row>
    <row r="61" spans="1:5" ht="16.5" customHeight="1">
      <c r="A61" s="536" t="s">
        <v>148</v>
      </c>
      <c r="B61" s="505" t="s">
        <v>149</v>
      </c>
      <c r="C61" s="537" t="s">
        <v>265</v>
      </c>
      <c r="D61" s="545" t="s">
        <v>986</v>
      </c>
      <c r="E61" s="537" t="s">
        <v>731</v>
      </c>
    </row>
    <row r="62" spans="1:5" ht="16.5" customHeight="1">
      <c r="A62" s="536" t="s">
        <v>150</v>
      </c>
      <c r="B62" s="505" t="s">
        <v>151</v>
      </c>
      <c r="C62" s="537" t="s">
        <v>266</v>
      </c>
      <c r="D62" s="545" t="s">
        <v>986</v>
      </c>
      <c r="E62" s="537" t="s">
        <v>731</v>
      </c>
    </row>
    <row r="63" spans="1:5" ht="16.5" customHeight="1">
      <c r="A63" s="536" t="s">
        <v>152</v>
      </c>
      <c r="B63" s="505" t="s">
        <v>153</v>
      </c>
      <c r="C63" s="537" t="s">
        <v>268</v>
      </c>
      <c r="D63" s="545" t="s">
        <v>615</v>
      </c>
      <c r="E63" s="537" t="s">
        <v>732</v>
      </c>
    </row>
    <row r="64" spans="1:5" ht="16.5" customHeight="1">
      <c r="A64" s="536" t="s">
        <v>154</v>
      </c>
      <c r="B64" s="505" t="s">
        <v>155</v>
      </c>
      <c r="C64" s="537" t="s">
        <v>265</v>
      </c>
      <c r="D64" s="545" t="s">
        <v>614</v>
      </c>
      <c r="E64" s="537" t="s">
        <v>730</v>
      </c>
    </row>
    <row r="65" spans="1:5" ht="16.5" customHeight="1">
      <c r="A65" s="536" t="s">
        <v>156</v>
      </c>
      <c r="B65" s="505" t="s">
        <v>157</v>
      </c>
      <c r="C65" s="537" t="s">
        <v>266</v>
      </c>
      <c r="D65" s="545" t="s">
        <v>986</v>
      </c>
      <c r="E65" s="537" t="s">
        <v>731</v>
      </c>
    </row>
    <row r="66" spans="1:5" ht="16.5" customHeight="1">
      <c r="A66" s="536" t="s">
        <v>162</v>
      </c>
      <c r="B66" s="505" t="s">
        <v>163</v>
      </c>
      <c r="C66" s="537" t="s">
        <v>264</v>
      </c>
      <c r="D66" s="545" t="s">
        <v>986</v>
      </c>
      <c r="E66" s="537" t="s">
        <v>731</v>
      </c>
    </row>
    <row r="67" spans="1:5" ht="16.5" customHeight="1">
      <c r="A67" s="536" t="s">
        <v>164</v>
      </c>
      <c r="B67" s="505" t="s">
        <v>165</v>
      </c>
      <c r="C67" s="537" t="s">
        <v>266</v>
      </c>
      <c r="D67" s="545" t="s">
        <v>614</v>
      </c>
      <c r="E67" s="537" t="s">
        <v>730</v>
      </c>
    </row>
    <row r="68" spans="1:5" ht="16.5" customHeight="1">
      <c r="A68" s="536" t="s">
        <v>168</v>
      </c>
      <c r="B68" s="505" t="s">
        <v>169</v>
      </c>
      <c r="C68" s="537" t="s">
        <v>266</v>
      </c>
      <c r="D68" s="545" t="s">
        <v>986</v>
      </c>
      <c r="E68" s="537" t="s">
        <v>731</v>
      </c>
    </row>
    <row r="69" spans="1:5" ht="16.5" customHeight="1">
      <c r="A69" s="536" t="s">
        <v>170</v>
      </c>
      <c r="B69" s="505" t="s">
        <v>171</v>
      </c>
      <c r="C69" s="537" t="s">
        <v>267</v>
      </c>
      <c r="D69" s="545" t="s">
        <v>614</v>
      </c>
      <c r="E69" s="537" t="s">
        <v>730</v>
      </c>
    </row>
    <row r="70" spans="1:5" ht="16.5" customHeight="1">
      <c r="A70" s="536" t="s">
        <v>172</v>
      </c>
      <c r="B70" s="505" t="s">
        <v>173</v>
      </c>
      <c r="C70" s="537" t="s">
        <v>267</v>
      </c>
      <c r="D70" s="545" t="s">
        <v>614</v>
      </c>
      <c r="E70" s="537" t="s">
        <v>730</v>
      </c>
    </row>
    <row r="71" spans="1:5" ht="16.5" customHeight="1">
      <c r="A71" s="536" t="s">
        <v>174</v>
      </c>
      <c r="B71" s="505" t="s">
        <v>175</v>
      </c>
      <c r="C71" s="537" t="s">
        <v>268</v>
      </c>
      <c r="D71" s="545" t="s">
        <v>614</v>
      </c>
      <c r="E71" s="537" t="s">
        <v>730</v>
      </c>
    </row>
    <row r="72" spans="1:5" ht="16.5" customHeight="1">
      <c r="A72" s="536" t="s">
        <v>178</v>
      </c>
      <c r="B72" s="505" t="s">
        <v>179</v>
      </c>
      <c r="C72" s="537" t="s">
        <v>265</v>
      </c>
      <c r="D72" s="545" t="s">
        <v>986</v>
      </c>
      <c r="E72" s="537" t="s">
        <v>731</v>
      </c>
    </row>
    <row r="73" spans="1:5" ht="16.5" customHeight="1">
      <c r="A73" s="536" t="s">
        <v>182</v>
      </c>
      <c r="B73" s="505" t="s">
        <v>183</v>
      </c>
      <c r="C73" s="537" t="s">
        <v>266</v>
      </c>
      <c r="D73" s="545" t="s">
        <v>986</v>
      </c>
      <c r="E73" s="537" t="s">
        <v>731</v>
      </c>
    </row>
    <row r="74" spans="1:5" ht="16.5" customHeight="1">
      <c r="A74" s="536" t="s">
        <v>184</v>
      </c>
      <c r="B74" s="505" t="s">
        <v>185</v>
      </c>
      <c r="C74" s="537" t="s">
        <v>266</v>
      </c>
      <c r="D74" s="545" t="s">
        <v>986</v>
      </c>
      <c r="E74" s="537" t="s">
        <v>731</v>
      </c>
    </row>
    <row r="75" spans="1:5" ht="16.5" customHeight="1">
      <c r="A75" s="536" t="s">
        <v>186</v>
      </c>
      <c r="B75" s="505" t="s">
        <v>187</v>
      </c>
      <c r="C75" s="537" t="s">
        <v>264</v>
      </c>
      <c r="D75" s="545" t="s">
        <v>615</v>
      </c>
      <c r="E75" s="537" t="s">
        <v>732</v>
      </c>
    </row>
    <row r="76" spans="1:5" ht="16.5" customHeight="1">
      <c r="A76" s="536" t="s">
        <v>188</v>
      </c>
      <c r="B76" s="505" t="s">
        <v>189</v>
      </c>
      <c r="C76" s="537" t="s">
        <v>267</v>
      </c>
      <c r="D76" s="545" t="s">
        <v>615</v>
      </c>
      <c r="E76" s="537" t="s">
        <v>732</v>
      </c>
    </row>
    <row r="77" spans="1:5" ht="16.5" customHeight="1">
      <c r="A77" s="536" t="s">
        <v>190</v>
      </c>
      <c r="B77" s="505" t="s">
        <v>191</v>
      </c>
      <c r="C77" s="537" t="s">
        <v>268</v>
      </c>
      <c r="D77" s="545" t="s">
        <v>986</v>
      </c>
      <c r="E77" s="537" t="s">
        <v>731</v>
      </c>
    </row>
    <row r="78" spans="1:5" ht="16.5" customHeight="1">
      <c r="A78" s="536" t="s">
        <v>194</v>
      </c>
      <c r="B78" s="505" t="s">
        <v>195</v>
      </c>
      <c r="C78" s="537" t="s">
        <v>267</v>
      </c>
      <c r="D78" s="545" t="s">
        <v>614</v>
      </c>
      <c r="E78" s="537" t="s">
        <v>730</v>
      </c>
    </row>
    <row r="79" spans="1:5" ht="16.5" customHeight="1">
      <c r="A79" s="536" t="s">
        <v>198</v>
      </c>
      <c r="B79" s="505" t="s">
        <v>199</v>
      </c>
      <c r="C79" s="537" t="s">
        <v>266</v>
      </c>
      <c r="D79" s="545" t="s">
        <v>986</v>
      </c>
      <c r="E79" s="537" t="s">
        <v>731</v>
      </c>
    </row>
    <row r="80" spans="1:5" ht="16.5" customHeight="1">
      <c r="A80" s="536" t="s">
        <v>202</v>
      </c>
      <c r="B80" s="505" t="s">
        <v>620</v>
      </c>
      <c r="C80" s="537" t="s">
        <v>265</v>
      </c>
      <c r="D80" s="545" t="s">
        <v>615</v>
      </c>
      <c r="E80" s="537" t="s">
        <v>732</v>
      </c>
    </row>
    <row r="81" spans="1:5" ht="16.5" customHeight="1">
      <c r="A81" s="536" t="s">
        <v>204</v>
      </c>
      <c r="B81" s="505" t="s">
        <v>293</v>
      </c>
      <c r="C81" s="537" t="s">
        <v>265</v>
      </c>
      <c r="D81" s="545" t="s">
        <v>614</v>
      </c>
      <c r="E81" s="537" t="s">
        <v>730</v>
      </c>
    </row>
    <row r="82" spans="1:5" ht="16.5" customHeight="1">
      <c r="A82" s="536" t="s">
        <v>206</v>
      </c>
      <c r="B82" s="505" t="s">
        <v>294</v>
      </c>
      <c r="C82" s="537" t="s">
        <v>267</v>
      </c>
      <c r="D82" s="545" t="s">
        <v>986</v>
      </c>
      <c r="E82" s="537" t="s">
        <v>731</v>
      </c>
    </row>
    <row r="83" spans="1:5" ht="16.5" customHeight="1">
      <c r="A83" s="536" t="s">
        <v>208</v>
      </c>
      <c r="B83" s="505" t="s">
        <v>209</v>
      </c>
      <c r="C83" s="537" t="s">
        <v>268</v>
      </c>
      <c r="D83" s="545" t="s">
        <v>986</v>
      </c>
      <c r="E83" s="537" t="s">
        <v>731</v>
      </c>
    </row>
    <row r="84" spans="1:5" ht="16.5" customHeight="1">
      <c r="A84" s="536" t="s">
        <v>210</v>
      </c>
      <c r="B84" s="505" t="s">
        <v>211</v>
      </c>
      <c r="C84" s="537" t="s">
        <v>268</v>
      </c>
      <c r="D84" s="545" t="s">
        <v>614</v>
      </c>
      <c r="E84" s="537" t="s">
        <v>730</v>
      </c>
    </row>
    <row r="85" spans="1:5" ht="16.5" customHeight="1">
      <c r="A85" s="536" t="s">
        <v>212</v>
      </c>
      <c r="B85" s="505" t="s">
        <v>213</v>
      </c>
      <c r="C85" s="537" t="s">
        <v>267</v>
      </c>
      <c r="D85" s="545" t="s">
        <v>614</v>
      </c>
      <c r="E85" s="537" t="s">
        <v>730</v>
      </c>
    </row>
    <row r="86" spans="1:5" ht="16.5" customHeight="1">
      <c r="A86" s="536" t="s">
        <v>214</v>
      </c>
      <c r="B86" s="505" t="s">
        <v>215</v>
      </c>
      <c r="C86" s="537" t="s">
        <v>268</v>
      </c>
      <c r="D86" s="545" t="s">
        <v>614</v>
      </c>
      <c r="E86" s="537" t="s">
        <v>730</v>
      </c>
    </row>
    <row r="87" spans="1:5" ht="16.5" customHeight="1">
      <c r="A87" s="536" t="s">
        <v>216</v>
      </c>
      <c r="B87" s="505" t="s">
        <v>217</v>
      </c>
      <c r="C87" s="537" t="s">
        <v>264</v>
      </c>
      <c r="D87" s="545" t="s">
        <v>614</v>
      </c>
      <c r="E87" s="537" t="s">
        <v>730</v>
      </c>
    </row>
    <row r="88" spans="1:5" ht="16.5" customHeight="1">
      <c r="A88" s="536" t="s">
        <v>218</v>
      </c>
      <c r="B88" s="505" t="s">
        <v>219</v>
      </c>
      <c r="C88" s="537" t="s">
        <v>267</v>
      </c>
      <c r="D88" s="545" t="s">
        <v>615</v>
      </c>
      <c r="E88" s="537" t="s">
        <v>732</v>
      </c>
    </row>
    <row r="89" spans="1:5" ht="16.5" customHeight="1">
      <c r="A89" s="536" t="s">
        <v>220</v>
      </c>
      <c r="B89" s="505" t="s">
        <v>221</v>
      </c>
      <c r="C89" s="537" t="s">
        <v>267</v>
      </c>
      <c r="D89" s="545" t="s">
        <v>986</v>
      </c>
      <c r="E89" s="537" t="s">
        <v>731</v>
      </c>
    </row>
    <row r="90" spans="1:5" s="541" customFormat="1" ht="16.5" customHeight="1">
      <c r="A90" s="536" t="s">
        <v>224</v>
      </c>
      <c r="B90" s="505" t="s">
        <v>225</v>
      </c>
      <c r="C90" s="537" t="s">
        <v>264</v>
      </c>
      <c r="D90" s="545" t="s">
        <v>614</v>
      </c>
      <c r="E90" s="537" t="s">
        <v>730</v>
      </c>
    </row>
    <row r="91" spans="1:5" ht="16.5" customHeight="1">
      <c r="A91" s="536" t="s">
        <v>226</v>
      </c>
      <c r="B91" s="505" t="s">
        <v>227</v>
      </c>
      <c r="C91" s="537" t="s">
        <v>264</v>
      </c>
      <c r="D91" s="545" t="s">
        <v>614</v>
      </c>
      <c r="E91" s="537" t="s">
        <v>730</v>
      </c>
    </row>
    <row r="92" spans="1:5" ht="16.5" customHeight="1">
      <c r="A92" s="536" t="s">
        <v>228</v>
      </c>
      <c r="B92" s="505" t="s">
        <v>229</v>
      </c>
      <c r="C92" s="537" t="s">
        <v>268</v>
      </c>
      <c r="D92" s="545" t="s">
        <v>614</v>
      </c>
      <c r="E92" s="537" t="s">
        <v>730</v>
      </c>
    </row>
    <row r="93" spans="1:5" ht="16.5" customHeight="1">
      <c r="A93" s="536" t="s">
        <v>232</v>
      </c>
      <c r="B93" s="505" t="s">
        <v>233</v>
      </c>
      <c r="C93" s="537" t="s">
        <v>267</v>
      </c>
      <c r="D93" s="545" t="s">
        <v>986</v>
      </c>
      <c r="E93" s="537" t="s">
        <v>731</v>
      </c>
    </row>
    <row r="94" spans="1:5" ht="16.5" customHeight="1">
      <c r="A94" s="536" t="s">
        <v>234</v>
      </c>
      <c r="B94" s="505" t="s">
        <v>235</v>
      </c>
      <c r="C94" s="537" t="s">
        <v>268</v>
      </c>
      <c r="D94" s="545" t="s">
        <v>614</v>
      </c>
      <c r="E94" s="537" t="s">
        <v>730</v>
      </c>
    </row>
    <row r="95" spans="1:5" ht="16.5" customHeight="1">
      <c r="A95" s="536" t="s">
        <v>236</v>
      </c>
      <c r="B95" s="505" t="s">
        <v>237</v>
      </c>
      <c r="C95" s="537" t="s">
        <v>266</v>
      </c>
      <c r="D95" s="545" t="s">
        <v>614</v>
      </c>
      <c r="E95" s="537" t="s">
        <v>730</v>
      </c>
    </row>
    <row r="96" spans="1:5" ht="16.5" customHeight="1">
      <c r="A96" s="536" t="s">
        <v>242</v>
      </c>
      <c r="B96" s="505" t="s">
        <v>243</v>
      </c>
      <c r="C96" s="537" t="s">
        <v>268</v>
      </c>
      <c r="D96" s="545" t="s">
        <v>614</v>
      </c>
      <c r="E96" s="537" t="s">
        <v>730</v>
      </c>
    </row>
    <row r="97" spans="1:5" ht="16.5" customHeight="1">
      <c r="A97" s="536" t="s">
        <v>244</v>
      </c>
      <c r="B97" s="505" t="s">
        <v>245</v>
      </c>
      <c r="C97" s="537" t="s">
        <v>268</v>
      </c>
      <c r="D97" s="545" t="s">
        <v>986</v>
      </c>
      <c r="E97" s="537" t="s">
        <v>731</v>
      </c>
    </row>
    <row r="98" spans="1:5" ht="16.5" customHeight="1">
      <c r="A98" s="536" t="s">
        <v>246</v>
      </c>
      <c r="B98" s="505" t="s">
        <v>247</v>
      </c>
      <c r="C98" s="537" t="s">
        <v>264</v>
      </c>
      <c r="D98" s="545" t="s">
        <v>986</v>
      </c>
      <c r="E98" s="537" t="s">
        <v>731</v>
      </c>
    </row>
    <row r="99" spans="1:5" ht="16.5" customHeight="1">
      <c r="A99" s="536" t="s">
        <v>14</v>
      </c>
      <c r="B99" s="505" t="s">
        <v>15</v>
      </c>
      <c r="C99" s="537" t="s">
        <v>267</v>
      </c>
      <c r="D99" s="545" t="s">
        <v>986</v>
      </c>
      <c r="E99" s="537" t="s">
        <v>731</v>
      </c>
    </row>
    <row r="100" spans="1:5" ht="16.5" customHeight="1">
      <c r="A100" s="536" t="s">
        <v>34</v>
      </c>
      <c r="B100" s="505" t="s">
        <v>35</v>
      </c>
      <c r="C100" s="537" t="s">
        <v>268</v>
      </c>
      <c r="D100" s="545" t="s">
        <v>614</v>
      </c>
      <c r="E100" s="537" t="s">
        <v>730</v>
      </c>
    </row>
    <row r="101" spans="1:5" ht="16.5" customHeight="1">
      <c r="A101" s="536" t="s">
        <v>52</v>
      </c>
      <c r="B101" s="505" t="s">
        <v>53</v>
      </c>
      <c r="C101" s="537" t="s">
        <v>265</v>
      </c>
      <c r="D101" s="545" t="s">
        <v>615</v>
      </c>
      <c r="E101" s="537" t="s">
        <v>732</v>
      </c>
    </row>
    <row r="102" spans="1:5" ht="16.5" customHeight="1">
      <c r="A102" s="536" t="s">
        <v>54</v>
      </c>
      <c r="B102" s="505" t="s">
        <v>55</v>
      </c>
      <c r="C102" s="537" t="s">
        <v>264</v>
      </c>
      <c r="D102" s="545" t="s">
        <v>615</v>
      </c>
      <c r="E102" s="537" t="s">
        <v>732</v>
      </c>
    </row>
    <row r="103" spans="1:5" ht="16.5" customHeight="1">
      <c r="A103" s="536" t="s">
        <v>66</v>
      </c>
      <c r="B103" s="505" t="s">
        <v>67</v>
      </c>
      <c r="C103" s="537" t="s">
        <v>265</v>
      </c>
      <c r="D103" s="545" t="s">
        <v>615</v>
      </c>
      <c r="E103" s="537" t="s">
        <v>732</v>
      </c>
    </row>
    <row r="104" spans="1:5" ht="16.5" customHeight="1">
      <c r="A104" s="536" t="s">
        <v>82</v>
      </c>
      <c r="B104" s="505" t="s">
        <v>311</v>
      </c>
      <c r="C104" s="537" t="s">
        <v>264</v>
      </c>
      <c r="D104" s="545" t="s">
        <v>614</v>
      </c>
      <c r="E104" s="537" t="s">
        <v>730</v>
      </c>
    </row>
    <row r="105" spans="1:5" ht="16.5" customHeight="1">
      <c r="A105" s="536" t="s">
        <v>88</v>
      </c>
      <c r="B105" s="505" t="s">
        <v>89</v>
      </c>
      <c r="C105" s="537" t="s">
        <v>267</v>
      </c>
      <c r="D105" s="545" t="s">
        <v>986</v>
      </c>
      <c r="E105" s="537" t="s">
        <v>731</v>
      </c>
    </row>
    <row r="106" spans="1:5" ht="16.5" customHeight="1">
      <c r="A106" s="536" t="s">
        <v>90</v>
      </c>
      <c r="B106" s="505" t="s">
        <v>91</v>
      </c>
      <c r="C106" s="537" t="s">
        <v>268</v>
      </c>
      <c r="D106" s="545" t="s">
        <v>986</v>
      </c>
      <c r="E106" s="537" t="s">
        <v>731</v>
      </c>
    </row>
    <row r="107" spans="1:5" ht="16.5" customHeight="1">
      <c r="A107" s="536" t="s">
        <v>106</v>
      </c>
      <c r="B107" s="505" t="s">
        <v>107</v>
      </c>
      <c r="C107" s="537" t="s">
        <v>264</v>
      </c>
      <c r="D107" s="545" t="s">
        <v>615</v>
      </c>
      <c r="E107" s="537" t="s">
        <v>732</v>
      </c>
    </row>
    <row r="108" spans="1:5" ht="16.5" customHeight="1">
      <c r="A108" s="536" t="s">
        <v>116</v>
      </c>
      <c r="B108" s="505" t="s">
        <v>117</v>
      </c>
      <c r="C108" s="537" t="s">
        <v>266</v>
      </c>
      <c r="D108" s="545" t="s">
        <v>986</v>
      </c>
      <c r="E108" s="537" t="s">
        <v>731</v>
      </c>
    </row>
    <row r="109" spans="1:5" ht="16.5" customHeight="1">
      <c r="A109" s="536" t="s">
        <v>138</v>
      </c>
      <c r="B109" s="505" t="s">
        <v>139</v>
      </c>
      <c r="C109" s="537" t="s">
        <v>265</v>
      </c>
      <c r="D109" s="545" t="s">
        <v>615</v>
      </c>
      <c r="E109" s="537" t="s">
        <v>732</v>
      </c>
    </row>
    <row r="110" spans="1:5" ht="16.5" customHeight="1">
      <c r="A110" s="536" t="s">
        <v>142</v>
      </c>
      <c r="B110" s="505" t="s">
        <v>143</v>
      </c>
      <c r="C110" s="537" t="s">
        <v>267</v>
      </c>
      <c r="D110" s="545" t="s">
        <v>986</v>
      </c>
      <c r="E110" s="537" t="s">
        <v>731</v>
      </c>
    </row>
    <row r="111" spans="1:5" ht="16.5" customHeight="1">
      <c r="A111" s="536" t="s">
        <v>144</v>
      </c>
      <c r="B111" s="505" t="s">
        <v>145</v>
      </c>
      <c r="C111" s="537" t="s">
        <v>267</v>
      </c>
      <c r="D111" s="545" t="s">
        <v>986</v>
      </c>
      <c r="E111" s="537" t="s">
        <v>731</v>
      </c>
    </row>
    <row r="112" spans="1:5" ht="16.5" customHeight="1">
      <c r="A112" s="536" t="s">
        <v>158</v>
      </c>
      <c r="B112" s="505" t="s">
        <v>159</v>
      </c>
      <c r="C112" s="537" t="s">
        <v>264</v>
      </c>
      <c r="D112" s="545" t="s">
        <v>615</v>
      </c>
      <c r="E112" s="537" t="s">
        <v>732</v>
      </c>
    </row>
    <row r="113" spans="1:5" ht="16.5" customHeight="1">
      <c r="A113" s="536" t="s">
        <v>160</v>
      </c>
      <c r="B113" s="505" t="s">
        <v>161</v>
      </c>
      <c r="C113" s="537" t="s">
        <v>264</v>
      </c>
      <c r="D113" s="545" t="s">
        <v>615</v>
      </c>
      <c r="E113" s="537" t="s">
        <v>732</v>
      </c>
    </row>
    <row r="114" spans="1:5" ht="16.5" customHeight="1">
      <c r="A114" s="536" t="s">
        <v>166</v>
      </c>
      <c r="B114" s="505" t="s">
        <v>167</v>
      </c>
      <c r="C114" s="537" t="s">
        <v>268</v>
      </c>
      <c r="D114" s="545" t="s">
        <v>986</v>
      </c>
      <c r="E114" s="537" t="s">
        <v>731</v>
      </c>
    </row>
    <row r="115" spans="1:5" ht="16.5" customHeight="1">
      <c r="A115" s="536" t="s">
        <v>176</v>
      </c>
      <c r="B115" s="505" t="s">
        <v>177</v>
      </c>
      <c r="C115" s="537" t="s">
        <v>266</v>
      </c>
      <c r="D115" s="545" t="s">
        <v>986</v>
      </c>
      <c r="E115" s="537" t="s">
        <v>731</v>
      </c>
    </row>
    <row r="116" spans="1:5" ht="16.5" customHeight="1">
      <c r="A116" s="536" t="s">
        <v>180</v>
      </c>
      <c r="B116" s="505" t="s">
        <v>181</v>
      </c>
      <c r="C116" s="537" t="s">
        <v>264</v>
      </c>
      <c r="D116" s="545" t="s">
        <v>615</v>
      </c>
      <c r="E116" s="537" t="s">
        <v>732</v>
      </c>
    </row>
    <row r="117" spans="1:5" ht="16.5" customHeight="1">
      <c r="A117" s="536" t="s">
        <v>192</v>
      </c>
      <c r="B117" s="505" t="s">
        <v>193</v>
      </c>
      <c r="C117" s="537" t="s">
        <v>268</v>
      </c>
      <c r="D117" s="545" t="s">
        <v>614</v>
      </c>
      <c r="E117" s="537" t="s">
        <v>730</v>
      </c>
    </row>
    <row r="118" spans="1:5" ht="16.5" customHeight="1">
      <c r="A118" s="536" t="s">
        <v>196</v>
      </c>
      <c r="B118" s="505" t="s">
        <v>312</v>
      </c>
      <c r="C118" s="537" t="s">
        <v>266</v>
      </c>
      <c r="D118" s="545" t="s">
        <v>615</v>
      </c>
      <c r="E118" s="537" t="s">
        <v>732</v>
      </c>
    </row>
    <row r="119" spans="1:5" ht="16.5" customHeight="1">
      <c r="A119" s="536" t="s">
        <v>200</v>
      </c>
      <c r="B119" s="505" t="s">
        <v>313</v>
      </c>
      <c r="C119" s="537" t="s">
        <v>265</v>
      </c>
      <c r="D119" s="545" t="s">
        <v>615</v>
      </c>
      <c r="E119" s="537" t="s">
        <v>732</v>
      </c>
    </row>
    <row r="120" spans="1:5" ht="16.5" customHeight="1">
      <c r="A120" s="536" t="s">
        <v>222</v>
      </c>
      <c r="B120" s="505" t="s">
        <v>223</v>
      </c>
      <c r="C120" s="537" t="s">
        <v>264</v>
      </c>
      <c r="D120" s="545" t="s">
        <v>986</v>
      </c>
      <c r="E120" s="537" t="s">
        <v>731</v>
      </c>
    </row>
    <row r="121" spans="1:5" ht="16.5" customHeight="1">
      <c r="A121" s="536" t="s">
        <v>230</v>
      </c>
      <c r="B121" s="505" t="s">
        <v>231</v>
      </c>
      <c r="C121" s="537" t="s">
        <v>264</v>
      </c>
      <c r="D121" s="545" t="s">
        <v>615</v>
      </c>
      <c r="E121" s="537" t="s">
        <v>732</v>
      </c>
    </row>
    <row r="122" spans="1:5" ht="16.5" customHeight="1">
      <c r="A122" s="536" t="s">
        <v>238</v>
      </c>
      <c r="B122" s="505" t="s">
        <v>239</v>
      </c>
      <c r="C122" s="537" t="s">
        <v>264</v>
      </c>
      <c r="D122" s="545" t="s">
        <v>986</v>
      </c>
      <c r="E122" s="537" t="s">
        <v>731</v>
      </c>
    </row>
    <row r="123" spans="1:5" ht="16.5" customHeight="1">
      <c r="A123" s="536" t="s">
        <v>240</v>
      </c>
      <c r="B123" s="505" t="s">
        <v>241</v>
      </c>
      <c r="C123" s="537" t="s">
        <v>267</v>
      </c>
      <c r="D123" s="545" t="s">
        <v>615</v>
      </c>
      <c r="E123" s="537" t="s">
        <v>732</v>
      </c>
    </row>
    <row r="125" spans="1:5">
      <c r="C125" s="539" t="s">
        <v>616</v>
      </c>
      <c r="D125" s="546">
        <f>COUNTIF(D4:D123,"ND")</f>
        <v>35</v>
      </c>
    </row>
    <row r="126" spans="1:5">
      <c r="C126" s="539" t="s">
        <v>617</v>
      </c>
      <c r="D126" s="546">
        <f>COUNTIF(D3:D123,"JW")</f>
        <v>26</v>
      </c>
    </row>
    <row r="127" spans="1:5">
      <c r="C127" s="539" t="s">
        <v>987</v>
      </c>
      <c r="D127" s="546">
        <f>COUNTIF(D3:D123,"PD")</f>
        <v>59</v>
      </c>
    </row>
    <row r="128" spans="1:5">
      <c r="D128" s="546"/>
    </row>
    <row r="129" spans="1:4">
      <c r="D129" s="546"/>
    </row>
    <row r="131" spans="1:4">
      <c r="A131" s="540" t="s">
        <v>988</v>
      </c>
    </row>
    <row r="133" spans="1:4" s="428" customFormat="1">
      <c r="A133" s="428" t="s">
        <v>248</v>
      </c>
    </row>
    <row r="134" spans="1:4" s="428" customFormat="1">
      <c r="A134" s="429" t="s">
        <v>249</v>
      </c>
      <c r="B134" s="430" t="s">
        <v>250</v>
      </c>
    </row>
  </sheetData>
  <autoFilter ref="A3:E123"/>
  <mergeCells count="1">
    <mergeCell ref="A1:D1"/>
  </mergeCells>
  <hyperlinks>
    <hyperlink ref="B134" r:id="rId1"/>
  </hyperlinks>
  <pageMargins left="0.7" right="0.7" top="0.75" bottom="0.75" header="0.3" footer="0.3"/>
  <pageSetup orientation="portrait" r:id="rId2"/>
</worksheet>
</file>

<file path=xl/worksheets/sheet40.xml><?xml version="1.0" encoding="utf-8"?>
<worksheet xmlns="http://schemas.openxmlformats.org/spreadsheetml/2006/main" xmlns:r="http://schemas.openxmlformats.org/officeDocument/2006/relationships">
  <dimension ref="A1:Y127"/>
  <sheetViews>
    <sheetView zoomScaleNormal="106" zoomScaleSheetLayoutView="116" workbookViewId="0">
      <pane xSplit="2" ySplit="3" topLeftCell="K4" activePane="bottomRight" state="frozen"/>
      <selection pane="topRight" activeCell="C1" sqref="C1"/>
      <selection pane="bottomLeft" activeCell="A4" sqref="A4"/>
      <selection pane="bottomRight" activeCell="K6" sqref="K6"/>
    </sheetView>
  </sheetViews>
  <sheetFormatPr defaultRowHeight="12.75"/>
  <cols>
    <col min="1" max="1" width="12.25" style="18" customWidth="1"/>
    <col min="2" max="2" width="21.5" style="28" customWidth="1"/>
    <col min="3" max="3" width="10.125" style="18" customWidth="1"/>
    <col min="4" max="4" width="9.875" style="18" customWidth="1"/>
    <col min="5" max="5" width="9.875" style="18" bestFit="1" customWidth="1"/>
    <col min="6" max="6" width="2.625" style="18" customWidth="1"/>
    <col min="7" max="7" width="10.125" style="18" customWidth="1"/>
    <col min="8" max="8" width="9.5" style="18" customWidth="1"/>
    <col min="9" max="9" width="9.75" style="18" customWidth="1"/>
    <col min="10" max="10" width="2.625" style="18" customWidth="1"/>
    <col min="11" max="11" width="9.625" style="18" customWidth="1"/>
    <col min="12" max="12" width="10.5" style="18" customWidth="1"/>
    <col min="13" max="13" width="11.375" style="18" customWidth="1"/>
    <col min="14" max="14" width="2.625" style="18" customWidth="1"/>
    <col min="15" max="15" width="10.125" style="18" customWidth="1"/>
    <col min="16" max="16" width="10.25" style="18" customWidth="1"/>
    <col min="17" max="17" width="10.375" style="18" customWidth="1"/>
    <col min="18" max="18" width="2.625" style="18" customWidth="1"/>
    <col min="19" max="19" width="11" style="18" customWidth="1"/>
    <col min="20" max="20" width="10.875" style="18" customWidth="1"/>
    <col min="21" max="21" width="9.875" style="18" customWidth="1"/>
    <col min="22" max="22" width="2.625" style="18" customWidth="1"/>
    <col min="23" max="23" width="9.5" style="18" customWidth="1"/>
    <col min="24" max="24" width="10.375" style="18" customWidth="1"/>
    <col min="25" max="25" width="10.25" style="18" customWidth="1"/>
    <col min="26" max="16384" width="9" style="18"/>
  </cols>
  <sheetData>
    <row r="1" spans="1:25" ht="15.75">
      <c r="C1" s="1937" t="s">
        <v>577</v>
      </c>
      <c r="D1" s="1937"/>
      <c r="E1" s="1937"/>
      <c r="F1" s="1937"/>
      <c r="G1" s="1937"/>
      <c r="H1" s="1937"/>
      <c r="I1" s="1937"/>
      <c r="J1" s="1937"/>
      <c r="K1" s="1937"/>
      <c r="L1" s="1937"/>
      <c r="M1" s="1937"/>
      <c r="O1" s="1934" t="s">
        <v>578</v>
      </c>
      <c r="P1" s="1934"/>
      <c r="Q1" s="1934"/>
      <c r="R1" s="1934"/>
      <c r="S1" s="1934"/>
      <c r="T1" s="1934"/>
      <c r="U1" s="1934"/>
      <c r="V1" s="1934"/>
      <c r="W1" s="1934"/>
      <c r="X1" s="1934"/>
      <c r="Y1" s="1934"/>
    </row>
    <row r="2" spans="1:25" ht="12.75" customHeight="1">
      <c r="C2" s="1933" t="s">
        <v>2</v>
      </c>
      <c r="D2" s="1933"/>
      <c r="E2" s="1933"/>
      <c r="F2" s="37"/>
      <c r="G2" s="1933" t="s">
        <v>450</v>
      </c>
      <c r="H2" s="1933"/>
      <c r="I2" s="1933"/>
      <c r="J2" s="37"/>
      <c r="K2" s="1933" t="s">
        <v>586</v>
      </c>
      <c r="L2" s="1933"/>
      <c r="M2" s="1933"/>
      <c r="N2" s="43"/>
      <c r="O2" s="1933" t="s">
        <v>2</v>
      </c>
      <c r="P2" s="1933"/>
      <c r="Q2" s="1933"/>
      <c r="S2" s="1933" t="s">
        <v>450</v>
      </c>
      <c r="T2" s="1933"/>
      <c r="U2" s="1933"/>
      <c r="X2" s="22"/>
      <c r="Y2" s="30"/>
    </row>
    <row r="3" spans="1:25" s="21" customFormat="1" ht="45" customHeight="1">
      <c r="A3" s="20" t="s">
        <v>305</v>
      </c>
      <c r="B3" s="31" t="s">
        <v>306</v>
      </c>
      <c r="C3" s="23" t="s">
        <v>583</v>
      </c>
      <c r="D3" s="23" t="s">
        <v>584</v>
      </c>
      <c r="E3" s="34" t="s">
        <v>585</v>
      </c>
      <c r="F3" s="38"/>
      <c r="G3" s="35" t="s">
        <v>583</v>
      </c>
      <c r="H3" s="23" t="s">
        <v>584</v>
      </c>
      <c r="I3" s="34" t="s">
        <v>585</v>
      </c>
      <c r="J3" s="38"/>
      <c r="K3" s="23" t="s">
        <v>583</v>
      </c>
      <c r="L3" s="23" t="s">
        <v>584</v>
      </c>
      <c r="M3" s="34" t="s">
        <v>585</v>
      </c>
      <c r="N3" s="38"/>
      <c r="O3" s="23" t="s">
        <v>583</v>
      </c>
      <c r="P3" s="23" t="s">
        <v>584</v>
      </c>
      <c r="Q3" s="34" t="s">
        <v>585</v>
      </c>
      <c r="R3" s="38"/>
      <c r="S3" s="35" t="s">
        <v>583</v>
      </c>
      <c r="T3" s="23" t="s">
        <v>584</v>
      </c>
      <c r="U3" s="34" t="s">
        <v>585</v>
      </c>
      <c r="V3" s="38"/>
      <c r="W3" s="35" t="s">
        <v>583</v>
      </c>
      <c r="X3" s="23" t="s">
        <v>584</v>
      </c>
      <c r="Y3" s="34" t="s">
        <v>585</v>
      </c>
    </row>
    <row r="4" spans="1:25" ht="16.5" customHeight="1">
      <c r="A4" s="16" t="s">
        <v>10</v>
      </c>
      <c r="B4" s="32" t="s">
        <v>11</v>
      </c>
      <c r="C4" s="26" t="e">
        <f t="shared" ref="C4:C35" si="0">VLOOKUP(A4,MedicaidR,7,FALSE)</f>
        <v>#REF!</v>
      </c>
      <c r="D4" s="26" t="e">
        <f t="shared" ref="D4:D35" si="1">VLOOKUP(A4,Pop,14,FALSE)</f>
        <v>#REF!</v>
      </c>
      <c r="E4" s="12" t="e">
        <f t="shared" ref="E4:E35" si="2">+C4/D4</f>
        <v>#REF!</v>
      </c>
      <c r="F4" s="45"/>
      <c r="G4" s="26" t="e">
        <f t="shared" ref="G4:G35" si="3">VLOOKUP(A4,MedicaidR,8,FALSE)</f>
        <v>#REF!</v>
      </c>
      <c r="H4" s="26" t="e">
        <f t="shared" ref="H4:H35" si="4">VLOOKUP(A4,Pop,15,FALSE)</f>
        <v>#REF!</v>
      </c>
      <c r="I4" s="12" t="e">
        <f t="shared" ref="I4:I35" si="5">+G4/H4</f>
        <v>#REF!</v>
      </c>
      <c r="J4" s="45"/>
      <c r="K4" s="26" t="e">
        <f t="shared" ref="K4:K35" si="6">VLOOKUP(A4,MedicaidR,9,FALSE)</f>
        <v>#REF!</v>
      </c>
      <c r="L4" s="26" t="e">
        <f t="shared" ref="L4:L35" si="7">VLOOKUP(A4,Pop,16,FALSE)</f>
        <v>#REF!</v>
      </c>
      <c r="M4" s="12" t="e">
        <f t="shared" ref="M4:M35" si="8">+K4/L4</f>
        <v>#REF!</v>
      </c>
      <c r="N4" s="12"/>
      <c r="O4" s="26" t="e">
        <f t="shared" ref="O4:O35" si="9">VLOOKUP(A4,MedicaidR,3,FALSE)</f>
        <v>#REF!</v>
      </c>
      <c r="P4" s="26" t="e">
        <f t="shared" ref="P4:P35" si="10">VLOOKUP(A4,Pop,8,FALSE)</f>
        <v>#REF!</v>
      </c>
      <c r="Q4" s="12" t="e">
        <f t="shared" ref="Q4:Q35" si="11">+O4/P4</f>
        <v>#REF!</v>
      </c>
      <c r="R4" s="12"/>
      <c r="S4" s="26" t="e">
        <f t="shared" ref="S4:S35" si="12">VLOOKUP(A4,MedicaidR,4,FALSE)</f>
        <v>#REF!</v>
      </c>
      <c r="T4" s="26" t="e">
        <f t="shared" ref="T4:T35" si="13">VLOOKUP(A4,Pop,9,FALSE)</f>
        <v>#REF!</v>
      </c>
      <c r="U4" s="12" t="e">
        <f t="shared" ref="U4:U35" si="14">+S4/T4</f>
        <v>#REF!</v>
      </c>
      <c r="V4" s="12"/>
      <c r="W4" s="44" t="e">
        <f t="shared" ref="W4:W35" si="15">VLOOKUP(A4,MedicaidR,5,FALSE)</f>
        <v>#REF!</v>
      </c>
      <c r="X4" s="26" t="e">
        <f t="shared" ref="X4:X35" si="16">VLOOKUP(A4,Pop,10,FALSE)</f>
        <v>#REF!</v>
      </c>
      <c r="Y4" s="12" t="e">
        <f t="shared" ref="Y4:Y35" si="17">+W4/X4</f>
        <v>#REF!</v>
      </c>
    </row>
    <row r="5" spans="1:25" ht="16.5" customHeight="1">
      <c r="A5" s="16" t="s">
        <v>12</v>
      </c>
      <c r="B5" s="17" t="s">
        <v>13</v>
      </c>
      <c r="C5" s="26" t="e">
        <f t="shared" si="0"/>
        <v>#REF!</v>
      </c>
      <c r="D5" s="26" t="e">
        <f t="shared" si="1"/>
        <v>#REF!</v>
      </c>
      <c r="E5" s="12" t="e">
        <f t="shared" si="2"/>
        <v>#REF!</v>
      </c>
      <c r="F5" s="26"/>
      <c r="G5" s="26" t="e">
        <f t="shared" si="3"/>
        <v>#REF!</v>
      </c>
      <c r="H5" s="26" t="e">
        <f t="shared" si="4"/>
        <v>#REF!</v>
      </c>
      <c r="I5" s="12" t="e">
        <f t="shared" si="5"/>
        <v>#REF!</v>
      </c>
      <c r="J5" s="26"/>
      <c r="K5" s="26" t="e">
        <f t="shared" si="6"/>
        <v>#REF!</v>
      </c>
      <c r="L5" s="26" t="e">
        <f t="shared" si="7"/>
        <v>#REF!</v>
      </c>
      <c r="M5" s="12" t="e">
        <f t="shared" si="8"/>
        <v>#REF!</v>
      </c>
      <c r="N5" s="12"/>
      <c r="O5" s="26" t="e">
        <f t="shared" si="9"/>
        <v>#REF!</v>
      </c>
      <c r="P5" s="26" t="e">
        <f t="shared" si="10"/>
        <v>#REF!</v>
      </c>
      <c r="Q5" s="12" t="e">
        <f t="shared" si="11"/>
        <v>#REF!</v>
      </c>
      <c r="R5" s="12"/>
      <c r="S5" s="26" t="e">
        <f t="shared" si="12"/>
        <v>#REF!</v>
      </c>
      <c r="T5" s="26" t="e">
        <f t="shared" si="13"/>
        <v>#REF!</v>
      </c>
      <c r="U5" s="12" t="e">
        <f t="shared" si="14"/>
        <v>#REF!</v>
      </c>
      <c r="V5" s="12"/>
      <c r="W5" s="44" t="e">
        <f t="shared" si="15"/>
        <v>#REF!</v>
      </c>
      <c r="X5" s="26" t="e">
        <f t="shared" si="16"/>
        <v>#REF!</v>
      </c>
      <c r="Y5" s="12" t="e">
        <f t="shared" si="17"/>
        <v>#REF!</v>
      </c>
    </row>
    <row r="6" spans="1:25" ht="16.5" customHeight="1">
      <c r="A6" s="16" t="s">
        <v>16</v>
      </c>
      <c r="B6" s="32" t="s">
        <v>297</v>
      </c>
      <c r="C6" s="26" t="e">
        <f t="shared" si="0"/>
        <v>#REF!</v>
      </c>
      <c r="D6" s="26" t="e">
        <f t="shared" si="1"/>
        <v>#REF!</v>
      </c>
      <c r="E6" s="12" t="e">
        <f t="shared" si="2"/>
        <v>#REF!</v>
      </c>
      <c r="F6" s="26"/>
      <c r="G6" s="26" t="e">
        <f t="shared" si="3"/>
        <v>#REF!</v>
      </c>
      <c r="H6" s="26" t="e">
        <f t="shared" si="4"/>
        <v>#REF!</v>
      </c>
      <c r="I6" s="12" t="e">
        <f t="shared" si="5"/>
        <v>#REF!</v>
      </c>
      <c r="J6" s="26"/>
      <c r="K6" s="26" t="e">
        <f t="shared" si="6"/>
        <v>#REF!</v>
      </c>
      <c r="L6" s="26" t="e">
        <f t="shared" si="7"/>
        <v>#REF!</v>
      </c>
      <c r="M6" s="12" t="e">
        <f t="shared" si="8"/>
        <v>#REF!</v>
      </c>
      <c r="N6" s="12"/>
      <c r="O6" s="26" t="e">
        <f t="shared" si="9"/>
        <v>#REF!</v>
      </c>
      <c r="P6" s="26" t="e">
        <f t="shared" si="10"/>
        <v>#REF!</v>
      </c>
      <c r="Q6" s="12" t="e">
        <f t="shared" si="11"/>
        <v>#REF!</v>
      </c>
      <c r="R6" s="12"/>
      <c r="S6" s="26" t="e">
        <f t="shared" si="12"/>
        <v>#REF!</v>
      </c>
      <c r="T6" s="26" t="e">
        <f t="shared" si="13"/>
        <v>#REF!</v>
      </c>
      <c r="U6" s="12" t="e">
        <f t="shared" si="14"/>
        <v>#REF!</v>
      </c>
      <c r="V6" s="12"/>
      <c r="W6" s="44" t="e">
        <f t="shared" si="15"/>
        <v>#REF!</v>
      </c>
      <c r="X6" s="26" t="e">
        <f t="shared" si="16"/>
        <v>#REF!</v>
      </c>
      <c r="Y6" s="12" t="e">
        <f t="shared" si="17"/>
        <v>#REF!</v>
      </c>
    </row>
    <row r="7" spans="1:25" ht="16.5" customHeight="1">
      <c r="A7" s="16" t="s">
        <v>18</v>
      </c>
      <c r="B7" s="17" t="s">
        <v>19</v>
      </c>
      <c r="C7" s="26" t="e">
        <f t="shared" si="0"/>
        <v>#REF!</v>
      </c>
      <c r="D7" s="26" t="e">
        <f t="shared" si="1"/>
        <v>#REF!</v>
      </c>
      <c r="E7" s="12" t="e">
        <f t="shared" si="2"/>
        <v>#REF!</v>
      </c>
      <c r="F7" s="26"/>
      <c r="G7" s="26" t="e">
        <f t="shared" si="3"/>
        <v>#REF!</v>
      </c>
      <c r="H7" s="26" t="e">
        <f t="shared" si="4"/>
        <v>#REF!</v>
      </c>
      <c r="I7" s="12" t="e">
        <f t="shared" si="5"/>
        <v>#REF!</v>
      </c>
      <c r="J7" s="26"/>
      <c r="K7" s="26" t="e">
        <f t="shared" si="6"/>
        <v>#REF!</v>
      </c>
      <c r="L7" s="26" t="e">
        <f t="shared" si="7"/>
        <v>#REF!</v>
      </c>
      <c r="M7" s="12" t="e">
        <f t="shared" si="8"/>
        <v>#REF!</v>
      </c>
      <c r="N7" s="12"/>
      <c r="O7" s="26" t="e">
        <f t="shared" si="9"/>
        <v>#REF!</v>
      </c>
      <c r="P7" s="26" t="e">
        <f t="shared" si="10"/>
        <v>#REF!</v>
      </c>
      <c r="Q7" s="12" t="e">
        <f t="shared" si="11"/>
        <v>#REF!</v>
      </c>
      <c r="R7" s="12"/>
      <c r="S7" s="26" t="e">
        <f t="shared" si="12"/>
        <v>#REF!</v>
      </c>
      <c r="T7" s="26" t="e">
        <f t="shared" si="13"/>
        <v>#REF!</v>
      </c>
      <c r="U7" s="12" t="e">
        <f t="shared" si="14"/>
        <v>#REF!</v>
      </c>
      <c r="V7" s="12"/>
      <c r="W7" s="44" t="e">
        <f t="shared" si="15"/>
        <v>#REF!</v>
      </c>
      <c r="X7" s="26" t="e">
        <f t="shared" si="16"/>
        <v>#REF!</v>
      </c>
      <c r="Y7" s="12" t="e">
        <f t="shared" si="17"/>
        <v>#REF!</v>
      </c>
    </row>
    <row r="8" spans="1:25" ht="16.5" customHeight="1">
      <c r="A8" s="16" t="s">
        <v>20</v>
      </c>
      <c r="B8" s="32" t="s">
        <v>21</v>
      </c>
      <c r="C8" s="26" t="e">
        <f t="shared" si="0"/>
        <v>#REF!</v>
      </c>
      <c r="D8" s="26" t="e">
        <f t="shared" si="1"/>
        <v>#REF!</v>
      </c>
      <c r="E8" s="12" t="e">
        <f t="shared" si="2"/>
        <v>#REF!</v>
      </c>
      <c r="F8" s="26"/>
      <c r="G8" s="26" t="e">
        <f t="shared" si="3"/>
        <v>#REF!</v>
      </c>
      <c r="H8" s="26" t="e">
        <f t="shared" si="4"/>
        <v>#REF!</v>
      </c>
      <c r="I8" s="12" t="e">
        <f t="shared" si="5"/>
        <v>#REF!</v>
      </c>
      <c r="J8" s="26"/>
      <c r="K8" s="26" t="e">
        <f t="shared" si="6"/>
        <v>#REF!</v>
      </c>
      <c r="L8" s="26" t="e">
        <f t="shared" si="7"/>
        <v>#REF!</v>
      </c>
      <c r="M8" s="12" t="e">
        <f t="shared" si="8"/>
        <v>#REF!</v>
      </c>
      <c r="N8" s="12"/>
      <c r="O8" s="26" t="e">
        <f t="shared" si="9"/>
        <v>#REF!</v>
      </c>
      <c r="P8" s="26" t="e">
        <f t="shared" si="10"/>
        <v>#REF!</v>
      </c>
      <c r="Q8" s="12" t="e">
        <f t="shared" si="11"/>
        <v>#REF!</v>
      </c>
      <c r="R8" s="12"/>
      <c r="S8" s="26" t="e">
        <f t="shared" si="12"/>
        <v>#REF!</v>
      </c>
      <c r="T8" s="26" t="e">
        <f t="shared" si="13"/>
        <v>#REF!</v>
      </c>
      <c r="U8" s="12" t="e">
        <f t="shared" si="14"/>
        <v>#REF!</v>
      </c>
      <c r="V8" s="12"/>
      <c r="W8" s="44" t="e">
        <f t="shared" si="15"/>
        <v>#REF!</v>
      </c>
      <c r="X8" s="26" t="e">
        <f t="shared" si="16"/>
        <v>#REF!</v>
      </c>
      <c r="Y8" s="12" t="e">
        <f t="shared" si="17"/>
        <v>#REF!</v>
      </c>
    </row>
    <row r="9" spans="1:25" ht="16.5" customHeight="1">
      <c r="A9" s="16" t="s">
        <v>22</v>
      </c>
      <c r="B9" s="17" t="s">
        <v>23</v>
      </c>
      <c r="C9" s="26" t="e">
        <f t="shared" si="0"/>
        <v>#REF!</v>
      </c>
      <c r="D9" s="26" t="e">
        <f t="shared" si="1"/>
        <v>#REF!</v>
      </c>
      <c r="E9" s="12" t="e">
        <f t="shared" si="2"/>
        <v>#REF!</v>
      </c>
      <c r="F9" s="26"/>
      <c r="G9" s="26" t="e">
        <f t="shared" si="3"/>
        <v>#REF!</v>
      </c>
      <c r="H9" s="26" t="e">
        <f t="shared" si="4"/>
        <v>#REF!</v>
      </c>
      <c r="I9" s="12" t="e">
        <f t="shared" si="5"/>
        <v>#REF!</v>
      </c>
      <c r="J9" s="26"/>
      <c r="K9" s="26" t="e">
        <f t="shared" si="6"/>
        <v>#REF!</v>
      </c>
      <c r="L9" s="26" t="e">
        <f t="shared" si="7"/>
        <v>#REF!</v>
      </c>
      <c r="M9" s="12" t="e">
        <f t="shared" si="8"/>
        <v>#REF!</v>
      </c>
      <c r="N9" s="12"/>
      <c r="O9" s="26" t="e">
        <f t="shared" si="9"/>
        <v>#REF!</v>
      </c>
      <c r="P9" s="26" t="e">
        <f t="shared" si="10"/>
        <v>#REF!</v>
      </c>
      <c r="Q9" s="12" t="e">
        <f t="shared" si="11"/>
        <v>#REF!</v>
      </c>
      <c r="R9" s="12"/>
      <c r="S9" s="26" t="e">
        <f t="shared" si="12"/>
        <v>#REF!</v>
      </c>
      <c r="T9" s="26" t="e">
        <f t="shared" si="13"/>
        <v>#REF!</v>
      </c>
      <c r="U9" s="12" t="e">
        <f t="shared" si="14"/>
        <v>#REF!</v>
      </c>
      <c r="V9" s="12"/>
      <c r="W9" s="44" t="e">
        <f t="shared" si="15"/>
        <v>#REF!</v>
      </c>
      <c r="X9" s="26" t="e">
        <f t="shared" si="16"/>
        <v>#REF!</v>
      </c>
      <c r="Y9" s="12" t="e">
        <f t="shared" si="17"/>
        <v>#REF!</v>
      </c>
    </row>
    <row r="10" spans="1:25" ht="16.5" customHeight="1">
      <c r="A10" s="16" t="s">
        <v>24</v>
      </c>
      <c r="B10" s="17" t="s">
        <v>25</v>
      </c>
      <c r="C10" s="26" t="e">
        <f t="shared" si="0"/>
        <v>#REF!</v>
      </c>
      <c r="D10" s="26" t="e">
        <f t="shared" si="1"/>
        <v>#REF!</v>
      </c>
      <c r="E10" s="12" t="e">
        <f t="shared" si="2"/>
        <v>#REF!</v>
      </c>
      <c r="F10" s="26"/>
      <c r="G10" s="26" t="e">
        <f t="shared" si="3"/>
        <v>#REF!</v>
      </c>
      <c r="H10" s="26" t="e">
        <f t="shared" si="4"/>
        <v>#REF!</v>
      </c>
      <c r="I10" s="12" t="e">
        <f t="shared" si="5"/>
        <v>#REF!</v>
      </c>
      <c r="J10" s="26"/>
      <c r="K10" s="26" t="e">
        <f t="shared" si="6"/>
        <v>#REF!</v>
      </c>
      <c r="L10" s="26" t="e">
        <f t="shared" si="7"/>
        <v>#REF!</v>
      </c>
      <c r="M10" s="12" t="e">
        <f t="shared" si="8"/>
        <v>#REF!</v>
      </c>
      <c r="N10" s="12"/>
      <c r="O10" s="26" t="e">
        <f t="shared" si="9"/>
        <v>#REF!</v>
      </c>
      <c r="P10" s="26" t="e">
        <f t="shared" si="10"/>
        <v>#REF!</v>
      </c>
      <c r="Q10" s="12" t="e">
        <f t="shared" si="11"/>
        <v>#REF!</v>
      </c>
      <c r="R10" s="12"/>
      <c r="S10" s="26" t="e">
        <f t="shared" si="12"/>
        <v>#REF!</v>
      </c>
      <c r="T10" s="26" t="e">
        <f t="shared" si="13"/>
        <v>#REF!</v>
      </c>
      <c r="U10" s="12" t="e">
        <f t="shared" si="14"/>
        <v>#REF!</v>
      </c>
      <c r="V10" s="12"/>
      <c r="W10" s="44" t="e">
        <f t="shared" si="15"/>
        <v>#REF!</v>
      </c>
      <c r="X10" s="26" t="e">
        <f t="shared" si="16"/>
        <v>#REF!</v>
      </c>
      <c r="Y10" s="12" t="e">
        <f t="shared" si="17"/>
        <v>#REF!</v>
      </c>
    </row>
    <row r="11" spans="1:25" ht="16.5" customHeight="1">
      <c r="A11" s="16" t="s">
        <v>26</v>
      </c>
      <c r="B11" s="32" t="s">
        <v>298</v>
      </c>
      <c r="C11" s="26" t="e">
        <f t="shared" si="0"/>
        <v>#REF!</v>
      </c>
      <c r="D11" s="26" t="e">
        <f t="shared" si="1"/>
        <v>#REF!</v>
      </c>
      <c r="E11" s="12" t="e">
        <f t="shared" si="2"/>
        <v>#REF!</v>
      </c>
      <c r="F11" s="26"/>
      <c r="G11" s="26" t="e">
        <f t="shared" si="3"/>
        <v>#REF!</v>
      </c>
      <c r="H11" s="26" t="e">
        <f t="shared" si="4"/>
        <v>#REF!</v>
      </c>
      <c r="I11" s="12" t="e">
        <f t="shared" si="5"/>
        <v>#REF!</v>
      </c>
      <c r="J11" s="26"/>
      <c r="K11" s="26" t="e">
        <f t="shared" si="6"/>
        <v>#REF!</v>
      </c>
      <c r="L11" s="26" t="e">
        <f t="shared" si="7"/>
        <v>#REF!</v>
      </c>
      <c r="M11" s="12" t="e">
        <f t="shared" si="8"/>
        <v>#REF!</v>
      </c>
      <c r="N11" s="12"/>
      <c r="O11" s="26" t="e">
        <f t="shared" si="9"/>
        <v>#REF!</v>
      </c>
      <c r="P11" s="26" t="e">
        <f t="shared" si="10"/>
        <v>#REF!</v>
      </c>
      <c r="Q11" s="12" t="e">
        <f t="shared" si="11"/>
        <v>#REF!</v>
      </c>
      <c r="R11" s="12"/>
      <c r="S11" s="26" t="e">
        <f t="shared" si="12"/>
        <v>#REF!</v>
      </c>
      <c r="T11" s="26" t="e">
        <f t="shared" si="13"/>
        <v>#REF!</v>
      </c>
      <c r="U11" s="12" t="e">
        <f t="shared" si="14"/>
        <v>#REF!</v>
      </c>
      <c r="V11" s="12"/>
      <c r="W11" s="44" t="e">
        <f t="shared" si="15"/>
        <v>#REF!</v>
      </c>
      <c r="X11" s="26" t="e">
        <f t="shared" si="16"/>
        <v>#REF!</v>
      </c>
      <c r="Y11" s="12" t="e">
        <f t="shared" si="17"/>
        <v>#REF!</v>
      </c>
    </row>
    <row r="12" spans="1:25" ht="16.5" customHeight="1">
      <c r="A12" s="16" t="s">
        <v>27</v>
      </c>
      <c r="B12" s="32" t="s">
        <v>28</v>
      </c>
      <c r="C12" s="26" t="e">
        <f t="shared" si="0"/>
        <v>#REF!</v>
      </c>
      <c r="D12" s="26" t="e">
        <f t="shared" si="1"/>
        <v>#REF!</v>
      </c>
      <c r="E12" s="12" t="e">
        <f t="shared" si="2"/>
        <v>#REF!</v>
      </c>
      <c r="F12" s="26"/>
      <c r="G12" s="26" t="e">
        <f t="shared" si="3"/>
        <v>#REF!</v>
      </c>
      <c r="H12" s="26" t="e">
        <f t="shared" si="4"/>
        <v>#REF!</v>
      </c>
      <c r="I12" s="12" t="e">
        <f t="shared" si="5"/>
        <v>#REF!</v>
      </c>
      <c r="J12" s="26"/>
      <c r="K12" s="26" t="e">
        <f t="shared" si="6"/>
        <v>#REF!</v>
      </c>
      <c r="L12" s="26" t="e">
        <f t="shared" si="7"/>
        <v>#REF!</v>
      </c>
      <c r="M12" s="12" t="e">
        <f t="shared" si="8"/>
        <v>#REF!</v>
      </c>
      <c r="N12" s="12"/>
      <c r="O12" s="26" t="e">
        <f t="shared" si="9"/>
        <v>#REF!</v>
      </c>
      <c r="P12" s="26" t="e">
        <f t="shared" si="10"/>
        <v>#REF!</v>
      </c>
      <c r="Q12" s="12" t="e">
        <f t="shared" si="11"/>
        <v>#REF!</v>
      </c>
      <c r="R12" s="12"/>
      <c r="S12" s="26" t="e">
        <f t="shared" si="12"/>
        <v>#REF!</v>
      </c>
      <c r="T12" s="26" t="e">
        <f t="shared" si="13"/>
        <v>#REF!</v>
      </c>
      <c r="U12" s="12" t="e">
        <f t="shared" si="14"/>
        <v>#REF!</v>
      </c>
      <c r="V12" s="12"/>
      <c r="W12" s="44" t="e">
        <f t="shared" si="15"/>
        <v>#REF!</v>
      </c>
      <c r="X12" s="26" t="e">
        <f t="shared" si="16"/>
        <v>#REF!</v>
      </c>
      <c r="Y12" s="12" t="e">
        <f t="shared" si="17"/>
        <v>#REF!</v>
      </c>
    </row>
    <row r="13" spans="1:25" ht="16.5" customHeight="1">
      <c r="A13" s="16" t="s">
        <v>29</v>
      </c>
      <c r="B13" s="17" t="s">
        <v>307</v>
      </c>
      <c r="C13" s="26" t="e">
        <f t="shared" si="0"/>
        <v>#REF!</v>
      </c>
      <c r="D13" s="26" t="e">
        <f t="shared" si="1"/>
        <v>#REF!</v>
      </c>
      <c r="E13" s="12" t="e">
        <f t="shared" si="2"/>
        <v>#REF!</v>
      </c>
      <c r="F13" s="26"/>
      <c r="G13" s="26" t="e">
        <f t="shared" si="3"/>
        <v>#REF!</v>
      </c>
      <c r="H13" s="26" t="e">
        <f t="shared" si="4"/>
        <v>#REF!</v>
      </c>
      <c r="I13" s="12" t="e">
        <f t="shared" si="5"/>
        <v>#REF!</v>
      </c>
      <c r="J13" s="26"/>
      <c r="K13" s="26" t="e">
        <f t="shared" si="6"/>
        <v>#REF!</v>
      </c>
      <c r="L13" s="26" t="e">
        <f t="shared" si="7"/>
        <v>#REF!</v>
      </c>
      <c r="M13" s="12" t="e">
        <f t="shared" si="8"/>
        <v>#REF!</v>
      </c>
      <c r="N13" s="12"/>
      <c r="O13" s="26" t="e">
        <f t="shared" si="9"/>
        <v>#REF!</v>
      </c>
      <c r="P13" s="26" t="e">
        <f t="shared" si="10"/>
        <v>#REF!</v>
      </c>
      <c r="Q13" s="12" t="e">
        <f t="shared" si="11"/>
        <v>#REF!</v>
      </c>
      <c r="R13" s="12"/>
      <c r="S13" s="26" t="e">
        <f t="shared" si="12"/>
        <v>#REF!</v>
      </c>
      <c r="T13" s="26" t="e">
        <f t="shared" si="13"/>
        <v>#REF!</v>
      </c>
      <c r="U13" s="12" t="e">
        <f t="shared" si="14"/>
        <v>#REF!</v>
      </c>
      <c r="V13" s="12"/>
      <c r="W13" s="44" t="e">
        <f t="shared" si="15"/>
        <v>#REF!</v>
      </c>
      <c r="X13" s="26" t="e">
        <f t="shared" si="16"/>
        <v>#REF!</v>
      </c>
      <c r="Y13" s="12" t="e">
        <f t="shared" si="17"/>
        <v>#REF!</v>
      </c>
    </row>
    <row r="14" spans="1:25" ht="16.5" customHeight="1">
      <c r="A14" s="16" t="s">
        <v>30</v>
      </c>
      <c r="B14" s="32" t="s">
        <v>31</v>
      </c>
      <c r="C14" s="26" t="e">
        <f t="shared" si="0"/>
        <v>#REF!</v>
      </c>
      <c r="D14" s="26" t="e">
        <f t="shared" si="1"/>
        <v>#REF!</v>
      </c>
      <c r="E14" s="12" t="e">
        <f t="shared" si="2"/>
        <v>#REF!</v>
      </c>
      <c r="F14" s="26"/>
      <c r="G14" s="26" t="e">
        <f t="shared" si="3"/>
        <v>#REF!</v>
      </c>
      <c r="H14" s="26" t="e">
        <f t="shared" si="4"/>
        <v>#REF!</v>
      </c>
      <c r="I14" s="12" t="e">
        <f t="shared" si="5"/>
        <v>#REF!</v>
      </c>
      <c r="J14" s="26"/>
      <c r="K14" s="26" t="e">
        <f t="shared" si="6"/>
        <v>#REF!</v>
      </c>
      <c r="L14" s="26" t="e">
        <f t="shared" si="7"/>
        <v>#REF!</v>
      </c>
      <c r="M14" s="12" t="e">
        <f t="shared" si="8"/>
        <v>#REF!</v>
      </c>
      <c r="N14" s="12"/>
      <c r="O14" s="26" t="e">
        <f t="shared" si="9"/>
        <v>#REF!</v>
      </c>
      <c r="P14" s="26" t="e">
        <f t="shared" si="10"/>
        <v>#REF!</v>
      </c>
      <c r="Q14" s="12" t="e">
        <f t="shared" si="11"/>
        <v>#REF!</v>
      </c>
      <c r="R14" s="12"/>
      <c r="S14" s="26" t="e">
        <f t="shared" si="12"/>
        <v>#REF!</v>
      </c>
      <c r="T14" s="26" t="e">
        <f t="shared" si="13"/>
        <v>#REF!</v>
      </c>
      <c r="U14" s="12" t="e">
        <f t="shared" si="14"/>
        <v>#REF!</v>
      </c>
      <c r="V14" s="12"/>
      <c r="W14" s="44" t="e">
        <f t="shared" si="15"/>
        <v>#REF!</v>
      </c>
      <c r="X14" s="26" t="e">
        <f t="shared" si="16"/>
        <v>#REF!</v>
      </c>
      <c r="Y14" s="12" t="e">
        <f t="shared" si="17"/>
        <v>#REF!</v>
      </c>
    </row>
    <row r="15" spans="1:25" ht="16.5" customHeight="1">
      <c r="A15" s="16" t="s">
        <v>32</v>
      </c>
      <c r="B15" s="17" t="s">
        <v>33</v>
      </c>
      <c r="C15" s="26" t="e">
        <f t="shared" si="0"/>
        <v>#REF!</v>
      </c>
      <c r="D15" s="26" t="e">
        <f t="shared" si="1"/>
        <v>#REF!</v>
      </c>
      <c r="E15" s="12" t="e">
        <f t="shared" si="2"/>
        <v>#REF!</v>
      </c>
      <c r="F15" s="26"/>
      <c r="G15" s="26" t="e">
        <f t="shared" si="3"/>
        <v>#REF!</v>
      </c>
      <c r="H15" s="26" t="e">
        <f t="shared" si="4"/>
        <v>#REF!</v>
      </c>
      <c r="I15" s="12" t="e">
        <f t="shared" si="5"/>
        <v>#REF!</v>
      </c>
      <c r="J15" s="26"/>
      <c r="K15" s="26" t="e">
        <f t="shared" si="6"/>
        <v>#REF!</v>
      </c>
      <c r="L15" s="26" t="e">
        <f t="shared" si="7"/>
        <v>#REF!</v>
      </c>
      <c r="M15" s="12" t="e">
        <f t="shared" si="8"/>
        <v>#REF!</v>
      </c>
      <c r="N15" s="12"/>
      <c r="O15" s="26" t="e">
        <f t="shared" si="9"/>
        <v>#REF!</v>
      </c>
      <c r="P15" s="26" t="e">
        <f t="shared" si="10"/>
        <v>#REF!</v>
      </c>
      <c r="Q15" s="12" t="e">
        <f t="shared" si="11"/>
        <v>#REF!</v>
      </c>
      <c r="R15" s="12"/>
      <c r="S15" s="26" t="e">
        <f t="shared" si="12"/>
        <v>#REF!</v>
      </c>
      <c r="T15" s="26" t="e">
        <f t="shared" si="13"/>
        <v>#REF!</v>
      </c>
      <c r="U15" s="12" t="e">
        <f t="shared" si="14"/>
        <v>#REF!</v>
      </c>
      <c r="V15" s="12"/>
      <c r="W15" s="44" t="e">
        <f t="shared" si="15"/>
        <v>#REF!</v>
      </c>
      <c r="X15" s="26" t="e">
        <f t="shared" si="16"/>
        <v>#REF!</v>
      </c>
      <c r="Y15" s="12" t="e">
        <f t="shared" si="17"/>
        <v>#REF!</v>
      </c>
    </row>
    <row r="16" spans="1:25" ht="16.5" customHeight="1">
      <c r="A16" s="16" t="s">
        <v>36</v>
      </c>
      <c r="B16" s="17" t="s">
        <v>37</v>
      </c>
      <c r="C16" s="26" t="e">
        <f t="shared" si="0"/>
        <v>#REF!</v>
      </c>
      <c r="D16" s="26" t="e">
        <f t="shared" si="1"/>
        <v>#REF!</v>
      </c>
      <c r="E16" s="12" t="e">
        <f t="shared" si="2"/>
        <v>#REF!</v>
      </c>
      <c r="F16" s="26"/>
      <c r="G16" s="26" t="e">
        <f t="shared" si="3"/>
        <v>#REF!</v>
      </c>
      <c r="H16" s="26" t="e">
        <f t="shared" si="4"/>
        <v>#REF!</v>
      </c>
      <c r="I16" s="12" t="e">
        <f t="shared" si="5"/>
        <v>#REF!</v>
      </c>
      <c r="J16" s="26"/>
      <c r="K16" s="26" t="e">
        <f t="shared" si="6"/>
        <v>#REF!</v>
      </c>
      <c r="L16" s="26" t="e">
        <f t="shared" si="7"/>
        <v>#REF!</v>
      </c>
      <c r="M16" s="12" t="e">
        <f t="shared" si="8"/>
        <v>#REF!</v>
      </c>
      <c r="N16" s="12"/>
      <c r="O16" s="26" t="e">
        <f t="shared" si="9"/>
        <v>#REF!</v>
      </c>
      <c r="P16" s="26" t="e">
        <f t="shared" si="10"/>
        <v>#REF!</v>
      </c>
      <c r="Q16" s="12" t="e">
        <f t="shared" si="11"/>
        <v>#REF!</v>
      </c>
      <c r="R16" s="12"/>
      <c r="S16" s="26" t="e">
        <f t="shared" si="12"/>
        <v>#REF!</v>
      </c>
      <c r="T16" s="26" t="e">
        <f t="shared" si="13"/>
        <v>#REF!</v>
      </c>
      <c r="U16" s="12" t="e">
        <f t="shared" si="14"/>
        <v>#REF!</v>
      </c>
      <c r="V16" s="12"/>
      <c r="W16" s="44" t="e">
        <f t="shared" si="15"/>
        <v>#REF!</v>
      </c>
      <c r="X16" s="26" t="e">
        <f t="shared" si="16"/>
        <v>#REF!</v>
      </c>
      <c r="Y16" s="12" t="e">
        <f t="shared" si="17"/>
        <v>#REF!</v>
      </c>
    </row>
    <row r="17" spans="1:25" ht="16.5" customHeight="1">
      <c r="A17" s="16" t="s">
        <v>38</v>
      </c>
      <c r="B17" s="32" t="s">
        <v>39</v>
      </c>
      <c r="C17" s="26" t="e">
        <f t="shared" si="0"/>
        <v>#REF!</v>
      </c>
      <c r="D17" s="26" t="e">
        <f t="shared" si="1"/>
        <v>#REF!</v>
      </c>
      <c r="E17" s="12" t="e">
        <f t="shared" si="2"/>
        <v>#REF!</v>
      </c>
      <c r="F17" s="26"/>
      <c r="G17" s="26" t="e">
        <f t="shared" si="3"/>
        <v>#REF!</v>
      </c>
      <c r="H17" s="26" t="e">
        <f t="shared" si="4"/>
        <v>#REF!</v>
      </c>
      <c r="I17" s="12" t="e">
        <f t="shared" si="5"/>
        <v>#REF!</v>
      </c>
      <c r="J17" s="26"/>
      <c r="K17" s="26" t="e">
        <f t="shared" si="6"/>
        <v>#REF!</v>
      </c>
      <c r="L17" s="26" t="e">
        <f t="shared" si="7"/>
        <v>#REF!</v>
      </c>
      <c r="M17" s="12" t="e">
        <f t="shared" si="8"/>
        <v>#REF!</v>
      </c>
      <c r="N17" s="12"/>
      <c r="O17" s="26" t="e">
        <f t="shared" si="9"/>
        <v>#REF!</v>
      </c>
      <c r="P17" s="26" t="e">
        <f t="shared" si="10"/>
        <v>#REF!</v>
      </c>
      <c r="Q17" s="12" t="e">
        <f t="shared" si="11"/>
        <v>#REF!</v>
      </c>
      <c r="R17" s="12"/>
      <c r="S17" s="26" t="e">
        <f t="shared" si="12"/>
        <v>#REF!</v>
      </c>
      <c r="T17" s="26" t="e">
        <f t="shared" si="13"/>
        <v>#REF!</v>
      </c>
      <c r="U17" s="12" t="e">
        <f t="shared" si="14"/>
        <v>#REF!</v>
      </c>
      <c r="V17" s="12"/>
      <c r="W17" s="44" t="e">
        <f t="shared" si="15"/>
        <v>#REF!</v>
      </c>
      <c r="X17" s="26" t="e">
        <f t="shared" si="16"/>
        <v>#REF!</v>
      </c>
      <c r="Y17" s="12" t="e">
        <f t="shared" si="17"/>
        <v>#REF!</v>
      </c>
    </row>
    <row r="18" spans="1:25" ht="16.5" customHeight="1">
      <c r="A18" s="16" t="s">
        <v>40</v>
      </c>
      <c r="B18" s="32" t="s">
        <v>41</v>
      </c>
      <c r="C18" s="26" t="e">
        <f t="shared" si="0"/>
        <v>#REF!</v>
      </c>
      <c r="D18" s="26" t="e">
        <f t="shared" si="1"/>
        <v>#REF!</v>
      </c>
      <c r="E18" s="12" t="e">
        <f t="shared" si="2"/>
        <v>#REF!</v>
      </c>
      <c r="F18" s="26"/>
      <c r="G18" s="26" t="e">
        <f t="shared" si="3"/>
        <v>#REF!</v>
      </c>
      <c r="H18" s="26" t="e">
        <f t="shared" si="4"/>
        <v>#REF!</v>
      </c>
      <c r="I18" s="12" t="e">
        <f t="shared" si="5"/>
        <v>#REF!</v>
      </c>
      <c r="J18" s="26"/>
      <c r="K18" s="26" t="e">
        <f t="shared" si="6"/>
        <v>#REF!</v>
      </c>
      <c r="L18" s="26" t="e">
        <f t="shared" si="7"/>
        <v>#REF!</v>
      </c>
      <c r="M18" s="12" t="e">
        <f t="shared" si="8"/>
        <v>#REF!</v>
      </c>
      <c r="N18" s="12"/>
      <c r="O18" s="26" t="e">
        <f t="shared" si="9"/>
        <v>#REF!</v>
      </c>
      <c r="P18" s="26" t="e">
        <f t="shared" si="10"/>
        <v>#REF!</v>
      </c>
      <c r="Q18" s="12" t="e">
        <f t="shared" si="11"/>
        <v>#REF!</v>
      </c>
      <c r="R18" s="12"/>
      <c r="S18" s="26" t="e">
        <f t="shared" si="12"/>
        <v>#REF!</v>
      </c>
      <c r="T18" s="26" t="e">
        <f t="shared" si="13"/>
        <v>#REF!</v>
      </c>
      <c r="U18" s="12" t="e">
        <f t="shared" si="14"/>
        <v>#REF!</v>
      </c>
      <c r="V18" s="12"/>
      <c r="W18" s="44" t="e">
        <f t="shared" si="15"/>
        <v>#REF!</v>
      </c>
      <c r="X18" s="26" t="e">
        <f t="shared" si="16"/>
        <v>#REF!</v>
      </c>
      <c r="Y18" s="12" t="e">
        <f t="shared" si="17"/>
        <v>#REF!</v>
      </c>
    </row>
    <row r="19" spans="1:25" ht="16.5" customHeight="1">
      <c r="A19" s="16" t="s">
        <v>42</v>
      </c>
      <c r="B19" s="32" t="s">
        <v>43</v>
      </c>
      <c r="C19" s="26" t="e">
        <f t="shared" si="0"/>
        <v>#REF!</v>
      </c>
      <c r="D19" s="26" t="e">
        <f t="shared" si="1"/>
        <v>#REF!</v>
      </c>
      <c r="E19" s="12" t="e">
        <f t="shared" si="2"/>
        <v>#REF!</v>
      </c>
      <c r="F19" s="26"/>
      <c r="G19" s="26" t="e">
        <f t="shared" si="3"/>
        <v>#REF!</v>
      </c>
      <c r="H19" s="26" t="e">
        <f t="shared" si="4"/>
        <v>#REF!</v>
      </c>
      <c r="I19" s="12" t="e">
        <f t="shared" si="5"/>
        <v>#REF!</v>
      </c>
      <c r="J19" s="26"/>
      <c r="K19" s="26" t="e">
        <f t="shared" si="6"/>
        <v>#REF!</v>
      </c>
      <c r="L19" s="26" t="e">
        <f t="shared" si="7"/>
        <v>#REF!</v>
      </c>
      <c r="M19" s="12" t="e">
        <f t="shared" si="8"/>
        <v>#REF!</v>
      </c>
      <c r="N19" s="12"/>
      <c r="O19" s="26" t="e">
        <f t="shared" si="9"/>
        <v>#REF!</v>
      </c>
      <c r="P19" s="26" t="e">
        <f t="shared" si="10"/>
        <v>#REF!</v>
      </c>
      <c r="Q19" s="12" t="e">
        <f t="shared" si="11"/>
        <v>#REF!</v>
      </c>
      <c r="R19" s="12"/>
      <c r="S19" s="26" t="e">
        <f t="shared" si="12"/>
        <v>#REF!</v>
      </c>
      <c r="T19" s="26" t="e">
        <f t="shared" si="13"/>
        <v>#REF!</v>
      </c>
      <c r="U19" s="12" t="e">
        <f t="shared" si="14"/>
        <v>#REF!</v>
      </c>
      <c r="V19" s="12"/>
      <c r="W19" s="44" t="e">
        <f t="shared" si="15"/>
        <v>#REF!</v>
      </c>
      <c r="X19" s="26" t="e">
        <f t="shared" si="16"/>
        <v>#REF!</v>
      </c>
      <c r="Y19" s="12" t="e">
        <f t="shared" si="17"/>
        <v>#REF!</v>
      </c>
    </row>
    <row r="20" spans="1:25" ht="16.5" customHeight="1">
      <c r="A20" s="16" t="s">
        <v>44</v>
      </c>
      <c r="B20" s="17" t="s">
        <v>45</v>
      </c>
      <c r="C20" s="26" t="e">
        <f t="shared" si="0"/>
        <v>#REF!</v>
      </c>
      <c r="D20" s="26" t="e">
        <f t="shared" si="1"/>
        <v>#REF!</v>
      </c>
      <c r="E20" s="12" t="e">
        <f t="shared" si="2"/>
        <v>#REF!</v>
      </c>
      <c r="F20" s="26"/>
      <c r="G20" s="26" t="e">
        <f t="shared" si="3"/>
        <v>#REF!</v>
      </c>
      <c r="H20" s="26" t="e">
        <f t="shared" si="4"/>
        <v>#REF!</v>
      </c>
      <c r="I20" s="12" t="e">
        <f t="shared" si="5"/>
        <v>#REF!</v>
      </c>
      <c r="J20" s="26"/>
      <c r="K20" s="26" t="e">
        <f t="shared" si="6"/>
        <v>#REF!</v>
      </c>
      <c r="L20" s="26" t="e">
        <f t="shared" si="7"/>
        <v>#REF!</v>
      </c>
      <c r="M20" s="12" t="e">
        <f t="shared" si="8"/>
        <v>#REF!</v>
      </c>
      <c r="N20" s="12"/>
      <c r="O20" s="26" t="e">
        <f t="shared" si="9"/>
        <v>#REF!</v>
      </c>
      <c r="P20" s="26" t="e">
        <f t="shared" si="10"/>
        <v>#REF!</v>
      </c>
      <c r="Q20" s="12" t="e">
        <f t="shared" si="11"/>
        <v>#REF!</v>
      </c>
      <c r="R20" s="12"/>
      <c r="S20" s="26" t="e">
        <f t="shared" si="12"/>
        <v>#REF!</v>
      </c>
      <c r="T20" s="26" t="e">
        <f t="shared" si="13"/>
        <v>#REF!</v>
      </c>
      <c r="U20" s="12" t="e">
        <f t="shared" si="14"/>
        <v>#REF!</v>
      </c>
      <c r="V20" s="12"/>
      <c r="W20" s="44" t="e">
        <f t="shared" si="15"/>
        <v>#REF!</v>
      </c>
      <c r="X20" s="26" t="e">
        <f t="shared" si="16"/>
        <v>#REF!</v>
      </c>
      <c r="Y20" s="12" t="e">
        <f t="shared" si="17"/>
        <v>#REF!</v>
      </c>
    </row>
    <row r="21" spans="1:25" ht="16.5" customHeight="1">
      <c r="A21" s="16" t="s">
        <v>46</v>
      </c>
      <c r="B21" s="32" t="s">
        <v>47</v>
      </c>
      <c r="C21" s="26" t="e">
        <f t="shared" si="0"/>
        <v>#REF!</v>
      </c>
      <c r="D21" s="26" t="e">
        <f t="shared" si="1"/>
        <v>#REF!</v>
      </c>
      <c r="E21" s="12" t="e">
        <f t="shared" si="2"/>
        <v>#REF!</v>
      </c>
      <c r="F21" s="26"/>
      <c r="G21" s="26" t="e">
        <f t="shared" si="3"/>
        <v>#REF!</v>
      </c>
      <c r="H21" s="26" t="e">
        <f t="shared" si="4"/>
        <v>#REF!</v>
      </c>
      <c r="I21" s="12" t="e">
        <f t="shared" si="5"/>
        <v>#REF!</v>
      </c>
      <c r="J21" s="26"/>
      <c r="K21" s="26" t="e">
        <f t="shared" si="6"/>
        <v>#REF!</v>
      </c>
      <c r="L21" s="26" t="e">
        <f t="shared" si="7"/>
        <v>#REF!</v>
      </c>
      <c r="M21" s="12" t="e">
        <f t="shared" si="8"/>
        <v>#REF!</v>
      </c>
      <c r="N21" s="12"/>
      <c r="O21" s="26" t="e">
        <f t="shared" si="9"/>
        <v>#REF!</v>
      </c>
      <c r="P21" s="26" t="e">
        <f t="shared" si="10"/>
        <v>#REF!</v>
      </c>
      <c r="Q21" s="12" t="e">
        <f t="shared" si="11"/>
        <v>#REF!</v>
      </c>
      <c r="R21" s="12"/>
      <c r="S21" s="26" t="e">
        <f t="shared" si="12"/>
        <v>#REF!</v>
      </c>
      <c r="T21" s="26" t="e">
        <f t="shared" si="13"/>
        <v>#REF!</v>
      </c>
      <c r="U21" s="12" t="e">
        <f t="shared" si="14"/>
        <v>#REF!</v>
      </c>
      <c r="V21" s="12"/>
      <c r="W21" s="44" t="e">
        <f t="shared" si="15"/>
        <v>#REF!</v>
      </c>
      <c r="X21" s="26" t="e">
        <f t="shared" si="16"/>
        <v>#REF!</v>
      </c>
      <c r="Y21" s="12" t="e">
        <f t="shared" si="17"/>
        <v>#REF!</v>
      </c>
    </row>
    <row r="22" spans="1:25" ht="16.5" customHeight="1">
      <c r="A22" s="16" t="s">
        <v>48</v>
      </c>
      <c r="B22" s="17" t="s">
        <v>269</v>
      </c>
      <c r="C22" s="26" t="e">
        <f t="shared" si="0"/>
        <v>#REF!</v>
      </c>
      <c r="D22" s="26" t="e">
        <f t="shared" si="1"/>
        <v>#REF!</v>
      </c>
      <c r="E22" s="12" t="e">
        <f t="shared" si="2"/>
        <v>#REF!</v>
      </c>
      <c r="F22" s="26"/>
      <c r="G22" s="26" t="e">
        <f t="shared" si="3"/>
        <v>#REF!</v>
      </c>
      <c r="H22" s="26" t="e">
        <f t="shared" si="4"/>
        <v>#REF!</v>
      </c>
      <c r="I22" s="12" t="e">
        <f t="shared" si="5"/>
        <v>#REF!</v>
      </c>
      <c r="J22" s="26"/>
      <c r="K22" s="26" t="e">
        <f t="shared" si="6"/>
        <v>#REF!</v>
      </c>
      <c r="L22" s="26" t="e">
        <f t="shared" si="7"/>
        <v>#REF!</v>
      </c>
      <c r="M22" s="12" t="e">
        <f t="shared" si="8"/>
        <v>#REF!</v>
      </c>
      <c r="N22" s="12"/>
      <c r="O22" s="26" t="e">
        <f t="shared" si="9"/>
        <v>#REF!</v>
      </c>
      <c r="P22" s="26" t="e">
        <f t="shared" si="10"/>
        <v>#REF!</v>
      </c>
      <c r="Q22" s="12" t="e">
        <f t="shared" si="11"/>
        <v>#REF!</v>
      </c>
      <c r="R22" s="12"/>
      <c r="S22" s="26" t="e">
        <f t="shared" si="12"/>
        <v>#REF!</v>
      </c>
      <c r="T22" s="26" t="e">
        <f t="shared" si="13"/>
        <v>#REF!</v>
      </c>
      <c r="U22" s="12" t="e">
        <f t="shared" si="14"/>
        <v>#REF!</v>
      </c>
      <c r="V22" s="12"/>
      <c r="W22" s="44" t="e">
        <f t="shared" si="15"/>
        <v>#REF!</v>
      </c>
      <c r="X22" s="26" t="e">
        <f t="shared" si="16"/>
        <v>#REF!</v>
      </c>
      <c r="Y22" s="12" t="e">
        <f t="shared" si="17"/>
        <v>#REF!</v>
      </c>
    </row>
    <row r="23" spans="1:25" ht="16.5" customHeight="1">
      <c r="A23" s="16" t="s">
        <v>50</v>
      </c>
      <c r="B23" s="32" t="s">
        <v>51</v>
      </c>
      <c r="C23" s="26" t="e">
        <f t="shared" si="0"/>
        <v>#REF!</v>
      </c>
      <c r="D23" s="26" t="e">
        <f t="shared" si="1"/>
        <v>#REF!</v>
      </c>
      <c r="E23" s="12" t="e">
        <f t="shared" si="2"/>
        <v>#REF!</v>
      </c>
      <c r="F23" s="26"/>
      <c r="G23" s="26" t="e">
        <f t="shared" si="3"/>
        <v>#REF!</v>
      </c>
      <c r="H23" s="26" t="e">
        <f t="shared" si="4"/>
        <v>#REF!</v>
      </c>
      <c r="I23" s="12" t="e">
        <f t="shared" si="5"/>
        <v>#REF!</v>
      </c>
      <c r="J23" s="26"/>
      <c r="K23" s="26" t="e">
        <f t="shared" si="6"/>
        <v>#REF!</v>
      </c>
      <c r="L23" s="26" t="e">
        <f t="shared" si="7"/>
        <v>#REF!</v>
      </c>
      <c r="M23" s="12" t="e">
        <f t="shared" si="8"/>
        <v>#REF!</v>
      </c>
      <c r="N23" s="12"/>
      <c r="O23" s="26" t="e">
        <f t="shared" si="9"/>
        <v>#REF!</v>
      </c>
      <c r="P23" s="26" t="e">
        <f t="shared" si="10"/>
        <v>#REF!</v>
      </c>
      <c r="Q23" s="12" t="e">
        <f t="shared" si="11"/>
        <v>#REF!</v>
      </c>
      <c r="R23" s="12"/>
      <c r="S23" s="26" t="e">
        <f t="shared" si="12"/>
        <v>#REF!</v>
      </c>
      <c r="T23" s="26" t="e">
        <f t="shared" si="13"/>
        <v>#REF!</v>
      </c>
      <c r="U23" s="12" t="e">
        <f t="shared" si="14"/>
        <v>#REF!</v>
      </c>
      <c r="V23" s="12"/>
      <c r="W23" s="44" t="e">
        <f t="shared" si="15"/>
        <v>#REF!</v>
      </c>
      <c r="X23" s="26" t="e">
        <f t="shared" si="16"/>
        <v>#REF!</v>
      </c>
      <c r="Y23" s="12" t="e">
        <f t="shared" si="17"/>
        <v>#REF!</v>
      </c>
    </row>
    <row r="24" spans="1:25" ht="16.5" customHeight="1">
      <c r="A24" s="16" t="s">
        <v>56</v>
      </c>
      <c r="B24" s="17" t="s">
        <v>295</v>
      </c>
      <c r="C24" s="26" t="e">
        <f t="shared" si="0"/>
        <v>#REF!</v>
      </c>
      <c r="D24" s="26" t="e">
        <f t="shared" si="1"/>
        <v>#REF!</v>
      </c>
      <c r="E24" s="12" t="e">
        <f t="shared" si="2"/>
        <v>#REF!</v>
      </c>
      <c r="F24" s="26"/>
      <c r="G24" s="26" t="e">
        <f t="shared" si="3"/>
        <v>#REF!</v>
      </c>
      <c r="H24" s="26" t="e">
        <f t="shared" si="4"/>
        <v>#REF!</v>
      </c>
      <c r="I24" s="12" t="e">
        <f t="shared" si="5"/>
        <v>#REF!</v>
      </c>
      <c r="J24" s="26"/>
      <c r="K24" s="26" t="e">
        <f t="shared" si="6"/>
        <v>#REF!</v>
      </c>
      <c r="L24" s="26" t="e">
        <f t="shared" si="7"/>
        <v>#REF!</v>
      </c>
      <c r="M24" s="12" t="e">
        <f t="shared" si="8"/>
        <v>#REF!</v>
      </c>
      <c r="N24" s="12"/>
      <c r="O24" s="26" t="e">
        <f t="shared" si="9"/>
        <v>#REF!</v>
      </c>
      <c r="P24" s="26" t="e">
        <f t="shared" si="10"/>
        <v>#REF!</v>
      </c>
      <c r="Q24" s="12" t="e">
        <f t="shared" si="11"/>
        <v>#REF!</v>
      </c>
      <c r="R24" s="12"/>
      <c r="S24" s="26" t="e">
        <f t="shared" si="12"/>
        <v>#REF!</v>
      </c>
      <c r="T24" s="26" t="e">
        <f t="shared" si="13"/>
        <v>#REF!</v>
      </c>
      <c r="U24" s="12" t="e">
        <f t="shared" si="14"/>
        <v>#REF!</v>
      </c>
      <c r="V24" s="12"/>
      <c r="W24" s="44" t="e">
        <f t="shared" si="15"/>
        <v>#REF!</v>
      </c>
      <c r="X24" s="26" t="e">
        <f t="shared" si="16"/>
        <v>#REF!</v>
      </c>
      <c r="Y24" s="12" t="e">
        <f t="shared" si="17"/>
        <v>#REF!</v>
      </c>
    </row>
    <row r="25" spans="1:25" ht="16.5" customHeight="1">
      <c r="A25" s="16" t="s">
        <v>58</v>
      </c>
      <c r="B25" s="17" t="s">
        <v>59</v>
      </c>
      <c r="C25" s="26" t="e">
        <f t="shared" si="0"/>
        <v>#REF!</v>
      </c>
      <c r="D25" s="26" t="e">
        <f t="shared" si="1"/>
        <v>#REF!</v>
      </c>
      <c r="E25" s="12" t="e">
        <f t="shared" si="2"/>
        <v>#REF!</v>
      </c>
      <c r="F25" s="26"/>
      <c r="G25" s="26" t="e">
        <f t="shared" si="3"/>
        <v>#REF!</v>
      </c>
      <c r="H25" s="26" t="e">
        <f t="shared" si="4"/>
        <v>#REF!</v>
      </c>
      <c r="I25" s="12" t="e">
        <f t="shared" si="5"/>
        <v>#REF!</v>
      </c>
      <c r="J25" s="26"/>
      <c r="K25" s="26" t="e">
        <f t="shared" si="6"/>
        <v>#REF!</v>
      </c>
      <c r="L25" s="26" t="e">
        <f t="shared" si="7"/>
        <v>#REF!</v>
      </c>
      <c r="M25" s="12" t="e">
        <f t="shared" si="8"/>
        <v>#REF!</v>
      </c>
      <c r="N25" s="12"/>
      <c r="O25" s="26" t="e">
        <f t="shared" si="9"/>
        <v>#REF!</v>
      </c>
      <c r="P25" s="26" t="e">
        <f t="shared" si="10"/>
        <v>#REF!</v>
      </c>
      <c r="Q25" s="12" t="e">
        <f t="shared" si="11"/>
        <v>#REF!</v>
      </c>
      <c r="R25" s="12"/>
      <c r="S25" s="26" t="e">
        <f t="shared" si="12"/>
        <v>#REF!</v>
      </c>
      <c r="T25" s="26" t="e">
        <f t="shared" si="13"/>
        <v>#REF!</v>
      </c>
      <c r="U25" s="12" t="e">
        <f t="shared" si="14"/>
        <v>#REF!</v>
      </c>
      <c r="V25" s="12"/>
      <c r="W25" s="44" t="e">
        <f t="shared" si="15"/>
        <v>#REF!</v>
      </c>
      <c r="X25" s="26" t="e">
        <f t="shared" si="16"/>
        <v>#REF!</v>
      </c>
      <c r="Y25" s="12" t="e">
        <f t="shared" si="17"/>
        <v>#REF!</v>
      </c>
    </row>
    <row r="26" spans="1:25" ht="16.5" customHeight="1">
      <c r="A26" s="16" t="s">
        <v>60</v>
      </c>
      <c r="B26" s="32" t="s">
        <v>61</v>
      </c>
      <c r="C26" s="26" t="e">
        <f t="shared" si="0"/>
        <v>#REF!</v>
      </c>
      <c r="D26" s="26" t="e">
        <f t="shared" si="1"/>
        <v>#REF!</v>
      </c>
      <c r="E26" s="12" t="e">
        <f t="shared" si="2"/>
        <v>#REF!</v>
      </c>
      <c r="F26" s="26"/>
      <c r="G26" s="26" t="e">
        <f t="shared" si="3"/>
        <v>#REF!</v>
      </c>
      <c r="H26" s="26" t="e">
        <f t="shared" si="4"/>
        <v>#REF!</v>
      </c>
      <c r="I26" s="12" t="e">
        <f t="shared" si="5"/>
        <v>#REF!</v>
      </c>
      <c r="J26" s="26"/>
      <c r="K26" s="26" t="e">
        <f t="shared" si="6"/>
        <v>#REF!</v>
      </c>
      <c r="L26" s="26" t="e">
        <f t="shared" si="7"/>
        <v>#REF!</v>
      </c>
      <c r="M26" s="12" t="e">
        <f t="shared" si="8"/>
        <v>#REF!</v>
      </c>
      <c r="N26" s="12"/>
      <c r="O26" s="26" t="e">
        <f t="shared" si="9"/>
        <v>#REF!</v>
      </c>
      <c r="P26" s="26" t="e">
        <f t="shared" si="10"/>
        <v>#REF!</v>
      </c>
      <c r="Q26" s="12" t="e">
        <f t="shared" si="11"/>
        <v>#REF!</v>
      </c>
      <c r="R26" s="12"/>
      <c r="S26" s="26" t="e">
        <f t="shared" si="12"/>
        <v>#REF!</v>
      </c>
      <c r="T26" s="26" t="e">
        <f t="shared" si="13"/>
        <v>#REF!</v>
      </c>
      <c r="U26" s="12" t="e">
        <f t="shared" si="14"/>
        <v>#REF!</v>
      </c>
      <c r="V26" s="12"/>
      <c r="W26" s="44" t="e">
        <f t="shared" si="15"/>
        <v>#REF!</v>
      </c>
      <c r="X26" s="26" t="e">
        <f t="shared" si="16"/>
        <v>#REF!</v>
      </c>
      <c r="Y26" s="12" t="e">
        <f t="shared" si="17"/>
        <v>#REF!</v>
      </c>
    </row>
    <row r="27" spans="1:25" ht="16.5" customHeight="1">
      <c r="A27" s="16" t="s">
        <v>62</v>
      </c>
      <c r="B27" s="17" t="s">
        <v>63</v>
      </c>
      <c r="C27" s="26" t="e">
        <f t="shared" si="0"/>
        <v>#REF!</v>
      </c>
      <c r="D27" s="26" t="e">
        <f t="shared" si="1"/>
        <v>#REF!</v>
      </c>
      <c r="E27" s="12" t="e">
        <f t="shared" si="2"/>
        <v>#REF!</v>
      </c>
      <c r="F27" s="26"/>
      <c r="G27" s="26" t="e">
        <f t="shared" si="3"/>
        <v>#REF!</v>
      </c>
      <c r="H27" s="26" t="e">
        <f t="shared" si="4"/>
        <v>#REF!</v>
      </c>
      <c r="I27" s="12" t="e">
        <f t="shared" si="5"/>
        <v>#REF!</v>
      </c>
      <c r="J27" s="26"/>
      <c r="K27" s="26" t="e">
        <f t="shared" si="6"/>
        <v>#REF!</v>
      </c>
      <c r="L27" s="26" t="e">
        <f t="shared" si="7"/>
        <v>#REF!</v>
      </c>
      <c r="M27" s="12" t="e">
        <f t="shared" si="8"/>
        <v>#REF!</v>
      </c>
      <c r="N27" s="12"/>
      <c r="O27" s="26" t="e">
        <f t="shared" si="9"/>
        <v>#REF!</v>
      </c>
      <c r="P27" s="26" t="e">
        <f t="shared" si="10"/>
        <v>#REF!</v>
      </c>
      <c r="Q27" s="12" t="e">
        <f t="shared" si="11"/>
        <v>#REF!</v>
      </c>
      <c r="R27" s="12"/>
      <c r="S27" s="26" t="e">
        <f t="shared" si="12"/>
        <v>#REF!</v>
      </c>
      <c r="T27" s="26" t="e">
        <f t="shared" si="13"/>
        <v>#REF!</v>
      </c>
      <c r="U27" s="12" t="e">
        <f t="shared" si="14"/>
        <v>#REF!</v>
      </c>
      <c r="V27" s="12"/>
      <c r="W27" s="44" t="e">
        <f t="shared" si="15"/>
        <v>#REF!</v>
      </c>
      <c r="X27" s="26" t="e">
        <f t="shared" si="16"/>
        <v>#REF!</v>
      </c>
      <c r="Y27" s="12" t="e">
        <f t="shared" si="17"/>
        <v>#REF!</v>
      </c>
    </row>
    <row r="28" spans="1:25" ht="16.5" customHeight="1">
      <c r="A28" s="16" t="s">
        <v>64</v>
      </c>
      <c r="B28" s="32" t="s">
        <v>65</v>
      </c>
      <c r="C28" s="26" t="e">
        <f t="shared" si="0"/>
        <v>#REF!</v>
      </c>
      <c r="D28" s="26" t="e">
        <f t="shared" si="1"/>
        <v>#REF!</v>
      </c>
      <c r="E28" s="12" t="e">
        <f t="shared" si="2"/>
        <v>#REF!</v>
      </c>
      <c r="F28" s="26"/>
      <c r="G28" s="26" t="e">
        <f t="shared" si="3"/>
        <v>#REF!</v>
      </c>
      <c r="H28" s="26" t="e">
        <f t="shared" si="4"/>
        <v>#REF!</v>
      </c>
      <c r="I28" s="12" t="e">
        <f t="shared" si="5"/>
        <v>#REF!</v>
      </c>
      <c r="J28" s="26"/>
      <c r="K28" s="26" t="e">
        <f t="shared" si="6"/>
        <v>#REF!</v>
      </c>
      <c r="L28" s="26" t="e">
        <f t="shared" si="7"/>
        <v>#REF!</v>
      </c>
      <c r="M28" s="12" t="e">
        <f t="shared" si="8"/>
        <v>#REF!</v>
      </c>
      <c r="N28" s="12"/>
      <c r="O28" s="26" t="e">
        <f t="shared" si="9"/>
        <v>#REF!</v>
      </c>
      <c r="P28" s="26" t="e">
        <f t="shared" si="10"/>
        <v>#REF!</v>
      </c>
      <c r="Q28" s="12" t="e">
        <f t="shared" si="11"/>
        <v>#REF!</v>
      </c>
      <c r="R28" s="12"/>
      <c r="S28" s="26" t="e">
        <f t="shared" si="12"/>
        <v>#REF!</v>
      </c>
      <c r="T28" s="26" t="e">
        <f t="shared" si="13"/>
        <v>#REF!</v>
      </c>
      <c r="U28" s="12" t="e">
        <f t="shared" si="14"/>
        <v>#REF!</v>
      </c>
      <c r="V28" s="12"/>
      <c r="W28" s="44" t="e">
        <f t="shared" si="15"/>
        <v>#REF!</v>
      </c>
      <c r="X28" s="26" t="e">
        <f t="shared" si="16"/>
        <v>#REF!</v>
      </c>
      <c r="Y28" s="12" t="e">
        <f t="shared" si="17"/>
        <v>#REF!</v>
      </c>
    </row>
    <row r="29" spans="1:25" ht="16.5" customHeight="1">
      <c r="A29" s="16" t="s">
        <v>68</v>
      </c>
      <c r="B29" s="32" t="s">
        <v>69</v>
      </c>
      <c r="C29" s="26" t="e">
        <f t="shared" si="0"/>
        <v>#REF!</v>
      </c>
      <c r="D29" s="26" t="e">
        <f t="shared" si="1"/>
        <v>#REF!</v>
      </c>
      <c r="E29" s="12" t="e">
        <f t="shared" si="2"/>
        <v>#REF!</v>
      </c>
      <c r="F29" s="26"/>
      <c r="G29" s="26" t="e">
        <f t="shared" si="3"/>
        <v>#REF!</v>
      </c>
      <c r="H29" s="26" t="e">
        <f t="shared" si="4"/>
        <v>#REF!</v>
      </c>
      <c r="I29" s="12" t="e">
        <f t="shared" si="5"/>
        <v>#REF!</v>
      </c>
      <c r="J29" s="26"/>
      <c r="K29" s="26" t="e">
        <f t="shared" si="6"/>
        <v>#REF!</v>
      </c>
      <c r="L29" s="26" t="e">
        <f t="shared" si="7"/>
        <v>#REF!</v>
      </c>
      <c r="M29" s="12" t="e">
        <f t="shared" si="8"/>
        <v>#REF!</v>
      </c>
      <c r="N29" s="12"/>
      <c r="O29" s="26" t="e">
        <f t="shared" si="9"/>
        <v>#REF!</v>
      </c>
      <c r="P29" s="26" t="e">
        <f t="shared" si="10"/>
        <v>#REF!</v>
      </c>
      <c r="Q29" s="12" t="e">
        <f t="shared" si="11"/>
        <v>#REF!</v>
      </c>
      <c r="R29" s="12"/>
      <c r="S29" s="26" t="e">
        <f t="shared" si="12"/>
        <v>#REF!</v>
      </c>
      <c r="T29" s="26" t="e">
        <f t="shared" si="13"/>
        <v>#REF!</v>
      </c>
      <c r="U29" s="12" t="e">
        <f t="shared" si="14"/>
        <v>#REF!</v>
      </c>
      <c r="V29" s="12"/>
      <c r="W29" s="44" t="e">
        <f t="shared" si="15"/>
        <v>#REF!</v>
      </c>
      <c r="X29" s="26" t="e">
        <f t="shared" si="16"/>
        <v>#REF!</v>
      </c>
      <c r="Y29" s="12" t="e">
        <f t="shared" si="17"/>
        <v>#REF!</v>
      </c>
    </row>
    <row r="30" spans="1:25" ht="16.5" customHeight="1">
      <c r="A30" s="16" t="s">
        <v>70</v>
      </c>
      <c r="B30" s="32" t="s">
        <v>71</v>
      </c>
      <c r="C30" s="26" t="e">
        <f t="shared" si="0"/>
        <v>#REF!</v>
      </c>
      <c r="D30" s="26" t="e">
        <f t="shared" si="1"/>
        <v>#REF!</v>
      </c>
      <c r="E30" s="12" t="e">
        <f t="shared" si="2"/>
        <v>#REF!</v>
      </c>
      <c r="F30" s="26"/>
      <c r="G30" s="26" t="e">
        <f t="shared" si="3"/>
        <v>#REF!</v>
      </c>
      <c r="H30" s="26" t="e">
        <f t="shared" si="4"/>
        <v>#REF!</v>
      </c>
      <c r="I30" s="12" t="e">
        <f t="shared" si="5"/>
        <v>#REF!</v>
      </c>
      <c r="J30" s="26"/>
      <c r="K30" s="26" t="e">
        <f t="shared" si="6"/>
        <v>#REF!</v>
      </c>
      <c r="L30" s="26" t="e">
        <f t="shared" si="7"/>
        <v>#REF!</v>
      </c>
      <c r="M30" s="12" t="e">
        <f t="shared" si="8"/>
        <v>#REF!</v>
      </c>
      <c r="N30" s="12"/>
      <c r="O30" s="26" t="e">
        <f t="shared" si="9"/>
        <v>#REF!</v>
      </c>
      <c r="P30" s="26" t="e">
        <f t="shared" si="10"/>
        <v>#REF!</v>
      </c>
      <c r="Q30" s="12" t="e">
        <f t="shared" si="11"/>
        <v>#REF!</v>
      </c>
      <c r="R30" s="12"/>
      <c r="S30" s="26" t="e">
        <f t="shared" si="12"/>
        <v>#REF!</v>
      </c>
      <c r="T30" s="26" t="e">
        <f t="shared" si="13"/>
        <v>#REF!</v>
      </c>
      <c r="U30" s="12" t="e">
        <f t="shared" si="14"/>
        <v>#REF!</v>
      </c>
      <c r="V30" s="12"/>
      <c r="W30" s="44" t="e">
        <f t="shared" si="15"/>
        <v>#REF!</v>
      </c>
      <c r="X30" s="26" t="e">
        <f t="shared" si="16"/>
        <v>#REF!</v>
      </c>
      <c r="Y30" s="12" t="e">
        <f t="shared" si="17"/>
        <v>#REF!</v>
      </c>
    </row>
    <row r="31" spans="1:25" ht="16.5" customHeight="1">
      <c r="A31" s="16" t="s">
        <v>72</v>
      </c>
      <c r="B31" s="32" t="s">
        <v>73</v>
      </c>
      <c r="C31" s="26" t="e">
        <f t="shared" si="0"/>
        <v>#REF!</v>
      </c>
      <c r="D31" s="26" t="e">
        <f t="shared" si="1"/>
        <v>#REF!</v>
      </c>
      <c r="E31" s="12" t="e">
        <f t="shared" si="2"/>
        <v>#REF!</v>
      </c>
      <c r="F31" s="26"/>
      <c r="G31" s="26" t="e">
        <f t="shared" si="3"/>
        <v>#REF!</v>
      </c>
      <c r="H31" s="26" t="e">
        <f t="shared" si="4"/>
        <v>#REF!</v>
      </c>
      <c r="I31" s="12" t="e">
        <f t="shared" si="5"/>
        <v>#REF!</v>
      </c>
      <c r="J31" s="26"/>
      <c r="K31" s="26" t="e">
        <f t="shared" si="6"/>
        <v>#REF!</v>
      </c>
      <c r="L31" s="26" t="e">
        <f t="shared" si="7"/>
        <v>#REF!</v>
      </c>
      <c r="M31" s="12" t="e">
        <f t="shared" si="8"/>
        <v>#REF!</v>
      </c>
      <c r="N31" s="12"/>
      <c r="O31" s="26" t="e">
        <f t="shared" si="9"/>
        <v>#REF!</v>
      </c>
      <c r="P31" s="26" t="e">
        <f t="shared" si="10"/>
        <v>#REF!</v>
      </c>
      <c r="Q31" s="12" t="e">
        <f t="shared" si="11"/>
        <v>#REF!</v>
      </c>
      <c r="R31" s="12"/>
      <c r="S31" s="26" t="e">
        <f t="shared" si="12"/>
        <v>#REF!</v>
      </c>
      <c r="T31" s="26" t="e">
        <f t="shared" si="13"/>
        <v>#REF!</v>
      </c>
      <c r="U31" s="12" t="e">
        <f t="shared" si="14"/>
        <v>#REF!</v>
      </c>
      <c r="V31" s="12"/>
      <c r="W31" s="44" t="e">
        <f t="shared" si="15"/>
        <v>#REF!</v>
      </c>
      <c r="X31" s="26" t="e">
        <f t="shared" si="16"/>
        <v>#REF!</v>
      </c>
      <c r="Y31" s="12" t="e">
        <f t="shared" si="17"/>
        <v>#REF!</v>
      </c>
    </row>
    <row r="32" spans="1:25" ht="16.5" customHeight="1">
      <c r="A32" s="16" t="s">
        <v>74</v>
      </c>
      <c r="B32" s="17" t="s">
        <v>302</v>
      </c>
      <c r="C32" s="26" t="e">
        <f t="shared" si="0"/>
        <v>#REF!</v>
      </c>
      <c r="D32" s="26" t="e">
        <f t="shared" si="1"/>
        <v>#REF!</v>
      </c>
      <c r="E32" s="12" t="e">
        <f t="shared" si="2"/>
        <v>#REF!</v>
      </c>
      <c r="F32" s="26"/>
      <c r="G32" s="26" t="e">
        <f t="shared" si="3"/>
        <v>#REF!</v>
      </c>
      <c r="H32" s="26" t="e">
        <f t="shared" si="4"/>
        <v>#REF!</v>
      </c>
      <c r="I32" s="12" t="e">
        <f t="shared" si="5"/>
        <v>#REF!</v>
      </c>
      <c r="J32" s="26"/>
      <c r="K32" s="26" t="e">
        <f t="shared" si="6"/>
        <v>#REF!</v>
      </c>
      <c r="L32" s="26" t="e">
        <f t="shared" si="7"/>
        <v>#REF!</v>
      </c>
      <c r="M32" s="12" t="e">
        <f t="shared" si="8"/>
        <v>#REF!</v>
      </c>
      <c r="N32" s="12"/>
      <c r="O32" s="26" t="e">
        <f t="shared" si="9"/>
        <v>#REF!</v>
      </c>
      <c r="P32" s="26" t="e">
        <f t="shared" si="10"/>
        <v>#REF!</v>
      </c>
      <c r="Q32" s="12" t="e">
        <f t="shared" si="11"/>
        <v>#REF!</v>
      </c>
      <c r="R32" s="12"/>
      <c r="S32" s="26" t="e">
        <f t="shared" si="12"/>
        <v>#REF!</v>
      </c>
      <c r="T32" s="26" t="e">
        <f t="shared" si="13"/>
        <v>#REF!</v>
      </c>
      <c r="U32" s="12" t="e">
        <f t="shared" si="14"/>
        <v>#REF!</v>
      </c>
      <c r="V32" s="12"/>
      <c r="W32" s="44" t="e">
        <f t="shared" si="15"/>
        <v>#REF!</v>
      </c>
      <c r="X32" s="26" t="e">
        <f t="shared" si="16"/>
        <v>#REF!</v>
      </c>
      <c r="Y32" s="12" t="e">
        <f t="shared" si="17"/>
        <v>#REF!</v>
      </c>
    </row>
    <row r="33" spans="1:25" ht="16.5" customHeight="1">
      <c r="A33" s="16" t="s">
        <v>76</v>
      </c>
      <c r="B33" s="17" t="s">
        <v>77</v>
      </c>
      <c r="C33" s="26" t="e">
        <f t="shared" si="0"/>
        <v>#REF!</v>
      </c>
      <c r="D33" s="26" t="e">
        <f t="shared" si="1"/>
        <v>#REF!</v>
      </c>
      <c r="E33" s="12" t="e">
        <f t="shared" si="2"/>
        <v>#REF!</v>
      </c>
      <c r="F33" s="26"/>
      <c r="G33" s="26" t="e">
        <f t="shared" si="3"/>
        <v>#REF!</v>
      </c>
      <c r="H33" s="26" t="e">
        <f t="shared" si="4"/>
        <v>#REF!</v>
      </c>
      <c r="I33" s="12" t="e">
        <f t="shared" si="5"/>
        <v>#REF!</v>
      </c>
      <c r="J33" s="26"/>
      <c r="K33" s="26" t="e">
        <f t="shared" si="6"/>
        <v>#REF!</v>
      </c>
      <c r="L33" s="26" t="e">
        <f t="shared" si="7"/>
        <v>#REF!</v>
      </c>
      <c r="M33" s="12" t="e">
        <f t="shared" si="8"/>
        <v>#REF!</v>
      </c>
      <c r="N33" s="12"/>
      <c r="O33" s="26" t="e">
        <f t="shared" si="9"/>
        <v>#REF!</v>
      </c>
      <c r="P33" s="26" t="e">
        <f t="shared" si="10"/>
        <v>#REF!</v>
      </c>
      <c r="Q33" s="12" t="e">
        <f t="shared" si="11"/>
        <v>#REF!</v>
      </c>
      <c r="R33" s="12"/>
      <c r="S33" s="26" t="e">
        <f t="shared" si="12"/>
        <v>#REF!</v>
      </c>
      <c r="T33" s="26" t="e">
        <f t="shared" si="13"/>
        <v>#REF!</v>
      </c>
      <c r="U33" s="12" t="e">
        <f t="shared" si="14"/>
        <v>#REF!</v>
      </c>
      <c r="V33" s="12"/>
      <c r="W33" s="44" t="e">
        <f t="shared" si="15"/>
        <v>#REF!</v>
      </c>
      <c r="X33" s="26" t="e">
        <f t="shared" si="16"/>
        <v>#REF!</v>
      </c>
      <c r="Y33" s="12" t="e">
        <f t="shared" si="17"/>
        <v>#REF!</v>
      </c>
    </row>
    <row r="34" spans="1:25" ht="16.5" customHeight="1">
      <c r="A34" s="16" t="s">
        <v>78</v>
      </c>
      <c r="B34" s="32" t="s">
        <v>79</v>
      </c>
      <c r="C34" s="26" t="e">
        <f t="shared" si="0"/>
        <v>#REF!</v>
      </c>
      <c r="D34" s="26" t="e">
        <f t="shared" si="1"/>
        <v>#REF!</v>
      </c>
      <c r="E34" s="12" t="e">
        <f t="shared" si="2"/>
        <v>#REF!</v>
      </c>
      <c r="F34" s="26"/>
      <c r="G34" s="26" t="e">
        <f t="shared" si="3"/>
        <v>#REF!</v>
      </c>
      <c r="H34" s="26" t="e">
        <f t="shared" si="4"/>
        <v>#REF!</v>
      </c>
      <c r="I34" s="12" t="e">
        <f t="shared" si="5"/>
        <v>#REF!</v>
      </c>
      <c r="J34" s="26"/>
      <c r="K34" s="26" t="e">
        <f t="shared" si="6"/>
        <v>#REF!</v>
      </c>
      <c r="L34" s="26" t="e">
        <f t="shared" si="7"/>
        <v>#REF!</v>
      </c>
      <c r="M34" s="12" t="e">
        <f t="shared" si="8"/>
        <v>#REF!</v>
      </c>
      <c r="N34" s="12"/>
      <c r="O34" s="26" t="e">
        <f t="shared" si="9"/>
        <v>#REF!</v>
      </c>
      <c r="P34" s="26" t="e">
        <f t="shared" si="10"/>
        <v>#REF!</v>
      </c>
      <c r="Q34" s="12" t="e">
        <f t="shared" si="11"/>
        <v>#REF!</v>
      </c>
      <c r="R34" s="12"/>
      <c r="S34" s="26" t="e">
        <f t="shared" si="12"/>
        <v>#REF!</v>
      </c>
      <c r="T34" s="26" t="e">
        <f t="shared" si="13"/>
        <v>#REF!</v>
      </c>
      <c r="U34" s="12" t="e">
        <f t="shared" si="14"/>
        <v>#REF!</v>
      </c>
      <c r="V34" s="12"/>
      <c r="W34" s="44" t="e">
        <f t="shared" si="15"/>
        <v>#REF!</v>
      </c>
      <c r="X34" s="26" t="e">
        <f t="shared" si="16"/>
        <v>#REF!</v>
      </c>
      <c r="Y34" s="12" t="e">
        <f t="shared" si="17"/>
        <v>#REF!</v>
      </c>
    </row>
    <row r="35" spans="1:25" ht="16.5" customHeight="1">
      <c r="A35" s="16" t="s">
        <v>80</v>
      </c>
      <c r="B35" s="17" t="s">
        <v>81</v>
      </c>
      <c r="C35" s="26" t="e">
        <f t="shared" si="0"/>
        <v>#REF!</v>
      </c>
      <c r="D35" s="26" t="e">
        <f t="shared" si="1"/>
        <v>#REF!</v>
      </c>
      <c r="E35" s="12" t="e">
        <f t="shared" si="2"/>
        <v>#REF!</v>
      </c>
      <c r="F35" s="26"/>
      <c r="G35" s="26" t="e">
        <f t="shared" si="3"/>
        <v>#REF!</v>
      </c>
      <c r="H35" s="26" t="e">
        <f t="shared" si="4"/>
        <v>#REF!</v>
      </c>
      <c r="I35" s="12" t="e">
        <f t="shared" si="5"/>
        <v>#REF!</v>
      </c>
      <c r="J35" s="26"/>
      <c r="K35" s="26" t="e">
        <f t="shared" si="6"/>
        <v>#REF!</v>
      </c>
      <c r="L35" s="26" t="e">
        <f t="shared" si="7"/>
        <v>#REF!</v>
      </c>
      <c r="M35" s="12" t="e">
        <f t="shared" si="8"/>
        <v>#REF!</v>
      </c>
      <c r="N35" s="12"/>
      <c r="O35" s="26" t="e">
        <f t="shared" si="9"/>
        <v>#REF!</v>
      </c>
      <c r="P35" s="26" t="e">
        <f t="shared" si="10"/>
        <v>#REF!</v>
      </c>
      <c r="Q35" s="12" t="e">
        <f t="shared" si="11"/>
        <v>#REF!</v>
      </c>
      <c r="R35" s="12"/>
      <c r="S35" s="26" t="e">
        <f t="shared" si="12"/>
        <v>#REF!</v>
      </c>
      <c r="T35" s="26" t="e">
        <f t="shared" si="13"/>
        <v>#REF!</v>
      </c>
      <c r="U35" s="12" t="e">
        <f t="shared" si="14"/>
        <v>#REF!</v>
      </c>
      <c r="V35" s="12"/>
      <c r="W35" s="44" t="e">
        <f t="shared" si="15"/>
        <v>#REF!</v>
      </c>
      <c r="X35" s="26" t="e">
        <f t="shared" si="16"/>
        <v>#REF!</v>
      </c>
      <c r="Y35" s="12" t="e">
        <f t="shared" si="17"/>
        <v>#REF!</v>
      </c>
    </row>
    <row r="36" spans="1:25" ht="16.5" customHeight="1">
      <c r="A36" s="16" t="s">
        <v>84</v>
      </c>
      <c r="B36" s="32" t="s">
        <v>308</v>
      </c>
      <c r="C36" s="26" t="e">
        <f t="shared" ref="C36:C67" si="18">VLOOKUP(A36,MedicaidR,7,FALSE)</f>
        <v>#REF!</v>
      </c>
      <c r="D36" s="26" t="e">
        <f t="shared" ref="D36:D67" si="19">VLOOKUP(A36,Pop,14,FALSE)</f>
        <v>#REF!</v>
      </c>
      <c r="E36" s="12" t="e">
        <f t="shared" ref="E36:E67" si="20">+C36/D36</f>
        <v>#REF!</v>
      </c>
      <c r="F36" s="26"/>
      <c r="G36" s="26" t="e">
        <f t="shared" ref="G36:G67" si="21">VLOOKUP(A36,MedicaidR,8,FALSE)</f>
        <v>#REF!</v>
      </c>
      <c r="H36" s="26" t="e">
        <f t="shared" ref="H36:H67" si="22">VLOOKUP(A36,Pop,15,FALSE)</f>
        <v>#REF!</v>
      </c>
      <c r="I36" s="12" t="e">
        <f t="shared" ref="I36:I67" si="23">+G36/H36</f>
        <v>#REF!</v>
      </c>
      <c r="J36" s="26"/>
      <c r="K36" s="26" t="e">
        <f t="shared" ref="K36:K67" si="24">VLOOKUP(A36,MedicaidR,9,FALSE)</f>
        <v>#REF!</v>
      </c>
      <c r="L36" s="26" t="e">
        <f t="shared" ref="L36:L67" si="25">VLOOKUP(A36,Pop,16,FALSE)</f>
        <v>#REF!</v>
      </c>
      <c r="M36" s="12" t="e">
        <f t="shared" ref="M36:M67" si="26">+K36/L36</f>
        <v>#REF!</v>
      </c>
      <c r="N36" s="12"/>
      <c r="O36" s="26" t="e">
        <f t="shared" ref="O36:O67" si="27">VLOOKUP(A36,MedicaidR,3,FALSE)</f>
        <v>#REF!</v>
      </c>
      <c r="P36" s="26" t="e">
        <f t="shared" ref="P36:P67" si="28">VLOOKUP(A36,Pop,8,FALSE)</f>
        <v>#REF!</v>
      </c>
      <c r="Q36" s="12" t="e">
        <f t="shared" ref="Q36:Q67" si="29">+O36/P36</f>
        <v>#REF!</v>
      </c>
      <c r="R36" s="12"/>
      <c r="S36" s="26" t="e">
        <f t="shared" ref="S36:S67" si="30">VLOOKUP(A36,MedicaidR,4,FALSE)</f>
        <v>#REF!</v>
      </c>
      <c r="T36" s="26" t="e">
        <f t="shared" ref="T36:T67" si="31">VLOOKUP(A36,Pop,9,FALSE)</f>
        <v>#REF!</v>
      </c>
      <c r="U36" s="12" t="e">
        <f t="shared" ref="U36:U67" si="32">+S36/T36</f>
        <v>#REF!</v>
      </c>
      <c r="V36" s="12"/>
      <c r="W36" s="44" t="e">
        <f t="shared" ref="W36:W67" si="33">VLOOKUP(A36,MedicaidR,5,FALSE)</f>
        <v>#REF!</v>
      </c>
      <c r="X36" s="26" t="e">
        <f t="shared" ref="X36:X67" si="34">VLOOKUP(A36,Pop,10,FALSE)</f>
        <v>#REF!</v>
      </c>
      <c r="Y36" s="12" t="e">
        <f t="shared" ref="Y36:Y67" si="35">+W36/X36</f>
        <v>#REF!</v>
      </c>
    </row>
    <row r="37" spans="1:25" ht="16.5" customHeight="1">
      <c r="A37" s="16" t="s">
        <v>86</v>
      </c>
      <c r="B37" s="17" t="s">
        <v>87</v>
      </c>
      <c r="C37" s="26" t="e">
        <f t="shared" si="18"/>
        <v>#REF!</v>
      </c>
      <c r="D37" s="26" t="e">
        <f t="shared" si="19"/>
        <v>#REF!</v>
      </c>
      <c r="E37" s="12" t="e">
        <f t="shared" si="20"/>
        <v>#REF!</v>
      </c>
      <c r="F37" s="26"/>
      <c r="G37" s="26" t="e">
        <f t="shared" si="21"/>
        <v>#REF!</v>
      </c>
      <c r="H37" s="26" t="e">
        <f t="shared" si="22"/>
        <v>#REF!</v>
      </c>
      <c r="I37" s="12" t="e">
        <f t="shared" si="23"/>
        <v>#REF!</v>
      </c>
      <c r="J37" s="26"/>
      <c r="K37" s="26" t="e">
        <f t="shared" si="24"/>
        <v>#REF!</v>
      </c>
      <c r="L37" s="26" t="e">
        <f t="shared" si="25"/>
        <v>#REF!</v>
      </c>
      <c r="M37" s="12" t="e">
        <f t="shared" si="26"/>
        <v>#REF!</v>
      </c>
      <c r="N37" s="12"/>
      <c r="O37" s="26" t="e">
        <f t="shared" si="27"/>
        <v>#REF!</v>
      </c>
      <c r="P37" s="26" t="e">
        <f t="shared" si="28"/>
        <v>#REF!</v>
      </c>
      <c r="Q37" s="12" t="e">
        <f t="shared" si="29"/>
        <v>#REF!</v>
      </c>
      <c r="R37" s="12"/>
      <c r="S37" s="26" t="e">
        <f t="shared" si="30"/>
        <v>#REF!</v>
      </c>
      <c r="T37" s="26" t="e">
        <f t="shared" si="31"/>
        <v>#REF!</v>
      </c>
      <c r="U37" s="12" t="e">
        <f t="shared" si="32"/>
        <v>#REF!</v>
      </c>
      <c r="V37" s="12"/>
      <c r="W37" s="44" t="e">
        <f t="shared" si="33"/>
        <v>#REF!</v>
      </c>
      <c r="X37" s="26" t="e">
        <f t="shared" si="34"/>
        <v>#REF!</v>
      </c>
      <c r="Y37" s="12" t="e">
        <f t="shared" si="35"/>
        <v>#REF!</v>
      </c>
    </row>
    <row r="38" spans="1:25" ht="16.5" customHeight="1">
      <c r="A38" s="16" t="s">
        <v>92</v>
      </c>
      <c r="B38" s="17" t="s">
        <v>93</v>
      </c>
      <c r="C38" s="26" t="e">
        <f t="shared" si="18"/>
        <v>#REF!</v>
      </c>
      <c r="D38" s="26" t="e">
        <f t="shared" si="19"/>
        <v>#REF!</v>
      </c>
      <c r="E38" s="12" t="e">
        <f t="shared" si="20"/>
        <v>#REF!</v>
      </c>
      <c r="F38" s="26"/>
      <c r="G38" s="26" t="e">
        <f t="shared" si="21"/>
        <v>#REF!</v>
      </c>
      <c r="H38" s="26" t="e">
        <f t="shared" si="22"/>
        <v>#REF!</v>
      </c>
      <c r="I38" s="12" t="e">
        <f t="shared" si="23"/>
        <v>#REF!</v>
      </c>
      <c r="J38" s="26"/>
      <c r="K38" s="26" t="e">
        <f t="shared" si="24"/>
        <v>#REF!</v>
      </c>
      <c r="L38" s="26" t="e">
        <f t="shared" si="25"/>
        <v>#REF!</v>
      </c>
      <c r="M38" s="12" t="e">
        <f t="shared" si="26"/>
        <v>#REF!</v>
      </c>
      <c r="N38" s="12"/>
      <c r="O38" s="26" t="e">
        <f t="shared" si="27"/>
        <v>#REF!</v>
      </c>
      <c r="P38" s="26" t="e">
        <f t="shared" si="28"/>
        <v>#REF!</v>
      </c>
      <c r="Q38" s="12" t="e">
        <f t="shared" si="29"/>
        <v>#REF!</v>
      </c>
      <c r="R38" s="12"/>
      <c r="S38" s="26" t="e">
        <f t="shared" si="30"/>
        <v>#REF!</v>
      </c>
      <c r="T38" s="26" t="e">
        <f t="shared" si="31"/>
        <v>#REF!</v>
      </c>
      <c r="U38" s="12" t="e">
        <f t="shared" si="32"/>
        <v>#REF!</v>
      </c>
      <c r="V38" s="12"/>
      <c r="W38" s="44" t="e">
        <f t="shared" si="33"/>
        <v>#REF!</v>
      </c>
      <c r="X38" s="26" t="e">
        <f t="shared" si="34"/>
        <v>#REF!</v>
      </c>
      <c r="Y38" s="12" t="e">
        <f t="shared" si="35"/>
        <v>#REF!</v>
      </c>
    </row>
    <row r="39" spans="1:25" ht="16.5" customHeight="1">
      <c r="A39" s="16" t="s">
        <v>94</v>
      </c>
      <c r="B39" s="17" t="s">
        <v>95</v>
      </c>
      <c r="C39" s="26" t="e">
        <f t="shared" si="18"/>
        <v>#REF!</v>
      </c>
      <c r="D39" s="26" t="e">
        <f t="shared" si="19"/>
        <v>#REF!</v>
      </c>
      <c r="E39" s="12" t="e">
        <f t="shared" si="20"/>
        <v>#REF!</v>
      </c>
      <c r="F39" s="26"/>
      <c r="G39" s="26" t="e">
        <f t="shared" si="21"/>
        <v>#REF!</v>
      </c>
      <c r="H39" s="26" t="e">
        <f t="shared" si="22"/>
        <v>#REF!</v>
      </c>
      <c r="I39" s="12" t="e">
        <f t="shared" si="23"/>
        <v>#REF!</v>
      </c>
      <c r="J39" s="26"/>
      <c r="K39" s="26" t="e">
        <f t="shared" si="24"/>
        <v>#REF!</v>
      </c>
      <c r="L39" s="26" t="e">
        <f t="shared" si="25"/>
        <v>#REF!</v>
      </c>
      <c r="M39" s="12" t="e">
        <f t="shared" si="26"/>
        <v>#REF!</v>
      </c>
      <c r="N39" s="12"/>
      <c r="O39" s="26" t="e">
        <f t="shared" si="27"/>
        <v>#REF!</v>
      </c>
      <c r="P39" s="26" t="e">
        <f t="shared" si="28"/>
        <v>#REF!</v>
      </c>
      <c r="Q39" s="12" t="e">
        <f t="shared" si="29"/>
        <v>#REF!</v>
      </c>
      <c r="R39" s="12"/>
      <c r="S39" s="26" t="e">
        <f t="shared" si="30"/>
        <v>#REF!</v>
      </c>
      <c r="T39" s="26" t="e">
        <f t="shared" si="31"/>
        <v>#REF!</v>
      </c>
      <c r="U39" s="12" t="e">
        <f t="shared" si="32"/>
        <v>#REF!</v>
      </c>
      <c r="V39" s="12"/>
      <c r="W39" s="44" t="e">
        <f t="shared" si="33"/>
        <v>#REF!</v>
      </c>
      <c r="X39" s="26" t="e">
        <f t="shared" si="34"/>
        <v>#REF!</v>
      </c>
      <c r="Y39" s="12" t="e">
        <f t="shared" si="35"/>
        <v>#REF!</v>
      </c>
    </row>
    <row r="40" spans="1:25" ht="16.5" customHeight="1">
      <c r="A40" s="16" t="s">
        <v>96</v>
      </c>
      <c r="B40" s="17" t="s">
        <v>97</v>
      </c>
      <c r="C40" s="26" t="e">
        <f t="shared" si="18"/>
        <v>#REF!</v>
      </c>
      <c r="D40" s="26" t="e">
        <f t="shared" si="19"/>
        <v>#REF!</v>
      </c>
      <c r="E40" s="12" t="e">
        <f t="shared" si="20"/>
        <v>#REF!</v>
      </c>
      <c r="F40" s="26"/>
      <c r="G40" s="26" t="e">
        <f t="shared" si="21"/>
        <v>#REF!</v>
      </c>
      <c r="H40" s="26" t="e">
        <f t="shared" si="22"/>
        <v>#REF!</v>
      </c>
      <c r="I40" s="12" t="e">
        <f t="shared" si="23"/>
        <v>#REF!</v>
      </c>
      <c r="J40" s="26"/>
      <c r="K40" s="26" t="e">
        <f t="shared" si="24"/>
        <v>#REF!</v>
      </c>
      <c r="L40" s="26" t="e">
        <f t="shared" si="25"/>
        <v>#REF!</v>
      </c>
      <c r="M40" s="12" t="e">
        <f t="shared" si="26"/>
        <v>#REF!</v>
      </c>
      <c r="N40" s="12"/>
      <c r="O40" s="26" t="e">
        <f t="shared" si="27"/>
        <v>#REF!</v>
      </c>
      <c r="P40" s="26" t="e">
        <f t="shared" si="28"/>
        <v>#REF!</v>
      </c>
      <c r="Q40" s="12" t="e">
        <f t="shared" si="29"/>
        <v>#REF!</v>
      </c>
      <c r="R40" s="12"/>
      <c r="S40" s="26" t="e">
        <f t="shared" si="30"/>
        <v>#REF!</v>
      </c>
      <c r="T40" s="26" t="e">
        <f t="shared" si="31"/>
        <v>#REF!</v>
      </c>
      <c r="U40" s="12" t="e">
        <f t="shared" si="32"/>
        <v>#REF!</v>
      </c>
      <c r="V40" s="12"/>
      <c r="W40" s="44" t="e">
        <f t="shared" si="33"/>
        <v>#REF!</v>
      </c>
      <c r="X40" s="26" t="e">
        <f t="shared" si="34"/>
        <v>#REF!</v>
      </c>
      <c r="Y40" s="12" t="e">
        <f t="shared" si="35"/>
        <v>#REF!</v>
      </c>
    </row>
    <row r="41" spans="1:25" ht="16.5" customHeight="1">
      <c r="A41" s="16" t="s">
        <v>98</v>
      </c>
      <c r="B41" s="32" t="s">
        <v>99</v>
      </c>
      <c r="C41" s="26" t="e">
        <f t="shared" si="18"/>
        <v>#REF!</v>
      </c>
      <c r="D41" s="26" t="e">
        <f t="shared" si="19"/>
        <v>#REF!</v>
      </c>
      <c r="E41" s="12" t="e">
        <f t="shared" si="20"/>
        <v>#REF!</v>
      </c>
      <c r="F41" s="26"/>
      <c r="G41" s="26" t="e">
        <f t="shared" si="21"/>
        <v>#REF!</v>
      </c>
      <c r="H41" s="26" t="e">
        <f t="shared" si="22"/>
        <v>#REF!</v>
      </c>
      <c r="I41" s="12" t="e">
        <f t="shared" si="23"/>
        <v>#REF!</v>
      </c>
      <c r="J41" s="26"/>
      <c r="K41" s="26" t="e">
        <f t="shared" si="24"/>
        <v>#REF!</v>
      </c>
      <c r="L41" s="26" t="e">
        <f t="shared" si="25"/>
        <v>#REF!</v>
      </c>
      <c r="M41" s="12" t="e">
        <f t="shared" si="26"/>
        <v>#REF!</v>
      </c>
      <c r="N41" s="12"/>
      <c r="O41" s="26" t="e">
        <f t="shared" si="27"/>
        <v>#REF!</v>
      </c>
      <c r="P41" s="26" t="e">
        <f t="shared" si="28"/>
        <v>#REF!</v>
      </c>
      <c r="Q41" s="12" t="e">
        <f t="shared" si="29"/>
        <v>#REF!</v>
      </c>
      <c r="R41" s="12"/>
      <c r="S41" s="26" t="e">
        <f t="shared" si="30"/>
        <v>#REF!</v>
      </c>
      <c r="T41" s="26" t="e">
        <f t="shared" si="31"/>
        <v>#REF!</v>
      </c>
      <c r="U41" s="12" t="e">
        <f t="shared" si="32"/>
        <v>#REF!</v>
      </c>
      <c r="V41" s="12"/>
      <c r="W41" s="44" t="e">
        <f t="shared" si="33"/>
        <v>#REF!</v>
      </c>
      <c r="X41" s="26" t="e">
        <f t="shared" si="34"/>
        <v>#REF!</v>
      </c>
      <c r="Y41" s="12" t="e">
        <f t="shared" si="35"/>
        <v>#REF!</v>
      </c>
    </row>
    <row r="42" spans="1:25" ht="16.5" customHeight="1">
      <c r="A42" s="16" t="s">
        <v>100</v>
      </c>
      <c r="B42" s="32" t="s">
        <v>101</v>
      </c>
      <c r="C42" s="26" t="e">
        <f t="shared" si="18"/>
        <v>#REF!</v>
      </c>
      <c r="D42" s="26" t="e">
        <f t="shared" si="19"/>
        <v>#REF!</v>
      </c>
      <c r="E42" s="12" t="e">
        <f t="shared" si="20"/>
        <v>#REF!</v>
      </c>
      <c r="F42" s="26"/>
      <c r="G42" s="26" t="e">
        <f t="shared" si="21"/>
        <v>#REF!</v>
      </c>
      <c r="H42" s="26" t="e">
        <f t="shared" si="22"/>
        <v>#REF!</v>
      </c>
      <c r="I42" s="12" t="e">
        <f t="shared" si="23"/>
        <v>#REF!</v>
      </c>
      <c r="J42" s="26"/>
      <c r="K42" s="26" t="e">
        <f t="shared" si="24"/>
        <v>#REF!</v>
      </c>
      <c r="L42" s="26" t="e">
        <f t="shared" si="25"/>
        <v>#REF!</v>
      </c>
      <c r="M42" s="12" t="e">
        <f t="shared" si="26"/>
        <v>#REF!</v>
      </c>
      <c r="N42" s="12"/>
      <c r="O42" s="26" t="e">
        <f t="shared" si="27"/>
        <v>#REF!</v>
      </c>
      <c r="P42" s="26" t="e">
        <f t="shared" si="28"/>
        <v>#REF!</v>
      </c>
      <c r="Q42" s="12" t="e">
        <f t="shared" si="29"/>
        <v>#REF!</v>
      </c>
      <c r="R42" s="12"/>
      <c r="S42" s="26" t="e">
        <f t="shared" si="30"/>
        <v>#REF!</v>
      </c>
      <c r="T42" s="26" t="e">
        <f t="shared" si="31"/>
        <v>#REF!</v>
      </c>
      <c r="U42" s="12" t="e">
        <f t="shared" si="32"/>
        <v>#REF!</v>
      </c>
      <c r="V42" s="12"/>
      <c r="W42" s="44" t="e">
        <f t="shared" si="33"/>
        <v>#REF!</v>
      </c>
      <c r="X42" s="26" t="e">
        <f t="shared" si="34"/>
        <v>#REF!</v>
      </c>
      <c r="Y42" s="12" t="e">
        <f t="shared" si="35"/>
        <v>#REF!</v>
      </c>
    </row>
    <row r="43" spans="1:25" ht="16.5" customHeight="1">
      <c r="A43" s="16" t="s">
        <v>102</v>
      </c>
      <c r="B43" s="32" t="s">
        <v>103</v>
      </c>
      <c r="C43" s="26" t="e">
        <f t="shared" si="18"/>
        <v>#REF!</v>
      </c>
      <c r="D43" s="26" t="e">
        <f t="shared" si="19"/>
        <v>#REF!</v>
      </c>
      <c r="E43" s="12" t="e">
        <f t="shared" si="20"/>
        <v>#REF!</v>
      </c>
      <c r="F43" s="26"/>
      <c r="G43" s="26" t="e">
        <f t="shared" si="21"/>
        <v>#REF!</v>
      </c>
      <c r="H43" s="26" t="e">
        <f t="shared" si="22"/>
        <v>#REF!</v>
      </c>
      <c r="I43" s="12" t="e">
        <f t="shared" si="23"/>
        <v>#REF!</v>
      </c>
      <c r="J43" s="26"/>
      <c r="K43" s="26" t="e">
        <f t="shared" si="24"/>
        <v>#REF!</v>
      </c>
      <c r="L43" s="26" t="e">
        <f t="shared" si="25"/>
        <v>#REF!</v>
      </c>
      <c r="M43" s="12" t="e">
        <f t="shared" si="26"/>
        <v>#REF!</v>
      </c>
      <c r="N43" s="12"/>
      <c r="O43" s="26" t="e">
        <f t="shared" si="27"/>
        <v>#REF!</v>
      </c>
      <c r="P43" s="26" t="e">
        <f t="shared" si="28"/>
        <v>#REF!</v>
      </c>
      <c r="Q43" s="12" t="e">
        <f t="shared" si="29"/>
        <v>#REF!</v>
      </c>
      <c r="R43" s="12"/>
      <c r="S43" s="26" t="e">
        <f t="shared" si="30"/>
        <v>#REF!</v>
      </c>
      <c r="T43" s="26" t="e">
        <f t="shared" si="31"/>
        <v>#REF!</v>
      </c>
      <c r="U43" s="12" t="e">
        <f t="shared" si="32"/>
        <v>#REF!</v>
      </c>
      <c r="V43" s="12"/>
      <c r="W43" s="44" t="e">
        <f t="shared" si="33"/>
        <v>#REF!</v>
      </c>
      <c r="X43" s="26" t="e">
        <f t="shared" si="34"/>
        <v>#REF!</v>
      </c>
      <c r="Y43" s="12" t="e">
        <f t="shared" si="35"/>
        <v>#REF!</v>
      </c>
    </row>
    <row r="44" spans="1:25" ht="16.5" customHeight="1">
      <c r="A44" s="16" t="s">
        <v>104</v>
      </c>
      <c r="B44" s="17" t="s">
        <v>309</v>
      </c>
      <c r="C44" s="26" t="e">
        <f t="shared" si="18"/>
        <v>#REF!</v>
      </c>
      <c r="D44" s="26" t="e">
        <f t="shared" si="19"/>
        <v>#REF!</v>
      </c>
      <c r="E44" s="12" t="e">
        <f t="shared" si="20"/>
        <v>#REF!</v>
      </c>
      <c r="F44" s="26"/>
      <c r="G44" s="26" t="e">
        <f t="shared" si="21"/>
        <v>#REF!</v>
      </c>
      <c r="H44" s="26" t="e">
        <f t="shared" si="22"/>
        <v>#REF!</v>
      </c>
      <c r="I44" s="12" t="e">
        <f t="shared" si="23"/>
        <v>#REF!</v>
      </c>
      <c r="J44" s="26"/>
      <c r="K44" s="26" t="e">
        <f t="shared" si="24"/>
        <v>#REF!</v>
      </c>
      <c r="L44" s="26" t="e">
        <f t="shared" si="25"/>
        <v>#REF!</v>
      </c>
      <c r="M44" s="12" t="e">
        <f t="shared" si="26"/>
        <v>#REF!</v>
      </c>
      <c r="N44" s="12"/>
      <c r="O44" s="26" t="e">
        <f t="shared" si="27"/>
        <v>#REF!</v>
      </c>
      <c r="P44" s="26" t="e">
        <f t="shared" si="28"/>
        <v>#REF!</v>
      </c>
      <c r="Q44" s="12" t="e">
        <f t="shared" si="29"/>
        <v>#REF!</v>
      </c>
      <c r="R44" s="12"/>
      <c r="S44" s="26" t="e">
        <f t="shared" si="30"/>
        <v>#REF!</v>
      </c>
      <c r="T44" s="26" t="e">
        <f t="shared" si="31"/>
        <v>#REF!</v>
      </c>
      <c r="U44" s="12" t="e">
        <f t="shared" si="32"/>
        <v>#REF!</v>
      </c>
      <c r="V44" s="12"/>
      <c r="W44" s="44" t="e">
        <f t="shared" si="33"/>
        <v>#REF!</v>
      </c>
      <c r="X44" s="26" t="e">
        <f t="shared" si="34"/>
        <v>#REF!</v>
      </c>
      <c r="Y44" s="12" t="e">
        <f t="shared" si="35"/>
        <v>#REF!</v>
      </c>
    </row>
    <row r="45" spans="1:25" ht="16.5" customHeight="1">
      <c r="A45" s="16" t="s">
        <v>108</v>
      </c>
      <c r="B45" s="17" t="s">
        <v>109</v>
      </c>
      <c r="C45" s="26" t="e">
        <f t="shared" si="18"/>
        <v>#REF!</v>
      </c>
      <c r="D45" s="26" t="e">
        <f t="shared" si="19"/>
        <v>#REF!</v>
      </c>
      <c r="E45" s="12" t="e">
        <f t="shared" si="20"/>
        <v>#REF!</v>
      </c>
      <c r="F45" s="26"/>
      <c r="G45" s="26" t="e">
        <f t="shared" si="21"/>
        <v>#REF!</v>
      </c>
      <c r="H45" s="26" t="e">
        <f t="shared" si="22"/>
        <v>#REF!</v>
      </c>
      <c r="I45" s="12" t="e">
        <f t="shared" si="23"/>
        <v>#REF!</v>
      </c>
      <c r="J45" s="26"/>
      <c r="K45" s="26" t="e">
        <f t="shared" si="24"/>
        <v>#REF!</v>
      </c>
      <c r="L45" s="26" t="e">
        <f t="shared" si="25"/>
        <v>#REF!</v>
      </c>
      <c r="M45" s="12" t="e">
        <f t="shared" si="26"/>
        <v>#REF!</v>
      </c>
      <c r="N45" s="12"/>
      <c r="O45" s="26" t="e">
        <f t="shared" si="27"/>
        <v>#REF!</v>
      </c>
      <c r="P45" s="26" t="e">
        <f t="shared" si="28"/>
        <v>#REF!</v>
      </c>
      <c r="Q45" s="12" t="e">
        <f t="shared" si="29"/>
        <v>#REF!</v>
      </c>
      <c r="R45" s="12"/>
      <c r="S45" s="26" t="e">
        <f t="shared" si="30"/>
        <v>#REF!</v>
      </c>
      <c r="T45" s="26" t="e">
        <f t="shared" si="31"/>
        <v>#REF!</v>
      </c>
      <c r="U45" s="12" t="e">
        <f t="shared" si="32"/>
        <v>#REF!</v>
      </c>
      <c r="V45" s="12"/>
      <c r="W45" s="44" t="e">
        <f t="shared" si="33"/>
        <v>#REF!</v>
      </c>
      <c r="X45" s="26" t="e">
        <f t="shared" si="34"/>
        <v>#REF!</v>
      </c>
      <c r="Y45" s="12" t="e">
        <f t="shared" si="35"/>
        <v>#REF!</v>
      </c>
    </row>
    <row r="46" spans="1:25" ht="16.5" customHeight="1">
      <c r="A46" s="16" t="s">
        <v>110</v>
      </c>
      <c r="B46" s="17" t="s">
        <v>111</v>
      </c>
      <c r="C46" s="26" t="e">
        <f t="shared" si="18"/>
        <v>#REF!</v>
      </c>
      <c r="D46" s="26" t="e">
        <f t="shared" si="19"/>
        <v>#REF!</v>
      </c>
      <c r="E46" s="12" t="e">
        <f t="shared" si="20"/>
        <v>#REF!</v>
      </c>
      <c r="F46" s="26"/>
      <c r="G46" s="26" t="e">
        <f t="shared" si="21"/>
        <v>#REF!</v>
      </c>
      <c r="H46" s="26" t="e">
        <f t="shared" si="22"/>
        <v>#REF!</v>
      </c>
      <c r="I46" s="12" t="e">
        <f t="shared" si="23"/>
        <v>#REF!</v>
      </c>
      <c r="J46" s="26"/>
      <c r="K46" s="26" t="e">
        <f t="shared" si="24"/>
        <v>#REF!</v>
      </c>
      <c r="L46" s="26" t="e">
        <f t="shared" si="25"/>
        <v>#REF!</v>
      </c>
      <c r="M46" s="12" t="e">
        <f t="shared" si="26"/>
        <v>#REF!</v>
      </c>
      <c r="N46" s="12"/>
      <c r="O46" s="26" t="e">
        <f t="shared" si="27"/>
        <v>#REF!</v>
      </c>
      <c r="P46" s="26" t="e">
        <f t="shared" si="28"/>
        <v>#REF!</v>
      </c>
      <c r="Q46" s="12" t="e">
        <f t="shared" si="29"/>
        <v>#REF!</v>
      </c>
      <c r="R46" s="12"/>
      <c r="S46" s="26" t="e">
        <f t="shared" si="30"/>
        <v>#REF!</v>
      </c>
      <c r="T46" s="26" t="e">
        <f t="shared" si="31"/>
        <v>#REF!</v>
      </c>
      <c r="U46" s="12" t="e">
        <f t="shared" si="32"/>
        <v>#REF!</v>
      </c>
      <c r="V46" s="12"/>
      <c r="W46" s="44" t="e">
        <f t="shared" si="33"/>
        <v>#REF!</v>
      </c>
      <c r="X46" s="26" t="e">
        <f t="shared" si="34"/>
        <v>#REF!</v>
      </c>
      <c r="Y46" s="12" t="e">
        <f t="shared" si="35"/>
        <v>#REF!</v>
      </c>
    </row>
    <row r="47" spans="1:25" ht="16.5" customHeight="1">
      <c r="A47" s="16" t="s">
        <v>112</v>
      </c>
      <c r="B47" s="32" t="s">
        <v>300</v>
      </c>
      <c r="C47" s="26" t="e">
        <f t="shared" si="18"/>
        <v>#REF!</v>
      </c>
      <c r="D47" s="26" t="e">
        <f t="shared" si="19"/>
        <v>#REF!</v>
      </c>
      <c r="E47" s="12" t="e">
        <f t="shared" si="20"/>
        <v>#REF!</v>
      </c>
      <c r="F47" s="26"/>
      <c r="G47" s="26" t="e">
        <f t="shared" si="21"/>
        <v>#REF!</v>
      </c>
      <c r="H47" s="26" t="e">
        <f t="shared" si="22"/>
        <v>#REF!</v>
      </c>
      <c r="I47" s="12" t="e">
        <f t="shared" si="23"/>
        <v>#REF!</v>
      </c>
      <c r="J47" s="26"/>
      <c r="K47" s="26" t="e">
        <f t="shared" si="24"/>
        <v>#REF!</v>
      </c>
      <c r="L47" s="26" t="e">
        <f t="shared" si="25"/>
        <v>#REF!</v>
      </c>
      <c r="M47" s="12" t="e">
        <f t="shared" si="26"/>
        <v>#REF!</v>
      </c>
      <c r="N47" s="12"/>
      <c r="O47" s="26" t="e">
        <f t="shared" si="27"/>
        <v>#REF!</v>
      </c>
      <c r="P47" s="26" t="e">
        <f t="shared" si="28"/>
        <v>#REF!</v>
      </c>
      <c r="Q47" s="12" t="e">
        <f t="shared" si="29"/>
        <v>#REF!</v>
      </c>
      <c r="R47" s="12"/>
      <c r="S47" s="26" t="e">
        <f t="shared" si="30"/>
        <v>#REF!</v>
      </c>
      <c r="T47" s="26" t="e">
        <f t="shared" si="31"/>
        <v>#REF!</v>
      </c>
      <c r="U47" s="12" t="e">
        <f t="shared" si="32"/>
        <v>#REF!</v>
      </c>
      <c r="V47" s="12"/>
      <c r="W47" s="44" t="e">
        <f t="shared" si="33"/>
        <v>#REF!</v>
      </c>
      <c r="X47" s="26" t="e">
        <f t="shared" si="34"/>
        <v>#REF!</v>
      </c>
      <c r="Y47" s="12" t="e">
        <f t="shared" si="35"/>
        <v>#REF!</v>
      </c>
    </row>
    <row r="48" spans="1:25" ht="16.5" customHeight="1">
      <c r="A48" s="16" t="s">
        <v>114</v>
      </c>
      <c r="B48" s="32" t="s">
        <v>115</v>
      </c>
      <c r="C48" s="26" t="e">
        <f t="shared" si="18"/>
        <v>#REF!</v>
      </c>
      <c r="D48" s="26" t="e">
        <f t="shared" si="19"/>
        <v>#REF!</v>
      </c>
      <c r="E48" s="12" t="e">
        <f t="shared" si="20"/>
        <v>#REF!</v>
      </c>
      <c r="F48" s="26"/>
      <c r="G48" s="26" t="e">
        <f t="shared" si="21"/>
        <v>#REF!</v>
      </c>
      <c r="H48" s="26" t="e">
        <f t="shared" si="22"/>
        <v>#REF!</v>
      </c>
      <c r="I48" s="12" t="e">
        <f t="shared" si="23"/>
        <v>#REF!</v>
      </c>
      <c r="J48" s="26"/>
      <c r="K48" s="26" t="e">
        <f t="shared" si="24"/>
        <v>#REF!</v>
      </c>
      <c r="L48" s="26" t="e">
        <f t="shared" si="25"/>
        <v>#REF!</v>
      </c>
      <c r="M48" s="12" t="e">
        <f t="shared" si="26"/>
        <v>#REF!</v>
      </c>
      <c r="N48" s="12"/>
      <c r="O48" s="26" t="e">
        <f t="shared" si="27"/>
        <v>#REF!</v>
      </c>
      <c r="P48" s="26" t="e">
        <f t="shared" si="28"/>
        <v>#REF!</v>
      </c>
      <c r="Q48" s="12" t="e">
        <f t="shared" si="29"/>
        <v>#REF!</v>
      </c>
      <c r="R48" s="12"/>
      <c r="S48" s="26" t="e">
        <f t="shared" si="30"/>
        <v>#REF!</v>
      </c>
      <c r="T48" s="26" t="e">
        <f t="shared" si="31"/>
        <v>#REF!</v>
      </c>
      <c r="U48" s="12" t="e">
        <f t="shared" si="32"/>
        <v>#REF!</v>
      </c>
      <c r="V48" s="12"/>
      <c r="W48" s="44" t="e">
        <f t="shared" si="33"/>
        <v>#REF!</v>
      </c>
      <c r="X48" s="26" t="e">
        <f t="shared" si="34"/>
        <v>#REF!</v>
      </c>
      <c r="Y48" s="12" t="e">
        <f t="shared" si="35"/>
        <v>#REF!</v>
      </c>
    </row>
    <row r="49" spans="1:25" ht="16.5" customHeight="1">
      <c r="A49" s="16" t="s">
        <v>118</v>
      </c>
      <c r="B49" s="17" t="s">
        <v>119</v>
      </c>
      <c r="C49" s="26" t="e">
        <f t="shared" si="18"/>
        <v>#REF!</v>
      </c>
      <c r="D49" s="26" t="e">
        <f t="shared" si="19"/>
        <v>#REF!</v>
      </c>
      <c r="E49" s="12" t="e">
        <f t="shared" si="20"/>
        <v>#REF!</v>
      </c>
      <c r="F49" s="26"/>
      <c r="G49" s="26" t="e">
        <f t="shared" si="21"/>
        <v>#REF!</v>
      </c>
      <c r="H49" s="26" t="e">
        <f t="shared" si="22"/>
        <v>#REF!</v>
      </c>
      <c r="I49" s="12" t="e">
        <f t="shared" si="23"/>
        <v>#REF!</v>
      </c>
      <c r="J49" s="26"/>
      <c r="K49" s="26" t="e">
        <f t="shared" si="24"/>
        <v>#REF!</v>
      </c>
      <c r="L49" s="26" t="e">
        <f t="shared" si="25"/>
        <v>#REF!</v>
      </c>
      <c r="M49" s="12" t="e">
        <f t="shared" si="26"/>
        <v>#REF!</v>
      </c>
      <c r="N49" s="12"/>
      <c r="O49" s="26" t="e">
        <f t="shared" si="27"/>
        <v>#REF!</v>
      </c>
      <c r="P49" s="26" t="e">
        <f t="shared" si="28"/>
        <v>#REF!</v>
      </c>
      <c r="Q49" s="12" t="e">
        <f t="shared" si="29"/>
        <v>#REF!</v>
      </c>
      <c r="R49" s="12"/>
      <c r="S49" s="26" t="e">
        <f t="shared" si="30"/>
        <v>#REF!</v>
      </c>
      <c r="T49" s="26" t="e">
        <f t="shared" si="31"/>
        <v>#REF!</v>
      </c>
      <c r="U49" s="12" t="e">
        <f t="shared" si="32"/>
        <v>#REF!</v>
      </c>
      <c r="V49" s="12"/>
      <c r="W49" s="44" t="e">
        <f t="shared" si="33"/>
        <v>#REF!</v>
      </c>
      <c r="X49" s="26" t="e">
        <f t="shared" si="34"/>
        <v>#REF!</v>
      </c>
      <c r="Y49" s="12" t="e">
        <f t="shared" si="35"/>
        <v>#REF!</v>
      </c>
    </row>
    <row r="50" spans="1:25" ht="16.5" customHeight="1">
      <c r="A50" s="16" t="s">
        <v>120</v>
      </c>
      <c r="B50" s="17" t="s">
        <v>121</v>
      </c>
      <c r="C50" s="26" t="e">
        <f t="shared" si="18"/>
        <v>#REF!</v>
      </c>
      <c r="D50" s="26" t="e">
        <f t="shared" si="19"/>
        <v>#REF!</v>
      </c>
      <c r="E50" s="12" t="e">
        <f t="shared" si="20"/>
        <v>#REF!</v>
      </c>
      <c r="F50" s="26"/>
      <c r="G50" s="26" t="e">
        <f t="shared" si="21"/>
        <v>#REF!</v>
      </c>
      <c r="H50" s="26" t="e">
        <f t="shared" si="22"/>
        <v>#REF!</v>
      </c>
      <c r="I50" s="12" t="e">
        <f t="shared" si="23"/>
        <v>#REF!</v>
      </c>
      <c r="J50" s="26"/>
      <c r="K50" s="26" t="e">
        <f t="shared" si="24"/>
        <v>#REF!</v>
      </c>
      <c r="L50" s="26" t="e">
        <f t="shared" si="25"/>
        <v>#REF!</v>
      </c>
      <c r="M50" s="12" t="e">
        <f t="shared" si="26"/>
        <v>#REF!</v>
      </c>
      <c r="N50" s="12"/>
      <c r="O50" s="26" t="e">
        <f t="shared" si="27"/>
        <v>#REF!</v>
      </c>
      <c r="P50" s="26" t="e">
        <f t="shared" si="28"/>
        <v>#REF!</v>
      </c>
      <c r="Q50" s="12" t="e">
        <f t="shared" si="29"/>
        <v>#REF!</v>
      </c>
      <c r="R50" s="12"/>
      <c r="S50" s="26" t="e">
        <f t="shared" si="30"/>
        <v>#REF!</v>
      </c>
      <c r="T50" s="26" t="e">
        <f t="shared" si="31"/>
        <v>#REF!</v>
      </c>
      <c r="U50" s="12" t="e">
        <f t="shared" si="32"/>
        <v>#REF!</v>
      </c>
      <c r="V50" s="12"/>
      <c r="W50" s="44" t="e">
        <f t="shared" si="33"/>
        <v>#REF!</v>
      </c>
      <c r="X50" s="26" t="e">
        <f t="shared" si="34"/>
        <v>#REF!</v>
      </c>
      <c r="Y50" s="12" t="e">
        <f t="shared" si="35"/>
        <v>#REF!</v>
      </c>
    </row>
    <row r="51" spans="1:25" ht="16.5" customHeight="1">
      <c r="A51" s="16" t="s">
        <v>122</v>
      </c>
      <c r="B51" s="32" t="s">
        <v>271</v>
      </c>
      <c r="C51" s="26" t="e">
        <f t="shared" si="18"/>
        <v>#REF!</v>
      </c>
      <c r="D51" s="26" t="e">
        <f t="shared" si="19"/>
        <v>#REF!</v>
      </c>
      <c r="E51" s="12" t="e">
        <f t="shared" si="20"/>
        <v>#REF!</v>
      </c>
      <c r="F51" s="26"/>
      <c r="G51" s="26" t="e">
        <f t="shared" si="21"/>
        <v>#REF!</v>
      </c>
      <c r="H51" s="26" t="e">
        <f t="shared" si="22"/>
        <v>#REF!</v>
      </c>
      <c r="I51" s="12" t="e">
        <f t="shared" si="23"/>
        <v>#REF!</v>
      </c>
      <c r="J51" s="26"/>
      <c r="K51" s="26" t="e">
        <f t="shared" si="24"/>
        <v>#REF!</v>
      </c>
      <c r="L51" s="26" t="e">
        <f t="shared" si="25"/>
        <v>#REF!</v>
      </c>
      <c r="M51" s="12" t="e">
        <f t="shared" si="26"/>
        <v>#REF!</v>
      </c>
      <c r="N51" s="12"/>
      <c r="O51" s="26" t="e">
        <f t="shared" si="27"/>
        <v>#REF!</v>
      </c>
      <c r="P51" s="26" t="e">
        <f t="shared" si="28"/>
        <v>#REF!</v>
      </c>
      <c r="Q51" s="12" t="e">
        <f t="shared" si="29"/>
        <v>#REF!</v>
      </c>
      <c r="R51" s="12"/>
      <c r="S51" s="26" t="e">
        <f t="shared" si="30"/>
        <v>#REF!</v>
      </c>
      <c r="T51" s="26" t="e">
        <f t="shared" si="31"/>
        <v>#REF!</v>
      </c>
      <c r="U51" s="12" t="e">
        <f t="shared" si="32"/>
        <v>#REF!</v>
      </c>
      <c r="V51" s="12"/>
      <c r="W51" s="44" t="e">
        <f t="shared" si="33"/>
        <v>#REF!</v>
      </c>
      <c r="X51" s="26" t="e">
        <f t="shared" si="34"/>
        <v>#REF!</v>
      </c>
      <c r="Y51" s="12" t="e">
        <f t="shared" si="35"/>
        <v>#REF!</v>
      </c>
    </row>
    <row r="52" spans="1:25" ht="16.5" customHeight="1">
      <c r="A52" s="16" t="s">
        <v>124</v>
      </c>
      <c r="B52" s="17" t="s">
        <v>125</v>
      </c>
      <c r="C52" s="26" t="e">
        <f t="shared" si="18"/>
        <v>#REF!</v>
      </c>
      <c r="D52" s="26" t="e">
        <f t="shared" si="19"/>
        <v>#REF!</v>
      </c>
      <c r="E52" s="12" t="e">
        <f t="shared" si="20"/>
        <v>#REF!</v>
      </c>
      <c r="F52" s="26"/>
      <c r="G52" s="26" t="e">
        <f t="shared" si="21"/>
        <v>#REF!</v>
      </c>
      <c r="H52" s="26" t="e">
        <f t="shared" si="22"/>
        <v>#REF!</v>
      </c>
      <c r="I52" s="12" t="e">
        <f t="shared" si="23"/>
        <v>#REF!</v>
      </c>
      <c r="J52" s="26"/>
      <c r="K52" s="26" t="e">
        <f t="shared" si="24"/>
        <v>#REF!</v>
      </c>
      <c r="L52" s="26" t="e">
        <f t="shared" si="25"/>
        <v>#REF!</v>
      </c>
      <c r="M52" s="12" t="e">
        <f t="shared" si="26"/>
        <v>#REF!</v>
      </c>
      <c r="N52" s="12"/>
      <c r="O52" s="26" t="e">
        <f t="shared" si="27"/>
        <v>#REF!</v>
      </c>
      <c r="P52" s="26" t="e">
        <f t="shared" si="28"/>
        <v>#REF!</v>
      </c>
      <c r="Q52" s="12" t="e">
        <f t="shared" si="29"/>
        <v>#REF!</v>
      </c>
      <c r="R52" s="12"/>
      <c r="S52" s="26" t="e">
        <f t="shared" si="30"/>
        <v>#REF!</v>
      </c>
      <c r="T52" s="26" t="e">
        <f t="shared" si="31"/>
        <v>#REF!</v>
      </c>
      <c r="U52" s="12" t="e">
        <f t="shared" si="32"/>
        <v>#REF!</v>
      </c>
      <c r="V52" s="12"/>
      <c r="W52" s="44" t="e">
        <f t="shared" si="33"/>
        <v>#REF!</v>
      </c>
      <c r="X52" s="26" t="e">
        <f t="shared" si="34"/>
        <v>#REF!</v>
      </c>
      <c r="Y52" s="12" t="e">
        <f t="shared" si="35"/>
        <v>#REF!</v>
      </c>
    </row>
    <row r="53" spans="1:25" ht="16.5" customHeight="1">
      <c r="A53" s="16" t="s">
        <v>126</v>
      </c>
      <c r="B53" s="17" t="s">
        <v>127</v>
      </c>
      <c r="C53" s="26" t="e">
        <f t="shared" si="18"/>
        <v>#REF!</v>
      </c>
      <c r="D53" s="26" t="e">
        <f t="shared" si="19"/>
        <v>#REF!</v>
      </c>
      <c r="E53" s="12" t="e">
        <f t="shared" si="20"/>
        <v>#REF!</v>
      </c>
      <c r="F53" s="26"/>
      <c r="G53" s="26" t="e">
        <f t="shared" si="21"/>
        <v>#REF!</v>
      </c>
      <c r="H53" s="26" t="e">
        <f t="shared" si="22"/>
        <v>#REF!</v>
      </c>
      <c r="I53" s="12" t="e">
        <f t="shared" si="23"/>
        <v>#REF!</v>
      </c>
      <c r="J53" s="26"/>
      <c r="K53" s="26" t="e">
        <f t="shared" si="24"/>
        <v>#REF!</v>
      </c>
      <c r="L53" s="26" t="e">
        <f t="shared" si="25"/>
        <v>#REF!</v>
      </c>
      <c r="M53" s="12" t="e">
        <f t="shared" si="26"/>
        <v>#REF!</v>
      </c>
      <c r="N53" s="12"/>
      <c r="O53" s="26" t="e">
        <f t="shared" si="27"/>
        <v>#REF!</v>
      </c>
      <c r="P53" s="26" t="e">
        <f t="shared" si="28"/>
        <v>#REF!</v>
      </c>
      <c r="Q53" s="12" t="e">
        <f t="shared" si="29"/>
        <v>#REF!</v>
      </c>
      <c r="R53" s="12"/>
      <c r="S53" s="26" t="e">
        <f t="shared" si="30"/>
        <v>#REF!</v>
      </c>
      <c r="T53" s="26" t="e">
        <f t="shared" si="31"/>
        <v>#REF!</v>
      </c>
      <c r="U53" s="12" t="e">
        <f t="shared" si="32"/>
        <v>#REF!</v>
      </c>
      <c r="V53" s="12"/>
      <c r="W53" s="44" t="e">
        <f t="shared" si="33"/>
        <v>#REF!</v>
      </c>
      <c r="X53" s="26" t="e">
        <f t="shared" si="34"/>
        <v>#REF!</v>
      </c>
      <c r="Y53" s="12" t="e">
        <f t="shared" si="35"/>
        <v>#REF!</v>
      </c>
    </row>
    <row r="54" spans="1:25" ht="16.5" customHeight="1">
      <c r="A54" s="16" t="s">
        <v>128</v>
      </c>
      <c r="B54" s="32" t="s">
        <v>129</v>
      </c>
      <c r="C54" s="26" t="e">
        <f t="shared" si="18"/>
        <v>#REF!</v>
      </c>
      <c r="D54" s="26" t="e">
        <f t="shared" si="19"/>
        <v>#REF!</v>
      </c>
      <c r="E54" s="12" t="e">
        <f t="shared" si="20"/>
        <v>#REF!</v>
      </c>
      <c r="F54" s="26"/>
      <c r="G54" s="26" t="e">
        <f t="shared" si="21"/>
        <v>#REF!</v>
      </c>
      <c r="H54" s="26" t="e">
        <f t="shared" si="22"/>
        <v>#REF!</v>
      </c>
      <c r="I54" s="12" t="e">
        <f t="shared" si="23"/>
        <v>#REF!</v>
      </c>
      <c r="J54" s="26"/>
      <c r="K54" s="26" t="e">
        <f t="shared" si="24"/>
        <v>#REF!</v>
      </c>
      <c r="L54" s="26" t="e">
        <f t="shared" si="25"/>
        <v>#REF!</v>
      </c>
      <c r="M54" s="12" t="e">
        <f t="shared" si="26"/>
        <v>#REF!</v>
      </c>
      <c r="N54" s="12"/>
      <c r="O54" s="26" t="e">
        <f t="shared" si="27"/>
        <v>#REF!</v>
      </c>
      <c r="P54" s="26" t="e">
        <f t="shared" si="28"/>
        <v>#REF!</v>
      </c>
      <c r="Q54" s="12" t="e">
        <f t="shared" si="29"/>
        <v>#REF!</v>
      </c>
      <c r="R54" s="12"/>
      <c r="S54" s="26" t="e">
        <f t="shared" si="30"/>
        <v>#REF!</v>
      </c>
      <c r="T54" s="26" t="e">
        <f t="shared" si="31"/>
        <v>#REF!</v>
      </c>
      <c r="U54" s="12" t="e">
        <f t="shared" si="32"/>
        <v>#REF!</v>
      </c>
      <c r="V54" s="12"/>
      <c r="W54" s="44" t="e">
        <f t="shared" si="33"/>
        <v>#REF!</v>
      </c>
      <c r="X54" s="26" t="e">
        <f t="shared" si="34"/>
        <v>#REF!</v>
      </c>
      <c r="Y54" s="12" t="e">
        <f t="shared" si="35"/>
        <v>#REF!</v>
      </c>
    </row>
    <row r="55" spans="1:25" ht="16.5" customHeight="1">
      <c r="A55" s="16" t="s">
        <v>130</v>
      </c>
      <c r="B55" s="32" t="s">
        <v>131</v>
      </c>
      <c r="C55" s="26" t="e">
        <f t="shared" si="18"/>
        <v>#REF!</v>
      </c>
      <c r="D55" s="26" t="e">
        <f t="shared" si="19"/>
        <v>#REF!</v>
      </c>
      <c r="E55" s="12" t="e">
        <f t="shared" si="20"/>
        <v>#REF!</v>
      </c>
      <c r="F55" s="26"/>
      <c r="G55" s="26" t="e">
        <f t="shared" si="21"/>
        <v>#REF!</v>
      </c>
      <c r="H55" s="26" t="e">
        <f t="shared" si="22"/>
        <v>#REF!</v>
      </c>
      <c r="I55" s="12" t="e">
        <f t="shared" si="23"/>
        <v>#REF!</v>
      </c>
      <c r="J55" s="26"/>
      <c r="K55" s="26" t="e">
        <f t="shared" si="24"/>
        <v>#REF!</v>
      </c>
      <c r="L55" s="26" t="e">
        <f t="shared" si="25"/>
        <v>#REF!</v>
      </c>
      <c r="M55" s="12" t="e">
        <f t="shared" si="26"/>
        <v>#REF!</v>
      </c>
      <c r="N55" s="12"/>
      <c r="O55" s="26" t="e">
        <f t="shared" si="27"/>
        <v>#REF!</v>
      </c>
      <c r="P55" s="26" t="e">
        <f t="shared" si="28"/>
        <v>#REF!</v>
      </c>
      <c r="Q55" s="12" t="e">
        <f t="shared" si="29"/>
        <v>#REF!</v>
      </c>
      <c r="R55" s="12"/>
      <c r="S55" s="26" t="e">
        <f t="shared" si="30"/>
        <v>#REF!</v>
      </c>
      <c r="T55" s="26" t="e">
        <f t="shared" si="31"/>
        <v>#REF!</v>
      </c>
      <c r="U55" s="12" t="e">
        <f t="shared" si="32"/>
        <v>#REF!</v>
      </c>
      <c r="V55" s="12"/>
      <c r="W55" s="44" t="e">
        <f t="shared" si="33"/>
        <v>#REF!</v>
      </c>
      <c r="X55" s="26" t="e">
        <f t="shared" si="34"/>
        <v>#REF!</v>
      </c>
      <c r="Y55" s="12" t="e">
        <f t="shared" si="35"/>
        <v>#REF!</v>
      </c>
    </row>
    <row r="56" spans="1:25" ht="16.5" customHeight="1">
      <c r="A56" s="16" t="s">
        <v>132</v>
      </c>
      <c r="B56" s="17" t="s">
        <v>133</v>
      </c>
      <c r="C56" s="26" t="e">
        <f t="shared" si="18"/>
        <v>#REF!</v>
      </c>
      <c r="D56" s="26" t="e">
        <f t="shared" si="19"/>
        <v>#REF!</v>
      </c>
      <c r="E56" s="12" t="e">
        <f t="shared" si="20"/>
        <v>#REF!</v>
      </c>
      <c r="F56" s="26"/>
      <c r="G56" s="26" t="e">
        <f t="shared" si="21"/>
        <v>#REF!</v>
      </c>
      <c r="H56" s="26" t="e">
        <f t="shared" si="22"/>
        <v>#REF!</v>
      </c>
      <c r="I56" s="12" t="e">
        <f t="shared" si="23"/>
        <v>#REF!</v>
      </c>
      <c r="J56" s="26"/>
      <c r="K56" s="26" t="e">
        <f t="shared" si="24"/>
        <v>#REF!</v>
      </c>
      <c r="L56" s="26" t="e">
        <f t="shared" si="25"/>
        <v>#REF!</v>
      </c>
      <c r="M56" s="12" t="e">
        <f t="shared" si="26"/>
        <v>#REF!</v>
      </c>
      <c r="N56" s="12"/>
      <c r="O56" s="26" t="e">
        <f t="shared" si="27"/>
        <v>#REF!</v>
      </c>
      <c r="P56" s="26" t="e">
        <f t="shared" si="28"/>
        <v>#REF!</v>
      </c>
      <c r="Q56" s="12" t="e">
        <f t="shared" si="29"/>
        <v>#REF!</v>
      </c>
      <c r="R56" s="12"/>
      <c r="S56" s="26" t="e">
        <f t="shared" si="30"/>
        <v>#REF!</v>
      </c>
      <c r="T56" s="26" t="e">
        <f t="shared" si="31"/>
        <v>#REF!</v>
      </c>
      <c r="U56" s="12" t="e">
        <f t="shared" si="32"/>
        <v>#REF!</v>
      </c>
      <c r="V56" s="12"/>
      <c r="W56" s="44" t="e">
        <f t="shared" si="33"/>
        <v>#REF!</v>
      </c>
      <c r="X56" s="26" t="e">
        <f t="shared" si="34"/>
        <v>#REF!</v>
      </c>
      <c r="Y56" s="12" t="e">
        <f t="shared" si="35"/>
        <v>#REF!</v>
      </c>
    </row>
    <row r="57" spans="1:25" ht="16.5" customHeight="1">
      <c r="A57" s="16" t="s">
        <v>134</v>
      </c>
      <c r="B57" s="32" t="s">
        <v>135</v>
      </c>
      <c r="C57" s="26" t="e">
        <f t="shared" si="18"/>
        <v>#REF!</v>
      </c>
      <c r="D57" s="26" t="e">
        <f t="shared" si="19"/>
        <v>#REF!</v>
      </c>
      <c r="E57" s="12" t="e">
        <f t="shared" si="20"/>
        <v>#REF!</v>
      </c>
      <c r="F57" s="26"/>
      <c r="G57" s="26" t="e">
        <f t="shared" si="21"/>
        <v>#REF!</v>
      </c>
      <c r="H57" s="26" t="e">
        <f t="shared" si="22"/>
        <v>#REF!</v>
      </c>
      <c r="I57" s="12" t="e">
        <f t="shared" si="23"/>
        <v>#REF!</v>
      </c>
      <c r="J57" s="26"/>
      <c r="K57" s="26" t="e">
        <f t="shared" si="24"/>
        <v>#REF!</v>
      </c>
      <c r="L57" s="26" t="e">
        <f t="shared" si="25"/>
        <v>#REF!</v>
      </c>
      <c r="M57" s="12" t="e">
        <f t="shared" si="26"/>
        <v>#REF!</v>
      </c>
      <c r="N57" s="12"/>
      <c r="O57" s="26" t="e">
        <f t="shared" si="27"/>
        <v>#REF!</v>
      </c>
      <c r="P57" s="26" t="e">
        <f t="shared" si="28"/>
        <v>#REF!</v>
      </c>
      <c r="Q57" s="12" t="e">
        <f t="shared" si="29"/>
        <v>#REF!</v>
      </c>
      <c r="R57" s="12"/>
      <c r="S57" s="26" t="e">
        <f t="shared" si="30"/>
        <v>#REF!</v>
      </c>
      <c r="T57" s="26" t="e">
        <f t="shared" si="31"/>
        <v>#REF!</v>
      </c>
      <c r="U57" s="12" t="e">
        <f t="shared" si="32"/>
        <v>#REF!</v>
      </c>
      <c r="V57" s="12"/>
      <c r="W57" s="44" t="e">
        <f t="shared" si="33"/>
        <v>#REF!</v>
      </c>
      <c r="X57" s="26" t="e">
        <f t="shared" si="34"/>
        <v>#REF!</v>
      </c>
      <c r="Y57" s="12" t="e">
        <f t="shared" si="35"/>
        <v>#REF!</v>
      </c>
    </row>
    <row r="58" spans="1:25" ht="16.5" customHeight="1">
      <c r="A58" s="16" t="s">
        <v>136</v>
      </c>
      <c r="B58" s="17" t="s">
        <v>137</v>
      </c>
      <c r="C58" s="26" t="e">
        <f t="shared" si="18"/>
        <v>#REF!</v>
      </c>
      <c r="D58" s="26" t="e">
        <f t="shared" si="19"/>
        <v>#REF!</v>
      </c>
      <c r="E58" s="12" t="e">
        <f t="shared" si="20"/>
        <v>#REF!</v>
      </c>
      <c r="F58" s="26"/>
      <c r="G58" s="26" t="e">
        <f t="shared" si="21"/>
        <v>#REF!</v>
      </c>
      <c r="H58" s="26" t="e">
        <f t="shared" si="22"/>
        <v>#REF!</v>
      </c>
      <c r="I58" s="12" t="e">
        <f t="shared" si="23"/>
        <v>#REF!</v>
      </c>
      <c r="J58" s="26"/>
      <c r="K58" s="26" t="e">
        <f t="shared" si="24"/>
        <v>#REF!</v>
      </c>
      <c r="L58" s="26" t="e">
        <f t="shared" si="25"/>
        <v>#REF!</v>
      </c>
      <c r="M58" s="12" t="e">
        <f t="shared" si="26"/>
        <v>#REF!</v>
      </c>
      <c r="N58" s="12"/>
      <c r="O58" s="26" t="e">
        <f t="shared" si="27"/>
        <v>#REF!</v>
      </c>
      <c r="P58" s="26" t="e">
        <f t="shared" si="28"/>
        <v>#REF!</v>
      </c>
      <c r="Q58" s="12" t="e">
        <f t="shared" si="29"/>
        <v>#REF!</v>
      </c>
      <c r="R58" s="12"/>
      <c r="S58" s="26" t="e">
        <f t="shared" si="30"/>
        <v>#REF!</v>
      </c>
      <c r="T58" s="26" t="e">
        <f t="shared" si="31"/>
        <v>#REF!</v>
      </c>
      <c r="U58" s="12" t="e">
        <f t="shared" si="32"/>
        <v>#REF!</v>
      </c>
      <c r="V58" s="12"/>
      <c r="W58" s="44" t="e">
        <f t="shared" si="33"/>
        <v>#REF!</v>
      </c>
      <c r="X58" s="26" t="e">
        <f t="shared" si="34"/>
        <v>#REF!</v>
      </c>
      <c r="Y58" s="12" t="e">
        <f t="shared" si="35"/>
        <v>#REF!</v>
      </c>
    </row>
    <row r="59" spans="1:25" ht="16.5" customHeight="1">
      <c r="A59" s="16" t="s">
        <v>140</v>
      </c>
      <c r="B59" s="17" t="s">
        <v>141</v>
      </c>
      <c r="C59" s="26" t="e">
        <f t="shared" si="18"/>
        <v>#REF!</v>
      </c>
      <c r="D59" s="26" t="e">
        <f t="shared" si="19"/>
        <v>#REF!</v>
      </c>
      <c r="E59" s="12" t="e">
        <f t="shared" si="20"/>
        <v>#REF!</v>
      </c>
      <c r="F59" s="26"/>
      <c r="G59" s="26" t="e">
        <f t="shared" si="21"/>
        <v>#REF!</v>
      </c>
      <c r="H59" s="26" t="e">
        <f t="shared" si="22"/>
        <v>#REF!</v>
      </c>
      <c r="I59" s="12" t="e">
        <f t="shared" si="23"/>
        <v>#REF!</v>
      </c>
      <c r="J59" s="26"/>
      <c r="K59" s="26" t="e">
        <f t="shared" si="24"/>
        <v>#REF!</v>
      </c>
      <c r="L59" s="26" t="e">
        <f t="shared" si="25"/>
        <v>#REF!</v>
      </c>
      <c r="M59" s="12" t="e">
        <f t="shared" si="26"/>
        <v>#REF!</v>
      </c>
      <c r="N59" s="12"/>
      <c r="O59" s="26" t="e">
        <f t="shared" si="27"/>
        <v>#REF!</v>
      </c>
      <c r="P59" s="26" t="e">
        <f t="shared" si="28"/>
        <v>#REF!</v>
      </c>
      <c r="Q59" s="12" t="e">
        <f t="shared" si="29"/>
        <v>#REF!</v>
      </c>
      <c r="R59" s="12"/>
      <c r="S59" s="26" t="e">
        <f t="shared" si="30"/>
        <v>#REF!</v>
      </c>
      <c r="T59" s="26" t="e">
        <f t="shared" si="31"/>
        <v>#REF!</v>
      </c>
      <c r="U59" s="12" t="e">
        <f t="shared" si="32"/>
        <v>#REF!</v>
      </c>
      <c r="V59" s="12"/>
      <c r="W59" s="44" t="e">
        <f t="shared" si="33"/>
        <v>#REF!</v>
      </c>
      <c r="X59" s="26" t="e">
        <f t="shared" si="34"/>
        <v>#REF!</v>
      </c>
      <c r="Y59" s="12" t="e">
        <f t="shared" si="35"/>
        <v>#REF!</v>
      </c>
    </row>
    <row r="60" spans="1:25" ht="16.5" customHeight="1">
      <c r="A60" s="16" t="s">
        <v>146</v>
      </c>
      <c r="B60" s="17" t="s">
        <v>147</v>
      </c>
      <c r="C60" s="26" t="e">
        <f t="shared" si="18"/>
        <v>#REF!</v>
      </c>
      <c r="D60" s="26" t="e">
        <f t="shared" si="19"/>
        <v>#REF!</v>
      </c>
      <c r="E60" s="12" t="e">
        <f t="shared" si="20"/>
        <v>#REF!</v>
      </c>
      <c r="F60" s="26"/>
      <c r="G60" s="26" t="e">
        <f t="shared" si="21"/>
        <v>#REF!</v>
      </c>
      <c r="H60" s="26" t="e">
        <f t="shared" si="22"/>
        <v>#REF!</v>
      </c>
      <c r="I60" s="12" t="e">
        <f t="shared" si="23"/>
        <v>#REF!</v>
      </c>
      <c r="J60" s="26"/>
      <c r="K60" s="26" t="e">
        <f t="shared" si="24"/>
        <v>#REF!</v>
      </c>
      <c r="L60" s="26" t="e">
        <f t="shared" si="25"/>
        <v>#REF!</v>
      </c>
      <c r="M60" s="12" t="e">
        <f t="shared" si="26"/>
        <v>#REF!</v>
      </c>
      <c r="N60" s="12"/>
      <c r="O60" s="26" t="e">
        <f t="shared" si="27"/>
        <v>#REF!</v>
      </c>
      <c r="P60" s="26" t="e">
        <f t="shared" si="28"/>
        <v>#REF!</v>
      </c>
      <c r="Q60" s="12" t="e">
        <f t="shared" si="29"/>
        <v>#REF!</v>
      </c>
      <c r="R60" s="12"/>
      <c r="S60" s="26" t="e">
        <f t="shared" si="30"/>
        <v>#REF!</v>
      </c>
      <c r="T60" s="26" t="e">
        <f t="shared" si="31"/>
        <v>#REF!</v>
      </c>
      <c r="U60" s="12" t="e">
        <f t="shared" si="32"/>
        <v>#REF!</v>
      </c>
      <c r="V60" s="12"/>
      <c r="W60" s="44" t="e">
        <f t="shared" si="33"/>
        <v>#REF!</v>
      </c>
      <c r="X60" s="26" t="e">
        <f t="shared" si="34"/>
        <v>#REF!</v>
      </c>
      <c r="Y60" s="12" t="e">
        <f t="shared" si="35"/>
        <v>#REF!</v>
      </c>
    </row>
    <row r="61" spans="1:25" ht="16.5" customHeight="1">
      <c r="A61" s="16" t="s">
        <v>148</v>
      </c>
      <c r="B61" s="32" t="s">
        <v>149</v>
      </c>
      <c r="C61" s="26" t="e">
        <f t="shared" si="18"/>
        <v>#REF!</v>
      </c>
      <c r="D61" s="26" t="e">
        <f t="shared" si="19"/>
        <v>#REF!</v>
      </c>
      <c r="E61" s="12" t="e">
        <f t="shared" si="20"/>
        <v>#REF!</v>
      </c>
      <c r="F61" s="26"/>
      <c r="G61" s="26" t="e">
        <f t="shared" si="21"/>
        <v>#REF!</v>
      </c>
      <c r="H61" s="26" t="e">
        <f t="shared" si="22"/>
        <v>#REF!</v>
      </c>
      <c r="I61" s="12" t="e">
        <f t="shared" si="23"/>
        <v>#REF!</v>
      </c>
      <c r="J61" s="26"/>
      <c r="K61" s="26" t="e">
        <f t="shared" si="24"/>
        <v>#REF!</v>
      </c>
      <c r="L61" s="26" t="e">
        <f t="shared" si="25"/>
        <v>#REF!</v>
      </c>
      <c r="M61" s="12" t="e">
        <f t="shared" si="26"/>
        <v>#REF!</v>
      </c>
      <c r="N61" s="12"/>
      <c r="O61" s="26" t="e">
        <f t="shared" si="27"/>
        <v>#REF!</v>
      </c>
      <c r="P61" s="26" t="e">
        <f t="shared" si="28"/>
        <v>#REF!</v>
      </c>
      <c r="Q61" s="12" t="e">
        <f t="shared" si="29"/>
        <v>#REF!</v>
      </c>
      <c r="R61" s="12"/>
      <c r="S61" s="26" t="e">
        <f t="shared" si="30"/>
        <v>#REF!</v>
      </c>
      <c r="T61" s="26" t="e">
        <f t="shared" si="31"/>
        <v>#REF!</v>
      </c>
      <c r="U61" s="12" t="e">
        <f t="shared" si="32"/>
        <v>#REF!</v>
      </c>
      <c r="V61" s="12"/>
      <c r="W61" s="44" t="e">
        <f t="shared" si="33"/>
        <v>#REF!</v>
      </c>
      <c r="X61" s="26" t="e">
        <f t="shared" si="34"/>
        <v>#REF!</v>
      </c>
      <c r="Y61" s="12" t="e">
        <f t="shared" si="35"/>
        <v>#REF!</v>
      </c>
    </row>
    <row r="62" spans="1:25" ht="16.5" customHeight="1">
      <c r="A62" s="16" t="s">
        <v>150</v>
      </c>
      <c r="B62" s="32" t="s">
        <v>151</v>
      </c>
      <c r="C62" s="26" t="e">
        <f t="shared" si="18"/>
        <v>#REF!</v>
      </c>
      <c r="D62" s="26" t="e">
        <f t="shared" si="19"/>
        <v>#REF!</v>
      </c>
      <c r="E62" s="12" t="e">
        <f t="shared" si="20"/>
        <v>#REF!</v>
      </c>
      <c r="F62" s="26"/>
      <c r="G62" s="26" t="e">
        <f t="shared" si="21"/>
        <v>#REF!</v>
      </c>
      <c r="H62" s="26" t="e">
        <f t="shared" si="22"/>
        <v>#REF!</v>
      </c>
      <c r="I62" s="12" t="e">
        <f t="shared" si="23"/>
        <v>#REF!</v>
      </c>
      <c r="J62" s="26"/>
      <c r="K62" s="26" t="e">
        <f t="shared" si="24"/>
        <v>#REF!</v>
      </c>
      <c r="L62" s="26" t="e">
        <f t="shared" si="25"/>
        <v>#REF!</v>
      </c>
      <c r="M62" s="12" t="e">
        <f t="shared" si="26"/>
        <v>#REF!</v>
      </c>
      <c r="N62" s="12"/>
      <c r="O62" s="26" t="e">
        <f t="shared" si="27"/>
        <v>#REF!</v>
      </c>
      <c r="P62" s="26" t="e">
        <f t="shared" si="28"/>
        <v>#REF!</v>
      </c>
      <c r="Q62" s="12" t="e">
        <f t="shared" si="29"/>
        <v>#REF!</v>
      </c>
      <c r="R62" s="12"/>
      <c r="S62" s="26" t="e">
        <f t="shared" si="30"/>
        <v>#REF!</v>
      </c>
      <c r="T62" s="26" t="e">
        <f t="shared" si="31"/>
        <v>#REF!</v>
      </c>
      <c r="U62" s="12" t="e">
        <f t="shared" si="32"/>
        <v>#REF!</v>
      </c>
      <c r="V62" s="12"/>
      <c r="W62" s="44" t="e">
        <f t="shared" si="33"/>
        <v>#REF!</v>
      </c>
      <c r="X62" s="26" t="e">
        <f t="shared" si="34"/>
        <v>#REF!</v>
      </c>
      <c r="Y62" s="12" t="e">
        <f t="shared" si="35"/>
        <v>#REF!</v>
      </c>
    </row>
    <row r="63" spans="1:25" ht="16.5" customHeight="1">
      <c r="A63" s="16" t="s">
        <v>152</v>
      </c>
      <c r="B63" s="17" t="s">
        <v>153</v>
      </c>
      <c r="C63" s="26" t="e">
        <f t="shared" si="18"/>
        <v>#REF!</v>
      </c>
      <c r="D63" s="26" t="e">
        <f t="shared" si="19"/>
        <v>#REF!</v>
      </c>
      <c r="E63" s="12" t="e">
        <f t="shared" si="20"/>
        <v>#REF!</v>
      </c>
      <c r="F63" s="26"/>
      <c r="G63" s="26" t="e">
        <f t="shared" si="21"/>
        <v>#REF!</v>
      </c>
      <c r="H63" s="26" t="e">
        <f t="shared" si="22"/>
        <v>#REF!</v>
      </c>
      <c r="I63" s="12" t="e">
        <f t="shared" si="23"/>
        <v>#REF!</v>
      </c>
      <c r="J63" s="26"/>
      <c r="K63" s="26" t="e">
        <f t="shared" si="24"/>
        <v>#REF!</v>
      </c>
      <c r="L63" s="26" t="e">
        <f t="shared" si="25"/>
        <v>#REF!</v>
      </c>
      <c r="M63" s="12" t="e">
        <f t="shared" si="26"/>
        <v>#REF!</v>
      </c>
      <c r="N63" s="12"/>
      <c r="O63" s="26" t="e">
        <f t="shared" si="27"/>
        <v>#REF!</v>
      </c>
      <c r="P63" s="26" t="e">
        <f t="shared" si="28"/>
        <v>#REF!</v>
      </c>
      <c r="Q63" s="12" t="e">
        <f t="shared" si="29"/>
        <v>#REF!</v>
      </c>
      <c r="R63" s="12"/>
      <c r="S63" s="26" t="e">
        <f t="shared" si="30"/>
        <v>#REF!</v>
      </c>
      <c r="T63" s="26" t="e">
        <f t="shared" si="31"/>
        <v>#REF!</v>
      </c>
      <c r="U63" s="12" t="e">
        <f t="shared" si="32"/>
        <v>#REF!</v>
      </c>
      <c r="V63" s="12"/>
      <c r="W63" s="44" t="e">
        <f t="shared" si="33"/>
        <v>#REF!</v>
      </c>
      <c r="X63" s="26" t="e">
        <f t="shared" si="34"/>
        <v>#REF!</v>
      </c>
      <c r="Y63" s="12" t="e">
        <f t="shared" si="35"/>
        <v>#REF!</v>
      </c>
    </row>
    <row r="64" spans="1:25" ht="16.5" customHeight="1">
      <c r="A64" s="16" t="s">
        <v>154</v>
      </c>
      <c r="B64" s="32" t="s">
        <v>155</v>
      </c>
      <c r="C64" s="26" t="e">
        <f t="shared" si="18"/>
        <v>#REF!</v>
      </c>
      <c r="D64" s="26" t="e">
        <f t="shared" si="19"/>
        <v>#REF!</v>
      </c>
      <c r="E64" s="12" t="e">
        <f t="shared" si="20"/>
        <v>#REF!</v>
      </c>
      <c r="F64" s="26"/>
      <c r="G64" s="26" t="e">
        <f t="shared" si="21"/>
        <v>#REF!</v>
      </c>
      <c r="H64" s="26" t="e">
        <f t="shared" si="22"/>
        <v>#REF!</v>
      </c>
      <c r="I64" s="12" t="e">
        <f t="shared" si="23"/>
        <v>#REF!</v>
      </c>
      <c r="J64" s="26"/>
      <c r="K64" s="26" t="e">
        <f t="shared" si="24"/>
        <v>#REF!</v>
      </c>
      <c r="L64" s="26" t="e">
        <f t="shared" si="25"/>
        <v>#REF!</v>
      </c>
      <c r="M64" s="12" t="e">
        <f t="shared" si="26"/>
        <v>#REF!</v>
      </c>
      <c r="N64" s="12"/>
      <c r="O64" s="26" t="e">
        <f t="shared" si="27"/>
        <v>#REF!</v>
      </c>
      <c r="P64" s="26" t="e">
        <f t="shared" si="28"/>
        <v>#REF!</v>
      </c>
      <c r="Q64" s="12" t="e">
        <f t="shared" si="29"/>
        <v>#REF!</v>
      </c>
      <c r="R64" s="12"/>
      <c r="S64" s="26" t="e">
        <f t="shared" si="30"/>
        <v>#REF!</v>
      </c>
      <c r="T64" s="26" t="e">
        <f t="shared" si="31"/>
        <v>#REF!</v>
      </c>
      <c r="U64" s="12" t="e">
        <f t="shared" si="32"/>
        <v>#REF!</v>
      </c>
      <c r="V64" s="12"/>
      <c r="W64" s="44" t="e">
        <f t="shared" si="33"/>
        <v>#REF!</v>
      </c>
      <c r="X64" s="26" t="e">
        <f t="shared" si="34"/>
        <v>#REF!</v>
      </c>
      <c r="Y64" s="12" t="e">
        <f t="shared" si="35"/>
        <v>#REF!</v>
      </c>
    </row>
    <row r="65" spans="1:25" ht="16.5" customHeight="1">
      <c r="A65" s="16" t="s">
        <v>156</v>
      </c>
      <c r="B65" s="17" t="s">
        <v>157</v>
      </c>
      <c r="C65" s="26" t="e">
        <f t="shared" si="18"/>
        <v>#REF!</v>
      </c>
      <c r="D65" s="26" t="e">
        <f t="shared" si="19"/>
        <v>#REF!</v>
      </c>
      <c r="E65" s="12" t="e">
        <f t="shared" si="20"/>
        <v>#REF!</v>
      </c>
      <c r="F65" s="26"/>
      <c r="G65" s="26" t="e">
        <f t="shared" si="21"/>
        <v>#REF!</v>
      </c>
      <c r="H65" s="26" t="e">
        <f t="shared" si="22"/>
        <v>#REF!</v>
      </c>
      <c r="I65" s="12" t="e">
        <f t="shared" si="23"/>
        <v>#REF!</v>
      </c>
      <c r="J65" s="26"/>
      <c r="K65" s="26" t="e">
        <f t="shared" si="24"/>
        <v>#REF!</v>
      </c>
      <c r="L65" s="26" t="e">
        <f t="shared" si="25"/>
        <v>#REF!</v>
      </c>
      <c r="M65" s="12" t="e">
        <f t="shared" si="26"/>
        <v>#REF!</v>
      </c>
      <c r="N65" s="12"/>
      <c r="O65" s="26" t="e">
        <f t="shared" si="27"/>
        <v>#REF!</v>
      </c>
      <c r="P65" s="26" t="e">
        <f t="shared" si="28"/>
        <v>#REF!</v>
      </c>
      <c r="Q65" s="12" t="e">
        <f t="shared" si="29"/>
        <v>#REF!</v>
      </c>
      <c r="R65" s="12"/>
      <c r="S65" s="26" t="e">
        <f t="shared" si="30"/>
        <v>#REF!</v>
      </c>
      <c r="T65" s="26" t="e">
        <f t="shared" si="31"/>
        <v>#REF!</v>
      </c>
      <c r="U65" s="12" t="e">
        <f t="shared" si="32"/>
        <v>#REF!</v>
      </c>
      <c r="V65" s="12"/>
      <c r="W65" s="44" t="e">
        <f t="shared" si="33"/>
        <v>#REF!</v>
      </c>
      <c r="X65" s="26" t="e">
        <f t="shared" si="34"/>
        <v>#REF!</v>
      </c>
      <c r="Y65" s="12" t="e">
        <f t="shared" si="35"/>
        <v>#REF!</v>
      </c>
    </row>
    <row r="66" spans="1:25" ht="16.5" customHeight="1">
      <c r="A66" s="16" t="s">
        <v>162</v>
      </c>
      <c r="B66" s="32" t="s">
        <v>163</v>
      </c>
      <c r="C66" s="26" t="e">
        <f t="shared" si="18"/>
        <v>#REF!</v>
      </c>
      <c r="D66" s="26" t="e">
        <f t="shared" si="19"/>
        <v>#REF!</v>
      </c>
      <c r="E66" s="12" t="e">
        <f t="shared" si="20"/>
        <v>#REF!</v>
      </c>
      <c r="F66" s="26"/>
      <c r="G66" s="26" t="e">
        <f t="shared" si="21"/>
        <v>#REF!</v>
      </c>
      <c r="H66" s="26" t="e">
        <f t="shared" si="22"/>
        <v>#REF!</v>
      </c>
      <c r="I66" s="12" t="e">
        <f t="shared" si="23"/>
        <v>#REF!</v>
      </c>
      <c r="J66" s="26"/>
      <c r="K66" s="26" t="e">
        <f t="shared" si="24"/>
        <v>#REF!</v>
      </c>
      <c r="L66" s="26" t="e">
        <f t="shared" si="25"/>
        <v>#REF!</v>
      </c>
      <c r="M66" s="12" t="e">
        <f t="shared" si="26"/>
        <v>#REF!</v>
      </c>
      <c r="N66" s="12"/>
      <c r="O66" s="26" t="e">
        <f t="shared" si="27"/>
        <v>#REF!</v>
      </c>
      <c r="P66" s="26" t="e">
        <f t="shared" si="28"/>
        <v>#REF!</v>
      </c>
      <c r="Q66" s="12" t="e">
        <f t="shared" si="29"/>
        <v>#REF!</v>
      </c>
      <c r="R66" s="12"/>
      <c r="S66" s="26" t="e">
        <f t="shared" si="30"/>
        <v>#REF!</v>
      </c>
      <c r="T66" s="26" t="e">
        <f t="shared" si="31"/>
        <v>#REF!</v>
      </c>
      <c r="U66" s="12" t="e">
        <f t="shared" si="32"/>
        <v>#REF!</v>
      </c>
      <c r="V66" s="12"/>
      <c r="W66" s="44" t="e">
        <f t="shared" si="33"/>
        <v>#REF!</v>
      </c>
      <c r="X66" s="26" t="e">
        <f t="shared" si="34"/>
        <v>#REF!</v>
      </c>
      <c r="Y66" s="12" t="e">
        <f t="shared" si="35"/>
        <v>#REF!</v>
      </c>
    </row>
    <row r="67" spans="1:25" ht="16.5" customHeight="1">
      <c r="A67" s="16" t="s">
        <v>164</v>
      </c>
      <c r="B67" s="32" t="s">
        <v>165</v>
      </c>
      <c r="C67" s="26" t="e">
        <f t="shared" si="18"/>
        <v>#REF!</v>
      </c>
      <c r="D67" s="26" t="e">
        <f t="shared" si="19"/>
        <v>#REF!</v>
      </c>
      <c r="E67" s="12" t="e">
        <f t="shared" si="20"/>
        <v>#REF!</v>
      </c>
      <c r="F67" s="26"/>
      <c r="G67" s="26" t="e">
        <f t="shared" si="21"/>
        <v>#REF!</v>
      </c>
      <c r="H67" s="26" t="e">
        <f t="shared" si="22"/>
        <v>#REF!</v>
      </c>
      <c r="I67" s="12" t="e">
        <f t="shared" si="23"/>
        <v>#REF!</v>
      </c>
      <c r="J67" s="26"/>
      <c r="K67" s="26" t="e">
        <f t="shared" si="24"/>
        <v>#REF!</v>
      </c>
      <c r="L67" s="26" t="e">
        <f t="shared" si="25"/>
        <v>#REF!</v>
      </c>
      <c r="M67" s="12" t="e">
        <f t="shared" si="26"/>
        <v>#REF!</v>
      </c>
      <c r="N67" s="12"/>
      <c r="O67" s="26" t="e">
        <f t="shared" si="27"/>
        <v>#REF!</v>
      </c>
      <c r="P67" s="26" t="e">
        <f t="shared" si="28"/>
        <v>#REF!</v>
      </c>
      <c r="Q67" s="12" t="e">
        <f t="shared" si="29"/>
        <v>#REF!</v>
      </c>
      <c r="R67" s="12"/>
      <c r="S67" s="26" t="e">
        <f t="shared" si="30"/>
        <v>#REF!</v>
      </c>
      <c r="T67" s="26" t="e">
        <f t="shared" si="31"/>
        <v>#REF!</v>
      </c>
      <c r="U67" s="12" t="e">
        <f t="shared" si="32"/>
        <v>#REF!</v>
      </c>
      <c r="V67" s="12"/>
      <c r="W67" s="44" t="e">
        <f t="shared" si="33"/>
        <v>#REF!</v>
      </c>
      <c r="X67" s="26" t="e">
        <f t="shared" si="34"/>
        <v>#REF!</v>
      </c>
      <c r="Y67" s="12" t="e">
        <f t="shared" si="35"/>
        <v>#REF!</v>
      </c>
    </row>
    <row r="68" spans="1:25" ht="16.5" customHeight="1">
      <c r="A68" s="16" t="s">
        <v>168</v>
      </c>
      <c r="B68" s="32" t="s">
        <v>169</v>
      </c>
      <c r="C68" s="26" t="e">
        <f t="shared" ref="C68:C99" si="36">VLOOKUP(A68,MedicaidR,7,FALSE)</f>
        <v>#REF!</v>
      </c>
      <c r="D68" s="26" t="e">
        <f t="shared" ref="D68:D99" si="37">VLOOKUP(A68,Pop,14,FALSE)</f>
        <v>#REF!</v>
      </c>
      <c r="E68" s="12" t="e">
        <f t="shared" ref="E68:E99" si="38">+C68/D68</f>
        <v>#REF!</v>
      </c>
      <c r="F68" s="26"/>
      <c r="G68" s="26" t="e">
        <f t="shared" ref="G68:G99" si="39">VLOOKUP(A68,MedicaidR,8,FALSE)</f>
        <v>#REF!</v>
      </c>
      <c r="H68" s="26" t="e">
        <f t="shared" ref="H68:H99" si="40">VLOOKUP(A68,Pop,15,FALSE)</f>
        <v>#REF!</v>
      </c>
      <c r="I68" s="12" t="e">
        <f t="shared" ref="I68:I99" si="41">+G68/H68</f>
        <v>#REF!</v>
      </c>
      <c r="J68" s="26"/>
      <c r="K68" s="26" t="e">
        <f t="shared" ref="K68:K99" si="42">VLOOKUP(A68,MedicaidR,9,FALSE)</f>
        <v>#REF!</v>
      </c>
      <c r="L68" s="26" t="e">
        <f t="shared" ref="L68:L99" si="43">VLOOKUP(A68,Pop,16,FALSE)</f>
        <v>#REF!</v>
      </c>
      <c r="M68" s="12" t="e">
        <f t="shared" ref="M68:M99" si="44">+K68/L68</f>
        <v>#REF!</v>
      </c>
      <c r="N68" s="12"/>
      <c r="O68" s="26" t="e">
        <f t="shared" ref="O68:O99" si="45">VLOOKUP(A68,MedicaidR,3,FALSE)</f>
        <v>#REF!</v>
      </c>
      <c r="P68" s="26" t="e">
        <f t="shared" ref="P68:P99" si="46">VLOOKUP(A68,Pop,8,FALSE)</f>
        <v>#REF!</v>
      </c>
      <c r="Q68" s="12" t="e">
        <f t="shared" ref="Q68:Q99" si="47">+O68/P68</f>
        <v>#REF!</v>
      </c>
      <c r="R68" s="12"/>
      <c r="S68" s="26" t="e">
        <f t="shared" ref="S68:S99" si="48">VLOOKUP(A68,MedicaidR,4,FALSE)</f>
        <v>#REF!</v>
      </c>
      <c r="T68" s="26" t="e">
        <f t="shared" ref="T68:T99" si="49">VLOOKUP(A68,Pop,9,FALSE)</f>
        <v>#REF!</v>
      </c>
      <c r="U68" s="12" t="e">
        <f t="shared" ref="U68:U99" si="50">+S68/T68</f>
        <v>#REF!</v>
      </c>
      <c r="V68" s="12"/>
      <c r="W68" s="44" t="e">
        <f t="shared" ref="W68:W99" si="51">VLOOKUP(A68,MedicaidR,5,FALSE)</f>
        <v>#REF!</v>
      </c>
      <c r="X68" s="26" t="e">
        <f t="shared" ref="X68:X99" si="52">VLOOKUP(A68,Pop,10,FALSE)</f>
        <v>#REF!</v>
      </c>
      <c r="Y68" s="12" t="e">
        <f t="shared" ref="Y68:Y99" si="53">+W68/X68</f>
        <v>#REF!</v>
      </c>
    </row>
    <row r="69" spans="1:25" ht="16.5" customHeight="1">
      <c r="A69" s="16" t="s">
        <v>170</v>
      </c>
      <c r="B69" s="32" t="s">
        <v>171</v>
      </c>
      <c r="C69" s="26" t="e">
        <f t="shared" si="36"/>
        <v>#REF!</v>
      </c>
      <c r="D69" s="26" t="e">
        <f t="shared" si="37"/>
        <v>#REF!</v>
      </c>
      <c r="E69" s="12" t="e">
        <f t="shared" si="38"/>
        <v>#REF!</v>
      </c>
      <c r="F69" s="26"/>
      <c r="G69" s="26" t="e">
        <f t="shared" si="39"/>
        <v>#REF!</v>
      </c>
      <c r="H69" s="26" t="e">
        <f t="shared" si="40"/>
        <v>#REF!</v>
      </c>
      <c r="I69" s="12" t="e">
        <f t="shared" si="41"/>
        <v>#REF!</v>
      </c>
      <c r="J69" s="26"/>
      <c r="K69" s="26" t="e">
        <f t="shared" si="42"/>
        <v>#REF!</v>
      </c>
      <c r="L69" s="26" t="e">
        <f t="shared" si="43"/>
        <v>#REF!</v>
      </c>
      <c r="M69" s="12" t="e">
        <f t="shared" si="44"/>
        <v>#REF!</v>
      </c>
      <c r="N69" s="12"/>
      <c r="O69" s="26" t="e">
        <f t="shared" si="45"/>
        <v>#REF!</v>
      </c>
      <c r="P69" s="26" t="e">
        <f t="shared" si="46"/>
        <v>#REF!</v>
      </c>
      <c r="Q69" s="12" t="e">
        <f t="shared" si="47"/>
        <v>#REF!</v>
      </c>
      <c r="R69" s="12"/>
      <c r="S69" s="26" t="e">
        <f t="shared" si="48"/>
        <v>#REF!</v>
      </c>
      <c r="T69" s="26" t="e">
        <f t="shared" si="49"/>
        <v>#REF!</v>
      </c>
      <c r="U69" s="12" t="e">
        <f t="shared" si="50"/>
        <v>#REF!</v>
      </c>
      <c r="V69" s="12"/>
      <c r="W69" s="44" t="e">
        <f t="shared" si="51"/>
        <v>#REF!</v>
      </c>
      <c r="X69" s="26" t="e">
        <f t="shared" si="52"/>
        <v>#REF!</v>
      </c>
      <c r="Y69" s="12" t="e">
        <f t="shared" si="53"/>
        <v>#REF!</v>
      </c>
    </row>
    <row r="70" spans="1:25" ht="16.5" customHeight="1">
      <c r="A70" s="16" t="s">
        <v>172</v>
      </c>
      <c r="B70" s="32" t="s">
        <v>173</v>
      </c>
      <c r="C70" s="26" t="e">
        <f t="shared" si="36"/>
        <v>#REF!</v>
      </c>
      <c r="D70" s="26" t="e">
        <f t="shared" si="37"/>
        <v>#REF!</v>
      </c>
      <c r="E70" s="12" t="e">
        <f t="shared" si="38"/>
        <v>#REF!</v>
      </c>
      <c r="F70" s="26"/>
      <c r="G70" s="26" t="e">
        <f t="shared" si="39"/>
        <v>#REF!</v>
      </c>
      <c r="H70" s="26" t="e">
        <f t="shared" si="40"/>
        <v>#REF!</v>
      </c>
      <c r="I70" s="12" t="e">
        <f t="shared" si="41"/>
        <v>#REF!</v>
      </c>
      <c r="J70" s="26"/>
      <c r="K70" s="26" t="e">
        <f t="shared" si="42"/>
        <v>#REF!</v>
      </c>
      <c r="L70" s="26" t="e">
        <f t="shared" si="43"/>
        <v>#REF!</v>
      </c>
      <c r="M70" s="12" t="e">
        <f t="shared" si="44"/>
        <v>#REF!</v>
      </c>
      <c r="N70" s="12"/>
      <c r="O70" s="26" t="e">
        <f t="shared" si="45"/>
        <v>#REF!</v>
      </c>
      <c r="P70" s="26" t="e">
        <f t="shared" si="46"/>
        <v>#REF!</v>
      </c>
      <c r="Q70" s="12" t="e">
        <f t="shared" si="47"/>
        <v>#REF!</v>
      </c>
      <c r="R70" s="12"/>
      <c r="S70" s="26" t="e">
        <f t="shared" si="48"/>
        <v>#REF!</v>
      </c>
      <c r="T70" s="26" t="e">
        <f t="shared" si="49"/>
        <v>#REF!</v>
      </c>
      <c r="U70" s="12" t="e">
        <f t="shared" si="50"/>
        <v>#REF!</v>
      </c>
      <c r="V70" s="12"/>
      <c r="W70" s="44" t="e">
        <f t="shared" si="51"/>
        <v>#REF!</v>
      </c>
      <c r="X70" s="26" t="e">
        <f t="shared" si="52"/>
        <v>#REF!</v>
      </c>
      <c r="Y70" s="12" t="e">
        <f t="shared" si="53"/>
        <v>#REF!</v>
      </c>
    </row>
    <row r="71" spans="1:25" ht="16.5" customHeight="1">
      <c r="A71" s="16" t="s">
        <v>174</v>
      </c>
      <c r="B71" s="17" t="s">
        <v>175</v>
      </c>
      <c r="C71" s="26" t="e">
        <f t="shared" si="36"/>
        <v>#REF!</v>
      </c>
      <c r="D71" s="26" t="e">
        <f t="shared" si="37"/>
        <v>#REF!</v>
      </c>
      <c r="E71" s="12" t="e">
        <f t="shared" si="38"/>
        <v>#REF!</v>
      </c>
      <c r="F71" s="26"/>
      <c r="G71" s="26" t="e">
        <f t="shared" si="39"/>
        <v>#REF!</v>
      </c>
      <c r="H71" s="26" t="e">
        <f t="shared" si="40"/>
        <v>#REF!</v>
      </c>
      <c r="I71" s="12" t="e">
        <f t="shared" si="41"/>
        <v>#REF!</v>
      </c>
      <c r="J71" s="26"/>
      <c r="K71" s="26" t="e">
        <f t="shared" si="42"/>
        <v>#REF!</v>
      </c>
      <c r="L71" s="26" t="e">
        <f t="shared" si="43"/>
        <v>#REF!</v>
      </c>
      <c r="M71" s="12" t="e">
        <f t="shared" si="44"/>
        <v>#REF!</v>
      </c>
      <c r="N71" s="12"/>
      <c r="O71" s="26" t="e">
        <f t="shared" si="45"/>
        <v>#REF!</v>
      </c>
      <c r="P71" s="26" t="e">
        <f t="shared" si="46"/>
        <v>#REF!</v>
      </c>
      <c r="Q71" s="12" t="e">
        <f t="shared" si="47"/>
        <v>#REF!</v>
      </c>
      <c r="R71" s="12"/>
      <c r="S71" s="26" t="e">
        <f t="shared" si="48"/>
        <v>#REF!</v>
      </c>
      <c r="T71" s="26" t="e">
        <f t="shared" si="49"/>
        <v>#REF!</v>
      </c>
      <c r="U71" s="12" t="e">
        <f t="shared" si="50"/>
        <v>#REF!</v>
      </c>
      <c r="V71" s="12"/>
      <c r="W71" s="44" t="e">
        <f t="shared" si="51"/>
        <v>#REF!</v>
      </c>
      <c r="X71" s="26" t="e">
        <f t="shared" si="52"/>
        <v>#REF!</v>
      </c>
      <c r="Y71" s="12" t="e">
        <f t="shared" si="53"/>
        <v>#REF!</v>
      </c>
    </row>
    <row r="72" spans="1:25" ht="16.5" customHeight="1">
      <c r="A72" s="16" t="s">
        <v>178</v>
      </c>
      <c r="B72" s="32" t="s">
        <v>179</v>
      </c>
      <c r="C72" s="26" t="e">
        <f t="shared" si="36"/>
        <v>#REF!</v>
      </c>
      <c r="D72" s="26" t="e">
        <f t="shared" si="37"/>
        <v>#REF!</v>
      </c>
      <c r="E72" s="12" t="e">
        <f t="shared" si="38"/>
        <v>#REF!</v>
      </c>
      <c r="F72" s="26"/>
      <c r="G72" s="26" t="e">
        <f t="shared" si="39"/>
        <v>#REF!</v>
      </c>
      <c r="H72" s="26" t="e">
        <f t="shared" si="40"/>
        <v>#REF!</v>
      </c>
      <c r="I72" s="12" t="e">
        <f t="shared" si="41"/>
        <v>#REF!</v>
      </c>
      <c r="J72" s="26"/>
      <c r="K72" s="26" t="e">
        <f t="shared" si="42"/>
        <v>#REF!</v>
      </c>
      <c r="L72" s="26" t="e">
        <f t="shared" si="43"/>
        <v>#REF!</v>
      </c>
      <c r="M72" s="12" t="e">
        <f t="shared" si="44"/>
        <v>#REF!</v>
      </c>
      <c r="N72" s="12"/>
      <c r="O72" s="26" t="e">
        <f t="shared" si="45"/>
        <v>#REF!</v>
      </c>
      <c r="P72" s="26" t="e">
        <f t="shared" si="46"/>
        <v>#REF!</v>
      </c>
      <c r="Q72" s="12" t="e">
        <f t="shared" si="47"/>
        <v>#REF!</v>
      </c>
      <c r="R72" s="12"/>
      <c r="S72" s="26" t="e">
        <f t="shared" si="48"/>
        <v>#REF!</v>
      </c>
      <c r="T72" s="26" t="e">
        <f t="shared" si="49"/>
        <v>#REF!</v>
      </c>
      <c r="U72" s="12" t="e">
        <f t="shared" si="50"/>
        <v>#REF!</v>
      </c>
      <c r="V72" s="12"/>
      <c r="W72" s="44" t="e">
        <f t="shared" si="51"/>
        <v>#REF!</v>
      </c>
      <c r="X72" s="26" t="e">
        <f t="shared" si="52"/>
        <v>#REF!</v>
      </c>
      <c r="Y72" s="12" t="e">
        <f t="shared" si="53"/>
        <v>#REF!</v>
      </c>
    </row>
    <row r="73" spans="1:25" ht="16.5" customHeight="1">
      <c r="A73" s="16" t="s">
        <v>182</v>
      </c>
      <c r="B73" s="32" t="s">
        <v>183</v>
      </c>
      <c r="C73" s="26" t="e">
        <f t="shared" si="36"/>
        <v>#REF!</v>
      </c>
      <c r="D73" s="26" t="e">
        <f t="shared" si="37"/>
        <v>#REF!</v>
      </c>
      <c r="E73" s="12" t="e">
        <f t="shared" si="38"/>
        <v>#REF!</v>
      </c>
      <c r="F73" s="26"/>
      <c r="G73" s="26" t="e">
        <f t="shared" si="39"/>
        <v>#REF!</v>
      </c>
      <c r="H73" s="26" t="e">
        <f t="shared" si="40"/>
        <v>#REF!</v>
      </c>
      <c r="I73" s="12" t="e">
        <f t="shared" si="41"/>
        <v>#REF!</v>
      </c>
      <c r="J73" s="26"/>
      <c r="K73" s="26" t="e">
        <f t="shared" si="42"/>
        <v>#REF!</v>
      </c>
      <c r="L73" s="26" t="e">
        <f t="shared" si="43"/>
        <v>#REF!</v>
      </c>
      <c r="M73" s="12" t="e">
        <f t="shared" si="44"/>
        <v>#REF!</v>
      </c>
      <c r="N73" s="12"/>
      <c r="O73" s="26" t="e">
        <f t="shared" si="45"/>
        <v>#REF!</v>
      </c>
      <c r="P73" s="26" t="e">
        <f t="shared" si="46"/>
        <v>#REF!</v>
      </c>
      <c r="Q73" s="12" t="e">
        <f t="shared" si="47"/>
        <v>#REF!</v>
      </c>
      <c r="R73" s="12"/>
      <c r="S73" s="26" t="e">
        <f t="shared" si="48"/>
        <v>#REF!</v>
      </c>
      <c r="T73" s="26" t="e">
        <f t="shared" si="49"/>
        <v>#REF!</v>
      </c>
      <c r="U73" s="12" t="e">
        <f t="shared" si="50"/>
        <v>#REF!</v>
      </c>
      <c r="V73" s="12"/>
      <c r="W73" s="44" t="e">
        <f t="shared" si="51"/>
        <v>#REF!</v>
      </c>
      <c r="X73" s="26" t="e">
        <f t="shared" si="52"/>
        <v>#REF!</v>
      </c>
      <c r="Y73" s="12" t="e">
        <f t="shared" si="53"/>
        <v>#REF!</v>
      </c>
    </row>
    <row r="74" spans="1:25" ht="16.5" customHeight="1">
      <c r="A74" s="16" t="s">
        <v>184</v>
      </c>
      <c r="B74" s="32" t="s">
        <v>185</v>
      </c>
      <c r="C74" s="26" t="e">
        <f t="shared" si="36"/>
        <v>#REF!</v>
      </c>
      <c r="D74" s="26" t="e">
        <f t="shared" si="37"/>
        <v>#REF!</v>
      </c>
      <c r="E74" s="12" t="e">
        <f t="shared" si="38"/>
        <v>#REF!</v>
      </c>
      <c r="F74" s="26"/>
      <c r="G74" s="26" t="e">
        <f t="shared" si="39"/>
        <v>#REF!</v>
      </c>
      <c r="H74" s="26" t="e">
        <f t="shared" si="40"/>
        <v>#REF!</v>
      </c>
      <c r="I74" s="12" t="e">
        <f t="shared" si="41"/>
        <v>#REF!</v>
      </c>
      <c r="J74" s="26"/>
      <c r="K74" s="26" t="e">
        <f t="shared" si="42"/>
        <v>#REF!</v>
      </c>
      <c r="L74" s="26" t="e">
        <f t="shared" si="43"/>
        <v>#REF!</v>
      </c>
      <c r="M74" s="12" t="e">
        <f t="shared" si="44"/>
        <v>#REF!</v>
      </c>
      <c r="N74" s="12"/>
      <c r="O74" s="26" t="e">
        <f t="shared" si="45"/>
        <v>#REF!</v>
      </c>
      <c r="P74" s="26" t="e">
        <f t="shared" si="46"/>
        <v>#REF!</v>
      </c>
      <c r="Q74" s="12" t="e">
        <f t="shared" si="47"/>
        <v>#REF!</v>
      </c>
      <c r="R74" s="12"/>
      <c r="S74" s="26" t="e">
        <f t="shared" si="48"/>
        <v>#REF!</v>
      </c>
      <c r="T74" s="26" t="e">
        <f t="shared" si="49"/>
        <v>#REF!</v>
      </c>
      <c r="U74" s="12" t="e">
        <f t="shared" si="50"/>
        <v>#REF!</v>
      </c>
      <c r="V74" s="12"/>
      <c r="W74" s="44" t="e">
        <f t="shared" si="51"/>
        <v>#REF!</v>
      </c>
      <c r="X74" s="26" t="e">
        <f t="shared" si="52"/>
        <v>#REF!</v>
      </c>
      <c r="Y74" s="12" t="e">
        <f t="shared" si="53"/>
        <v>#REF!</v>
      </c>
    </row>
    <row r="75" spans="1:25" ht="16.5" customHeight="1">
      <c r="A75" s="16" t="s">
        <v>186</v>
      </c>
      <c r="B75" s="17" t="s">
        <v>187</v>
      </c>
      <c r="C75" s="26" t="e">
        <f t="shared" si="36"/>
        <v>#REF!</v>
      </c>
      <c r="D75" s="26" t="e">
        <f t="shared" si="37"/>
        <v>#REF!</v>
      </c>
      <c r="E75" s="12" t="e">
        <f t="shared" si="38"/>
        <v>#REF!</v>
      </c>
      <c r="F75" s="26"/>
      <c r="G75" s="26" t="e">
        <f t="shared" si="39"/>
        <v>#REF!</v>
      </c>
      <c r="H75" s="26" t="e">
        <f t="shared" si="40"/>
        <v>#REF!</v>
      </c>
      <c r="I75" s="12" t="e">
        <f t="shared" si="41"/>
        <v>#REF!</v>
      </c>
      <c r="J75" s="26"/>
      <c r="K75" s="26" t="e">
        <f t="shared" si="42"/>
        <v>#REF!</v>
      </c>
      <c r="L75" s="26" t="e">
        <f t="shared" si="43"/>
        <v>#REF!</v>
      </c>
      <c r="M75" s="12" t="e">
        <f t="shared" si="44"/>
        <v>#REF!</v>
      </c>
      <c r="N75" s="12"/>
      <c r="O75" s="26" t="e">
        <f t="shared" si="45"/>
        <v>#REF!</v>
      </c>
      <c r="P75" s="26" t="e">
        <f t="shared" si="46"/>
        <v>#REF!</v>
      </c>
      <c r="Q75" s="12" t="e">
        <f t="shared" si="47"/>
        <v>#REF!</v>
      </c>
      <c r="R75" s="12"/>
      <c r="S75" s="26" t="e">
        <f t="shared" si="48"/>
        <v>#REF!</v>
      </c>
      <c r="T75" s="26" t="e">
        <f t="shared" si="49"/>
        <v>#REF!</v>
      </c>
      <c r="U75" s="12" t="e">
        <f t="shared" si="50"/>
        <v>#REF!</v>
      </c>
      <c r="V75" s="12"/>
      <c r="W75" s="44" t="e">
        <f t="shared" si="51"/>
        <v>#REF!</v>
      </c>
      <c r="X75" s="26" t="e">
        <f t="shared" si="52"/>
        <v>#REF!</v>
      </c>
      <c r="Y75" s="12" t="e">
        <f t="shared" si="53"/>
        <v>#REF!</v>
      </c>
    </row>
    <row r="76" spans="1:25" ht="16.5" customHeight="1">
      <c r="A76" s="16" t="s">
        <v>188</v>
      </c>
      <c r="B76" s="17" t="s">
        <v>189</v>
      </c>
      <c r="C76" s="26" t="e">
        <f t="shared" si="36"/>
        <v>#REF!</v>
      </c>
      <c r="D76" s="26" t="e">
        <f t="shared" si="37"/>
        <v>#REF!</v>
      </c>
      <c r="E76" s="12" t="e">
        <f t="shared" si="38"/>
        <v>#REF!</v>
      </c>
      <c r="F76" s="26"/>
      <c r="G76" s="26" t="e">
        <f t="shared" si="39"/>
        <v>#REF!</v>
      </c>
      <c r="H76" s="26" t="e">
        <f t="shared" si="40"/>
        <v>#REF!</v>
      </c>
      <c r="I76" s="12" t="e">
        <f t="shared" si="41"/>
        <v>#REF!</v>
      </c>
      <c r="J76" s="26"/>
      <c r="K76" s="26" t="e">
        <f t="shared" si="42"/>
        <v>#REF!</v>
      </c>
      <c r="L76" s="26" t="e">
        <f t="shared" si="43"/>
        <v>#REF!</v>
      </c>
      <c r="M76" s="12" t="e">
        <f t="shared" si="44"/>
        <v>#REF!</v>
      </c>
      <c r="N76" s="12"/>
      <c r="O76" s="26" t="e">
        <f t="shared" si="45"/>
        <v>#REF!</v>
      </c>
      <c r="P76" s="26" t="e">
        <f t="shared" si="46"/>
        <v>#REF!</v>
      </c>
      <c r="Q76" s="12" t="e">
        <f t="shared" si="47"/>
        <v>#REF!</v>
      </c>
      <c r="R76" s="12"/>
      <c r="S76" s="26" t="e">
        <f t="shared" si="48"/>
        <v>#REF!</v>
      </c>
      <c r="T76" s="26" t="e">
        <f t="shared" si="49"/>
        <v>#REF!</v>
      </c>
      <c r="U76" s="12" t="e">
        <f t="shared" si="50"/>
        <v>#REF!</v>
      </c>
      <c r="V76" s="12"/>
      <c r="W76" s="44" t="e">
        <f t="shared" si="51"/>
        <v>#REF!</v>
      </c>
      <c r="X76" s="26" t="e">
        <f t="shared" si="52"/>
        <v>#REF!</v>
      </c>
      <c r="Y76" s="12" t="e">
        <f t="shared" si="53"/>
        <v>#REF!</v>
      </c>
    </row>
    <row r="77" spans="1:25" ht="16.5" customHeight="1">
      <c r="A77" s="16" t="s">
        <v>190</v>
      </c>
      <c r="B77" s="32" t="s">
        <v>191</v>
      </c>
      <c r="C77" s="26" t="e">
        <f t="shared" si="36"/>
        <v>#REF!</v>
      </c>
      <c r="D77" s="26" t="e">
        <f t="shared" si="37"/>
        <v>#REF!</v>
      </c>
      <c r="E77" s="12" t="e">
        <f t="shared" si="38"/>
        <v>#REF!</v>
      </c>
      <c r="F77" s="26"/>
      <c r="G77" s="26" t="e">
        <f t="shared" si="39"/>
        <v>#REF!</v>
      </c>
      <c r="H77" s="26" t="e">
        <f t="shared" si="40"/>
        <v>#REF!</v>
      </c>
      <c r="I77" s="12" t="e">
        <f t="shared" si="41"/>
        <v>#REF!</v>
      </c>
      <c r="J77" s="26"/>
      <c r="K77" s="26" t="e">
        <f t="shared" si="42"/>
        <v>#REF!</v>
      </c>
      <c r="L77" s="26" t="e">
        <f t="shared" si="43"/>
        <v>#REF!</v>
      </c>
      <c r="M77" s="12" t="e">
        <f t="shared" si="44"/>
        <v>#REF!</v>
      </c>
      <c r="N77" s="12"/>
      <c r="O77" s="26" t="e">
        <f t="shared" si="45"/>
        <v>#REF!</v>
      </c>
      <c r="P77" s="26" t="e">
        <f t="shared" si="46"/>
        <v>#REF!</v>
      </c>
      <c r="Q77" s="12" t="e">
        <f t="shared" si="47"/>
        <v>#REF!</v>
      </c>
      <c r="R77" s="12"/>
      <c r="S77" s="26" t="e">
        <f t="shared" si="48"/>
        <v>#REF!</v>
      </c>
      <c r="T77" s="26" t="e">
        <f t="shared" si="49"/>
        <v>#REF!</v>
      </c>
      <c r="U77" s="12" t="e">
        <f t="shared" si="50"/>
        <v>#REF!</v>
      </c>
      <c r="V77" s="12"/>
      <c r="W77" s="44" t="e">
        <f t="shared" si="51"/>
        <v>#REF!</v>
      </c>
      <c r="X77" s="26" t="e">
        <f t="shared" si="52"/>
        <v>#REF!</v>
      </c>
      <c r="Y77" s="12" t="e">
        <f t="shared" si="53"/>
        <v>#REF!</v>
      </c>
    </row>
    <row r="78" spans="1:25" ht="16.5" customHeight="1">
      <c r="A78" s="16" t="s">
        <v>194</v>
      </c>
      <c r="B78" s="17" t="s">
        <v>195</v>
      </c>
      <c r="C78" s="26" t="e">
        <f t="shared" si="36"/>
        <v>#REF!</v>
      </c>
      <c r="D78" s="26" t="e">
        <f t="shared" si="37"/>
        <v>#REF!</v>
      </c>
      <c r="E78" s="12" t="e">
        <f t="shared" si="38"/>
        <v>#REF!</v>
      </c>
      <c r="F78" s="26"/>
      <c r="G78" s="26" t="e">
        <f t="shared" si="39"/>
        <v>#REF!</v>
      </c>
      <c r="H78" s="26" t="e">
        <f t="shared" si="40"/>
        <v>#REF!</v>
      </c>
      <c r="I78" s="12" t="e">
        <f t="shared" si="41"/>
        <v>#REF!</v>
      </c>
      <c r="J78" s="26"/>
      <c r="K78" s="26" t="e">
        <f t="shared" si="42"/>
        <v>#REF!</v>
      </c>
      <c r="L78" s="26" t="e">
        <f t="shared" si="43"/>
        <v>#REF!</v>
      </c>
      <c r="M78" s="12" t="e">
        <f t="shared" si="44"/>
        <v>#REF!</v>
      </c>
      <c r="N78" s="12"/>
      <c r="O78" s="26" t="e">
        <f t="shared" si="45"/>
        <v>#REF!</v>
      </c>
      <c r="P78" s="26" t="e">
        <f t="shared" si="46"/>
        <v>#REF!</v>
      </c>
      <c r="Q78" s="12" t="e">
        <f t="shared" si="47"/>
        <v>#REF!</v>
      </c>
      <c r="R78" s="12"/>
      <c r="S78" s="26" t="e">
        <f t="shared" si="48"/>
        <v>#REF!</v>
      </c>
      <c r="T78" s="26" t="e">
        <f t="shared" si="49"/>
        <v>#REF!</v>
      </c>
      <c r="U78" s="12" t="e">
        <f t="shared" si="50"/>
        <v>#REF!</v>
      </c>
      <c r="V78" s="12"/>
      <c r="W78" s="44" t="e">
        <f t="shared" si="51"/>
        <v>#REF!</v>
      </c>
      <c r="X78" s="26" t="e">
        <f t="shared" si="52"/>
        <v>#REF!</v>
      </c>
      <c r="Y78" s="12" t="e">
        <f t="shared" si="53"/>
        <v>#REF!</v>
      </c>
    </row>
    <row r="79" spans="1:25" ht="16.5" customHeight="1">
      <c r="A79" s="16" t="s">
        <v>198</v>
      </c>
      <c r="B79" s="32" t="s">
        <v>199</v>
      </c>
      <c r="C79" s="26" t="e">
        <f t="shared" si="36"/>
        <v>#REF!</v>
      </c>
      <c r="D79" s="26" t="e">
        <f t="shared" si="37"/>
        <v>#REF!</v>
      </c>
      <c r="E79" s="12" t="e">
        <f t="shared" si="38"/>
        <v>#REF!</v>
      </c>
      <c r="F79" s="26"/>
      <c r="G79" s="26" t="e">
        <f t="shared" si="39"/>
        <v>#REF!</v>
      </c>
      <c r="H79" s="26" t="e">
        <f t="shared" si="40"/>
        <v>#REF!</v>
      </c>
      <c r="I79" s="12" t="e">
        <f t="shared" si="41"/>
        <v>#REF!</v>
      </c>
      <c r="J79" s="26"/>
      <c r="K79" s="26" t="e">
        <f t="shared" si="42"/>
        <v>#REF!</v>
      </c>
      <c r="L79" s="26" t="e">
        <f t="shared" si="43"/>
        <v>#REF!</v>
      </c>
      <c r="M79" s="12" t="e">
        <f t="shared" si="44"/>
        <v>#REF!</v>
      </c>
      <c r="N79" s="12"/>
      <c r="O79" s="26" t="e">
        <f t="shared" si="45"/>
        <v>#REF!</v>
      </c>
      <c r="P79" s="26" t="e">
        <f t="shared" si="46"/>
        <v>#REF!</v>
      </c>
      <c r="Q79" s="12" t="e">
        <f t="shared" si="47"/>
        <v>#REF!</v>
      </c>
      <c r="R79" s="12"/>
      <c r="S79" s="26" t="e">
        <f t="shared" si="48"/>
        <v>#REF!</v>
      </c>
      <c r="T79" s="26" t="e">
        <f t="shared" si="49"/>
        <v>#REF!</v>
      </c>
      <c r="U79" s="12" t="e">
        <f t="shared" si="50"/>
        <v>#REF!</v>
      </c>
      <c r="V79" s="12"/>
      <c r="W79" s="44" t="e">
        <f t="shared" si="51"/>
        <v>#REF!</v>
      </c>
      <c r="X79" s="26" t="e">
        <f t="shared" si="52"/>
        <v>#REF!</v>
      </c>
      <c r="Y79" s="12" t="e">
        <f t="shared" si="53"/>
        <v>#REF!</v>
      </c>
    </row>
    <row r="80" spans="1:25" ht="16.5" customHeight="1">
      <c r="A80" s="16" t="s">
        <v>202</v>
      </c>
      <c r="B80" s="17" t="s">
        <v>203</v>
      </c>
      <c r="C80" s="26" t="e">
        <f t="shared" si="36"/>
        <v>#REF!</v>
      </c>
      <c r="D80" s="26" t="e">
        <f t="shared" si="37"/>
        <v>#REF!</v>
      </c>
      <c r="E80" s="12" t="e">
        <f t="shared" si="38"/>
        <v>#REF!</v>
      </c>
      <c r="F80" s="26"/>
      <c r="G80" s="26" t="e">
        <f t="shared" si="39"/>
        <v>#REF!</v>
      </c>
      <c r="H80" s="26" t="e">
        <f t="shared" si="40"/>
        <v>#REF!</v>
      </c>
      <c r="I80" s="12" t="e">
        <f t="shared" si="41"/>
        <v>#REF!</v>
      </c>
      <c r="J80" s="26"/>
      <c r="K80" s="26" t="e">
        <f t="shared" si="42"/>
        <v>#REF!</v>
      </c>
      <c r="L80" s="26" t="e">
        <f t="shared" si="43"/>
        <v>#REF!</v>
      </c>
      <c r="M80" s="12" t="e">
        <f t="shared" si="44"/>
        <v>#REF!</v>
      </c>
      <c r="N80" s="12"/>
      <c r="O80" s="26" t="e">
        <f t="shared" si="45"/>
        <v>#REF!</v>
      </c>
      <c r="P80" s="26" t="e">
        <f t="shared" si="46"/>
        <v>#REF!</v>
      </c>
      <c r="Q80" s="12" t="e">
        <f t="shared" si="47"/>
        <v>#REF!</v>
      </c>
      <c r="R80" s="12"/>
      <c r="S80" s="26" t="e">
        <f t="shared" si="48"/>
        <v>#REF!</v>
      </c>
      <c r="T80" s="26" t="e">
        <f t="shared" si="49"/>
        <v>#REF!</v>
      </c>
      <c r="U80" s="12" t="e">
        <f t="shared" si="50"/>
        <v>#REF!</v>
      </c>
      <c r="V80" s="12"/>
      <c r="W80" s="44" t="e">
        <f t="shared" si="51"/>
        <v>#REF!</v>
      </c>
      <c r="X80" s="26" t="e">
        <f t="shared" si="52"/>
        <v>#REF!</v>
      </c>
      <c r="Y80" s="12" t="e">
        <f t="shared" si="53"/>
        <v>#REF!</v>
      </c>
    </row>
    <row r="81" spans="1:25" ht="16.5" customHeight="1">
      <c r="A81" s="16" t="s">
        <v>204</v>
      </c>
      <c r="B81" s="17" t="s">
        <v>205</v>
      </c>
      <c r="C81" s="26" t="e">
        <f t="shared" si="36"/>
        <v>#REF!</v>
      </c>
      <c r="D81" s="26" t="e">
        <f t="shared" si="37"/>
        <v>#REF!</v>
      </c>
      <c r="E81" s="12" t="e">
        <f t="shared" si="38"/>
        <v>#REF!</v>
      </c>
      <c r="F81" s="26"/>
      <c r="G81" s="26" t="e">
        <f t="shared" si="39"/>
        <v>#REF!</v>
      </c>
      <c r="H81" s="26" t="e">
        <f t="shared" si="40"/>
        <v>#REF!</v>
      </c>
      <c r="I81" s="12" t="e">
        <f t="shared" si="41"/>
        <v>#REF!</v>
      </c>
      <c r="J81" s="26"/>
      <c r="K81" s="26" t="e">
        <f t="shared" si="42"/>
        <v>#REF!</v>
      </c>
      <c r="L81" s="26" t="e">
        <f t="shared" si="43"/>
        <v>#REF!</v>
      </c>
      <c r="M81" s="12" t="e">
        <f t="shared" si="44"/>
        <v>#REF!</v>
      </c>
      <c r="N81" s="12"/>
      <c r="O81" s="26" t="e">
        <f t="shared" si="45"/>
        <v>#REF!</v>
      </c>
      <c r="P81" s="26" t="e">
        <f t="shared" si="46"/>
        <v>#REF!</v>
      </c>
      <c r="Q81" s="12" t="e">
        <f t="shared" si="47"/>
        <v>#REF!</v>
      </c>
      <c r="R81" s="12"/>
      <c r="S81" s="26" t="e">
        <f t="shared" si="48"/>
        <v>#REF!</v>
      </c>
      <c r="T81" s="26" t="e">
        <f t="shared" si="49"/>
        <v>#REF!</v>
      </c>
      <c r="U81" s="12" t="e">
        <f t="shared" si="50"/>
        <v>#REF!</v>
      </c>
      <c r="V81" s="12"/>
      <c r="W81" s="44" t="e">
        <f t="shared" si="51"/>
        <v>#REF!</v>
      </c>
      <c r="X81" s="26" t="e">
        <f t="shared" si="52"/>
        <v>#REF!</v>
      </c>
      <c r="Y81" s="12" t="e">
        <f t="shared" si="53"/>
        <v>#REF!</v>
      </c>
    </row>
    <row r="82" spans="1:25" ht="16.5" customHeight="1">
      <c r="A82" s="16" t="s">
        <v>206</v>
      </c>
      <c r="B82" s="17" t="s">
        <v>207</v>
      </c>
      <c r="C82" s="26" t="e">
        <f t="shared" si="36"/>
        <v>#REF!</v>
      </c>
      <c r="D82" s="26" t="e">
        <f t="shared" si="37"/>
        <v>#REF!</v>
      </c>
      <c r="E82" s="12" t="e">
        <f t="shared" si="38"/>
        <v>#REF!</v>
      </c>
      <c r="F82" s="26"/>
      <c r="G82" s="26" t="e">
        <f t="shared" si="39"/>
        <v>#REF!</v>
      </c>
      <c r="H82" s="26" t="e">
        <f t="shared" si="40"/>
        <v>#REF!</v>
      </c>
      <c r="I82" s="12" t="e">
        <f t="shared" si="41"/>
        <v>#REF!</v>
      </c>
      <c r="J82" s="26"/>
      <c r="K82" s="26" t="e">
        <f t="shared" si="42"/>
        <v>#REF!</v>
      </c>
      <c r="L82" s="26" t="e">
        <f t="shared" si="43"/>
        <v>#REF!</v>
      </c>
      <c r="M82" s="12" t="e">
        <f t="shared" si="44"/>
        <v>#REF!</v>
      </c>
      <c r="N82" s="12"/>
      <c r="O82" s="26" t="e">
        <f t="shared" si="45"/>
        <v>#REF!</v>
      </c>
      <c r="P82" s="26" t="e">
        <f t="shared" si="46"/>
        <v>#REF!</v>
      </c>
      <c r="Q82" s="12" t="e">
        <f t="shared" si="47"/>
        <v>#REF!</v>
      </c>
      <c r="R82" s="12"/>
      <c r="S82" s="26" t="e">
        <f t="shared" si="48"/>
        <v>#REF!</v>
      </c>
      <c r="T82" s="26" t="e">
        <f t="shared" si="49"/>
        <v>#REF!</v>
      </c>
      <c r="U82" s="12" t="e">
        <f t="shared" si="50"/>
        <v>#REF!</v>
      </c>
      <c r="V82" s="12"/>
      <c r="W82" s="44" t="e">
        <f t="shared" si="51"/>
        <v>#REF!</v>
      </c>
      <c r="X82" s="26" t="e">
        <f t="shared" si="52"/>
        <v>#REF!</v>
      </c>
      <c r="Y82" s="12" t="e">
        <f t="shared" si="53"/>
        <v>#REF!</v>
      </c>
    </row>
    <row r="83" spans="1:25" ht="16.5" customHeight="1">
      <c r="A83" s="16" t="s">
        <v>208</v>
      </c>
      <c r="B83" s="32" t="s">
        <v>209</v>
      </c>
      <c r="C83" s="26" t="e">
        <f t="shared" si="36"/>
        <v>#REF!</v>
      </c>
      <c r="D83" s="26" t="e">
        <f t="shared" si="37"/>
        <v>#REF!</v>
      </c>
      <c r="E83" s="12" t="e">
        <f t="shared" si="38"/>
        <v>#REF!</v>
      </c>
      <c r="F83" s="26"/>
      <c r="G83" s="26" t="e">
        <f t="shared" si="39"/>
        <v>#REF!</v>
      </c>
      <c r="H83" s="26" t="e">
        <f t="shared" si="40"/>
        <v>#REF!</v>
      </c>
      <c r="I83" s="12" t="e">
        <f t="shared" si="41"/>
        <v>#REF!</v>
      </c>
      <c r="J83" s="26"/>
      <c r="K83" s="26" t="e">
        <f t="shared" si="42"/>
        <v>#REF!</v>
      </c>
      <c r="L83" s="26" t="e">
        <f t="shared" si="43"/>
        <v>#REF!</v>
      </c>
      <c r="M83" s="12" t="e">
        <f t="shared" si="44"/>
        <v>#REF!</v>
      </c>
      <c r="N83" s="12"/>
      <c r="O83" s="26" t="e">
        <f t="shared" si="45"/>
        <v>#REF!</v>
      </c>
      <c r="P83" s="26" t="e">
        <f t="shared" si="46"/>
        <v>#REF!</v>
      </c>
      <c r="Q83" s="12" t="e">
        <f t="shared" si="47"/>
        <v>#REF!</v>
      </c>
      <c r="R83" s="12"/>
      <c r="S83" s="26" t="e">
        <f t="shared" si="48"/>
        <v>#REF!</v>
      </c>
      <c r="T83" s="26" t="e">
        <f t="shared" si="49"/>
        <v>#REF!</v>
      </c>
      <c r="U83" s="12" t="e">
        <f t="shared" si="50"/>
        <v>#REF!</v>
      </c>
      <c r="V83" s="12"/>
      <c r="W83" s="44" t="e">
        <f t="shared" si="51"/>
        <v>#REF!</v>
      </c>
      <c r="X83" s="26" t="e">
        <f t="shared" si="52"/>
        <v>#REF!</v>
      </c>
      <c r="Y83" s="12" t="e">
        <f t="shared" si="53"/>
        <v>#REF!</v>
      </c>
    </row>
    <row r="84" spans="1:25" ht="16.5" customHeight="1">
      <c r="A84" s="16" t="s">
        <v>210</v>
      </c>
      <c r="B84" s="32" t="s">
        <v>211</v>
      </c>
      <c r="C84" s="26" t="e">
        <f t="shared" si="36"/>
        <v>#REF!</v>
      </c>
      <c r="D84" s="26" t="e">
        <f t="shared" si="37"/>
        <v>#REF!</v>
      </c>
      <c r="E84" s="12" t="e">
        <f t="shared" si="38"/>
        <v>#REF!</v>
      </c>
      <c r="F84" s="26"/>
      <c r="G84" s="26" t="e">
        <f t="shared" si="39"/>
        <v>#REF!</v>
      </c>
      <c r="H84" s="26" t="e">
        <f t="shared" si="40"/>
        <v>#REF!</v>
      </c>
      <c r="I84" s="12" t="e">
        <f t="shared" si="41"/>
        <v>#REF!</v>
      </c>
      <c r="J84" s="26"/>
      <c r="K84" s="26" t="e">
        <f t="shared" si="42"/>
        <v>#REF!</v>
      </c>
      <c r="L84" s="26" t="e">
        <f t="shared" si="43"/>
        <v>#REF!</v>
      </c>
      <c r="M84" s="12" t="e">
        <f t="shared" si="44"/>
        <v>#REF!</v>
      </c>
      <c r="N84" s="12"/>
      <c r="O84" s="26" t="e">
        <f t="shared" si="45"/>
        <v>#REF!</v>
      </c>
      <c r="P84" s="26" t="e">
        <f t="shared" si="46"/>
        <v>#REF!</v>
      </c>
      <c r="Q84" s="12" t="e">
        <f t="shared" si="47"/>
        <v>#REF!</v>
      </c>
      <c r="R84" s="12"/>
      <c r="S84" s="26" t="e">
        <f t="shared" si="48"/>
        <v>#REF!</v>
      </c>
      <c r="T84" s="26" t="e">
        <f t="shared" si="49"/>
        <v>#REF!</v>
      </c>
      <c r="U84" s="12" t="e">
        <f t="shared" si="50"/>
        <v>#REF!</v>
      </c>
      <c r="V84" s="12"/>
      <c r="W84" s="44" t="e">
        <f t="shared" si="51"/>
        <v>#REF!</v>
      </c>
      <c r="X84" s="26" t="e">
        <f t="shared" si="52"/>
        <v>#REF!</v>
      </c>
      <c r="Y84" s="12" t="e">
        <f t="shared" si="53"/>
        <v>#REF!</v>
      </c>
    </row>
    <row r="85" spans="1:25" ht="16.5" customHeight="1">
      <c r="A85" s="16" t="s">
        <v>212</v>
      </c>
      <c r="B85" s="17" t="s">
        <v>213</v>
      </c>
      <c r="C85" s="26" t="e">
        <f t="shared" si="36"/>
        <v>#REF!</v>
      </c>
      <c r="D85" s="26" t="e">
        <f t="shared" si="37"/>
        <v>#REF!</v>
      </c>
      <c r="E85" s="12" t="e">
        <f t="shared" si="38"/>
        <v>#REF!</v>
      </c>
      <c r="F85" s="26"/>
      <c r="G85" s="26" t="e">
        <f t="shared" si="39"/>
        <v>#REF!</v>
      </c>
      <c r="H85" s="26" t="e">
        <f t="shared" si="40"/>
        <v>#REF!</v>
      </c>
      <c r="I85" s="12" t="e">
        <f t="shared" si="41"/>
        <v>#REF!</v>
      </c>
      <c r="J85" s="26"/>
      <c r="K85" s="26" t="e">
        <f t="shared" si="42"/>
        <v>#REF!</v>
      </c>
      <c r="L85" s="26" t="e">
        <f t="shared" si="43"/>
        <v>#REF!</v>
      </c>
      <c r="M85" s="12" t="e">
        <f t="shared" si="44"/>
        <v>#REF!</v>
      </c>
      <c r="N85" s="12"/>
      <c r="O85" s="26" t="e">
        <f t="shared" si="45"/>
        <v>#REF!</v>
      </c>
      <c r="P85" s="26" t="e">
        <f t="shared" si="46"/>
        <v>#REF!</v>
      </c>
      <c r="Q85" s="12" t="e">
        <f t="shared" si="47"/>
        <v>#REF!</v>
      </c>
      <c r="R85" s="12"/>
      <c r="S85" s="26" t="e">
        <f t="shared" si="48"/>
        <v>#REF!</v>
      </c>
      <c r="T85" s="26" t="e">
        <f t="shared" si="49"/>
        <v>#REF!</v>
      </c>
      <c r="U85" s="12" t="e">
        <f t="shared" si="50"/>
        <v>#REF!</v>
      </c>
      <c r="V85" s="12"/>
      <c r="W85" s="44" t="e">
        <f t="shared" si="51"/>
        <v>#REF!</v>
      </c>
      <c r="X85" s="26" t="e">
        <f t="shared" si="52"/>
        <v>#REF!</v>
      </c>
      <c r="Y85" s="12" t="e">
        <f t="shared" si="53"/>
        <v>#REF!</v>
      </c>
    </row>
    <row r="86" spans="1:25" ht="16.5" customHeight="1">
      <c r="A86" s="16" t="s">
        <v>214</v>
      </c>
      <c r="B86" s="32" t="s">
        <v>215</v>
      </c>
      <c r="C86" s="26" t="e">
        <f t="shared" si="36"/>
        <v>#REF!</v>
      </c>
      <c r="D86" s="26" t="e">
        <f t="shared" si="37"/>
        <v>#REF!</v>
      </c>
      <c r="E86" s="12" t="e">
        <f t="shared" si="38"/>
        <v>#REF!</v>
      </c>
      <c r="F86" s="26"/>
      <c r="G86" s="26" t="e">
        <f t="shared" si="39"/>
        <v>#REF!</v>
      </c>
      <c r="H86" s="26" t="e">
        <f t="shared" si="40"/>
        <v>#REF!</v>
      </c>
      <c r="I86" s="12" t="e">
        <f t="shared" si="41"/>
        <v>#REF!</v>
      </c>
      <c r="J86" s="26"/>
      <c r="K86" s="26" t="e">
        <f t="shared" si="42"/>
        <v>#REF!</v>
      </c>
      <c r="L86" s="26" t="e">
        <f t="shared" si="43"/>
        <v>#REF!</v>
      </c>
      <c r="M86" s="12" t="e">
        <f t="shared" si="44"/>
        <v>#REF!</v>
      </c>
      <c r="N86" s="12"/>
      <c r="O86" s="26" t="e">
        <f t="shared" si="45"/>
        <v>#REF!</v>
      </c>
      <c r="P86" s="26" t="e">
        <f t="shared" si="46"/>
        <v>#REF!</v>
      </c>
      <c r="Q86" s="12" t="e">
        <f t="shared" si="47"/>
        <v>#REF!</v>
      </c>
      <c r="R86" s="12"/>
      <c r="S86" s="26" t="e">
        <f t="shared" si="48"/>
        <v>#REF!</v>
      </c>
      <c r="T86" s="26" t="e">
        <f t="shared" si="49"/>
        <v>#REF!</v>
      </c>
      <c r="U86" s="12" t="e">
        <f t="shared" si="50"/>
        <v>#REF!</v>
      </c>
      <c r="V86" s="12"/>
      <c r="W86" s="44" t="e">
        <f t="shared" si="51"/>
        <v>#REF!</v>
      </c>
      <c r="X86" s="26" t="e">
        <f t="shared" si="52"/>
        <v>#REF!</v>
      </c>
      <c r="Y86" s="12" t="e">
        <f t="shared" si="53"/>
        <v>#REF!</v>
      </c>
    </row>
    <row r="87" spans="1:25" ht="16.5" customHeight="1">
      <c r="A87" s="16" t="s">
        <v>216</v>
      </c>
      <c r="B87" s="32" t="s">
        <v>217</v>
      </c>
      <c r="C87" s="26" t="e">
        <f t="shared" si="36"/>
        <v>#REF!</v>
      </c>
      <c r="D87" s="26" t="e">
        <f t="shared" si="37"/>
        <v>#REF!</v>
      </c>
      <c r="E87" s="12" t="e">
        <f t="shared" si="38"/>
        <v>#REF!</v>
      </c>
      <c r="F87" s="26"/>
      <c r="G87" s="26" t="e">
        <f t="shared" si="39"/>
        <v>#REF!</v>
      </c>
      <c r="H87" s="26" t="e">
        <f t="shared" si="40"/>
        <v>#REF!</v>
      </c>
      <c r="I87" s="12" t="e">
        <f t="shared" si="41"/>
        <v>#REF!</v>
      </c>
      <c r="J87" s="26"/>
      <c r="K87" s="26" t="e">
        <f t="shared" si="42"/>
        <v>#REF!</v>
      </c>
      <c r="L87" s="26" t="e">
        <f t="shared" si="43"/>
        <v>#REF!</v>
      </c>
      <c r="M87" s="12" t="e">
        <f t="shared" si="44"/>
        <v>#REF!</v>
      </c>
      <c r="N87" s="12"/>
      <c r="O87" s="26" t="e">
        <f t="shared" si="45"/>
        <v>#REF!</v>
      </c>
      <c r="P87" s="26" t="e">
        <f t="shared" si="46"/>
        <v>#REF!</v>
      </c>
      <c r="Q87" s="12" t="e">
        <f t="shared" si="47"/>
        <v>#REF!</v>
      </c>
      <c r="R87" s="12"/>
      <c r="S87" s="26" t="e">
        <f t="shared" si="48"/>
        <v>#REF!</v>
      </c>
      <c r="T87" s="26" t="e">
        <f t="shared" si="49"/>
        <v>#REF!</v>
      </c>
      <c r="U87" s="12" t="e">
        <f t="shared" si="50"/>
        <v>#REF!</v>
      </c>
      <c r="V87" s="12"/>
      <c r="W87" s="44" t="e">
        <f t="shared" si="51"/>
        <v>#REF!</v>
      </c>
      <c r="X87" s="26" t="e">
        <f t="shared" si="52"/>
        <v>#REF!</v>
      </c>
      <c r="Y87" s="12" t="e">
        <f t="shared" si="53"/>
        <v>#REF!</v>
      </c>
    </row>
    <row r="88" spans="1:25" ht="16.5" customHeight="1">
      <c r="A88" s="16" t="s">
        <v>218</v>
      </c>
      <c r="B88" s="17" t="s">
        <v>219</v>
      </c>
      <c r="C88" s="26" t="e">
        <f t="shared" si="36"/>
        <v>#REF!</v>
      </c>
      <c r="D88" s="26" t="e">
        <f t="shared" si="37"/>
        <v>#REF!</v>
      </c>
      <c r="E88" s="12" t="e">
        <f t="shared" si="38"/>
        <v>#REF!</v>
      </c>
      <c r="F88" s="26"/>
      <c r="G88" s="26" t="e">
        <f t="shared" si="39"/>
        <v>#REF!</v>
      </c>
      <c r="H88" s="26" t="e">
        <f t="shared" si="40"/>
        <v>#REF!</v>
      </c>
      <c r="I88" s="12" t="e">
        <f t="shared" si="41"/>
        <v>#REF!</v>
      </c>
      <c r="J88" s="26"/>
      <c r="K88" s="26" t="e">
        <f t="shared" si="42"/>
        <v>#REF!</v>
      </c>
      <c r="L88" s="26" t="e">
        <f t="shared" si="43"/>
        <v>#REF!</v>
      </c>
      <c r="M88" s="12" t="e">
        <f t="shared" si="44"/>
        <v>#REF!</v>
      </c>
      <c r="N88" s="12"/>
      <c r="O88" s="26" t="e">
        <f t="shared" si="45"/>
        <v>#REF!</v>
      </c>
      <c r="P88" s="26" t="e">
        <f t="shared" si="46"/>
        <v>#REF!</v>
      </c>
      <c r="Q88" s="12" t="e">
        <f t="shared" si="47"/>
        <v>#REF!</v>
      </c>
      <c r="R88" s="12"/>
      <c r="S88" s="26" t="e">
        <f t="shared" si="48"/>
        <v>#REF!</v>
      </c>
      <c r="T88" s="26" t="e">
        <f t="shared" si="49"/>
        <v>#REF!</v>
      </c>
      <c r="U88" s="12" t="e">
        <f t="shared" si="50"/>
        <v>#REF!</v>
      </c>
      <c r="V88" s="12"/>
      <c r="W88" s="44" t="e">
        <f t="shared" si="51"/>
        <v>#REF!</v>
      </c>
      <c r="X88" s="26" t="e">
        <f t="shared" si="52"/>
        <v>#REF!</v>
      </c>
      <c r="Y88" s="12" t="e">
        <f t="shared" si="53"/>
        <v>#REF!</v>
      </c>
    </row>
    <row r="89" spans="1:25" ht="16.5" customHeight="1">
      <c r="A89" s="16" t="s">
        <v>220</v>
      </c>
      <c r="B89" s="17" t="s">
        <v>221</v>
      </c>
      <c r="C89" s="26" t="e">
        <f t="shared" si="36"/>
        <v>#REF!</v>
      </c>
      <c r="D89" s="26" t="e">
        <f t="shared" si="37"/>
        <v>#REF!</v>
      </c>
      <c r="E89" s="12" t="e">
        <f t="shared" si="38"/>
        <v>#REF!</v>
      </c>
      <c r="F89" s="26"/>
      <c r="G89" s="26" t="e">
        <f t="shared" si="39"/>
        <v>#REF!</v>
      </c>
      <c r="H89" s="26" t="e">
        <f t="shared" si="40"/>
        <v>#REF!</v>
      </c>
      <c r="I89" s="12" t="e">
        <f t="shared" si="41"/>
        <v>#REF!</v>
      </c>
      <c r="J89" s="26"/>
      <c r="K89" s="26" t="e">
        <f t="shared" si="42"/>
        <v>#REF!</v>
      </c>
      <c r="L89" s="26" t="e">
        <f t="shared" si="43"/>
        <v>#REF!</v>
      </c>
      <c r="M89" s="12" t="e">
        <f t="shared" si="44"/>
        <v>#REF!</v>
      </c>
      <c r="N89" s="12"/>
      <c r="O89" s="26" t="e">
        <f t="shared" si="45"/>
        <v>#REF!</v>
      </c>
      <c r="P89" s="26" t="e">
        <f t="shared" si="46"/>
        <v>#REF!</v>
      </c>
      <c r="Q89" s="12" t="e">
        <f t="shared" si="47"/>
        <v>#REF!</v>
      </c>
      <c r="R89" s="12"/>
      <c r="S89" s="26" t="e">
        <f t="shared" si="48"/>
        <v>#REF!</v>
      </c>
      <c r="T89" s="26" t="e">
        <f t="shared" si="49"/>
        <v>#REF!</v>
      </c>
      <c r="U89" s="12" t="e">
        <f t="shared" si="50"/>
        <v>#REF!</v>
      </c>
      <c r="V89" s="12"/>
      <c r="W89" s="44" t="e">
        <f t="shared" si="51"/>
        <v>#REF!</v>
      </c>
      <c r="X89" s="26" t="e">
        <f t="shared" si="52"/>
        <v>#REF!</v>
      </c>
      <c r="Y89" s="12" t="e">
        <f t="shared" si="53"/>
        <v>#REF!</v>
      </c>
    </row>
    <row r="90" spans="1:25" ht="16.5" customHeight="1">
      <c r="A90" s="16" t="s">
        <v>224</v>
      </c>
      <c r="B90" s="17" t="s">
        <v>225</v>
      </c>
      <c r="C90" s="26" t="e">
        <f t="shared" si="36"/>
        <v>#REF!</v>
      </c>
      <c r="D90" s="26" t="e">
        <f t="shared" si="37"/>
        <v>#REF!</v>
      </c>
      <c r="E90" s="12" t="e">
        <f t="shared" si="38"/>
        <v>#REF!</v>
      </c>
      <c r="F90" s="26"/>
      <c r="G90" s="26" t="e">
        <f t="shared" si="39"/>
        <v>#REF!</v>
      </c>
      <c r="H90" s="26" t="e">
        <f t="shared" si="40"/>
        <v>#REF!</v>
      </c>
      <c r="I90" s="12" t="e">
        <f t="shared" si="41"/>
        <v>#REF!</v>
      </c>
      <c r="J90" s="26"/>
      <c r="K90" s="26" t="e">
        <f t="shared" si="42"/>
        <v>#REF!</v>
      </c>
      <c r="L90" s="26" t="e">
        <f t="shared" si="43"/>
        <v>#REF!</v>
      </c>
      <c r="M90" s="12" t="e">
        <f t="shared" si="44"/>
        <v>#REF!</v>
      </c>
      <c r="N90" s="12"/>
      <c r="O90" s="26" t="e">
        <f t="shared" si="45"/>
        <v>#REF!</v>
      </c>
      <c r="P90" s="26" t="e">
        <f t="shared" si="46"/>
        <v>#REF!</v>
      </c>
      <c r="Q90" s="12" t="e">
        <f t="shared" si="47"/>
        <v>#REF!</v>
      </c>
      <c r="R90" s="12"/>
      <c r="S90" s="26" t="e">
        <f t="shared" si="48"/>
        <v>#REF!</v>
      </c>
      <c r="T90" s="26" t="e">
        <f t="shared" si="49"/>
        <v>#REF!</v>
      </c>
      <c r="U90" s="12" t="e">
        <f t="shared" si="50"/>
        <v>#REF!</v>
      </c>
      <c r="V90" s="12"/>
      <c r="W90" s="44" t="e">
        <f t="shared" si="51"/>
        <v>#REF!</v>
      </c>
      <c r="X90" s="26" t="e">
        <f t="shared" si="52"/>
        <v>#REF!</v>
      </c>
      <c r="Y90" s="12" t="e">
        <f t="shared" si="53"/>
        <v>#REF!</v>
      </c>
    </row>
    <row r="91" spans="1:25" ht="16.5" customHeight="1">
      <c r="A91" s="16" t="s">
        <v>226</v>
      </c>
      <c r="B91" s="32" t="s">
        <v>227</v>
      </c>
      <c r="C91" s="26" t="e">
        <f t="shared" si="36"/>
        <v>#REF!</v>
      </c>
      <c r="D91" s="26" t="e">
        <f t="shared" si="37"/>
        <v>#REF!</v>
      </c>
      <c r="E91" s="12" t="e">
        <f t="shared" si="38"/>
        <v>#REF!</v>
      </c>
      <c r="F91" s="26"/>
      <c r="G91" s="26" t="e">
        <f t="shared" si="39"/>
        <v>#REF!</v>
      </c>
      <c r="H91" s="26" t="e">
        <f t="shared" si="40"/>
        <v>#REF!</v>
      </c>
      <c r="I91" s="12" t="e">
        <f t="shared" si="41"/>
        <v>#REF!</v>
      </c>
      <c r="J91" s="26"/>
      <c r="K91" s="26" t="e">
        <f t="shared" si="42"/>
        <v>#REF!</v>
      </c>
      <c r="L91" s="26" t="e">
        <f t="shared" si="43"/>
        <v>#REF!</v>
      </c>
      <c r="M91" s="12" t="e">
        <f t="shared" si="44"/>
        <v>#REF!</v>
      </c>
      <c r="N91" s="12"/>
      <c r="O91" s="26" t="e">
        <f t="shared" si="45"/>
        <v>#REF!</v>
      </c>
      <c r="P91" s="26" t="e">
        <f t="shared" si="46"/>
        <v>#REF!</v>
      </c>
      <c r="Q91" s="12" t="e">
        <f t="shared" si="47"/>
        <v>#REF!</v>
      </c>
      <c r="R91" s="12"/>
      <c r="S91" s="26" t="e">
        <f t="shared" si="48"/>
        <v>#REF!</v>
      </c>
      <c r="T91" s="26" t="e">
        <f t="shared" si="49"/>
        <v>#REF!</v>
      </c>
      <c r="U91" s="12" t="e">
        <f t="shared" si="50"/>
        <v>#REF!</v>
      </c>
      <c r="V91" s="12"/>
      <c r="W91" s="44" t="e">
        <f t="shared" si="51"/>
        <v>#REF!</v>
      </c>
      <c r="X91" s="26" t="e">
        <f t="shared" si="52"/>
        <v>#REF!</v>
      </c>
      <c r="Y91" s="12" t="e">
        <f t="shared" si="53"/>
        <v>#REF!</v>
      </c>
    </row>
    <row r="92" spans="1:25" ht="16.5" customHeight="1">
      <c r="A92" s="16" t="s">
        <v>228</v>
      </c>
      <c r="B92" s="32" t="s">
        <v>229</v>
      </c>
      <c r="C92" s="26" t="e">
        <f t="shared" si="36"/>
        <v>#REF!</v>
      </c>
      <c r="D92" s="26" t="e">
        <f t="shared" si="37"/>
        <v>#REF!</v>
      </c>
      <c r="E92" s="12" t="e">
        <f t="shared" si="38"/>
        <v>#REF!</v>
      </c>
      <c r="F92" s="26"/>
      <c r="G92" s="26" t="e">
        <f t="shared" si="39"/>
        <v>#REF!</v>
      </c>
      <c r="H92" s="26" t="e">
        <f t="shared" si="40"/>
        <v>#REF!</v>
      </c>
      <c r="I92" s="12" t="e">
        <f t="shared" si="41"/>
        <v>#REF!</v>
      </c>
      <c r="J92" s="26"/>
      <c r="K92" s="26" t="e">
        <f t="shared" si="42"/>
        <v>#REF!</v>
      </c>
      <c r="L92" s="26" t="e">
        <f t="shared" si="43"/>
        <v>#REF!</v>
      </c>
      <c r="M92" s="12" t="e">
        <f t="shared" si="44"/>
        <v>#REF!</v>
      </c>
      <c r="N92" s="12"/>
      <c r="O92" s="26" t="e">
        <f t="shared" si="45"/>
        <v>#REF!</v>
      </c>
      <c r="P92" s="26" t="e">
        <f t="shared" si="46"/>
        <v>#REF!</v>
      </c>
      <c r="Q92" s="12" t="e">
        <f t="shared" si="47"/>
        <v>#REF!</v>
      </c>
      <c r="R92" s="12"/>
      <c r="S92" s="26" t="e">
        <f t="shared" si="48"/>
        <v>#REF!</v>
      </c>
      <c r="T92" s="26" t="e">
        <f t="shared" si="49"/>
        <v>#REF!</v>
      </c>
      <c r="U92" s="12" t="e">
        <f t="shared" si="50"/>
        <v>#REF!</v>
      </c>
      <c r="V92" s="12"/>
      <c r="W92" s="44" t="e">
        <f t="shared" si="51"/>
        <v>#REF!</v>
      </c>
      <c r="X92" s="26" t="e">
        <f t="shared" si="52"/>
        <v>#REF!</v>
      </c>
      <c r="Y92" s="12" t="e">
        <f t="shared" si="53"/>
        <v>#REF!</v>
      </c>
    </row>
    <row r="93" spans="1:25" ht="16.5" customHeight="1">
      <c r="A93" s="16" t="s">
        <v>232</v>
      </c>
      <c r="B93" s="32" t="s">
        <v>233</v>
      </c>
      <c r="C93" s="26" t="e">
        <f t="shared" si="36"/>
        <v>#REF!</v>
      </c>
      <c r="D93" s="26" t="e">
        <f t="shared" si="37"/>
        <v>#REF!</v>
      </c>
      <c r="E93" s="12" t="e">
        <f t="shared" si="38"/>
        <v>#REF!</v>
      </c>
      <c r="F93" s="26"/>
      <c r="G93" s="26" t="e">
        <f t="shared" si="39"/>
        <v>#REF!</v>
      </c>
      <c r="H93" s="26" t="e">
        <f t="shared" si="40"/>
        <v>#REF!</v>
      </c>
      <c r="I93" s="12" t="e">
        <f t="shared" si="41"/>
        <v>#REF!</v>
      </c>
      <c r="J93" s="26"/>
      <c r="K93" s="26" t="e">
        <f t="shared" si="42"/>
        <v>#REF!</v>
      </c>
      <c r="L93" s="26" t="e">
        <f t="shared" si="43"/>
        <v>#REF!</v>
      </c>
      <c r="M93" s="12" t="e">
        <f t="shared" si="44"/>
        <v>#REF!</v>
      </c>
      <c r="N93" s="12"/>
      <c r="O93" s="26" t="e">
        <f t="shared" si="45"/>
        <v>#REF!</v>
      </c>
      <c r="P93" s="26" t="e">
        <f t="shared" si="46"/>
        <v>#REF!</v>
      </c>
      <c r="Q93" s="12" t="e">
        <f t="shared" si="47"/>
        <v>#REF!</v>
      </c>
      <c r="R93" s="12"/>
      <c r="S93" s="26" t="e">
        <f t="shared" si="48"/>
        <v>#REF!</v>
      </c>
      <c r="T93" s="26" t="e">
        <f t="shared" si="49"/>
        <v>#REF!</v>
      </c>
      <c r="U93" s="12" t="e">
        <f t="shared" si="50"/>
        <v>#REF!</v>
      </c>
      <c r="V93" s="12"/>
      <c r="W93" s="44" t="e">
        <f t="shared" si="51"/>
        <v>#REF!</v>
      </c>
      <c r="X93" s="26" t="e">
        <f t="shared" si="52"/>
        <v>#REF!</v>
      </c>
      <c r="Y93" s="12" t="e">
        <f t="shared" si="53"/>
        <v>#REF!</v>
      </c>
    </row>
    <row r="94" spans="1:25" ht="16.5" customHeight="1">
      <c r="A94" s="16" t="s">
        <v>234</v>
      </c>
      <c r="B94" s="32" t="s">
        <v>235</v>
      </c>
      <c r="C94" s="26" t="e">
        <f t="shared" si="36"/>
        <v>#REF!</v>
      </c>
      <c r="D94" s="26" t="e">
        <f t="shared" si="37"/>
        <v>#REF!</v>
      </c>
      <c r="E94" s="12" t="e">
        <f t="shared" si="38"/>
        <v>#REF!</v>
      </c>
      <c r="F94" s="26"/>
      <c r="G94" s="26" t="e">
        <f t="shared" si="39"/>
        <v>#REF!</v>
      </c>
      <c r="H94" s="26" t="e">
        <f t="shared" si="40"/>
        <v>#REF!</v>
      </c>
      <c r="I94" s="12" t="e">
        <f t="shared" si="41"/>
        <v>#REF!</v>
      </c>
      <c r="J94" s="26"/>
      <c r="K94" s="26" t="e">
        <f t="shared" si="42"/>
        <v>#REF!</v>
      </c>
      <c r="L94" s="26" t="e">
        <f t="shared" si="43"/>
        <v>#REF!</v>
      </c>
      <c r="M94" s="12" t="e">
        <f t="shared" si="44"/>
        <v>#REF!</v>
      </c>
      <c r="N94" s="12"/>
      <c r="O94" s="26" t="e">
        <f t="shared" si="45"/>
        <v>#REF!</v>
      </c>
      <c r="P94" s="26" t="e">
        <f t="shared" si="46"/>
        <v>#REF!</v>
      </c>
      <c r="Q94" s="12" t="e">
        <f t="shared" si="47"/>
        <v>#REF!</v>
      </c>
      <c r="R94" s="12"/>
      <c r="S94" s="26" t="e">
        <f t="shared" si="48"/>
        <v>#REF!</v>
      </c>
      <c r="T94" s="26" t="e">
        <f t="shared" si="49"/>
        <v>#REF!</v>
      </c>
      <c r="U94" s="12" t="e">
        <f t="shared" si="50"/>
        <v>#REF!</v>
      </c>
      <c r="V94" s="12"/>
      <c r="W94" s="44" t="e">
        <f t="shared" si="51"/>
        <v>#REF!</v>
      </c>
      <c r="X94" s="26" t="e">
        <f t="shared" si="52"/>
        <v>#REF!</v>
      </c>
      <c r="Y94" s="12" t="e">
        <f t="shared" si="53"/>
        <v>#REF!</v>
      </c>
    </row>
    <row r="95" spans="1:25" ht="16.5" customHeight="1">
      <c r="A95" s="16" t="s">
        <v>236</v>
      </c>
      <c r="B95" s="32" t="s">
        <v>237</v>
      </c>
      <c r="C95" s="26" t="e">
        <f t="shared" si="36"/>
        <v>#REF!</v>
      </c>
      <c r="D95" s="26" t="e">
        <f t="shared" si="37"/>
        <v>#REF!</v>
      </c>
      <c r="E95" s="12" t="e">
        <f t="shared" si="38"/>
        <v>#REF!</v>
      </c>
      <c r="F95" s="26"/>
      <c r="G95" s="26" t="e">
        <f t="shared" si="39"/>
        <v>#REF!</v>
      </c>
      <c r="H95" s="26" t="e">
        <f t="shared" si="40"/>
        <v>#REF!</v>
      </c>
      <c r="I95" s="12" t="e">
        <f t="shared" si="41"/>
        <v>#REF!</v>
      </c>
      <c r="J95" s="26"/>
      <c r="K95" s="26" t="e">
        <f t="shared" si="42"/>
        <v>#REF!</v>
      </c>
      <c r="L95" s="26" t="e">
        <f t="shared" si="43"/>
        <v>#REF!</v>
      </c>
      <c r="M95" s="12" t="e">
        <f t="shared" si="44"/>
        <v>#REF!</v>
      </c>
      <c r="N95" s="12"/>
      <c r="O95" s="26" t="e">
        <f t="shared" si="45"/>
        <v>#REF!</v>
      </c>
      <c r="P95" s="26" t="e">
        <f t="shared" si="46"/>
        <v>#REF!</v>
      </c>
      <c r="Q95" s="12" t="e">
        <f t="shared" si="47"/>
        <v>#REF!</v>
      </c>
      <c r="R95" s="12"/>
      <c r="S95" s="26" t="e">
        <f t="shared" si="48"/>
        <v>#REF!</v>
      </c>
      <c r="T95" s="26" t="e">
        <f t="shared" si="49"/>
        <v>#REF!</v>
      </c>
      <c r="U95" s="12" t="e">
        <f t="shared" si="50"/>
        <v>#REF!</v>
      </c>
      <c r="V95" s="12"/>
      <c r="W95" s="44" t="e">
        <f t="shared" si="51"/>
        <v>#REF!</v>
      </c>
      <c r="X95" s="26" t="e">
        <f t="shared" si="52"/>
        <v>#REF!</v>
      </c>
      <c r="Y95" s="12" t="e">
        <f t="shared" si="53"/>
        <v>#REF!</v>
      </c>
    </row>
    <row r="96" spans="1:25" ht="16.5" customHeight="1">
      <c r="A96" s="16" t="s">
        <v>242</v>
      </c>
      <c r="B96" s="32" t="s">
        <v>243</v>
      </c>
      <c r="C96" s="26" t="e">
        <f t="shared" si="36"/>
        <v>#REF!</v>
      </c>
      <c r="D96" s="26" t="e">
        <f t="shared" si="37"/>
        <v>#REF!</v>
      </c>
      <c r="E96" s="12" t="e">
        <f t="shared" si="38"/>
        <v>#REF!</v>
      </c>
      <c r="F96" s="26"/>
      <c r="G96" s="26" t="e">
        <f t="shared" si="39"/>
        <v>#REF!</v>
      </c>
      <c r="H96" s="26" t="e">
        <f t="shared" si="40"/>
        <v>#REF!</v>
      </c>
      <c r="I96" s="12" t="e">
        <f t="shared" si="41"/>
        <v>#REF!</v>
      </c>
      <c r="J96" s="26"/>
      <c r="K96" s="26" t="e">
        <f t="shared" si="42"/>
        <v>#REF!</v>
      </c>
      <c r="L96" s="26" t="e">
        <f t="shared" si="43"/>
        <v>#REF!</v>
      </c>
      <c r="M96" s="12" t="e">
        <f t="shared" si="44"/>
        <v>#REF!</v>
      </c>
      <c r="N96" s="12"/>
      <c r="O96" s="26" t="e">
        <f t="shared" si="45"/>
        <v>#REF!</v>
      </c>
      <c r="P96" s="26" t="e">
        <f t="shared" si="46"/>
        <v>#REF!</v>
      </c>
      <c r="Q96" s="12" t="e">
        <f t="shared" si="47"/>
        <v>#REF!</v>
      </c>
      <c r="R96" s="12"/>
      <c r="S96" s="26" t="e">
        <f t="shared" si="48"/>
        <v>#REF!</v>
      </c>
      <c r="T96" s="26" t="e">
        <f t="shared" si="49"/>
        <v>#REF!</v>
      </c>
      <c r="U96" s="12" t="e">
        <f t="shared" si="50"/>
        <v>#REF!</v>
      </c>
      <c r="V96" s="12"/>
      <c r="W96" s="44" t="e">
        <f t="shared" si="51"/>
        <v>#REF!</v>
      </c>
      <c r="X96" s="26" t="e">
        <f t="shared" si="52"/>
        <v>#REF!</v>
      </c>
      <c r="Y96" s="12" t="e">
        <f t="shared" si="53"/>
        <v>#REF!</v>
      </c>
    </row>
    <row r="97" spans="1:25" ht="16.5" customHeight="1">
      <c r="A97" s="16" t="s">
        <v>244</v>
      </c>
      <c r="B97" s="32" t="s">
        <v>245</v>
      </c>
      <c r="C97" s="26" t="e">
        <f t="shared" si="36"/>
        <v>#REF!</v>
      </c>
      <c r="D97" s="26" t="e">
        <f t="shared" si="37"/>
        <v>#REF!</v>
      </c>
      <c r="E97" s="12" t="e">
        <f t="shared" si="38"/>
        <v>#REF!</v>
      </c>
      <c r="F97" s="26"/>
      <c r="G97" s="26" t="e">
        <f t="shared" si="39"/>
        <v>#REF!</v>
      </c>
      <c r="H97" s="26" t="e">
        <f t="shared" si="40"/>
        <v>#REF!</v>
      </c>
      <c r="I97" s="12" t="e">
        <f t="shared" si="41"/>
        <v>#REF!</v>
      </c>
      <c r="J97" s="26"/>
      <c r="K97" s="26" t="e">
        <f t="shared" si="42"/>
        <v>#REF!</v>
      </c>
      <c r="L97" s="26" t="e">
        <f t="shared" si="43"/>
        <v>#REF!</v>
      </c>
      <c r="M97" s="12" t="e">
        <f t="shared" si="44"/>
        <v>#REF!</v>
      </c>
      <c r="N97" s="12"/>
      <c r="O97" s="26" t="e">
        <f t="shared" si="45"/>
        <v>#REF!</v>
      </c>
      <c r="P97" s="26" t="e">
        <f t="shared" si="46"/>
        <v>#REF!</v>
      </c>
      <c r="Q97" s="12" t="e">
        <f t="shared" si="47"/>
        <v>#REF!</v>
      </c>
      <c r="R97" s="12"/>
      <c r="S97" s="26" t="e">
        <f t="shared" si="48"/>
        <v>#REF!</v>
      </c>
      <c r="T97" s="26" t="e">
        <f t="shared" si="49"/>
        <v>#REF!</v>
      </c>
      <c r="U97" s="12" t="e">
        <f t="shared" si="50"/>
        <v>#REF!</v>
      </c>
      <c r="V97" s="12"/>
      <c r="W97" s="44" t="e">
        <f t="shared" si="51"/>
        <v>#REF!</v>
      </c>
      <c r="X97" s="26" t="e">
        <f t="shared" si="52"/>
        <v>#REF!</v>
      </c>
      <c r="Y97" s="12" t="e">
        <f t="shared" si="53"/>
        <v>#REF!</v>
      </c>
    </row>
    <row r="98" spans="1:25" ht="16.5" customHeight="1">
      <c r="A98" s="16" t="s">
        <v>246</v>
      </c>
      <c r="B98" s="17" t="s">
        <v>310</v>
      </c>
      <c r="C98" s="26" t="e">
        <f t="shared" si="36"/>
        <v>#REF!</v>
      </c>
      <c r="D98" s="26" t="e">
        <f t="shared" si="37"/>
        <v>#REF!</v>
      </c>
      <c r="E98" s="12" t="e">
        <f t="shared" si="38"/>
        <v>#REF!</v>
      </c>
      <c r="F98" s="26"/>
      <c r="G98" s="26" t="e">
        <f t="shared" si="39"/>
        <v>#REF!</v>
      </c>
      <c r="H98" s="26" t="e">
        <f t="shared" si="40"/>
        <v>#REF!</v>
      </c>
      <c r="I98" s="12" t="e">
        <f t="shared" si="41"/>
        <v>#REF!</v>
      </c>
      <c r="J98" s="26"/>
      <c r="K98" s="26" t="e">
        <f t="shared" si="42"/>
        <v>#REF!</v>
      </c>
      <c r="L98" s="26" t="e">
        <f t="shared" si="43"/>
        <v>#REF!</v>
      </c>
      <c r="M98" s="12" t="e">
        <f t="shared" si="44"/>
        <v>#REF!</v>
      </c>
      <c r="N98" s="12"/>
      <c r="O98" s="26" t="e">
        <f t="shared" si="45"/>
        <v>#REF!</v>
      </c>
      <c r="P98" s="26" t="e">
        <f t="shared" si="46"/>
        <v>#REF!</v>
      </c>
      <c r="Q98" s="12" t="e">
        <f t="shared" si="47"/>
        <v>#REF!</v>
      </c>
      <c r="R98" s="12"/>
      <c r="S98" s="26" t="e">
        <f t="shared" si="48"/>
        <v>#REF!</v>
      </c>
      <c r="T98" s="26" t="e">
        <f t="shared" si="49"/>
        <v>#REF!</v>
      </c>
      <c r="U98" s="12" t="e">
        <f t="shared" si="50"/>
        <v>#REF!</v>
      </c>
      <c r="V98" s="12"/>
      <c r="W98" s="44" t="e">
        <f t="shared" si="51"/>
        <v>#REF!</v>
      </c>
      <c r="X98" s="26" t="e">
        <f t="shared" si="52"/>
        <v>#REF!</v>
      </c>
      <c r="Y98" s="12" t="e">
        <f t="shared" si="53"/>
        <v>#REF!</v>
      </c>
    </row>
    <row r="99" spans="1:25" ht="16.5" customHeight="1">
      <c r="A99" s="16" t="s">
        <v>14</v>
      </c>
      <c r="B99" s="17" t="s">
        <v>15</v>
      </c>
      <c r="C99" s="26" t="e">
        <f t="shared" si="36"/>
        <v>#REF!</v>
      </c>
      <c r="D99" s="26" t="e">
        <f t="shared" si="37"/>
        <v>#REF!</v>
      </c>
      <c r="E99" s="12" t="e">
        <f t="shared" si="38"/>
        <v>#REF!</v>
      </c>
      <c r="F99" s="26"/>
      <c r="G99" s="26" t="e">
        <f t="shared" si="39"/>
        <v>#REF!</v>
      </c>
      <c r="H99" s="26" t="e">
        <f t="shared" si="40"/>
        <v>#REF!</v>
      </c>
      <c r="I99" s="12" t="e">
        <f t="shared" si="41"/>
        <v>#REF!</v>
      </c>
      <c r="J99" s="26"/>
      <c r="K99" s="26" t="e">
        <f t="shared" si="42"/>
        <v>#REF!</v>
      </c>
      <c r="L99" s="26" t="e">
        <f t="shared" si="43"/>
        <v>#REF!</v>
      </c>
      <c r="M99" s="12" t="e">
        <f t="shared" si="44"/>
        <v>#REF!</v>
      </c>
      <c r="N99" s="12"/>
      <c r="O99" s="26" t="e">
        <f t="shared" si="45"/>
        <v>#REF!</v>
      </c>
      <c r="P99" s="26" t="e">
        <f t="shared" si="46"/>
        <v>#REF!</v>
      </c>
      <c r="Q99" s="12" t="e">
        <f t="shared" si="47"/>
        <v>#REF!</v>
      </c>
      <c r="R99" s="12"/>
      <c r="S99" s="26" t="e">
        <f t="shared" si="48"/>
        <v>#REF!</v>
      </c>
      <c r="T99" s="26" t="e">
        <f t="shared" si="49"/>
        <v>#REF!</v>
      </c>
      <c r="U99" s="12" t="e">
        <f t="shared" si="50"/>
        <v>#REF!</v>
      </c>
      <c r="V99" s="12"/>
      <c r="W99" s="44" t="e">
        <f t="shared" si="51"/>
        <v>#REF!</v>
      </c>
      <c r="X99" s="26" t="e">
        <f t="shared" si="52"/>
        <v>#REF!</v>
      </c>
      <c r="Y99" s="12" t="e">
        <f t="shared" si="53"/>
        <v>#REF!</v>
      </c>
    </row>
    <row r="100" spans="1:25" ht="16.5" customHeight="1">
      <c r="A100" s="16" t="s">
        <v>34</v>
      </c>
      <c r="B100" s="32" t="s">
        <v>35</v>
      </c>
      <c r="C100" s="26" t="e">
        <f t="shared" ref="C100:C123" si="54">VLOOKUP(A100,MedicaidR,7,FALSE)</f>
        <v>#REF!</v>
      </c>
      <c r="D100" s="26" t="e">
        <f t="shared" ref="D100:D123" si="55">VLOOKUP(A100,Pop,14,FALSE)</f>
        <v>#REF!</v>
      </c>
      <c r="E100" s="12" t="e">
        <f t="shared" ref="E100:E123" si="56">+C100/D100</f>
        <v>#REF!</v>
      </c>
      <c r="F100" s="26"/>
      <c r="G100" s="26" t="e">
        <f t="shared" ref="G100:G123" si="57">VLOOKUP(A100,MedicaidR,8,FALSE)</f>
        <v>#REF!</v>
      </c>
      <c r="H100" s="26" t="e">
        <f t="shared" ref="H100:H123" si="58">VLOOKUP(A100,Pop,15,FALSE)</f>
        <v>#REF!</v>
      </c>
      <c r="I100" s="12" t="e">
        <f t="shared" ref="I100:I123" si="59">+G100/H100</f>
        <v>#REF!</v>
      </c>
      <c r="J100" s="26"/>
      <c r="K100" s="26" t="e">
        <f t="shared" ref="K100:K123" si="60">VLOOKUP(A100,MedicaidR,9,FALSE)</f>
        <v>#REF!</v>
      </c>
      <c r="L100" s="26" t="e">
        <f t="shared" ref="L100:L123" si="61">VLOOKUP(A100,Pop,16,FALSE)</f>
        <v>#REF!</v>
      </c>
      <c r="M100" s="12" t="e">
        <f t="shared" ref="M100:M123" si="62">+K100/L100</f>
        <v>#REF!</v>
      </c>
      <c r="N100" s="12"/>
      <c r="O100" s="26" t="e">
        <f t="shared" ref="O100:O123" si="63">VLOOKUP(A100,MedicaidR,3,FALSE)</f>
        <v>#REF!</v>
      </c>
      <c r="P100" s="26" t="e">
        <f t="shared" ref="P100:P123" si="64">VLOOKUP(A100,Pop,8,FALSE)</f>
        <v>#REF!</v>
      </c>
      <c r="Q100" s="12" t="e">
        <f t="shared" ref="Q100:Q123" si="65">+O100/P100</f>
        <v>#REF!</v>
      </c>
      <c r="R100" s="12"/>
      <c r="S100" s="26" t="e">
        <f t="shared" ref="S100:S123" si="66">VLOOKUP(A100,MedicaidR,4,FALSE)</f>
        <v>#REF!</v>
      </c>
      <c r="T100" s="26" t="e">
        <f t="shared" ref="T100:T123" si="67">VLOOKUP(A100,Pop,9,FALSE)</f>
        <v>#REF!</v>
      </c>
      <c r="U100" s="12" t="e">
        <f t="shared" ref="U100:U123" si="68">+S100/T100</f>
        <v>#REF!</v>
      </c>
      <c r="V100" s="12"/>
      <c r="W100" s="44" t="e">
        <f t="shared" ref="W100:W123" si="69">VLOOKUP(A100,MedicaidR,5,FALSE)</f>
        <v>#REF!</v>
      </c>
      <c r="X100" s="26" t="e">
        <f t="shared" ref="X100:X123" si="70">VLOOKUP(A100,Pop,10,FALSE)</f>
        <v>#REF!</v>
      </c>
      <c r="Y100" s="12" t="e">
        <f t="shared" ref="Y100:Y123" si="71">+W100/X100</f>
        <v>#REF!</v>
      </c>
    </row>
    <row r="101" spans="1:25" ht="16.5" customHeight="1">
      <c r="A101" s="16" t="s">
        <v>52</v>
      </c>
      <c r="B101" s="32" t="s">
        <v>53</v>
      </c>
      <c r="C101" s="26" t="e">
        <f t="shared" si="54"/>
        <v>#REF!</v>
      </c>
      <c r="D101" s="26" t="e">
        <f t="shared" si="55"/>
        <v>#REF!</v>
      </c>
      <c r="E101" s="12" t="e">
        <f t="shared" si="56"/>
        <v>#REF!</v>
      </c>
      <c r="F101" s="26"/>
      <c r="G101" s="26" t="e">
        <f t="shared" si="57"/>
        <v>#REF!</v>
      </c>
      <c r="H101" s="26" t="e">
        <f t="shared" si="58"/>
        <v>#REF!</v>
      </c>
      <c r="I101" s="12" t="e">
        <f t="shared" si="59"/>
        <v>#REF!</v>
      </c>
      <c r="J101" s="26"/>
      <c r="K101" s="26" t="e">
        <f t="shared" si="60"/>
        <v>#REF!</v>
      </c>
      <c r="L101" s="26" t="e">
        <f t="shared" si="61"/>
        <v>#REF!</v>
      </c>
      <c r="M101" s="12" t="e">
        <f t="shared" si="62"/>
        <v>#REF!</v>
      </c>
      <c r="N101" s="12"/>
      <c r="O101" s="26" t="e">
        <f t="shared" si="63"/>
        <v>#REF!</v>
      </c>
      <c r="P101" s="26" t="e">
        <f t="shared" si="64"/>
        <v>#REF!</v>
      </c>
      <c r="Q101" s="12" t="e">
        <f t="shared" si="65"/>
        <v>#REF!</v>
      </c>
      <c r="R101" s="12"/>
      <c r="S101" s="26" t="e">
        <f t="shared" si="66"/>
        <v>#REF!</v>
      </c>
      <c r="T101" s="26" t="e">
        <f t="shared" si="67"/>
        <v>#REF!</v>
      </c>
      <c r="U101" s="12" t="e">
        <f t="shared" si="68"/>
        <v>#REF!</v>
      </c>
      <c r="V101" s="12"/>
      <c r="W101" s="44" t="e">
        <f t="shared" si="69"/>
        <v>#REF!</v>
      </c>
      <c r="X101" s="26" t="e">
        <f t="shared" si="70"/>
        <v>#REF!</v>
      </c>
      <c r="Y101" s="12" t="e">
        <f t="shared" si="71"/>
        <v>#REF!</v>
      </c>
    </row>
    <row r="102" spans="1:25" ht="16.5" customHeight="1">
      <c r="A102" s="16" t="s">
        <v>54</v>
      </c>
      <c r="B102" s="17" t="s">
        <v>55</v>
      </c>
      <c r="C102" s="26" t="e">
        <f t="shared" si="54"/>
        <v>#REF!</v>
      </c>
      <c r="D102" s="26" t="e">
        <f t="shared" si="55"/>
        <v>#REF!</v>
      </c>
      <c r="E102" s="12" t="e">
        <f t="shared" si="56"/>
        <v>#REF!</v>
      </c>
      <c r="F102" s="26"/>
      <c r="G102" s="26" t="e">
        <f t="shared" si="57"/>
        <v>#REF!</v>
      </c>
      <c r="H102" s="26" t="e">
        <f t="shared" si="58"/>
        <v>#REF!</v>
      </c>
      <c r="I102" s="12" t="e">
        <f t="shared" si="59"/>
        <v>#REF!</v>
      </c>
      <c r="J102" s="26"/>
      <c r="K102" s="26" t="e">
        <f t="shared" si="60"/>
        <v>#REF!</v>
      </c>
      <c r="L102" s="26" t="e">
        <f t="shared" si="61"/>
        <v>#REF!</v>
      </c>
      <c r="M102" s="12" t="e">
        <f t="shared" si="62"/>
        <v>#REF!</v>
      </c>
      <c r="N102" s="12"/>
      <c r="O102" s="26" t="e">
        <f t="shared" si="63"/>
        <v>#REF!</v>
      </c>
      <c r="P102" s="26" t="e">
        <f t="shared" si="64"/>
        <v>#REF!</v>
      </c>
      <c r="Q102" s="12" t="e">
        <f t="shared" si="65"/>
        <v>#REF!</v>
      </c>
      <c r="R102" s="12"/>
      <c r="S102" s="26" t="e">
        <f t="shared" si="66"/>
        <v>#REF!</v>
      </c>
      <c r="T102" s="26" t="e">
        <f t="shared" si="67"/>
        <v>#REF!</v>
      </c>
      <c r="U102" s="12" t="e">
        <f t="shared" si="68"/>
        <v>#REF!</v>
      </c>
      <c r="V102" s="12"/>
      <c r="W102" s="44" t="e">
        <f t="shared" si="69"/>
        <v>#REF!</v>
      </c>
      <c r="X102" s="26" t="e">
        <f t="shared" si="70"/>
        <v>#REF!</v>
      </c>
      <c r="Y102" s="12" t="e">
        <f t="shared" si="71"/>
        <v>#REF!</v>
      </c>
    </row>
    <row r="103" spans="1:25" ht="16.5" customHeight="1">
      <c r="A103" s="16" t="s">
        <v>66</v>
      </c>
      <c r="B103" s="32" t="s">
        <v>67</v>
      </c>
      <c r="C103" s="26" t="e">
        <f t="shared" si="54"/>
        <v>#REF!</v>
      </c>
      <c r="D103" s="26" t="e">
        <f t="shared" si="55"/>
        <v>#REF!</v>
      </c>
      <c r="E103" s="12" t="e">
        <f t="shared" si="56"/>
        <v>#REF!</v>
      </c>
      <c r="F103" s="26"/>
      <c r="G103" s="26" t="e">
        <f t="shared" si="57"/>
        <v>#REF!</v>
      </c>
      <c r="H103" s="26" t="e">
        <f t="shared" si="58"/>
        <v>#REF!</v>
      </c>
      <c r="I103" s="12" t="e">
        <f t="shared" si="59"/>
        <v>#REF!</v>
      </c>
      <c r="J103" s="26"/>
      <c r="K103" s="26" t="e">
        <f t="shared" si="60"/>
        <v>#REF!</v>
      </c>
      <c r="L103" s="26" t="e">
        <f t="shared" si="61"/>
        <v>#REF!</v>
      </c>
      <c r="M103" s="12" t="e">
        <f t="shared" si="62"/>
        <v>#REF!</v>
      </c>
      <c r="N103" s="12"/>
      <c r="O103" s="26" t="e">
        <f t="shared" si="63"/>
        <v>#REF!</v>
      </c>
      <c r="P103" s="26" t="e">
        <f t="shared" si="64"/>
        <v>#REF!</v>
      </c>
      <c r="Q103" s="12" t="e">
        <f t="shared" si="65"/>
        <v>#REF!</v>
      </c>
      <c r="R103" s="12"/>
      <c r="S103" s="26" t="e">
        <f t="shared" si="66"/>
        <v>#REF!</v>
      </c>
      <c r="T103" s="26" t="e">
        <f t="shared" si="67"/>
        <v>#REF!</v>
      </c>
      <c r="U103" s="12" t="e">
        <f t="shared" si="68"/>
        <v>#REF!</v>
      </c>
      <c r="V103" s="12"/>
      <c r="W103" s="44" t="e">
        <f t="shared" si="69"/>
        <v>#REF!</v>
      </c>
      <c r="X103" s="26" t="e">
        <f t="shared" si="70"/>
        <v>#REF!</v>
      </c>
      <c r="Y103" s="12" t="e">
        <f t="shared" si="71"/>
        <v>#REF!</v>
      </c>
    </row>
    <row r="104" spans="1:25" ht="16.5" customHeight="1">
      <c r="A104" s="16" t="s">
        <v>82</v>
      </c>
      <c r="B104" s="32" t="s">
        <v>311</v>
      </c>
      <c r="C104" s="26" t="e">
        <f t="shared" si="54"/>
        <v>#REF!</v>
      </c>
      <c r="D104" s="26" t="e">
        <f t="shared" si="55"/>
        <v>#REF!</v>
      </c>
      <c r="E104" s="12" t="e">
        <f t="shared" si="56"/>
        <v>#REF!</v>
      </c>
      <c r="F104" s="26"/>
      <c r="G104" s="26" t="e">
        <f t="shared" si="57"/>
        <v>#REF!</v>
      </c>
      <c r="H104" s="26" t="e">
        <f t="shared" si="58"/>
        <v>#REF!</v>
      </c>
      <c r="I104" s="12" t="e">
        <f t="shared" si="59"/>
        <v>#REF!</v>
      </c>
      <c r="J104" s="26"/>
      <c r="K104" s="26" t="e">
        <f t="shared" si="60"/>
        <v>#REF!</v>
      </c>
      <c r="L104" s="26" t="e">
        <f t="shared" si="61"/>
        <v>#REF!</v>
      </c>
      <c r="M104" s="12" t="e">
        <f t="shared" si="62"/>
        <v>#REF!</v>
      </c>
      <c r="N104" s="12"/>
      <c r="O104" s="26" t="e">
        <f t="shared" si="63"/>
        <v>#REF!</v>
      </c>
      <c r="P104" s="26" t="e">
        <f t="shared" si="64"/>
        <v>#REF!</v>
      </c>
      <c r="Q104" s="12" t="e">
        <f t="shared" si="65"/>
        <v>#REF!</v>
      </c>
      <c r="R104" s="12"/>
      <c r="S104" s="26" t="e">
        <f t="shared" si="66"/>
        <v>#REF!</v>
      </c>
      <c r="T104" s="26" t="e">
        <f t="shared" si="67"/>
        <v>#REF!</v>
      </c>
      <c r="U104" s="12" t="e">
        <f t="shared" si="68"/>
        <v>#REF!</v>
      </c>
      <c r="V104" s="12"/>
      <c r="W104" s="44" t="e">
        <f t="shared" si="69"/>
        <v>#REF!</v>
      </c>
      <c r="X104" s="26" t="e">
        <f t="shared" si="70"/>
        <v>#REF!</v>
      </c>
      <c r="Y104" s="12" t="e">
        <f t="shared" si="71"/>
        <v>#REF!</v>
      </c>
    </row>
    <row r="105" spans="1:25" ht="16.5" customHeight="1">
      <c r="A105" s="16" t="s">
        <v>88</v>
      </c>
      <c r="B105" s="32" t="s">
        <v>89</v>
      </c>
      <c r="C105" s="26" t="e">
        <f t="shared" si="54"/>
        <v>#REF!</v>
      </c>
      <c r="D105" s="26" t="e">
        <f t="shared" si="55"/>
        <v>#REF!</v>
      </c>
      <c r="E105" s="12" t="e">
        <f t="shared" si="56"/>
        <v>#REF!</v>
      </c>
      <c r="F105" s="26"/>
      <c r="G105" s="26" t="e">
        <f t="shared" si="57"/>
        <v>#REF!</v>
      </c>
      <c r="H105" s="26" t="e">
        <f t="shared" si="58"/>
        <v>#REF!</v>
      </c>
      <c r="I105" s="12" t="e">
        <f t="shared" si="59"/>
        <v>#REF!</v>
      </c>
      <c r="J105" s="26"/>
      <c r="K105" s="26" t="e">
        <f t="shared" si="60"/>
        <v>#REF!</v>
      </c>
      <c r="L105" s="26" t="e">
        <f t="shared" si="61"/>
        <v>#REF!</v>
      </c>
      <c r="M105" s="12" t="e">
        <f t="shared" si="62"/>
        <v>#REF!</v>
      </c>
      <c r="N105" s="12"/>
      <c r="O105" s="26" t="e">
        <f t="shared" si="63"/>
        <v>#REF!</v>
      </c>
      <c r="P105" s="26" t="e">
        <f t="shared" si="64"/>
        <v>#REF!</v>
      </c>
      <c r="Q105" s="12" t="e">
        <f t="shared" si="65"/>
        <v>#REF!</v>
      </c>
      <c r="R105" s="12"/>
      <c r="S105" s="26" t="e">
        <f t="shared" si="66"/>
        <v>#REF!</v>
      </c>
      <c r="T105" s="26" t="e">
        <f t="shared" si="67"/>
        <v>#REF!</v>
      </c>
      <c r="U105" s="12" t="e">
        <f t="shared" si="68"/>
        <v>#REF!</v>
      </c>
      <c r="V105" s="12"/>
      <c r="W105" s="44" t="e">
        <f t="shared" si="69"/>
        <v>#REF!</v>
      </c>
      <c r="X105" s="26" t="e">
        <f t="shared" si="70"/>
        <v>#REF!</v>
      </c>
      <c r="Y105" s="12" t="e">
        <f t="shared" si="71"/>
        <v>#REF!</v>
      </c>
    </row>
    <row r="106" spans="1:25" ht="16.5" customHeight="1">
      <c r="A106" s="16" t="s">
        <v>90</v>
      </c>
      <c r="B106" s="32" t="s">
        <v>91</v>
      </c>
      <c r="C106" s="26" t="e">
        <f t="shared" si="54"/>
        <v>#REF!</v>
      </c>
      <c r="D106" s="26" t="e">
        <f t="shared" si="55"/>
        <v>#REF!</v>
      </c>
      <c r="E106" s="12" t="e">
        <f t="shared" si="56"/>
        <v>#REF!</v>
      </c>
      <c r="F106" s="26"/>
      <c r="G106" s="26" t="e">
        <f t="shared" si="57"/>
        <v>#REF!</v>
      </c>
      <c r="H106" s="26" t="e">
        <f t="shared" si="58"/>
        <v>#REF!</v>
      </c>
      <c r="I106" s="12" t="e">
        <f t="shared" si="59"/>
        <v>#REF!</v>
      </c>
      <c r="J106" s="26"/>
      <c r="K106" s="26" t="e">
        <f t="shared" si="60"/>
        <v>#REF!</v>
      </c>
      <c r="L106" s="26" t="e">
        <f t="shared" si="61"/>
        <v>#REF!</v>
      </c>
      <c r="M106" s="12" t="e">
        <f t="shared" si="62"/>
        <v>#REF!</v>
      </c>
      <c r="N106" s="12"/>
      <c r="O106" s="26" t="e">
        <f t="shared" si="63"/>
        <v>#REF!</v>
      </c>
      <c r="P106" s="26" t="e">
        <f t="shared" si="64"/>
        <v>#REF!</v>
      </c>
      <c r="Q106" s="12" t="e">
        <f t="shared" si="65"/>
        <v>#REF!</v>
      </c>
      <c r="R106" s="12"/>
      <c r="S106" s="26" t="e">
        <f t="shared" si="66"/>
        <v>#REF!</v>
      </c>
      <c r="T106" s="26" t="e">
        <f t="shared" si="67"/>
        <v>#REF!</v>
      </c>
      <c r="U106" s="12" t="e">
        <f t="shared" si="68"/>
        <v>#REF!</v>
      </c>
      <c r="V106" s="12"/>
      <c r="W106" s="44" t="e">
        <f t="shared" si="69"/>
        <v>#REF!</v>
      </c>
      <c r="X106" s="26" t="e">
        <f t="shared" si="70"/>
        <v>#REF!</v>
      </c>
      <c r="Y106" s="12" t="e">
        <f t="shared" si="71"/>
        <v>#REF!</v>
      </c>
    </row>
    <row r="107" spans="1:25" ht="16.5" customHeight="1">
      <c r="A107" s="16" t="s">
        <v>106</v>
      </c>
      <c r="B107" s="17" t="s">
        <v>107</v>
      </c>
      <c r="C107" s="26" t="e">
        <f t="shared" si="54"/>
        <v>#REF!</v>
      </c>
      <c r="D107" s="26" t="e">
        <f t="shared" si="55"/>
        <v>#REF!</v>
      </c>
      <c r="E107" s="12" t="e">
        <f t="shared" si="56"/>
        <v>#REF!</v>
      </c>
      <c r="F107" s="26"/>
      <c r="G107" s="26" t="e">
        <f t="shared" si="57"/>
        <v>#REF!</v>
      </c>
      <c r="H107" s="26" t="e">
        <f t="shared" si="58"/>
        <v>#REF!</v>
      </c>
      <c r="I107" s="12" t="e">
        <f t="shared" si="59"/>
        <v>#REF!</v>
      </c>
      <c r="J107" s="26"/>
      <c r="K107" s="26" t="e">
        <f t="shared" si="60"/>
        <v>#REF!</v>
      </c>
      <c r="L107" s="26" t="e">
        <f t="shared" si="61"/>
        <v>#REF!</v>
      </c>
      <c r="M107" s="12" t="e">
        <f t="shared" si="62"/>
        <v>#REF!</v>
      </c>
      <c r="N107" s="12"/>
      <c r="O107" s="26" t="e">
        <f t="shared" si="63"/>
        <v>#REF!</v>
      </c>
      <c r="P107" s="26" t="e">
        <f t="shared" si="64"/>
        <v>#REF!</v>
      </c>
      <c r="Q107" s="12" t="e">
        <f t="shared" si="65"/>
        <v>#REF!</v>
      </c>
      <c r="R107" s="12"/>
      <c r="S107" s="26" t="e">
        <f t="shared" si="66"/>
        <v>#REF!</v>
      </c>
      <c r="T107" s="26" t="e">
        <f t="shared" si="67"/>
        <v>#REF!</v>
      </c>
      <c r="U107" s="12" t="e">
        <f t="shared" si="68"/>
        <v>#REF!</v>
      </c>
      <c r="V107" s="12"/>
      <c r="W107" s="44" t="e">
        <f t="shared" si="69"/>
        <v>#REF!</v>
      </c>
      <c r="X107" s="26" t="e">
        <f t="shared" si="70"/>
        <v>#REF!</v>
      </c>
      <c r="Y107" s="12" t="e">
        <f t="shared" si="71"/>
        <v>#REF!</v>
      </c>
    </row>
    <row r="108" spans="1:25" ht="16.5" customHeight="1">
      <c r="A108" s="16" t="s">
        <v>116</v>
      </c>
      <c r="B108" s="32" t="s">
        <v>117</v>
      </c>
      <c r="C108" s="26" t="e">
        <f t="shared" si="54"/>
        <v>#REF!</v>
      </c>
      <c r="D108" s="26" t="e">
        <f t="shared" si="55"/>
        <v>#REF!</v>
      </c>
      <c r="E108" s="12" t="e">
        <f t="shared" si="56"/>
        <v>#REF!</v>
      </c>
      <c r="F108" s="26"/>
      <c r="G108" s="26" t="e">
        <f t="shared" si="57"/>
        <v>#REF!</v>
      </c>
      <c r="H108" s="26" t="e">
        <f t="shared" si="58"/>
        <v>#REF!</v>
      </c>
      <c r="I108" s="12" t="e">
        <f t="shared" si="59"/>
        <v>#REF!</v>
      </c>
      <c r="J108" s="26"/>
      <c r="K108" s="26" t="e">
        <f t="shared" si="60"/>
        <v>#REF!</v>
      </c>
      <c r="L108" s="26" t="e">
        <f t="shared" si="61"/>
        <v>#REF!</v>
      </c>
      <c r="M108" s="12" t="e">
        <f t="shared" si="62"/>
        <v>#REF!</v>
      </c>
      <c r="N108" s="12"/>
      <c r="O108" s="26" t="e">
        <f t="shared" si="63"/>
        <v>#REF!</v>
      </c>
      <c r="P108" s="26" t="e">
        <f t="shared" si="64"/>
        <v>#REF!</v>
      </c>
      <c r="Q108" s="12" t="e">
        <f t="shared" si="65"/>
        <v>#REF!</v>
      </c>
      <c r="R108" s="12"/>
      <c r="S108" s="26" t="e">
        <f t="shared" si="66"/>
        <v>#REF!</v>
      </c>
      <c r="T108" s="26" t="e">
        <f t="shared" si="67"/>
        <v>#REF!</v>
      </c>
      <c r="U108" s="12" t="e">
        <f t="shared" si="68"/>
        <v>#REF!</v>
      </c>
      <c r="V108" s="12"/>
      <c r="W108" s="44" t="e">
        <f t="shared" si="69"/>
        <v>#REF!</v>
      </c>
      <c r="X108" s="26" t="e">
        <f t="shared" si="70"/>
        <v>#REF!</v>
      </c>
      <c r="Y108" s="12" t="e">
        <f t="shared" si="71"/>
        <v>#REF!</v>
      </c>
    </row>
    <row r="109" spans="1:25" ht="16.5" customHeight="1">
      <c r="A109" s="16" t="s">
        <v>138</v>
      </c>
      <c r="B109" s="32" t="s">
        <v>139</v>
      </c>
      <c r="C109" s="26" t="e">
        <f t="shared" si="54"/>
        <v>#REF!</v>
      </c>
      <c r="D109" s="26" t="e">
        <f t="shared" si="55"/>
        <v>#REF!</v>
      </c>
      <c r="E109" s="12" t="e">
        <f t="shared" si="56"/>
        <v>#REF!</v>
      </c>
      <c r="F109" s="26"/>
      <c r="G109" s="26" t="e">
        <f t="shared" si="57"/>
        <v>#REF!</v>
      </c>
      <c r="H109" s="26" t="e">
        <f t="shared" si="58"/>
        <v>#REF!</v>
      </c>
      <c r="I109" s="12" t="e">
        <f t="shared" si="59"/>
        <v>#REF!</v>
      </c>
      <c r="J109" s="26"/>
      <c r="K109" s="26" t="e">
        <f t="shared" si="60"/>
        <v>#REF!</v>
      </c>
      <c r="L109" s="26" t="e">
        <f t="shared" si="61"/>
        <v>#REF!</v>
      </c>
      <c r="M109" s="12" t="e">
        <f t="shared" si="62"/>
        <v>#REF!</v>
      </c>
      <c r="N109" s="12"/>
      <c r="O109" s="26" t="e">
        <f t="shared" si="63"/>
        <v>#REF!</v>
      </c>
      <c r="P109" s="26" t="e">
        <f t="shared" si="64"/>
        <v>#REF!</v>
      </c>
      <c r="Q109" s="12" t="e">
        <f t="shared" si="65"/>
        <v>#REF!</v>
      </c>
      <c r="R109" s="12"/>
      <c r="S109" s="26" t="e">
        <f t="shared" si="66"/>
        <v>#REF!</v>
      </c>
      <c r="T109" s="26" t="e">
        <f t="shared" si="67"/>
        <v>#REF!</v>
      </c>
      <c r="U109" s="12" t="e">
        <f t="shared" si="68"/>
        <v>#REF!</v>
      </c>
      <c r="V109" s="12"/>
      <c r="W109" s="44" t="e">
        <f t="shared" si="69"/>
        <v>#REF!</v>
      </c>
      <c r="X109" s="26" t="e">
        <f t="shared" si="70"/>
        <v>#REF!</v>
      </c>
      <c r="Y109" s="12" t="e">
        <f t="shared" si="71"/>
        <v>#REF!</v>
      </c>
    </row>
    <row r="110" spans="1:25" ht="16.5" customHeight="1">
      <c r="A110" s="16" t="s">
        <v>142</v>
      </c>
      <c r="B110" s="17" t="s">
        <v>143</v>
      </c>
      <c r="C110" s="26" t="e">
        <f t="shared" si="54"/>
        <v>#REF!</v>
      </c>
      <c r="D110" s="26" t="e">
        <f t="shared" si="55"/>
        <v>#REF!</v>
      </c>
      <c r="E110" s="12" t="e">
        <f t="shared" si="56"/>
        <v>#REF!</v>
      </c>
      <c r="F110" s="26"/>
      <c r="G110" s="26" t="e">
        <f t="shared" si="57"/>
        <v>#REF!</v>
      </c>
      <c r="H110" s="26" t="e">
        <f t="shared" si="58"/>
        <v>#REF!</v>
      </c>
      <c r="I110" s="12" t="e">
        <f t="shared" si="59"/>
        <v>#REF!</v>
      </c>
      <c r="J110" s="26"/>
      <c r="K110" s="26" t="e">
        <f t="shared" si="60"/>
        <v>#REF!</v>
      </c>
      <c r="L110" s="26" t="e">
        <f t="shared" si="61"/>
        <v>#REF!</v>
      </c>
      <c r="M110" s="12" t="e">
        <f t="shared" si="62"/>
        <v>#REF!</v>
      </c>
      <c r="N110" s="12"/>
      <c r="O110" s="26" t="e">
        <f t="shared" si="63"/>
        <v>#REF!</v>
      </c>
      <c r="P110" s="26" t="e">
        <f t="shared" si="64"/>
        <v>#REF!</v>
      </c>
      <c r="Q110" s="12" t="e">
        <f t="shared" si="65"/>
        <v>#REF!</v>
      </c>
      <c r="R110" s="12"/>
      <c r="S110" s="26" t="e">
        <f t="shared" si="66"/>
        <v>#REF!</v>
      </c>
      <c r="T110" s="26" t="e">
        <f t="shared" si="67"/>
        <v>#REF!</v>
      </c>
      <c r="U110" s="12" t="e">
        <f t="shared" si="68"/>
        <v>#REF!</v>
      </c>
      <c r="V110" s="12"/>
      <c r="W110" s="44" t="e">
        <f t="shared" si="69"/>
        <v>#REF!</v>
      </c>
      <c r="X110" s="26" t="e">
        <f t="shared" si="70"/>
        <v>#REF!</v>
      </c>
      <c r="Y110" s="12" t="e">
        <f t="shared" si="71"/>
        <v>#REF!</v>
      </c>
    </row>
    <row r="111" spans="1:25" ht="16.5" customHeight="1">
      <c r="A111" s="16" t="s">
        <v>144</v>
      </c>
      <c r="B111" s="17" t="s">
        <v>145</v>
      </c>
      <c r="C111" s="26" t="e">
        <f t="shared" si="54"/>
        <v>#REF!</v>
      </c>
      <c r="D111" s="26" t="e">
        <f t="shared" si="55"/>
        <v>#REF!</v>
      </c>
      <c r="E111" s="12" t="e">
        <f t="shared" si="56"/>
        <v>#REF!</v>
      </c>
      <c r="F111" s="26"/>
      <c r="G111" s="26" t="e">
        <f t="shared" si="57"/>
        <v>#REF!</v>
      </c>
      <c r="H111" s="26" t="e">
        <f t="shared" si="58"/>
        <v>#REF!</v>
      </c>
      <c r="I111" s="12" t="e">
        <f t="shared" si="59"/>
        <v>#REF!</v>
      </c>
      <c r="J111" s="26"/>
      <c r="K111" s="26" t="e">
        <f t="shared" si="60"/>
        <v>#REF!</v>
      </c>
      <c r="L111" s="26" t="e">
        <f t="shared" si="61"/>
        <v>#REF!</v>
      </c>
      <c r="M111" s="12" t="e">
        <f t="shared" si="62"/>
        <v>#REF!</v>
      </c>
      <c r="N111" s="12"/>
      <c r="O111" s="26" t="e">
        <f t="shared" si="63"/>
        <v>#REF!</v>
      </c>
      <c r="P111" s="26" t="e">
        <f t="shared" si="64"/>
        <v>#REF!</v>
      </c>
      <c r="Q111" s="12" t="e">
        <f t="shared" si="65"/>
        <v>#REF!</v>
      </c>
      <c r="R111" s="12"/>
      <c r="S111" s="26" t="e">
        <f t="shared" si="66"/>
        <v>#REF!</v>
      </c>
      <c r="T111" s="26" t="e">
        <f t="shared" si="67"/>
        <v>#REF!</v>
      </c>
      <c r="U111" s="12" t="e">
        <f t="shared" si="68"/>
        <v>#REF!</v>
      </c>
      <c r="V111" s="12"/>
      <c r="W111" s="44" t="e">
        <f t="shared" si="69"/>
        <v>#REF!</v>
      </c>
      <c r="X111" s="26" t="e">
        <f t="shared" si="70"/>
        <v>#REF!</v>
      </c>
      <c r="Y111" s="12" t="e">
        <f t="shared" si="71"/>
        <v>#REF!</v>
      </c>
    </row>
    <row r="112" spans="1:25" ht="16.5" customHeight="1">
      <c r="A112" s="16" t="s">
        <v>158</v>
      </c>
      <c r="B112" s="17" t="s">
        <v>159</v>
      </c>
      <c r="C112" s="26" t="e">
        <f t="shared" si="54"/>
        <v>#REF!</v>
      </c>
      <c r="D112" s="26" t="e">
        <f t="shared" si="55"/>
        <v>#REF!</v>
      </c>
      <c r="E112" s="12" t="e">
        <f t="shared" si="56"/>
        <v>#REF!</v>
      </c>
      <c r="F112" s="26"/>
      <c r="G112" s="26" t="e">
        <f t="shared" si="57"/>
        <v>#REF!</v>
      </c>
      <c r="H112" s="26" t="e">
        <f t="shared" si="58"/>
        <v>#REF!</v>
      </c>
      <c r="I112" s="12" t="e">
        <f t="shared" si="59"/>
        <v>#REF!</v>
      </c>
      <c r="J112" s="26"/>
      <c r="K112" s="26" t="e">
        <f t="shared" si="60"/>
        <v>#REF!</v>
      </c>
      <c r="L112" s="26" t="e">
        <f t="shared" si="61"/>
        <v>#REF!</v>
      </c>
      <c r="M112" s="12" t="e">
        <f t="shared" si="62"/>
        <v>#REF!</v>
      </c>
      <c r="N112" s="12"/>
      <c r="O112" s="26" t="e">
        <f t="shared" si="63"/>
        <v>#REF!</v>
      </c>
      <c r="P112" s="26" t="e">
        <f t="shared" si="64"/>
        <v>#REF!</v>
      </c>
      <c r="Q112" s="12" t="e">
        <f t="shared" si="65"/>
        <v>#REF!</v>
      </c>
      <c r="R112" s="12"/>
      <c r="S112" s="26" t="e">
        <f t="shared" si="66"/>
        <v>#REF!</v>
      </c>
      <c r="T112" s="26" t="e">
        <f t="shared" si="67"/>
        <v>#REF!</v>
      </c>
      <c r="U112" s="12" t="e">
        <f t="shared" si="68"/>
        <v>#REF!</v>
      </c>
      <c r="V112" s="12"/>
      <c r="W112" s="44" t="e">
        <f t="shared" si="69"/>
        <v>#REF!</v>
      </c>
      <c r="X112" s="26" t="e">
        <f t="shared" si="70"/>
        <v>#REF!</v>
      </c>
      <c r="Y112" s="12" t="e">
        <f t="shared" si="71"/>
        <v>#REF!</v>
      </c>
    </row>
    <row r="113" spans="1:25" ht="16.5" customHeight="1">
      <c r="A113" s="16" t="s">
        <v>160</v>
      </c>
      <c r="B113" s="17" t="s">
        <v>161</v>
      </c>
      <c r="C113" s="26" t="e">
        <f t="shared" si="54"/>
        <v>#REF!</v>
      </c>
      <c r="D113" s="26" t="e">
        <f t="shared" si="55"/>
        <v>#REF!</v>
      </c>
      <c r="E113" s="12" t="e">
        <f t="shared" si="56"/>
        <v>#REF!</v>
      </c>
      <c r="F113" s="26"/>
      <c r="G113" s="26" t="e">
        <f t="shared" si="57"/>
        <v>#REF!</v>
      </c>
      <c r="H113" s="26" t="e">
        <f t="shared" si="58"/>
        <v>#REF!</v>
      </c>
      <c r="I113" s="12" t="e">
        <f t="shared" si="59"/>
        <v>#REF!</v>
      </c>
      <c r="J113" s="26"/>
      <c r="K113" s="26" t="e">
        <f t="shared" si="60"/>
        <v>#REF!</v>
      </c>
      <c r="L113" s="26" t="e">
        <f t="shared" si="61"/>
        <v>#REF!</v>
      </c>
      <c r="M113" s="12" t="e">
        <f t="shared" si="62"/>
        <v>#REF!</v>
      </c>
      <c r="N113" s="12"/>
      <c r="O113" s="26" t="e">
        <f t="shared" si="63"/>
        <v>#REF!</v>
      </c>
      <c r="P113" s="26" t="e">
        <f t="shared" si="64"/>
        <v>#REF!</v>
      </c>
      <c r="Q113" s="12" t="e">
        <f t="shared" si="65"/>
        <v>#REF!</v>
      </c>
      <c r="R113" s="12"/>
      <c r="S113" s="26" t="e">
        <f t="shared" si="66"/>
        <v>#REF!</v>
      </c>
      <c r="T113" s="26" t="e">
        <f t="shared" si="67"/>
        <v>#REF!</v>
      </c>
      <c r="U113" s="12" t="e">
        <f t="shared" si="68"/>
        <v>#REF!</v>
      </c>
      <c r="V113" s="12"/>
      <c r="W113" s="44" t="e">
        <f t="shared" si="69"/>
        <v>#REF!</v>
      </c>
      <c r="X113" s="26" t="e">
        <f t="shared" si="70"/>
        <v>#REF!</v>
      </c>
      <c r="Y113" s="12" t="e">
        <f t="shared" si="71"/>
        <v>#REF!</v>
      </c>
    </row>
    <row r="114" spans="1:25" ht="16.5" customHeight="1">
      <c r="A114" s="16" t="s">
        <v>166</v>
      </c>
      <c r="B114" s="32" t="s">
        <v>167</v>
      </c>
      <c r="C114" s="26" t="e">
        <f t="shared" si="54"/>
        <v>#REF!</v>
      </c>
      <c r="D114" s="26" t="e">
        <f t="shared" si="55"/>
        <v>#REF!</v>
      </c>
      <c r="E114" s="12" t="e">
        <f t="shared" si="56"/>
        <v>#REF!</v>
      </c>
      <c r="F114" s="26"/>
      <c r="G114" s="26" t="e">
        <f t="shared" si="57"/>
        <v>#REF!</v>
      </c>
      <c r="H114" s="26" t="e">
        <f t="shared" si="58"/>
        <v>#REF!</v>
      </c>
      <c r="I114" s="12" t="e">
        <f t="shared" si="59"/>
        <v>#REF!</v>
      </c>
      <c r="J114" s="26"/>
      <c r="K114" s="26" t="e">
        <f t="shared" si="60"/>
        <v>#REF!</v>
      </c>
      <c r="L114" s="26" t="e">
        <f t="shared" si="61"/>
        <v>#REF!</v>
      </c>
      <c r="M114" s="12" t="e">
        <f t="shared" si="62"/>
        <v>#REF!</v>
      </c>
      <c r="N114" s="12"/>
      <c r="O114" s="26" t="e">
        <f t="shared" si="63"/>
        <v>#REF!</v>
      </c>
      <c r="P114" s="26" t="e">
        <f t="shared" si="64"/>
        <v>#REF!</v>
      </c>
      <c r="Q114" s="12" t="e">
        <f t="shared" si="65"/>
        <v>#REF!</v>
      </c>
      <c r="R114" s="12"/>
      <c r="S114" s="26" t="e">
        <f t="shared" si="66"/>
        <v>#REF!</v>
      </c>
      <c r="T114" s="26" t="e">
        <f t="shared" si="67"/>
        <v>#REF!</v>
      </c>
      <c r="U114" s="12" t="e">
        <f t="shared" si="68"/>
        <v>#REF!</v>
      </c>
      <c r="V114" s="12"/>
      <c r="W114" s="44" t="e">
        <f t="shared" si="69"/>
        <v>#REF!</v>
      </c>
      <c r="X114" s="26" t="e">
        <f t="shared" si="70"/>
        <v>#REF!</v>
      </c>
      <c r="Y114" s="12" t="e">
        <f t="shared" si="71"/>
        <v>#REF!</v>
      </c>
    </row>
    <row r="115" spans="1:25" ht="16.5" customHeight="1">
      <c r="A115" s="16" t="s">
        <v>176</v>
      </c>
      <c r="B115" s="32" t="s">
        <v>177</v>
      </c>
      <c r="C115" s="26" t="e">
        <f t="shared" si="54"/>
        <v>#REF!</v>
      </c>
      <c r="D115" s="26" t="e">
        <f t="shared" si="55"/>
        <v>#REF!</v>
      </c>
      <c r="E115" s="12" t="e">
        <f t="shared" si="56"/>
        <v>#REF!</v>
      </c>
      <c r="F115" s="26"/>
      <c r="G115" s="26" t="e">
        <f t="shared" si="57"/>
        <v>#REF!</v>
      </c>
      <c r="H115" s="26" t="e">
        <f t="shared" si="58"/>
        <v>#REF!</v>
      </c>
      <c r="I115" s="12" t="e">
        <f t="shared" si="59"/>
        <v>#REF!</v>
      </c>
      <c r="J115" s="26"/>
      <c r="K115" s="26" t="e">
        <f t="shared" si="60"/>
        <v>#REF!</v>
      </c>
      <c r="L115" s="26" t="e">
        <f t="shared" si="61"/>
        <v>#REF!</v>
      </c>
      <c r="M115" s="12" t="e">
        <f t="shared" si="62"/>
        <v>#REF!</v>
      </c>
      <c r="N115" s="12"/>
      <c r="O115" s="26" t="e">
        <f t="shared" si="63"/>
        <v>#REF!</v>
      </c>
      <c r="P115" s="26" t="e">
        <f t="shared" si="64"/>
        <v>#REF!</v>
      </c>
      <c r="Q115" s="12" t="e">
        <f t="shared" si="65"/>
        <v>#REF!</v>
      </c>
      <c r="R115" s="12"/>
      <c r="S115" s="26" t="e">
        <f t="shared" si="66"/>
        <v>#REF!</v>
      </c>
      <c r="T115" s="26" t="e">
        <f t="shared" si="67"/>
        <v>#REF!</v>
      </c>
      <c r="U115" s="12" t="e">
        <f t="shared" si="68"/>
        <v>#REF!</v>
      </c>
      <c r="V115" s="12"/>
      <c r="W115" s="44" t="e">
        <f t="shared" si="69"/>
        <v>#REF!</v>
      </c>
      <c r="X115" s="26" t="e">
        <f t="shared" si="70"/>
        <v>#REF!</v>
      </c>
      <c r="Y115" s="12" t="e">
        <f t="shared" si="71"/>
        <v>#REF!</v>
      </c>
    </row>
    <row r="116" spans="1:25" ht="16.5" customHeight="1">
      <c r="A116" s="16" t="s">
        <v>180</v>
      </c>
      <c r="B116" s="32" t="s">
        <v>181</v>
      </c>
      <c r="C116" s="26" t="e">
        <f t="shared" si="54"/>
        <v>#REF!</v>
      </c>
      <c r="D116" s="26" t="e">
        <f t="shared" si="55"/>
        <v>#REF!</v>
      </c>
      <c r="E116" s="12" t="e">
        <f t="shared" si="56"/>
        <v>#REF!</v>
      </c>
      <c r="F116" s="26"/>
      <c r="G116" s="26" t="e">
        <f t="shared" si="57"/>
        <v>#REF!</v>
      </c>
      <c r="H116" s="26" t="e">
        <f t="shared" si="58"/>
        <v>#REF!</v>
      </c>
      <c r="I116" s="12" t="e">
        <f t="shared" si="59"/>
        <v>#REF!</v>
      </c>
      <c r="J116" s="26"/>
      <c r="K116" s="26" t="e">
        <f t="shared" si="60"/>
        <v>#REF!</v>
      </c>
      <c r="L116" s="26" t="e">
        <f t="shared" si="61"/>
        <v>#REF!</v>
      </c>
      <c r="M116" s="12" t="e">
        <f t="shared" si="62"/>
        <v>#REF!</v>
      </c>
      <c r="N116" s="12"/>
      <c r="O116" s="26" t="e">
        <f t="shared" si="63"/>
        <v>#REF!</v>
      </c>
      <c r="P116" s="26" t="e">
        <f t="shared" si="64"/>
        <v>#REF!</v>
      </c>
      <c r="Q116" s="12" t="e">
        <f t="shared" si="65"/>
        <v>#REF!</v>
      </c>
      <c r="R116" s="12"/>
      <c r="S116" s="26" t="e">
        <f t="shared" si="66"/>
        <v>#REF!</v>
      </c>
      <c r="T116" s="26" t="e">
        <f t="shared" si="67"/>
        <v>#REF!</v>
      </c>
      <c r="U116" s="12" t="e">
        <f t="shared" si="68"/>
        <v>#REF!</v>
      </c>
      <c r="V116" s="12"/>
      <c r="W116" s="44" t="e">
        <f t="shared" si="69"/>
        <v>#REF!</v>
      </c>
      <c r="X116" s="26" t="e">
        <f t="shared" si="70"/>
        <v>#REF!</v>
      </c>
      <c r="Y116" s="12" t="e">
        <f t="shared" si="71"/>
        <v>#REF!</v>
      </c>
    </row>
    <row r="117" spans="1:25" ht="16.5" customHeight="1">
      <c r="A117" s="16" t="s">
        <v>192</v>
      </c>
      <c r="B117" s="17" t="s">
        <v>193</v>
      </c>
      <c r="C117" s="26" t="e">
        <f t="shared" si="54"/>
        <v>#REF!</v>
      </c>
      <c r="D117" s="26" t="e">
        <f t="shared" si="55"/>
        <v>#REF!</v>
      </c>
      <c r="E117" s="12" t="e">
        <f t="shared" si="56"/>
        <v>#REF!</v>
      </c>
      <c r="F117" s="26"/>
      <c r="G117" s="26" t="e">
        <f t="shared" si="57"/>
        <v>#REF!</v>
      </c>
      <c r="H117" s="26" t="e">
        <f t="shared" si="58"/>
        <v>#REF!</v>
      </c>
      <c r="I117" s="12" t="e">
        <f t="shared" si="59"/>
        <v>#REF!</v>
      </c>
      <c r="J117" s="26"/>
      <c r="K117" s="26" t="e">
        <f t="shared" si="60"/>
        <v>#REF!</v>
      </c>
      <c r="L117" s="26" t="e">
        <f t="shared" si="61"/>
        <v>#REF!</v>
      </c>
      <c r="M117" s="12" t="e">
        <f t="shared" si="62"/>
        <v>#REF!</v>
      </c>
      <c r="N117" s="12"/>
      <c r="O117" s="26" t="e">
        <f t="shared" si="63"/>
        <v>#REF!</v>
      </c>
      <c r="P117" s="26" t="e">
        <f t="shared" si="64"/>
        <v>#REF!</v>
      </c>
      <c r="Q117" s="12" t="e">
        <f t="shared" si="65"/>
        <v>#REF!</v>
      </c>
      <c r="R117" s="12"/>
      <c r="S117" s="26" t="e">
        <f t="shared" si="66"/>
        <v>#REF!</v>
      </c>
      <c r="T117" s="26" t="e">
        <f t="shared" si="67"/>
        <v>#REF!</v>
      </c>
      <c r="U117" s="12" t="e">
        <f t="shared" si="68"/>
        <v>#REF!</v>
      </c>
      <c r="V117" s="12"/>
      <c r="W117" s="44" t="e">
        <f t="shared" si="69"/>
        <v>#REF!</v>
      </c>
      <c r="X117" s="26" t="e">
        <f t="shared" si="70"/>
        <v>#REF!</v>
      </c>
      <c r="Y117" s="12" t="e">
        <f t="shared" si="71"/>
        <v>#REF!</v>
      </c>
    </row>
    <row r="118" spans="1:25" ht="16.5" customHeight="1">
      <c r="A118" s="16" t="s">
        <v>196</v>
      </c>
      <c r="B118" s="32" t="s">
        <v>312</v>
      </c>
      <c r="C118" s="26" t="e">
        <f t="shared" si="54"/>
        <v>#REF!</v>
      </c>
      <c r="D118" s="26" t="e">
        <f t="shared" si="55"/>
        <v>#REF!</v>
      </c>
      <c r="E118" s="12" t="e">
        <f t="shared" si="56"/>
        <v>#REF!</v>
      </c>
      <c r="F118" s="26"/>
      <c r="G118" s="26" t="e">
        <f t="shared" si="57"/>
        <v>#REF!</v>
      </c>
      <c r="H118" s="26" t="e">
        <f t="shared" si="58"/>
        <v>#REF!</v>
      </c>
      <c r="I118" s="12" t="e">
        <f t="shared" si="59"/>
        <v>#REF!</v>
      </c>
      <c r="J118" s="26"/>
      <c r="K118" s="26" t="e">
        <f t="shared" si="60"/>
        <v>#REF!</v>
      </c>
      <c r="L118" s="26" t="e">
        <f t="shared" si="61"/>
        <v>#REF!</v>
      </c>
      <c r="M118" s="12" t="e">
        <f t="shared" si="62"/>
        <v>#REF!</v>
      </c>
      <c r="N118" s="12"/>
      <c r="O118" s="26" t="e">
        <f t="shared" si="63"/>
        <v>#REF!</v>
      </c>
      <c r="P118" s="26" t="e">
        <f t="shared" si="64"/>
        <v>#REF!</v>
      </c>
      <c r="Q118" s="12" t="e">
        <f t="shared" si="65"/>
        <v>#REF!</v>
      </c>
      <c r="R118" s="12"/>
      <c r="S118" s="26" t="e">
        <f t="shared" si="66"/>
        <v>#REF!</v>
      </c>
      <c r="T118" s="26" t="e">
        <f t="shared" si="67"/>
        <v>#REF!</v>
      </c>
      <c r="U118" s="12" t="e">
        <f t="shared" si="68"/>
        <v>#REF!</v>
      </c>
      <c r="V118" s="12"/>
      <c r="W118" s="44" t="e">
        <f t="shared" si="69"/>
        <v>#REF!</v>
      </c>
      <c r="X118" s="26" t="e">
        <f t="shared" si="70"/>
        <v>#REF!</v>
      </c>
      <c r="Y118" s="12" t="e">
        <f t="shared" si="71"/>
        <v>#REF!</v>
      </c>
    </row>
    <row r="119" spans="1:25" ht="16.5" customHeight="1">
      <c r="A119" s="16" t="s">
        <v>200</v>
      </c>
      <c r="B119" s="32" t="s">
        <v>313</v>
      </c>
      <c r="C119" s="26" t="e">
        <f t="shared" si="54"/>
        <v>#REF!</v>
      </c>
      <c r="D119" s="26" t="e">
        <f t="shared" si="55"/>
        <v>#REF!</v>
      </c>
      <c r="E119" s="12" t="e">
        <f t="shared" si="56"/>
        <v>#REF!</v>
      </c>
      <c r="F119" s="26"/>
      <c r="G119" s="26" t="e">
        <f t="shared" si="57"/>
        <v>#REF!</v>
      </c>
      <c r="H119" s="26" t="e">
        <f t="shared" si="58"/>
        <v>#REF!</v>
      </c>
      <c r="I119" s="12" t="e">
        <f t="shared" si="59"/>
        <v>#REF!</v>
      </c>
      <c r="J119" s="26"/>
      <c r="K119" s="26" t="e">
        <f t="shared" si="60"/>
        <v>#REF!</v>
      </c>
      <c r="L119" s="26" t="e">
        <f t="shared" si="61"/>
        <v>#REF!</v>
      </c>
      <c r="M119" s="12" t="e">
        <f t="shared" si="62"/>
        <v>#REF!</v>
      </c>
      <c r="N119" s="12"/>
      <c r="O119" s="26" t="e">
        <f t="shared" si="63"/>
        <v>#REF!</v>
      </c>
      <c r="P119" s="26" t="e">
        <f t="shared" si="64"/>
        <v>#REF!</v>
      </c>
      <c r="Q119" s="12" t="e">
        <f t="shared" si="65"/>
        <v>#REF!</v>
      </c>
      <c r="R119" s="12"/>
      <c r="S119" s="26" t="e">
        <f t="shared" si="66"/>
        <v>#REF!</v>
      </c>
      <c r="T119" s="26" t="e">
        <f t="shared" si="67"/>
        <v>#REF!</v>
      </c>
      <c r="U119" s="12" t="e">
        <f t="shared" si="68"/>
        <v>#REF!</v>
      </c>
      <c r="V119" s="12"/>
      <c r="W119" s="44" t="e">
        <f t="shared" si="69"/>
        <v>#REF!</v>
      </c>
      <c r="X119" s="26" t="e">
        <f t="shared" si="70"/>
        <v>#REF!</v>
      </c>
      <c r="Y119" s="12" t="e">
        <f t="shared" si="71"/>
        <v>#REF!</v>
      </c>
    </row>
    <row r="120" spans="1:25" ht="16.5" customHeight="1">
      <c r="A120" s="16" t="s">
        <v>222</v>
      </c>
      <c r="B120" s="17" t="s">
        <v>223</v>
      </c>
      <c r="C120" s="26" t="e">
        <f t="shared" si="54"/>
        <v>#REF!</v>
      </c>
      <c r="D120" s="26" t="e">
        <f t="shared" si="55"/>
        <v>#REF!</v>
      </c>
      <c r="E120" s="12" t="e">
        <f t="shared" si="56"/>
        <v>#REF!</v>
      </c>
      <c r="F120" s="26"/>
      <c r="G120" s="26" t="e">
        <f t="shared" si="57"/>
        <v>#REF!</v>
      </c>
      <c r="H120" s="26" t="e">
        <f t="shared" si="58"/>
        <v>#REF!</v>
      </c>
      <c r="I120" s="12" t="e">
        <f t="shared" si="59"/>
        <v>#REF!</v>
      </c>
      <c r="J120" s="26"/>
      <c r="K120" s="26" t="e">
        <f t="shared" si="60"/>
        <v>#REF!</v>
      </c>
      <c r="L120" s="26" t="e">
        <f t="shared" si="61"/>
        <v>#REF!</v>
      </c>
      <c r="M120" s="12" t="e">
        <f t="shared" si="62"/>
        <v>#REF!</v>
      </c>
      <c r="N120" s="12"/>
      <c r="O120" s="26" t="e">
        <f t="shared" si="63"/>
        <v>#REF!</v>
      </c>
      <c r="P120" s="26" t="e">
        <f t="shared" si="64"/>
        <v>#REF!</v>
      </c>
      <c r="Q120" s="12" t="e">
        <f t="shared" si="65"/>
        <v>#REF!</v>
      </c>
      <c r="R120" s="12"/>
      <c r="S120" s="26" t="e">
        <f t="shared" si="66"/>
        <v>#REF!</v>
      </c>
      <c r="T120" s="26" t="e">
        <f t="shared" si="67"/>
        <v>#REF!</v>
      </c>
      <c r="U120" s="12" t="e">
        <f t="shared" si="68"/>
        <v>#REF!</v>
      </c>
      <c r="V120" s="12"/>
      <c r="W120" s="44" t="e">
        <f t="shared" si="69"/>
        <v>#REF!</v>
      </c>
      <c r="X120" s="26" t="e">
        <f t="shared" si="70"/>
        <v>#REF!</v>
      </c>
      <c r="Y120" s="12" t="e">
        <f t="shared" si="71"/>
        <v>#REF!</v>
      </c>
    </row>
    <row r="121" spans="1:25" ht="16.5" customHeight="1">
      <c r="A121" s="16" t="s">
        <v>230</v>
      </c>
      <c r="B121" s="17" t="s">
        <v>231</v>
      </c>
      <c r="C121" s="26" t="e">
        <f t="shared" si="54"/>
        <v>#REF!</v>
      </c>
      <c r="D121" s="26" t="e">
        <f t="shared" si="55"/>
        <v>#REF!</v>
      </c>
      <c r="E121" s="12" t="e">
        <f t="shared" si="56"/>
        <v>#REF!</v>
      </c>
      <c r="F121" s="26"/>
      <c r="G121" s="26" t="e">
        <f t="shared" si="57"/>
        <v>#REF!</v>
      </c>
      <c r="H121" s="26" t="e">
        <f t="shared" si="58"/>
        <v>#REF!</v>
      </c>
      <c r="I121" s="12" t="e">
        <f t="shared" si="59"/>
        <v>#REF!</v>
      </c>
      <c r="J121" s="26"/>
      <c r="K121" s="26" t="e">
        <f t="shared" si="60"/>
        <v>#REF!</v>
      </c>
      <c r="L121" s="26" t="e">
        <f t="shared" si="61"/>
        <v>#REF!</v>
      </c>
      <c r="M121" s="12" t="e">
        <f t="shared" si="62"/>
        <v>#REF!</v>
      </c>
      <c r="N121" s="12"/>
      <c r="O121" s="26" t="e">
        <f t="shared" si="63"/>
        <v>#REF!</v>
      </c>
      <c r="P121" s="26" t="e">
        <f t="shared" si="64"/>
        <v>#REF!</v>
      </c>
      <c r="Q121" s="12" t="e">
        <f t="shared" si="65"/>
        <v>#REF!</v>
      </c>
      <c r="R121" s="12"/>
      <c r="S121" s="26" t="e">
        <f t="shared" si="66"/>
        <v>#REF!</v>
      </c>
      <c r="T121" s="26" t="e">
        <f t="shared" si="67"/>
        <v>#REF!</v>
      </c>
      <c r="U121" s="12" t="e">
        <f t="shared" si="68"/>
        <v>#REF!</v>
      </c>
      <c r="V121" s="12"/>
      <c r="W121" s="44" t="e">
        <f t="shared" si="69"/>
        <v>#REF!</v>
      </c>
      <c r="X121" s="26" t="e">
        <f t="shared" si="70"/>
        <v>#REF!</v>
      </c>
      <c r="Y121" s="12" t="e">
        <f t="shared" si="71"/>
        <v>#REF!</v>
      </c>
    </row>
    <row r="122" spans="1:25" ht="16.5" customHeight="1">
      <c r="A122" s="16" t="s">
        <v>238</v>
      </c>
      <c r="B122" s="17" t="s">
        <v>239</v>
      </c>
      <c r="C122" s="26" t="e">
        <f t="shared" si="54"/>
        <v>#REF!</v>
      </c>
      <c r="D122" s="26" t="e">
        <f t="shared" si="55"/>
        <v>#REF!</v>
      </c>
      <c r="E122" s="12" t="e">
        <f t="shared" si="56"/>
        <v>#REF!</v>
      </c>
      <c r="F122" s="26"/>
      <c r="G122" s="26" t="e">
        <f t="shared" si="57"/>
        <v>#REF!</v>
      </c>
      <c r="H122" s="26" t="e">
        <f t="shared" si="58"/>
        <v>#REF!</v>
      </c>
      <c r="I122" s="12" t="e">
        <f t="shared" si="59"/>
        <v>#REF!</v>
      </c>
      <c r="J122" s="26"/>
      <c r="K122" s="26" t="e">
        <f t="shared" si="60"/>
        <v>#REF!</v>
      </c>
      <c r="L122" s="26" t="e">
        <f t="shared" si="61"/>
        <v>#REF!</v>
      </c>
      <c r="M122" s="12" t="e">
        <f t="shared" si="62"/>
        <v>#REF!</v>
      </c>
      <c r="N122" s="12"/>
      <c r="O122" s="26" t="e">
        <f t="shared" si="63"/>
        <v>#REF!</v>
      </c>
      <c r="P122" s="26" t="e">
        <f t="shared" si="64"/>
        <v>#REF!</v>
      </c>
      <c r="Q122" s="12" t="e">
        <f t="shared" si="65"/>
        <v>#REF!</v>
      </c>
      <c r="R122" s="12"/>
      <c r="S122" s="26" t="e">
        <f t="shared" si="66"/>
        <v>#REF!</v>
      </c>
      <c r="T122" s="26" t="e">
        <f t="shared" si="67"/>
        <v>#REF!</v>
      </c>
      <c r="U122" s="12" t="e">
        <f t="shared" si="68"/>
        <v>#REF!</v>
      </c>
      <c r="V122" s="12"/>
      <c r="W122" s="44" t="e">
        <f t="shared" si="69"/>
        <v>#REF!</v>
      </c>
      <c r="X122" s="26" t="e">
        <f t="shared" si="70"/>
        <v>#REF!</v>
      </c>
      <c r="Y122" s="12" t="e">
        <f t="shared" si="71"/>
        <v>#REF!</v>
      </c>
    </row>
    <row r="123" spans="1:25" ht="16.5" customHeight="1">
      <c r="A123" s="16" t="s">
        <v>240</v>
      </c>
      <c r="B123" s="32" t="s">
        <v>241</v>
      </c>
      <c r="C123" s="26" t="e">
        <f t="shared" si="54"/>
        <v>#REF!</v>
      </c>
      <c r="D123" s="26" t="e">
        <f t="shared" si="55"/>
        <v>#REF!</v>
      </c>
      <c r="E123" s="12" t="e">
        <f t="shared" si="56"/>
        <v>#REF!</v>
      </c>
      <c r="F123" s="26"/>
      <c r="G123" s="26" t="e">
        <f t="shared" si="57"/>
        <v>#REF!</v>
      </c>
      <c r="H123" s="26" t="e">
        <f t="shared" si="58"/>
        <v>#REF!</v>
      </c>
      <c r="I123" s="12" t="e">
        <f t="shared" si="59"/>
        <v>#REF!</v>
      </c>
      <c r="J123" s="26"/>
      <c r="K123" s="26" t="e">
        <f t="shared" si="60"/>
        <v>#REF!</v>
      </c>
      <c r="L123" s="26" t="e">
        <f t="shared" si="61"/>
        <v>#REF!</v>
      </c>
      <c r="M123" s="12" t="e">
        <f t="shared" si="62"/>
        <v>#REF!</v>
      </c>
      <c r="N123" s="12"/>
      <c r="O123" s="26" t="e">
        <f t="shared" si="63"/>
        <v>#REF!</v>
      </c>
      <c r="P123" s="26" t="e">
        <f t="shared" si="64"/>
        <v>#REF!</v>
      </c>
      <c r="Q123" s="12" t="e">
        <f t="shared" si="65"/>
        <v>#REF!</v>
      </c>
      <c r="R123" s="12"/>
      <c r="S123" s="26" t="e">
        <f t="shared" si="66"/>
        <v>#REF!</v>
      </c>
      <c r="T123" s="26" t="e">
        <f t="shared" si="67"/>
        <v>#REF!</v>
      </c>
      <c r="U123" s="12" t="e">
        <f t="shared" si="68"/>
        <v>#REF!</v>
      </c>
      <c r="V123" s="12"/>
      <c r="W123" s="44" t="e">
        <f t="shared" si="69"/>
        <v>#REF!</v>
      </c>
      <c r="X123" s="26" t="e">
        <f t="shared" si="70"/>
        <v>#REF!</v>
      </c>
      <c r="Y123" s="12" t="e">
        <f t="shared" si="71"/>
        <v>#REF!</v>
      </c>
    </row>
    <row r="124" spans="1:25">
      <c r="C124" s="28" t="e">
        <f>SUM(C4:C123)</f>
        <v>#REF!</v>
      </c>
      <c r="D124" s="28"/>
      <c r="E124" s="28"/>
      <c r="F124" s="28"/>
      <c r="G124" s="28"/>
      <c r="H124" s="28"/>
      <c r="I124" s="28"/>
      <c r="J124" s="28"/>
      <c r="K124" s="28"/>
      <c r="L124" s="28"/>
    </row>
    <row r="125" spans="1:25">
      <c r="C125" s="28" t="e">
        <f>+C124/12</f>
        <v>#REF!</v>
      </c>
      <c r="D125" s="28"/>
      <c r="E125" s="28"/>
      <c r="F125" s="28"/>
      <c r="G125" s="28"/>
      <c r="H125" s="28"/>
      <c r="I125" s="28"/>
      <c r="J125" s="28"/>
      <c r="K125" s="28"/>
      <c r="L125" s="28"/>
    </row>
    <row r="126" spans="1:25" ht="12.75" customHeight="1">
      <c r="A126" s="1935" t="s">
        <v>575</v>
      </c>
      <c r="B126" s="1935"/>
      <c r="C126" s="1936"/>
      <c r="D126" s="19"/>
      <c r="E126" s="19"/>
      <c r="F126" s="19"/>
      <c r="G126" s="19"/>
      <c r="H126" s="19"/>
      <c r="I126" s="19"/>
      <c r="J126" s="19"/>
      <c r="K126" s="19"/>
      <c r="L126" s="19"/>
    </row>
    <row r="127" spans="1:25">
      <c r="A127" s="18" t="s">
        <v>576</v>
      </c>
    </row>
  </sheetData>
  <autoFilter ref="A3:Y127"/>
  <mergeCells count="8">
    <mergeCell ref="S2:U2"/>
    <mergeCell ref="O1:Y1"/>
    <mergeCell ref="A126:C126"/>
    <mergeCell ref="C2:E2"/>
    <mergeCell ref="G2:I2"/>
    <mergeCell ref="K2:M2"/>
    <mergeCell ref="C1:M1"/>
    <mergeCell ref="O2:Q2"/>
  </mergeCells>
  <conditionalFormatting sqref="Q4:R123 E4:E123">
    <cfRule type="cellIs" dxfId="5" priority="21" stopIfTrue="1" operator="greaterThan">
      <formula>"&gt;1"</formula>
    </cfRule>
  </conditionalFormatting>
  <conditionalFormatting sqref="Y4:Y123 M4:N123 U4:V123 Q4:R123 I4:I123 E4:E123">
    <cfRule type="cellIs" dxfId="4" priority="19" stopIfTrue="1" operator="greaterThan">
      <formula>1</formula>
    </cfRule>
  </conditionalFormatting>
  <pageMargins left="0.75" right="0.75" top="1" bottom="1" header="0.5" footer="0.5"/>
  <pageSetup orientation="portrait" r:id="rId1"/>
</worksheet>
</file>

<file path=xl/worksheets/sheet41.xml><?xml version="1.0" encoding="utf-8"?>
<worksheet xmlns="http://schemas.openxmlformats.org/spreadsheetml/2006/main" xmlns:r="http://schemas.openxmlformats.org/officeDocument/2006/relationships">
  <dimension ref="A1:Y127"/>
  <sheetViews>
    <sheetView zoomScaleNormal="106" zoomScaleSheetLayoutView="116" workbookViewId="0">
      <pane xSplit="2" ySplit="3" topLeftCell="C4" activePane="bottomRight" state="frozen"/>
      <selection pane="topRight" activeCell="C1" sqref="C1"/>
      <selection pane="bottomLeft" activeCell="A4" sqref="A4"/>
      <selection pane="bottomRight" activeCell="E3" sqref="E3"/>
    </sheetView>
  </sheetViews>
  <sheetFormatPr defaultRowHeight="12.75"/>
  <cols>
    <col min="1" max="1" width="12.25" style="18" customWidth="1"/>
    <col min="2" max="2" width="23.625" style="28" customWidth="1"/>
    <col min="3" max="4" width="9.875" style="18" customWidth="1"/>
    <col min="5" max="5" width="9.75" style="18" customWidth="1"/>
    <col min="6" max="6" width="2.25" style="18" customWidth="1"/>
    <col min="7" max="7" width="10.25" style="18" customWidth="1"/>
    <col min="8" max="8" width="9.875" style="18" customWidth="1"/>
    <col min="9" max="9" width="9.625" style="18" customWidth="1"/>
    <col min="10" max="10" width="2.625" style="18" customWidth="1"/>
    <col min="11" max="11" width="9.625" style="18" customWidth="1"/>
    <col min="12" max="12" width="9.75" style="18" customWidth="1"/>
    <col min="13" max="13" width="10" style="18" customWidth="1"/>
    <col min="14" max="14" width="2.625" style="40" customWidth="1"/>
    <col min="15" max="15" width="10" style="18" bestFit="1" customWidth="1"/>
    <col min="16" max="17" width="10" style="18" customWidth="1"/>
    <col min="18" max="18" width="3.5" style="18" customWidth="1"/>
    <col min="19" max="19" width="9.75" style="18" customWidth="1"/>
    <col min="20" max="20" width="10.25" style="18" customWidth="1"/>
    <col min="21" max="21" width="10.375" style="18" customWidth="1"/>
    <col min="22" max="22" width="2.625" style="18" customWidth="1"/>
    <col min="23" max="23" width="10.25" style="18" customWidth="1"/>
    <col min="24" max="24" width="10.5" style="18" customWidth="1"/>
    <col min="25" max="25" width="10.25" style="18" customWidth="1"/>
    <col min="26" max="16384" width="9" style="18"/>
  </cols>
  <sheetData>
    <row r="1" spans="1:25" ht="15.75">
      <c r="C1" s="1938" t="s">
        <v>579</v>
      </c>
      <c r="D1" s="1938"/>
      <c r="E1" s="1938"/>
      <c r="F1" s="1938"/>
      <c r="G1" s="1938"/>
      <c r="H1" s="1938"/>
      <c r="I1" s="1938"/>
      <c r="J1" s="1938"/>
      <c r="K1" s="1938"/>
      <c r="L1" s="1938"/>
      <c r="M1" s="1938"/>
      <c r="N1" s="37"/>
      <c r="O1" s="1934" t="s">
        <v>580</v>
      </c>
      <c r="P1" s="1934"/>
      <c r="Q1" s="1934"/>
      <c r="R1" s="1934"/>
      <c r="S1" s="1934"/>
      <c r="T1" s="1934"/>
      <c r="U1" s="1934"/>
      <c r="V1" s="1934"/>
      <c r="W1" s="1934"/>
      <c r="X1" s="1934"/>
      <c r="Y1" s="1934"/>
    </row>
    <row r="2" spans="1:25">
      <c r="C2" s="1939" t="s">
        <v>2</v>
      </c>
      <c r="D2" s="1939"/>
      <c r="E2" s="1939"/>
      <c r="F2" s="33"/>
      <c r="G2" s="1939" t="s">
        <v>450</v>
      </c>
      <c r="H2" s="1939"/>
      <c r="I2" s="1939"/>
      <c r="J2" s="24"/>
      <c r="K2" s="1939" t="s">
        <v>452</v>
      </c>
      <c r="L2" s="1939"/>
      <c r="M2" s="1939"/>
      <c r="N2" s="24"/>
      <c r="O2" s="1939" t="s">
        <v>2</v>
      </c>
      <c r="P2" s="1939"/>
      <c r="Q2" s="1939"/>
      <c r="R2" s="24"/>
      <c r="S2" s="1939" t="s">
        <v>450</v>
      </c>
      <c r="T2" s="1939"/>
      <c r="U2" s="1939"/>
      <c r="V2" s="24"/>
      <c r="W2" s="1939" t="s">
        <v>452</v>
      </c>
      <c r="X2" s="1939"/>
      <c r="Y2" s="1939"/>
    </row>
    <row r="3" spans="1:25" s="21" customFormat="1" ht="71.25" customHeight="1">
      <c r="A3" s="20" t="s">
        <v>305</v>
      </c>
      <c r="B3" s="31" t="s">
        <v>306</v>
      </c>
      <c r="C3" s="23" t="s">
        <v>583</v>
      </c>
      <c r="D3" s="23" t="s">
        <v>584</v>
      </c>
      <c r="E3" s="34" t="s">
        <v>585</v>
      </c>
      <c r="F3" s="38"/>
      <c r="G3" s="35" t="s">
        <v>583</v>
      </c>
      <c r="H3" s="23" t="s">
        <v>584</v>
      </c>
      <c r="I3" s="34" t="s">
        <v>585</v>
      </c>
      <c r="J3" s="38"/>
      <c r="K3" s="35" t="s">
        <v>583</v>
      </c>
      <c r="L3" s="23" t="s">
        <v>584</v>
      </c>
      <c r="M3" s="34" t="s">
        <v>585</v>
      </c>
      <c r="N3" s="38"/>
      <c r="O3" s="23" t="s">
        <v>583</v>
      </c>
      <c r="P3" s="23" t="s">
        <v>584</v>
      </c>
      <c r="Q3" s="34" t="s">
        <v>585</v>
      </c>
      <c r="R3" s="41"/>
      <c r="S3" s="23" t="s">
        <v>583</v>
      </c>
      <c r="T3" s="23" t="s">
        <v>584</v>
      </c>
      <c r="U3" s="34" t="s">
        <v>585</v>
      </c>
      <c r="V3" s="38"/>
      <c r="W3" s="23" t="s">
        <v>583</v>
      </c>
      <c r="X3" s="23" t="s">
        <v>584</v>
      </c>
      <c r="Y3" s="34" t="s">
        <v>585</v>
      </c>
    </row>
    <row r="4" spans="1:25" ht="16.5" customHeight="1">
      <c r="A4" s="16" t="s">
        <v>10</v>
      </c>
      <c r="B4" s="17" t="s">
        <v>11</v>
      </c>
      <c r="C4" s="25">
        <f t="shared" ref="C4:C35" si="0">VLOOKUP(A4,SNAPClient_Demo,10,FALSE)</f>
        <v>4557</v>
      </c>
      <c r="D4" s="25" t="e">
        <f t="shared" ref="D4:D35" si="1">VLOOKUP(A4,Pop,14,FALSE)</f>
        <v>#REF!</v>
      </c>
      <c r="E4" s="27" t="e">
        <f t="shared" ref="E4:E35" si="2">+C4/D4</f>
        <v>#REF!</v>
      </c>
      <c r="F4" s="27"/>
      <c r="G4" s="25">
        <f t="shared" ref="G4:G35" si="3">VLOOKUP(A4,SNAPClient_Demo,11,FALSE)</f>
        <v>139</v>
      </c>
      <c r="H4" s="25" t="e">
        <f t="shared" ref="H4:H35" si="4">VLOOKUP(A4,Pop,15,FALSE)</f>
        <v>#REF!</v>
      </c>
      <c r="I4" s="27" t="e">
        <f t="shared" ref="I4:I35" si="5">+G4/H4</f>
        <v>#REF!</v>
      </c>
      <c r="J4" s="27"/>
      <c r="K4" s="25">
        <f t="shared" ref="K4:K35" si="6">VLOOKUP(A4,SNAPClient_Demo,12,FALSE)</f>
        <v>10088</v>
      </c>
      <c r="L4" s="25" t="e">
        <f t="shared" ref="L4:L35" si="7">VLOOKUP(A4,Pop,16,FALSE)</f>
        <v>#REF!</v>
      </c>
      <c r="M4" s="27" t="e">
        <f t="shared" ref="M4:M35" si="8">+K4/L4</f>
        <v>#REF!</v>
      </c>
      <c r="N4" s="39"/>
      <c r="O4" s="36" t="str">
        <f t="shared" ref="O4:O35" si="9">VLOOKUP(A4,SNAPClient_Demo,3,FALSE)</f>
        <v>Eastern</v>
      </c>
      <c r="P4" s="26" t="e">
        <f t="shared" ref="P4:P35" si="10">VLOOKUP(A4,Pop,8,FALSE)</f>
        <v>#REF!</v>
      </c>
      <c r="Q4" s="27" t="e">
        <f t="shared" ref="Q4:Q35" si="11">+O4/P4</f>
        <v>#VALUE!</v>
      </c>
      <c r="R4" s="27"/>
      <c r="S4" s="26">
        <f t="shared" ref="S4:S35" si="12">VLOOKUP(A4,SNAPClient_Demo,4,FALSE)</f>
        <v>4180</v>
      </c>
      <c r="T4" s="26" t="e">
        <f t="shared" ref="T4:T35" si="13">VLOOKUP(A4,Pop,9,FALSE)</f>
        <v>#REF!</v>
      </c>
      <c r="U4" s="27" t="e">
        <f t="shared" ref="U4:U35" si="14">+S4/T4</f>
        <v>#REF!</v>
      </c>
      <c r="V4" s="27"/>
      <c r="W4" s="26">
        <f t="shared" ref="W4:W35" si="15">VLOOKUP(A4,SNAPClient_Demo,5,FALSE)</f>
        <v>5420</v>
      </c>
      <c r="X4" s="26" t="e">
        <f t="shared" ref="X4:X35" si="16">VLOOKUP(A4,Pop,10,FALSE)</f>
        <v>#REF!</v>
      </c>
      <c r="Y4" s="27" t="e">
        <f t="shared" ref="Y4:Y35" si="17">+W4/X4</f>
        <v>#REF!</v>
      </c>
    </row>
    <row r="5" spans="1:25" ht="16.5" customHeight="1">
      <c r="A5" s="16" t="s">
        <v>12</v>
      </c>
      <c r="B5" s="17" t="s">
        <v>13</v>
      </c>
      <c r="C5" s="25">
        <f t="shared" si="0"/>
        <v>2653</v>
      </c>
      <c r="D5" s="25" t="e">
        <f t="shared" si="1"/>
        <v>#REF!</v>
      </c>
      <c r="E5" s="27" t="e">
        <f t="shared" si="2"/>
        <v>#REF!</v>
      </c>
      <c r="F5" s="27"/>
      <c r="G5" s="25">
        <f t="shared" si="3"/>
        <v>828</v>
      </c>
      <c r="H5" s="25" t="e">
        <f t="shared" si="4"/>
        <v>#REF!</v>
      </c>
      <c r="I5" s="27" t="e">
        <f t="shared" si="5"/>
        <v>#REF!</v>
      </c>
      <c r="J5" s="27"/>
      <c r="K5" s="25">
        <f t="shared" si="6"/>
        <v>10403</v>
      </c>
      <c r="L5" s="25" t="e">
        <f t="shared" si="7"/>
        <v>#REF!</v>
      </c>
      <c r="M5" s="27" t="e">
        <f t="shared" si="8"/>
        <v>#REF!</v>
      </c>
      <c r="N5" s="39"/>
      <c r="O5" s="36" t="str">
        <f t="shared" si="9"/>
        <v>Piedmont</v>
      </c>
      <c r="P5" s="26" t="e">
        <f t="shared" si="10"/>
        <v>#REF!</v>
      </c>
      <c r="Q5" s="27" t="e">
        <f t="shared" si="11"/>
        <v>#VALUE!</v>
      </c>
      <c r="R5" s="27"/>
      <c r="S5" s="26">
        <f t="shared" si="12"/>
        <v>4237</v>
      </c>
      <c r="T5" s="26" t="e">
        <f t="shared" si="13"/>
        <v>#REF!</v>
      </c>
      <c r="U5" s="27" t="e">
        <f t="shared" si="14"/>
        <v>#REF!</v>
      </c>
      <c r="V5" s="27"/>
      <c r="W5" s="26">
        <f t="shared" si="15"/>
        <v>5719</v>
      </c>
      <c r="X5" s="26" t="e">
        <f t="shared" si="16"/>
        <v>#REF!</v>
      </c>
      <c r="Y5" s="27" t="e">
        <f t="shared" si="17"/>
        <v>#REF!</v>
      </c>
    </row>
    <row r="6" spans="1:25" ht="16.5" customHeight="1">
      <c r="A6" s="16" t="s">
        <v>16</v>
      </c>
      <c r="B6" s="17" t="s">
        <v>297</v>
      </c>
      <c r="C6" s="25">
        <f t="shared" si="0"/>
        <v>485</v>
      </c>
      <c r="D6" s="25" t="e">
        <f t="shared" si="1"/>
        <v>#REF!</v>
      </c>
      <c r="E6" s="27" t="e">
        <f t="shared" si="2"/>
        <v>#REF!</v>
      </c>
      <c r="F6" s="27"/>
      <c r="G6" s="25">
        <f t="shared" si="3"/>
        <v>267</v>
      </c>
      <c r="H6" s="25" t="e">
        <f t="shared" si="4"/>
        <v>#REF!</v>
      </c>
      <c r="I6" s="27" t="e">
        <f t="shared" si="5"/>
        <v>#REF!</v>
      </c>
      <c r="J6" s="27"/>
      <c r="K6" s="25">
        <f t="shared" si="6"/>
        <v>5278</v>
      </c>
      <c r="L6" s="25" t="e">
        <f t="shared" si="7"/>
        <v>#REF!</v>
      </c>
      <c r="M6" s="27" t="e">
        <f t="shared" si="8"/>
        <v>#REF!</v>
      </c>
      <c r="N6" s="39"/>
      <c r="O6" s="36" t="str">
        <f t="shared" si="9"/>
        <v>Piedmont</v>
      </c>
      <c r="P6" s="26" t="e">
        <f t="shared" si="10"/>
        <v>#REF!</v>
      </c>
      <c r="Q6" s="27" t="e">
        <f t="shared" si="11"/>
        <v>#VALUE!</v>
      </c>
      <c r="R6" s="27"/>
      <c r="S6" s="26">
        <f t="shared" si="12"/>
        <v>1983</v>
      </c>
      <c r="T6" s="26" t="e">
        <f t="shared" si="13"/>
        <v>#REF!</v>
      </c>
      <c r="U6" s="27" t="e">
        <f t="shared" si="14"/>
        <v>#REF!</v>
      </c>
      <c r="V6" s="27"/>
      <c r="W6" s="26">
        <f t="shared" si="15"/>
        <v>3029</v>
      </c>
      <c r="X6" s="26" t="e">
        <f t="shared" si="16"/>
        <v>#REF!</v>
      </c>
      <c r="Y6" s="27" t="e">
        <f t="shared" si="17"/>
        <v>#REF!</v>
      </c>
    </row>
    <row r="7" spans="1:25" ht="16.5" customHeight="1">
      <c r="A7" s="16" t="s">
        <v>18</v>
      </c>
      <c r="B7" s="17" t="s">
        <v>19</v>
      </c>
      <c r="C7" s="25">
        <f t="shared" si="0"/>
        <v>972</v>
      </c>
      <c r="D7" s="25" t="e">
        <f t="shared" si="1"/>
        <v>#REF!</v>
      </c>
      <c r="E7" s="27" t="e">
        <f t="shared" si="2"/>
        <v>#REF!</v>
      </c>
      <c r="F7" s="27"/>
      <c r="G7" s="25">
        <f t="shared" si="3"/>
        <v>107</v>
      </c>
      <c r="H7" s="25" t="e">
        <f t="shared" si="4"/>
        <v>#REF!</v>
      </c>
      <c r="I7" s="27" t="e">
        <f t="shared" si="5"/>
        <v>#REF!</v>
      </c>
      <c r="J7" s="27"/>
      <c r="K7" s="25">
        <f t="shared" si="6"/>
        <v>2803</v>
      </c>
      <c r="L7" s="25" t="e">
        <f t="shared" si="7"/>
        <v>#REF!</v>
      </c>
      <c r="M7" s="27" t="e">
        <f t="shared" si="8"/>
        <v>#REF!</v>
      </c>
      <c r="N7" s="39"/>
      <c r="O7" s="36" t="str">
        <f t="shared" si="9"/>
        <v>Central</v>
      </c>
      <c r="P7" s="26" t="e">
        <f t="shared" si="10"/>
        <v>#REF!</v>
      </c>
      <c r="Q7" s="27" t="e">
        <f t="shared" si="11"/>
        <v>#VALUE!</v>
      </c>
      <c r="R7" s="27"/>
      <c r="S7" s="26">
        <f t="shared" si="12"/>
        <v>1042</v>
      </c>
      <c r="T7" s="26" t="e">
        <f t="shared" si="13"/>
        <v>#REF!</v>
      </c>
      <c r="U7" s="27" t="e">
        <f t="shared" si="14"/>
        <v>#REF!</v>
      </c>
      <c r="V7" s="27"/>
      <c r="W7" s="26">
        <f t="shared" si="15"/>
        <v>1600</v>
      </c>
      <c r="X7" s="26" t="e">
        <f t="shared" si="16"/>
        <v>#REF!</v>
      </c>
      <c r="Y7" s="27" t="e">
        <f t="shared" si="17"/>
        <v>#REF!</v>
      </c>
    </row>
    <row r="8" spans="1:25" ht="16.5" customHeight="1">
      <c r="A8" s="16" t="s">
        <v>20</v>
      </c>
      <c r="B8" s="17" t="s">
        <v>21</v>
      </c>
      <c r="C8" s="25">
        <f t="shared" si="0"/>
        <v>1501</v>
      </c>
      <c r="D8" s="25" t="e">
        <f t="shared" si="1"/>
        <v>#REF!</v>
      </c>
      <c r="E8" s="27" t="e">
        <f t="shared" si="2"/>
        <v>#REF!</v>
      </c>
      <c r="F8" s="27"/>
      <c r="G8" s="25">
        <f t="shared" si="3"/>
        <v>220</v>
      </c>
      <c r="H8" s="25" t="e">
        <f t="shared" si="4"/>
        <v>#REF!</v>
      </c>
      <c r="I8" s="27" t="e">
        <f t="shared" si="5"/>
        <v>#REF!</v>
      </c>
      <c r="J8" s="27"/>
      <c r="K8" s="25">
        <f t="shared" si="6"/>
        <v>5848</v>
      </c>
      <c r="L8" s="25" t="e">
        <f t="shared" si="7"/>
        <v>#REF!</v>
      </c>
      <c r="M8" s="27" t="e">
        <f t="shared" si="8"/>
        <v>#REF!</v>
      </c>
      <c r="N8" s="39"/>
      <c r="O8" s="36" t="str">
        <f t="shared" si="9"/>
        <v>Piedmont</v>
      </c>
      <c r="P8" s="26" t="e">
        <f t="shared" si="10"/>
        <v>#REF!</v>
      </c>
      <c r="Q8" s="27" t="e">
        <f t="shared" si="11"/>
        <v>#VALUE!</v>
      </c>
      <c r="R8" s="27"/>
      <c r="S8" s="26">
        <f t="shared" si="12"/>
        <v>2363</v>
      </c>
      <c r="T8" s="26" t="e">
        <f t="shared" si="13"/>
        <v>#REF!</v>
      </c>
      <c r="U8" s="27" t="e">
        <f t="shared" si="14"/>
        <v>#REF!</v>
      </c>
      <c r="V8" s="27"/>
      <c r="W8" s="26">
        <f t="shared" si="15"/>
        <v>3201</v>
      </c>
      <c r="X8" s="26" t="e">
        <f t="shared" si="16"/>
        <v>#REF!</v>
      </c>
      <c r="Y8" s="27" t="e">
        <f t="shared" si="17"/>
        <v>#REF!</v>
      </c>
    </row>
    <row r="9" spans="1:25" ht="16.5" customHeight="1">
      <c r="A9" s="16" t="s">
        <v>22</v>
      </c>
      <c r="B9" s="17" t="s">
        <v>23</v>
      </c>
      <c r="C9" s="25">
        <f t="shared" si="0"/>
        <v>1343</v>
      </c>
      <c r="D9" s="25" t="e">
        <f t="shared" si="1"/>
        <v>#REF!</v>
      </c>
      <c r="E9" s="27" t="e">
        <f t="shared" si="2"/>
        <v>#REF!</v>
      </c>
      <c r="F9" s="27"/>
      <c r="G9" s="25">
        <f t="shared" si="3"/>
        <v>94</v>
      </c>
      <c r="H9" s="25" t="e">
        <f t="shared" si="4"/>
        <v>#REF!</v>
      </c>
      <c r="I9" s="27" t="e">
        <f t="shared" si="5"/>
        <v>#REF!</v>
      </c>
      <c r="J9" s="27"/>
      <c r="K9" s="25">
        <f t="shared" si="6"/>
        <v>3667</v>
      </c>
      <c r="L9" s="25" t="e">
        <f t="shared" si="7"/>
        <v>#REF!</v>
      </c>
      <c r="M9" s="27" t="e">
        <f t="shared" si="8"/>
        <v>#REF!</v>
      </c>
      <c r="N9" s="39"/>
      <c r="O9" s="36" t="str">
        <f t="shared" si="9"/>
        <v>Piedmont</v>
      </c>
      <c r="P9" s="26" t="e">
        <f t="shared" si="10"/>
        <v>#REF!</v>
      </c>
      <c r="Q9" s="27" t="e">
        <f t="shared" si="11"/>
        <v>#VALUE!</v>
      </c>
      <c r="R9" s="27"/>
      <c r="S9" s="26">
        <f t="shared" si="12"/>
        <v>1373</v>
      </c>
      <c r="T9" s="26" t="e">
        <f t="shared" si="13"/>
        <v>#REF!</v>
      </c>
      <c r="U9" s="27" t="e">
        <f t="shared" si="14"/>
        <v>#REF!</v>
      </c>
      <c r="V9" s="27"/>
      <c r="W9" s="26">
        <f t="shared" si="15"/>
        <v>2095</v>
      </c>
      <c r="X9" s="26" t="e">
        <f t="shared" si="16"/>
        <v>#REF!</v>
      </c>
      <c r="Y9" s="27" t="e">
        <f t="shared" si="17"/>
        <v>#REF!</v>
      </c>
    </row>
    <row r="10" spans="1:25" ht="16.5" customHeight="1">
      <c r="A10" s="16" t="s">
        <v>24</v>
      </c>
      <c r="B10" s="17" t="s">
        <v>25</v>
      </c>
      <c r="C10" s="25">
        <f t="shared" si="0"/>
        <v>3526</v>
      </c>
      <c r="D10" s="25" t="e">
        <f t="shared" si="1"/>
        <v>#REF!</v>
      </c>
      <c r="E10" s="27" t="e">
        <f t="shared" si="2"/>
        <v>#REF!</v>
      </c>
      <c r="F10" s="27"/>
      <c r="G10" s="25">
        <f t="shared" si="3"/>
        <v>1711</v>
      </c>
      <c r="H10" s="25" t="e">
        <f t="shared" si="4"/>
        <v>#REF!</v>
      </c>
      <c r="I10" s="27" t="e">
        <f t="shared" si="5"/>
        <v>#REF!</v>
      </c>
      <c r="J10" s="27"/>
      <c r="K10" s="25">
        <f t="shared" si="6"/>
        <v>13840</v>
      </c>
      <c r="L10" s="25" t="e">
        <f t="shared" si="7"/>
        <v>#REF!</v>
      </c>
      <c r="M10" s="27" t="e">
        <f t="shared" si="8"/>
        <v>#REF!</v>
      </c>
      <c r="N10" s="39"/>
      <c r="O10" s="36" t="str">
        <f t="shared" si="9"/>
        <v>Northern</v>
      </c>
      <c r="P10" s="26" t="e">
        <f t="shared" si="10"/>
        <v>#REF!</v>
      </c>
      <c r="Q10" s="27" t="e">
        <f t="shared" si="11"/>
        <v>#VALUE!</v>
      </c>
      <c r="R10" s="27"/>
      <c r="S10" s="26">
        <f t="shared" si="12"/>
        <v>5212</v>
      </c>
      <c r="T10" s="26" t="e">
        <f t="shared" si="13"/>
        <v>#REF!</v>
      </c>
      <c r="U10" s="27" t="e">
        <f t="shared" si="14"/>
        <v>#REF!</v>
      </c>
      <c r="V10" s="27"/>
      <c r="W10" s="26">
        <f t="shared" si="15"/>
        <v>7081</v>
      </c>
      <c r="X10" s="26" t="e">
        <f t="shared" si="16"/>
        <v>#REF!</v>
      </c>
      <c r="Y10" s="27" t="e">
        <f t="shared" si="17"/>
        <v>#REF!</v>
      </c>
    </row>
    <row r="11" spans="1:25" ht="16.5" customHeight="1">
      <c r="A11" s="16" t="s">
        <v>26</v>
      </c>
      <c r="B11" s="17" t="s">
        <v>298</v>
      </c>
      <c r="C11" s="25">
        <f t="shared" si="0"/>
        <v>3215</v>
      </c>
      <c r="D11" s="25" t="e">
        <f t="shared" si="1"/>
        <v>#REF!</v>
      </c>
      <c r="E11" s="27" t="e">
        <f t="shared" si="2"/>
        <v>#REF!</v>
      </c>
      <c r="F11" s="27"/>
      <c r="G11" s="25">
        <f t="shared" si="3"/>
        <v>556</v>
      </c>
      <c r="H11" s="25" t="e">
        <f t="shared" si="4"/>
        <v>#REF!</v>
      </c>
      <c r="I11" s="27" t="e">
        <f t="shared" si="5"/>
        <v>#REF!</v>
      </c>
      <c r="J11" s="27"/>
      <c r="K11" s="25">
        <f t="shared" si="6"/>
        <v>22640</v>
      </c>
      <c r="L11" s="25" t="e">
        <f t="shared" si="7"/>
        <v>#REF!</v>
      </c>
      <c r="M11" s="27" t="e">
        <f t="shared" si="8"/>
        <v>#REF!</v>
      </c>
      <c r="N11" s="39"/>
      <c r="O11" s="36" t="str">
        <f t="shared" si="9"/>
        <v>Piedmont</v>
      </c>
      <c r="P11" s="26" t="e">
        <f t="shared" si="10"/>
        <v>#REF!</v>
      </c>
      <c r="Q11" s="27" t="e">
        <f t="shared" si="11"/>
        <v>#VALUE!</v>
      </c>
      <c r="R11" s="27"/>
      <c r="S11" s="26">
        <f t="shared" si="12"/>
        <v>8783</v>
      </c>
      <c r="T11" s="26" t="e">
        <f t="shared" si="13"/>
        <v>#REF!</v>
      </c>
      <c r="U11" s="27" t="e">
        <f t="shared" si="14"/>
        <v>#REF!</v>
      </c>
      <c r="V11" s="27"/>
      <c r="W11" s="26">
        <f t="shared" si="15"/>
        <v>12889</v>
      </c>
      <c r="X11" s="26" t="e">
        <f t="shared" si="16"/>
        <v>#REF!</v>
      </c>
      <c r="Y11" s="27" t="e">
        <f t="shared" si="17"/>
        <v>#REF!</v>
      </c>
    </row>
    <row r="12" spans="1:25" ht="16.5" customHeight="1">
      <c r="A12" s="16" t="s">
        <v>27</v>
      </c>
      <c r="B12" s="17" t="s">
        <v>28</v>
      </c>
      <c r="C12" s="25">
        <f t="shared" si="0"/>
        <v>32</v>
      </c>
      <c r="D12" s="25" t="e">
        <f t="shared" si="1"/>
        <v>#REF!</v>
      </c>
      <c r="E12" s="27" t="e">
        <f t="shared" si="2"/>
        <v>#REF!</v>
      </c>
      <c r="F12" s="27"/>
      <c r="G12" s="25">
        <f t="shared" si="3"/>
        <v>22</v>
      </c>
      <c r="H12" s="25" t="e">
        <f t="shared" si="4"/>
        <v>#REF!</v>
      </c>
      <c r="I12" s="27" t="e">
        <f t="shared" si="5"/>
        <v>#REF!</v>
      </c>
      <c r="J12" s="27"/>
      <c r="K12" s="25">
        <f t="shared" si="6"/>
        <v>665</v>
      </c>
      <c r="L12" s="25" t="e">
        <f t="shared" si="7"/>
        <v>#REF!</v>
      </c>
      <c r="M12" s="27" t="e">
        <f t="shared" si="8"/>
        <v>#REF!</v>
      </c>
      <c r="N12" s="39"/>
      <c r="O12" s="36" t="str">
        <f t="shared" si="9"/>
        <v>Piedmont</v>
      </c>
      <c r="P12" s="26" t="e">
        <f t="shared" si="10"/>
        <v>#REF!</v>
      </c>
      <c r="Q12" s="27" t="e">
        <f t="shared" si="11"/>
        <v>#VALUE!</v>
      </c>
      <c r="R12" s="27"/>
      <c r="S12" s="26">
        <f t="shared" si="12"/>
        <v>255</v>
      </c>
      <c r="T12" s="26" t="e">
        <f t="shared" si="13"/>
        <v>#REF!</v>
      </c>
      <c r="U12" s="27" t="e">
        <f t="shared" si="14"/>
        <v>#REF!</v>
      </c>
      <c r="V12" s="27"/>
      <c r="W12" s="26">
        <f t="shared" si="15"/>
        <v>345</v>
      </c>
      <c r="X12" s="26" t="e">
        <f t="shared" si="16"/>
        <v>#REF!</v>
      </c>
      <c r="Y12" s="27" t="e">
        <f t="shared" si="17"/>
        <v>#REF!</v>
      </c>
    </row>
    <row r="13" spans="1:25" ht="16.5" customHeight="1">
      <c r="A13" s="16" t="s">
        <v>29</v>
      </c>
      <c r="B13" s="17" t="s">
        <v>307</v>
      </c>
      <c r="C13" s="25">
        <f t="shared" si="0"/>
        <v>1889</v>
      </c>
      <c r="D13" s="25" t="e">
        <f t="shared" si="1"/>
        <v>#REF!</v>
      </c>
      <c r="E13" s="27" t="e">
        <f t="shared" si="2"/>
        <v>#REF!</v>
      </c>
      <c r="F13" s="27"/>
      <c r="G13" s="25">
        <f t="shared" si="3"/>
        <v>235</v>
      </c>
      <c r="H13" s="25" t="e">
        <f t="shared" si="4"/>
        <v>#REF!</v>
      </c>
      <c r="I13" s="27" t="e">
        <f t="shared" si="5"/>
        <v>#REF!</v>
      </c>
      <c r="J13" s="27"/>
      <c r="K13" s="25">
        <f t="shared" si="6"/>
        <v>11387</v>
      </c>
      <c r="L13" s="25" t="e">
        <f t="shared" si="7"/>
        <v>#REF!</v>
      </c>
      <c r="M13" s="27" t="e">
        <f t="shared" si="8"/>
        <v>#REF!</v>
      </c>
      <c r="N13" s="39"/>
      <c r="O13" s="36" t="str">
        <f t="shared" si="9"/>
        <v>Piedmont</v>
      </c>
      <c r="P13" s="26" t="e">
        <f t="shared" si="10"/>
        <v>#REF!</v>
      </c>
      <c r="Q13" s="27" t="e">
        <f t="shared" si="11"/>
        <v>#VALUE!</v>
      </c>
      <c r="R13" s="27"/>
      <c r="S13" s="26">
        <f t="shared" si="12"/>
        <v>4569</v>
      </c>
      <c r="T13" s="26" t="e">
        <f t="shared" si="13"/>
        <v>#REF!</v>
      </c>
      <c r="U13" s="27" t="e">
        <f t="shared" si="14"/>
        <v>#REF!</v>
      </c>
      <c r="V13" s="27"/>
      <c r="W13" s="26">
        <f t="shared" si="15"/>
        <v>6341</v>
      </c>
      <c r="X13" s="26" t="e">
        <f t="shared" si="16"/>
        <v>#REF!</v>
      </c>
      <c r="Y13" s="27" t="e">
        <f t="shared" si="17"/>
        <v>#REF!</v>
      </c>
    </row>
    <row r="14" spans="1:25" ht="16.5" customHeight="1">
      <c r="A14" s="16" t="s">
        <v>30</v>
      </c>
      <c r="B14" s="32" t="s">
        <v>31</v>
      </c>
      <c r="C14" s="25">
        <f t="shared" si="0"/>
        <v>16</v>
      </c>
      <c r="D14" s="25" t="e">
        <f t="shared" si="1"/>
        <v>#REF!</v>
      </c>
      <c r="E14" s="27" t="e">
        <f t="shared" si="2"/>
        <v>#REF!</v>
      </c>
      <c r="F14" s="27"/>
      <c r="G14" s="25">
        <f t="shared" si="3"/>
        <v>7</v>
      </c>
      <c r="H14" s="25" t="e">
        <f t="shared" si="4"/>
        <v>#REF!</v>
      </c>
      <c r="I14" s="27" t="e">
        <f t="shared" si="5"/>
        <v>#REF!</v>
      </c>
      <c r="J14" s="27"/>
      <c r="K14" s="25">
        <f t="shared" si="6"/>
        <v>923</v>
      </c>
      <c r="L14" s="25" t="e">
        <f t="shared" si="7"/>
        <v>#REF!</v>
      </c>
      <c r="M14" s="27" t="e">
        <f t="shared" si="8"/>
        <v>#REF!</v>
      </c>
      <c r="N14" s="39"/>
      <c r="O14" s="36" t="str">
        <f t="shared" si="9"/>
        <v>Western</v>
      </c>
      <c r="P14" s="26" t="e">
        <f t="shared" si="10"/>
        <v>#REF!</v>
      </c>
      <c r="Q14" s="27" t="e">
        <f t="shared" si="11"/>
        <v>#VALUE!</v>
      </c>
      <c r="R14" s="27"/>
      <c r="S14" s="26">
        <f t="shared" si="12"/>
        <v>316</v>
      </c>
      <c r="T14" s="26" t="e">
        <f t="shared" si="13"/>
        <v>#REF!</v>
      </c>
      <c r="U14" s="27" t="e">
        <f t="shared" si="14"/>
        <v>#REF!</v>
      </c>
      <c r="V14" s="27"/>
      <c r="W14" s="26">
        <f t="shared" si="15"/>
        <v>539</v>
      </c>
      <c r="X14" s="26" t="e">
        <f t="shared" si="16"/>
        <v>#REF!</v>
      </c>
      <c r="Y14" s="27" t="e">
        <f t="shared" si="17"/>
        <v>#REF!</v>
      </c>
    </row>
    <row r="15" spans="1:25" ht="16.5" customHeight="1">
      <c r="A15" s="16" t="s">
        <v>32</v>
      </c>
      <c r="B15" s="17" t="s">
        <v>33</v>
      </c>
      <c r="C15" s="25">
        <f t="shared" si="0"/>
        <v>118</v>
      </c>
      <c r="D15" s="25" t="e">
        <f t="shared" si="1"/>
        <v>#REF!</v>
      </c>
      <c r="E15" s="27" t="e">
        <f t="shared" si="2"/>
        <v>#REF!</v>
      </c>
      <c r="F15" s="27"/>
      <c r="G15" s="25">
        <f t="shared" si="3"/>
        <v>144</v>
      </c>
      <c r="H15" s="25" t="e">
        <f t="shared" si="4"/>
        <v>#REF!</v>
      </c>
      <c r="I15" s="27" t="e">
        <f t="shared" si="5"/>
        <v>#REF!</v>
      </c>
      <c r="J15" s="27"/>
      <c r="K15" s="25">
        <f t="shared" si="6"/>
        <v>2794</v>
      </c>
      <c r="L15" s="25" t="e">
        <f t="shared" si="7"/>
        <v>#REF!</v>
      </c>
      <c r="M15" s="27" t="e">
        <f t="shared" si="8"/>
        <v>#REF!</v>
      </c>
      <c r="N15" s="39"/>
      <c r="O15" s="36" t="str">
        <f t="shared" si="9"/>
        <v>Piedmont</v>
      </c>
      <c r="P15" s="26" t="e">
        <f t="shared" si="10"/>
        <v>#REF!</v>
      </c>
      <c r="Q15" s="27" t="e">
        <f t="shared" si="11"/>
        <v>#VALUE!</v>
      </c>
      <c r="R15" s="27"/>
      <c r="S15" s="26">
        <f t="shared" si="12"/>
        <v>1122</v>
      </c>
      <c r="T15" s="26" t="e">
        <f t="shared" si="13"/>
        <v>#REF!</v>
      </c>
      <c r="U15" s="27" t="e">
        <f t="shared" si="14"/>
        <v>#REF!</v>
      </c>
      <c r="V15" s="27"/>
      <c r="W15" s="26">
        <f t="shared" si="15"/>
        <v>1552</v>
      </c>
      <c r="X15" s="26" t="e">
        <f t="shared" si="16"/>
        <v>#REF!</v>
      </c>
      <c r="Y15" s="27" t="e">
        <f t="shared" si="17"/>
        <v>#REF!</v>
      </c>
    </row>
    <row r="16" spans="1:25" ht="16.5" customHeight="1">
      <c r="A16" s="16" t="s">
        <v>36</v>
      </c>
      <c r="B16" s="17" t="s">
        <v>37</v>
      </c>
      <c r="C16" s="25">
        <f t="shared" si="0"/>
        <v>3719</v>
      </c>
      <c r="D16" s="25" t="e">
        <f t="shared" si="1"/>
        <v>#REF!</v>
      </c>
      <c r="E16" s="27" t="e">
        <f t="shared" si="2"/>
        <v>#REF!</v>
      </c>
      <c r="F16" s="27"/>
      <c r="G16" s="25">
        <f t="shared" si="3"/>
        <v>103</v>
      </c>
      <c r="H16" s="25" t="e">
        <f t="shared" si="4"/>
        <v>#REF!</v>
      </c>
      <c r="I16" s="27" t="e">
        <f t="shared" si="5"/>
        <v>#REF!</v>
      </c>
      <c r="J16" s="27"/>
      <c r="K16" s="25">
        <f t="shared" si="6"/>
        <v>5136</v>
      </c>
      <c r="L16" s="25" t="e">
        <f t="shared" si="7"/>
        <v>#REF!</v>
      </c>
      <c r="M16" s="27" t="e">
        <f t="shared" si="8"/>
        <v>#REF!</v>
      </c>
      <c r="N16" s="39"/>
      <c r="O16" s="36" t="str">
        <f t="shared" si="9"/>
        <v>Eastern</v>
      </c>
      <c r="P16" s="26" t="e">
        <f t="shared" si="10"/>
        <v>#REF!</v>
      </c>
      <c r="Q16" s="27" t="e">
        <f t="shared" si="11"/>
        <v>#VALUE!</v>
      </c>
      <c r="R16" s="27"/>
      <c r="S16" s="26">
        <f t="shared" si="12"/>
        <v>1834</v>
      </c>
      <c r="T16" s="26" t="e">
        <f t="shared" si="13"/>
        <v>#REF!</v>
      </c>
      <c r="U16" s="27" t="e">
        <f t="shared" si="14"/>
        <v>#REF!</v>
      </c>
      <c r="V16" s="27"/>
      <c r="W16" s="26">
        <f t="shared" si="15"/>
        <v>2847</v>
      </c>
      <c r="X16" s="26" t="e">
        <f t="shared" si="16"/>
        <v>#REF!</v>
      </c>
      <c r="Y16" s="27" t="e">
        <f t="shared" si="17"/>
        <v>#REF!</v>
      </c>
    </row>
    <row r="17" spans="1:25" ht="16.5" customHeight="1">
      <c r="A17" s="16" t="s">
        <v>38</v>
      </c>
      <c r="B17" s="32" t="s">
        <v>39</v>
      </c>
      <c r="C17" s="25">
        <f t="shared" si="0"/>
        <v>14</v>
      </c>
      <c r="D17" s="25" t="e">
        <f t="shared" si="1"/>
        <v>#REF!</v>
      </c>
      <c r="E17" s="27" t="e">
        <f t="shared" si="2"/>
        <v>#REF!</v>
      </c>
      <c r="F17" s="27"/>
      <c r="G17" s="25">
        <f t="shared" si="3"/>
        <v>21</v>
      </c>
      <c r="H17" s="25" t="e">
        <f t="shared" si="4"/>
        <v>#REF!</v>
      </c>
      <c r="I17" s="27" t="e">
        <f t="shared" si="5"/>
        <v>#REF!</v>
      </c>
      <c r="J17" s="27"/>
      <c r="K17" s="25">
        <f t="shared" si="6"/>
        <v>6367</v>
      </c>
      <c r="L17" s="25" t="e">
        <f t="shared" si="7"/>
        <v>#REF!</v>
      </c>
      <c r="M17" s="27" t="e">
        <f t="shared" si="8"/>
        <v>#REF!</v>
      </c>
      <c r="N17" s="39"/>
      <c r="O17" s="36" t="str">
        <f t="shared" si="9"/>
        <v>Western</v>
      </c>
      <c r="P17" s="26" t="e">
        <f t="shared" si="10"/>
        <v>#REF!</v>
      </c>
      <c r="Q17" s="27" t="e">
        <f t="shared" si="11"/>
        <v>#VALUE!</v>
      </c>
      <c r="R17" s="27"/>
      <c r="S17" s="26">
        <f t="shared" si="12"/>
        <v>2112</v>
      </c>
      <c r="T17" s="26" t="e">
        <f t="shared" si="13"/>
        <v>#REF!</v>
      </c>
      <c r="U17" s="27" t="e">
        <f t="shared" si="14"/>
        <v>#REF!</v>
      </c>
      <c r="V17" s="27"/>
      <c r="W17" s="26">
        <f t="shared" si="15"/>
        <v>3953</v>
      </c>
      <c r="X17" s="26" t="e">
        <f t="shared" si="16"/>
        <v>#REF!</v>
      </c>
      <c r="Y17" s="27" t="e">
        <f t="shared" si="17"/>
        <v>#REF!</v>
      </c>
    </row>
    <row r="18" spans="1:25" ht="16.5" customHeight="1">
      <c r="A18" s="16" t="s">
        <v>40</v>
      </c>
      <c r="B18" s="32" t="s">
        <v>41</v>
      </c>
      <c r="C18" s="25">
        <f t="shared" si="0"/>
        <v>1990</v>
      </c>
      <c r="D18" s="25" t="e">
        <f t="shared" si="1"/>
        <v>#REF!</v>
      </c>
      <c r="E18" s="27" t="e">
        <f t="shared" si="2"/>
        <v>#REF!</v>
      </c>
      <c r="F18" s="27"/>
      <c r="G18" s="25">
        <f t="shared" si="3"/>
        <v>108</v>
      </c>
      <c r="H18" s="25" t="e">
        <f t="shared" si="4"/>
        <v>#REF!</v>
      </c>
      <c r="I18" s="27" t="e">
        <f t="shared" si="5"/>
        <v>#REF!</v>
      </c>
      <c r="J18" s="27"/>
      <c r="K18" s="25">
        <f t="shared" si="6"/>
        <v>4470</v>
      </c>
      <c r="L18" s="25" t="e">
        <f t="shared" si="7"/>
        <v>#REF!</v>
      </c>
      <c r="M18" s="27" t="e">
        <f t="shared" si="8"/>
        <v>#REF!</v>
      </c>
      <c r="N18" s="39"/>
      <c r="O18" s="36" t="str">
        <f t="shared" si="9"/>
        <v>Central</v>
      </c>
      <c r="P18" s="26" t="e">
        <f t="shared" si="10"/>
        <v>#REF!</v>
      </c>
      <c r="Q18" s="27" t="e">
        <f t="shared" si="11"/>
        <v>#VALUE!</v>
      </c>
      <c r="R18" s="27"/>
      <c r="S18" s="26">
        <f t="shared" si="12"/>
        <v>1608</v>
      </c>
      <c r="T18" s="26" t="e">
        <f t="shared" si="13"/>
        <v>#REF!</v>
      </c>
      <c r="U18" s="27" t="e">
        <f t="shared" si="14"/>
        <v>#REF!</v>
      </c>
      <c r="V18" s="27"/>
      <c r="W18" s="26">
        <f t="shared" si="15"/>
        <v>2583</v>
      </c>
      <c r="X18" s="26" t="e">
        <f t="shared" si="16"/>
        <v>#REF!</v>
      </c>
      <c r="Y18" s="27" t="e">
        <f t="shared" si="17"/>
        <v>#REF!</v>
      </c>
    </row>
    <row r="19" spans="1:25" ht="16.5" customHeight="1">
      <c r="A19" s="16" t="s">
        <v>42</v>
      </c>
      <c r="B19" s="17" t="s">
        <v>43</v>
      </c>
      <c r="C19" s="25">
        <f t="shared" si="0"/>
        <v>2757</v>
      </c>
      <c r="D19" s="25" t="e">
        <f t="shared" si="1"/>
        <v>#REF!</v>
      </c>
      <c r="E19" s="27" t="e">
        <f t="shared" si="2"/>
        <v>#REF!</v>
      </c>
      <c r="F19" s="27"/>
      <c r="G19" s="25">
        <f t="shared" si="3"/>
        <v>260</v>
      </c>
      <c r="H19" s="25" t="e">
        <f t="shared" si="4"/>
        <v>#REF!</v>
      </c>
      <c r="I19" s="27" t="e">
        <f t="shared" si="5"/>
        <v>#REF!</v>
      </c>
      <c r="J19" s="27"/>
      <c r="K19" s="25">
        <f t="shared" si="6"/>
        <v>11206</v>
      </c>
      <c r="L19" s="25" t="e">
        <f t="shared" si="7"/>
        <v>#REF!</v>
      </c>
      <c r="M19" s="27" t="e">
        <f t="shared" si="8"/>
        <v>#REF!</v>
      </c>
      <c r="N19" s="39"/>
      <c r="O19" s="36" t="str">
        <f t="shared" si="9"/>
        <v>Piedmont</v>
      </c>
      <c r="P19" s="26" t="e">
        <f t="shared" si="10"/>
        <v>#REF!</v>
      </c>
      <c r="Q19" s="27" t="e">
        <f t="shared" si="11"/>
        <v>#VALUE!</v>
      </c>
      <c r="R19" s="27"/>
      <c r="S19" s="26">
        <f t="shared" si="12"/>
        <v>4251</v>
      </c>
      <c r="T19" s="26" t="e">
        <f t="shared" si="13"/>
        <v>#REF!</v>
      </c>
      <c r="U19" s="27" t="e">
        <f t="shared" si="14"/>
        <v>#REF!</v>
      </c>
      <c r="V19" s="27"/>
      <c r="W19" s="26">
        <f t="shared" si="15"/>
        <v>6415</v>
      </c>
      <c r="X19" s="26" t="e">
        <f t="shared" si="16"/>
        <v>#REF!</v>
      </c>
      <c r="Y19" s="27" t="e">
        <f t="shared" si="17"/>
        <v>#REF!</v>
      </c>
    </row>
    <row r="20" spans="1:25" ht="16.5" customHeight="1">
      <c r="A20" s="16" t="s">
        <v>44</v>
      </c>
      <c r="B20" s="17" t="s">
        <v>45</v>
      </c>
      <c r="C20" s="25">
        <f t="shared" si="0"/>
        <v>2475</v>
      </c>
      <c r="D20" s="25" t="e">
        <f t="shared" si="1"/>
        <v>#REF!</v>
      </c>
      <c r="E20" s="27" t="e">
        <f t="shared" si="2"/>
        <v>#REF!</v>
      </c>
      <c r="F20" s="27"/>
      <c r="G20" s="25">
        <f t="shared" si="3"/>
        <v>186</v>
      </c>
      <c r="H20" s="25" t="e">
        <f t="shared" si="4"/>
        <v>#REF!</v>
      </c>
      <c r="I20" s="27" t="e">
        <f t="shared" si="5"/>
        <v>#REF!</v>
      </c>
      <c r="J20" s="27"/>
      <c r="K20" s="25">
        <f t="shared" si="6"/>
        <v>7062</v>
      </c>
      <c r="L20" s="25" t="e">
        <f t="shared" si="7"/>
        <v>#REF!</v>
      </c>
      <c r="M20" s="27" t="e">
        <f t="shared" si="8"/>
        <v>#REF!</v>
      </c>
      <c r="N20" s="39"/>
      <c r="O20" s="36" t="str">
        <f t="shared" si="9"/>
        <v>Central</v>
      </c>
      <c r="P20" s="26" t="e">
        <f t="shared" si="10"/>
        <v>#REF!</v>
      </c>
      <c r="Q20" s="27" t="e">
        <f t="shared" si="11"/>
        <v>#VALUE!</v>
      </c>
      <c r="R20" s="27"/>
      <c r="S20" s="26">
        <f t="shared" si="12"/>
        <v>2889</v>
      </c>
      <c r="T20" s="26" t="e">
        <f t="shared" si="13"/>
        <v>#REF!</v>
      </c>
      <c r="U20" s="27" t="e">
        <f t="shared" si="14"/>
        <v>#REF!</v>
      </c>
      <c r="V20" s="27"/>
      <c r="W20" s="26">
        <f t="shared" si="15"/>
        <v>3867</v>
      </c>
      <c r="X20" s="26" t="e">
        <f t="shared" si="16"/>
        <v>#REF!</v>
      </c>
      <c r="Y20" s="27" t="e">
        <f t="shared" si="17"/>
        <v>#REF!</v>
      </c>
    </row>
    <row r="21" spans="1:25" ht="16.5" customHeight="1">
      <c r="A21" s="16" t="s">
        <v>46</v>
      </c>
      <c r="B21" s="32" t="s">
        <v>47</v>
      </c>
      <c r="C21" s="25">
        <f t="shared" si="0"/>
        <v>120</v>
      </c>
      <c r="D21" s="25" t="e">
        <f t="shared" si="1"/>
        <v>#REF!</v>
      </c>
      <c r="E21" s="27" t="e">
        <f t="shared" si="2"/>
        <v>#REF!</v>
      </c>
      <c r="F21" s="27"/>
      <c r="G21" s="25">
        <f t="shared" si="3"/>
        <v>144</v>
      </c>
      <c r="H21" s="25" t="e">
        <f t="shared" si="4"/>
        <v>#REF!</v>
      </c>
      <c r="I21" s="27" t="e">
        <f t="shared" si="5"/>
        <v>#REF!</v>
      </c>
      <c r="J21" s="27"/>
      <c r="K21" s="25">
        <f t="shared" si="6"/>
        <v>7687</v>
      </c>
      <c r="L21" s="25" t="e">
        <f t="shared" si="7"/>
        <v>#REF!</v>
      </c>
      <c r="M21" s="27" t="e">
        <f t="shared" si="8"/>
        <v>#REF!</v>
      </c>
      <c r="N21" s="39"/>
      <c r="O21" s="36" t="str">
        <f t="shared" si="9"/>
        <v>Western</v>
      </c>
      <c r="P21" s="26" t="e">
        <f t="shared" si="10"/>
        <v>#REF!</v>
      </c>
      <c r="Q21" s="27" t="e">
        <f t="shared" si="11"/>
        <v>#VALUE!</v>
      </c>
      <c r="R21" s="27"/>
      <c r="S21" s="26">
        <f t="shared" si="12"/>
        <v>2719</v>
      </c>
      <c r="T21" s="26" t="e">
        <f t="shared" si="13"/>
        <v>#REF!</v>
      </c>
      <c r="U21" s="27" t="e">
        <f t="shared" si="14"/>
        <v>#REF!</v>
      </c>
      <c r="V21" s="27"/>
      <c r="W21" s="26">
        <f t="shared" si="15"/>
        <v>4432</v>
      </c>
      <c r="X21" s="26" t="e">
        <f t="shared" si="16"/>
        <v>#REF!</v>
      </c>
      <c r="Y21" s="27" t="e">
        <f t="shared" si="17"/>
        <v>#REF!</v>
      </c>
    </row>
    <row r="22" spans="1:25" ht="16.5" customHeight="1">
      <c r="A22" s="16" t="s">
        <v>48</v>
      </c>
      <c r="B22" s="17" t="s">
        <v>269</v>
      </c>
      <c r="C22" s="25">
        <f t="shared" si="0"/>
        <v>800</v>
      </c>
      <c r="D22" s="25" t="e">
        <f t="shared" si="1"/>
        <v>#REF!</v>
      </c>
      <c r="E22" s="27" t="e">
        <f t="shared" si="2"/>
        <v>#REF!</v>
      </c>
      <c r="F22" s="27"/>
      <c r="G22" s="25">
        <f t="shared" si="3"/>
        <v>59</v>
      </c>
      <c r="H22" s="25" t="e">
        <f t="shared" si="4"/>
        <v>#REF!</v>
      </c>
      <c r="I22" s="27" t="e">
        <f t="shared" si="5"/>
        <v>#REF!</v>
      </c>
      <c r="J22" s="27"/>
      <c r="K22" s="25">
        <f t="shared" si="6"/>
        <v>1458</v>
      </c>
      <c r="L22" s="25" t="e">
        <f t="shared" si="7"/>
        <v>#REF!</v>
      </c>
      <c r="M22" s="27" t="e">
        <f t="shared" si="8"/>
        <v>#REF!</v>
      </c>
      <c r="N22" s="39"/>
      <c r="O22" s="36" t="str">
        <f t="shared" si="9"/>
        <v>Central</v>
      </c>
      <c r="P22" s="26" t="e">
        <f t="shared" si="10"/>
        <v>#REF!</v>
      </c>
      <c r="Q22" s="27" t="e">
        <f t="shared" si="11"/>
        <v>#VALUE!</v>
      </c>
      <c r="R22" s="27"/>
      <c r="S22" s="26">
        <f t="shared" si="12"/>
        <v>493</v>
      </c>
      <c r="T22" s="26" t="e">
        <f t="shared" si="13"/>
        <v>#REF!</v>
      </c>
      <c r="U22" s="27" t="e">
        <f t="shared" si="14"/>
        <v>#REF!</v>
      </c>
      <c r="V22" s="27"/>
      <c r="W22" s="26">
        <f t="shared" si="15"/>
        <v>889</v>
      </c>
      <c r="X22" s="26" t="e">
        <f t="shared" si="16"/>
        <v>#REF!</v>
      </c>
      <c r="Y22" s="27" t="e">
        <f t="shared" si="17"/>
        <v>#REF!</v>
      </c>
    </row>
    <row r="23" spans="1:25" ht="16.5" customHeight="1">
      <c r="A23" s="16" t="s">
        <v>50</v>
      </c>
      <c r="B23" s="32" t="s">
        <v>51</v>
      </c>
      <c r="C23" s="25">
        <f t="shared" si="0"/>
        <v>1526</v>
      </c>
      <c r="D23" s="25" t="e">
        <f t="shared" si="1"/>
        <v>#REF!</v>
      </c>
      <c r="E23" s="27" t="e">
        <f t="shared" si="2"/>
        <v>#REF!</v>
      </c>
      <c r="F23" s="27"/>
      <c r="G23" s="25">
        <f t="shared" si="3"/>
        <v>103</v>
      </c>
      <c r="H23" s="25" t="e">
        <f t="shared" si="4"/>
        <v>#REF!</v>
      </c>
      <c r="I23" s="27" t="e">
        <f t="shared" si="5"/>
        <v>#REF!</v>
      </c>
      <c r="J23" s="27"/>
      <c r="K23" s="25">
        <f t="shared" si="6"/>
        <v>3211</v>
      </c>
      <c r="L23" s="25" t="e">
        <f t="shared" si="7"/>
        <v>#REF!</v>
      </c>
      <c r="M23" s="27" t="e">
        <f t="shared" si="8"/>
        <v>#REF!</v>
      </c>
      <c r="N23" s="39"/>
      <c r="O23" s="36" t="str">
        <f t="shared" si="9"/>
        <v>Piedmont</v>
      </c>
      <c r="P23" s="26" t="e">
        <f t="shared" si="10"/>
        <v>#REF!</v>
      </c>
      <c r="Q23" s="27" t="e">
        <f t="shared" si="11"/>
        <v>#VALUE!</v>
      </c>
      <c r="R23" s="27"/>
      <c r="S23" s="26">
        <f t="shared" si="12"/>
        <v>1202</v>
      </c>
      <c r="T23" s="26" t="e">
        <f t="shared" si="13"/>
        <v>#REF!</v>
      </c>
      <c r="U23" s="27" t="e">
        <f t="shared" si="14"/>
        <v>#REF!</v>
      </c>
      <c r="V23" s="27"/>
      <c r="W23" s="26">
        <f t="shared" si="15"/>
        <v>1753</v>
      </c>
      <c r="X23" s="26" t="e">
        <f t="shared" si="16"/>
        <v>#REF!</v>
      </c>
      <c r="Y23" s="27" t="e">
        <f t="shared" si="17"/>
        <v>#REF!</v>
      </c>
    </row>
    <row r="24" spans="1:25" ht="16.5" customHeight="1">
      <c r="A24" s="16" t="s">
        <v>56</v>
      </c>
      <c r="B24" s="17" t="s">
        <v>295</v>
      </c>
      <c r="C24" s="25">
        <f t="shared" si="0"/>
        <v>17760</v>
      </c>
      <c r="D24" s="25" t="e">
        <f t="shared" si="1"/>
        <v>#REF!</v>
      </c>
      <c r="E24" s="27" t="e">
        <f t="shared" si="2"/>
        <v>#REF!</v>
      </c>
      <c r="F24" s="27"/>
      <c r="G24" s="25">
        <f t="shared" si="3"/>
        <v>2990</v>
      </c>
      <c r="H24" s="25" t="e">
        <f t="shared" si="4"/>
        <v>#REF!</v>
      </c>
      <c r="I24" s="27" t="e">
        <f t="shared" si="5"/>
        <v>#REF!</v>
      </c>
      <c r="J24" s="27"/>
      <c r="K24" s="25">
        <f t="shared" si="6"/>
        <v>50895</v>
      </c>
      <c r="L24" s="25" t="e">
        <f t="shared" si="7"/>
        <v>#REF!</v>
      </c>
      <c r="M24" s="27" t="e">
        <f t="shared" si="8"/>
        <v>#REF!</v>
      </c>
      <c r="N24" s="39"/>
      <c r="O24" s="36" t="str">
        <f t="shared" si="9"/>
        <v>Central</v>
      </c>
      <c r="P24" s="26" t="e">
        <f t="shared" si="10"/>
        <v>#REF!</v>
      </c>
      <c r="Q24" s="27" t="e">
        <f t="shared" si="11"/>
        <v>#VALUE!</v>
      </c>
      <c r="R24" s="27"/>
      <c r="S24" s="26">
        <f t="shared" si="12"/>
        <v>22693</v>
      </c>
      <c r="T24" s="26" t="e">
        <f t="shared" si="13"/>
        <v>#REF!</v>
      </c>
      <c r="U24" s="27" t="e">
        <f t="shared" si="14"/>
        <v>#REF!</v>
      </c>
      <c r="V24" s="27"/>
      <c r="W24" s="26">
        <f t="shared" si="15"/>
        <v>26769</v>
      </c>
      <c r="X24" s="26" t="e">
        <f t="shared" si="16"/>
        <v>#REF!</v>
      </c>
      <c r="Y24" s="27" t="e">
        <f t="shared" si="17"/>
        <v>#REF!</v>
      </c>
    </row>
    <row r="25" spans="1:25" ht="16.5" customHeight="1">
      <c r="A25" s="16" t="s">
        <v>58</v>
      </c>
      <c r="B25" s="17" t="s">
        <v>59</v>
      </c>
      <c r="C25" s="25">
        <f t="shared" si="0"/>
        <v>151</v>
      </c>
      <c r="D25" s="25" t="e">
        <f t="shared" si="1"/>
        <v>#REF!</v>
      </c>
      <c r="E25" s="27" t="e">
        <f t="shared" si="2"/>
        <v>#REF!</v>
      </c>
      <c r="F25" s="27"/>
      <c r="G25" s="25">
        <f t="shared" si="3"/>
        <v>33</v>
      </c>
      <c r="H25" s="25" t="e">
        <f t="shared" si="4"/>
        <v>#REF!</v>
      </c>
      <c r="I25" s="27" t="e">
        <f t="shared" si="5"/>
        <v>#REF!</v>
      </c>
      <c r="J25" s="27"/>
      <c r="K25" s="25">
        <f t="shared" si="6"/>
        <v>1219</v>
      </c>
      <c r="L25" s="25" t="e">
        <f t="shared" si="7"/>
        <v>#REF!</v>
      </c>
      <c r="M25" s="27" t="e">
        <f t="shared" si="8"/>
        <v>#REF!</v>
      </c>
      <c r="N25" s="39"/>
      <c r="O25" s="36" t="str">
        <f t="shared" si="9"/>
        <v>Northern</v>
      </c>
      <c r="P25" s="26" t="e">
        <f t="shared" si="10"/>
        <v>#REF!</v>
      </c>
      <c r="Q25" s="27" t="e">
        <f t="shared" si="11"/>
        <v>#VALUE!</v>
      </c>
      <c r="R25" s="27"/>
      <c r="S25" s="26">
        <f t="shared" si="12"/>
        <v>476</v>
      </c>
      <c r="T25" s="26" t="e">
        <f t="shared" si="13"/>
        <v>#REF!</v>
      </c>
      <c r="U25" s="27" t="e">
        <f t="shared" si="14"/>
        <v>#REF!</v>
      </c>
      <c r="V25" s="27"/>
      <c r="W25" s="26">
        <f t="shared" si="15"/>
        <v>658</v>
      </c>
      <c r="X25" s="26" t="e">
        <f t="shared" si="16"/>
        <v>#REF!</v>
      </c>
      <c r="Y25" s="27" t="e">
        <f t="shared" si="17"/>
        <v>#REF!</v>
      </c>
    </row>
    <row r="26" spans="1:25" ht="16.5" customHeight="1">
      <c r="A26" s="16" t="s">
        <v>60</v>
      </c>
      <c r="B26" s="17" t="s">
        <v>61</v>
      </c>
      <c r="C26" s="25">
        <f t="shared" si="0"/>
        <v>4</v>
      </c>
      <c r="D26" s="25" t="e">
        <f t="shared" si="1"/>
        <v>#REF!</v>
      </c>
      <c r="E26" s="27" t="e">
        <f t="shared" si="2"/>
        <v>#REF!</v>
      </c>
      <c r="F26" s="27"/>
      <c r="G26" s="25">
        <f t="shared" si="3"/>
        <v>1</v>
      </c>
      <c r="H26" s="25" t="e">
        <f t="shared" si="4"/>
        <v>#REF!</v>
      </c>
      <c r="I26" s="27" t="e">
        <f t="shared" si="5"/>
        <v>#REF!</v>
      </c>
      <c r="J26" s="27"/>
      <c r="K26" s="25">
        <f t="shared" si="6"/>
        <v>851</v>
      </c>
      <c r="L26" s="25" t="e">
        <f t="shared" si="7"/>
        <v>#REF!</v>
      </c>
      <c r="M26" s="27" t="e">
        <f t="shared" si="8"/>
        <v>#REF!</v>
      </c>
      <c r="N26" s="39"/>
      <c r="O26" s="36" t="str">
        <f t="shared" si="9"/>
        <v>Piedmont</v>
      </c>
      <c r="P26" s="26" t="e">
        <f t="shared" si="10"/>
        <v>#REF!</v>
      </c>
      <c r="Q26" s="27" t="e">
        <f t="shared" si="11"/>
        <v>#VALUE!</v>
      </c>
      <c r="R26" s="27"/>
      <c r="S26" s="26">
        <f t="shared" si="12"/>
        <v>333</v>
      </c>
      <c r="T26" s="26" t="e">
        <f t="shared" si="13"/>
        <v>#REF!</v>
      </c>
      <c r="U26" s="27" t="e">
        <f t="shared" si="14"/>
        <v>#REF!</v>
      </c>
      <c r="V26" s="27"/>
      <c r="W26" s="26">
        <f t="shared" si="15"/>
        <v>453</v>
      </c>
      <c r="X26" s="26" t="e">
        <f t="shared" si="16"/>
        <v>#REF!</v>
      </c>
      <c r="Y26" s="27" t="e">
        <f t="shared" si="17"/>
        <v>#REF!</v>
      </c>
    </row>
    <row r="27" spans="1:25" ht="16.5" customHeight="1">
      <c r="A27" s="16" t="s">
        <v>62</v>
      </c>
      <c r="B27" s="17" t="s">
        <v>63</v>
      </c>
      <c r="C27" s="25">
        <f t="shared" si="0"/>
        <v>2537</v>
      </c>
      <c r="D27" s="25" t="e">
        <f t="shared" si="1"/>
        <v>#REF!</v>
      </c>
      <c r="E27" s="27" t="e">
        <f t="shared" si="2"/>
        <v>#REF!</v>
      </c>
      <c r="F27" s="27"/>
      <c r="G27" s="25">
        <f t="shared" si="3"/>
        <v>721</v>
      </c>
      <c r="H27" s="25" t="e">
        <f t="shared" si="4"/>
        <v>#REF!</v>
      </c>
      <c r="I27" s="27" t="e">
        <f t="shared" si="5"/>
        <v>#REF!</v>
      </c>
      <c r="J27" s="27"/>
      <c r="K27" s="25">
        <f t="shared" si="6"/>
        <v>8623</v>
      </c>
      <c r="L27" s="25" t="e">
        <f t="shared" si="7"/>
        <v>#REF!</v>
      </c>
      <c r="M27" s="27" t="e">
        <f t="shared" si="8"/>
        <v>#REF!</v>
      </c>
      <c r="N27" s="39"/>
      <c r="O27" s="36" t="str">
        <f t="shared" si="9"/>
        <v>Northern</v>
      </c>
      <c r="P27" s="26" t="e">
        <f t="shared" si="10"/>
        <v>#REF!</v>
      </c>
      <c r="Q27" s="27" t="e">
        <f t="shared" si="11"/>
        <v>#VALUE!</v>
      </c>
      <c r="R27" s="27"/>
      <c r="S27" s="26">
        <f t="shared" si="12"/>
        <v>3706</v>
      </c>
      <c r="T27" s="26" t="e">
        <f t="shared" si="13"/>
        <v>#REF!</v>
      </c>
      <c r="U27" s="27" t="e">
        <f t="shared" si="14"/>
        <v>#REF!</v>
      </c>
      <c r="V27" s="27"/>
      <c r="W27" s="26">
        <f t="shared" si="15"/>
        <v>4541</v>
      </c>
      <c r="X27" s="26" t="e">
        <f t="shared" si="16"/>
        <v>#REF!</v>
      </c>
      <c r="Y27" s="27" t="e">
        <f t="shared" si="17"/>
        <v>#REF!</v>
      </c>
    </row>
    <row r="28" spans="1:25" ht="16.5" customHeight="1">
      <c r="A28" s="16" t="s">
        <v>64</v>
      </c>
      <c r="B28" s="17" t="s">
        <v>65</v>
      </c>
      <c r="C28" s="25">
        <f t="shared" si="0"/>
        <v>1430</v>
      </c>
      <c r="D28" s="25" t="e">
        <f t="shared" si="1"/>
        <v>#REF!</v>
      </c>
      <c r="E28" s="27" t="e">
        <f t="shared" si="2"/>
        <v>#REF!</v>
      </c>
      <c r="F28" s="27"/>
      <c r="G28" s="25">
        <f t="shared" si="3"/>
        <v>111</v>
      </c>
      <c r="H28" s="25" t="e">
        <f t="shared" si="4"/>
        <v>#REF!</v>
      </c>
      <c r="I28" s="27" t="e">
        <f t="shared" si="5"/>
        <v>#REF!</v>
      </c>
      <c r="J28" s="27"/>
      <c r="K28" s="25">
        <f t="shared" si="6"/>
        <v>3142</v>
      </c>
      <c r="L28" s="25" t="e">
        <f t="shared" si="7"/>
        <v>#REF!</v>
      </c>
      <c r="M28" s="27" t="e">
        <f t="shared" si="8"/>
        <v>#REF!</v>
      </c>
      <c r="N28" s="39"/>
      <c r="O28" s="36" t="str">
        <f t="shared" si="9"/>
        <v>Central</v>
      </c>
      <c r="P28" s="26" t="e">
        <f t="shared" si="10"/>
        <v>#REF!</v>
      </c>
      <c r="Q28" s="27" t="e">
        <f t="shared" si="11"/>
        <v>#VALUE!</v>
      </c>
      <c r="R28" s="27"/>
      <c r="S28" s="26">
        <f t="shared" si="12"/>
        <v>1189</v>
      </c>
      <c r="T28" s="26" t="e">
        <f t="shared" si="13"/>
        <v>#REF!</v>
      </c>
      <c r="U28" s="27" t="e">
        <f t="shared" si="14"/>
        <v>#REF!</v>
      </c>
      <c r="V28" s="27"/>
      <c r="W28" s="26">
        <f t="shared" si="15"/>
        <v>1762</v>
      </c>
      <c r="X28" s="26" t="e">
        <f t="shared" si="16"/>
        <v>#REF!</v>
      </c>
      <c r="Y28" s="27" t="e">
        <f t="shared" si="17"/>
        <v>#REF!</v>
      </c>
    </row>
    <row r="29" spans="1:25" ht="16.5" customHeight="1">
      <c r="A29" s="16" t="s">
        <v>68</v>
      </c>
      <c r="B29" s="17" t="s">
        <v>69</v>
      </c>
      <c r="C29" s="25">
        <f t="shared" si="0"/>
        <v>43</v>
      </c>
      <c r="D29" s="25" t="e">
        <f t="shared" si="1"/>
        <v>#REF!</v>
      </c>
      <c r="E29" s="27" t="e">
        <f t="shared" si="2"/>
        <v>#REF!</v>
      </c>
      <c r="F29" s="27"/>
      <c r="G29" s="25">
        <f t="shared" si="3"/>
        <v>3</v>
      </c>
      <c r="H29" s="25" t="e">
        <f t="shared" si="4"/>
        <v>#REF!</v>
      </c>
      <c r="I29" s="27" t="e">
        <f t="shared" si="5"/>
        <v>#REF!</v>
      </c>
      <c r="J29" s="27"/>
      <c r="K29" s="25">
        <f t="shared" si="6"/>
        <v>4598</v>
      </c>
      <c r="L29" s="25" t="e">
        <f t="shared" si="7"/>
        <v>#REF!</v>
      </c>
      <c r="M29" s="27" t="e">
        <f t="shared" si="8"/>
        <v>#REF!</v>
      </c>
      <c r="N29" s="39"/>
      <c r="O29" s="36" t="str">
        <f t="shared" si="9"/>
        <v>Western</v>
      </c>
      <c r="P29" s="26" t="e">
        <f t="shared" si="10"/>
        <v>#REF!</v>
      </c>
      <c r="Q29" s="27" t="e">
        <f t="shared" si="11"/>
        <v>#VALUE!</v>
      </c>
      <c r="R29" s="27"/>
      <c r="S29" s="26">
        <f t="shared" si="12"/>
        <v>1574</v>
      </c>
      <c r="T29" s="26" t="e">
        <f t="shared" si="13"/>
        <v>#REF!</v>
      </c>
      <c r="U29" s="27" t="e">
        <f t="shared" si="14"/>
        <v>#REF!</v>
      </c>
      <c r="V29" s="27"/>
      <c r="W29" s="26">
        <f t="shared" si="15"/>
        <v>2822</v>
      </c>
      <c r="X29" s="26" t="e">
        <f t="shared" si="16"/>
        <v>#REF!</v>
      </c>
      <c r="Y29" s="27" t="e">
        <f t="shared" si="17"/>
        <v>#REF!</v>
      </c>
    </row>
    <row r="30" spans="1:25" ht="16.5" customHeight="1">
      <c r="A30" s="16" t="s">
        <v>70</v>
      </c>
      <c r="B30" s="32" t="s">
        <v>71</v>
      </c>
      <c r="C30" s="25">
        <f t="shared" si="0"/>
        <v>2405</v>
      </c>
      <c r="D30" s="25" t="e">
        <f t="shared" si="1"/>
        <v>#REF!</v>
      </c>
      <c r="E30" s="27" t="e">
        <f t="shared" si="2"/>
        <v>#REF!</v>
      </c>
      <c r="F30" s="27"/>
      <c r="G30" s="25">
        <f t="shared" si="3"/>
        <v>126</v>
      </c>
      <c r="H30" s="25" t="e">
        <f t="shared" si="4"/>
        <v>#REF!</v>
      </c>
      <c r="I30" s="27" t="e">
        <f t="shared" si="5"/>
        <v>#REF!</v>
      </c>
      <c r="J30" s="27"/>
      <c r="K30" s="25">
        <f t="shared" si="6"/>
        <v>6500</v>
      </c>
      <c r="L30" s="25" t="e">
        <f t="shared" si="7"/>
        <v>#REF!</v>
      </c>
      <c r="M30" s="27" t="e">
        <f t="shared" si="8"/>
        <v>#REF!</v>
      </c>
      <c r="N30" s="39"/>
      <c r="O30" s="36" t="str">
        <f t="shared" si="9"/>
        <v>Eastern</v>
      </c>
      <c r="P30" s="26" t="e">
        <f t="shared" si="10"/>
        <v>#REF!</v>
      </c>
      <c r="Q30" s="27" t="e">
        <f t="shared" si="11"/>
        <v>#VALUE!</v>
      </c>
      <c r="R30" s="27"/>
      <c r="S30" s="26">
        <f t="shared" si="12"/>
        <v>2576</v>
      </c>
      <c r="T30" s="26" t="e">
        <f t="shared" si="13"/>
        <v>#REF!</v>
      </c>
      <c r="U30" s="27" t="e">
        <f t="shared" si="14"/>
        <v>#REF!</v>
      </c>
      <c r="V30" s="27"/>
      <c r="W30" s="26">
        <f t="shared" si="15"/>
        <v>3627</v>
      </c>
      <c r="X30" s="26" t="e">
        <f t="shared" si="16"/>
        <v>#REF!</v>
      </c>
      <c r="Y30" s="27" t="e">
        <f t="shared" si="17"/>
        <v>#REF!</v>
      </c>
    </row>
    <row r="31" spans="1:25" ht="16.5" customHeight="1">
      <c r="A31" s="16" t="s">
        <v>72</v>
      </c>
      <c r="B31" s="32" t="s">
        <v>73</v>
      </c>
      <c r="C31" s="25">
        <f t="shared" si="0"/>
        <v>1757</v>
      </c>
      <c r="D31" s="25" t="e">
        <f t="shared" si="1"/>
        <v>#REF!</v>
      </c>
      <c r="E31" s="27" t="e">
        <f t="shared" si="2"/>
        <v>#REF!</v>
      </c>
      <c r="F31" s="27"/>
      <c r="G31" s="25">
        <f t="shared" si="3"/>
        <v>60</v>
      </c>
      <c r="H31" s="25" t="e">
        <f t="shared" si="4"/>
        <v>#REF!</v>
      </c>
      <c r="I31" s="27" t="e">
        <f t="shared" si="5"/>
        <v>#REF!</v>
      </c>
      <c r="J31" s="27"/>
      <c r="K31" s="25">
        <f t="shared" si="6"/>
        <v>3358</v>
      </c>
      <c r="L31" s="25" t="e">
        <f t="shared" si="7"/>
        <v>#REF!</v>
      </c>
      <c r="M31" s="27" t="e">
        <f t="shared" si="8"/>
        <v>#REF!</v>
      </c>
      <c r="N31" s="39"/>
      <c r="O31" s="36" t="str">
        <f t="shared" si="9"/>
        <v>Central</v>
      </c>
      <c r="P31" s="26" t="e">
        <f t="shared" si="10"/>
        <v>#REF!</v>
      </c>
      <c r="Q31" s="27" t="e">
        <f t="shared" si="11"/>
        <v>#VALUE!</v>
      </c>
      <c r="R31" s="27"/>
      <c r="S31" s="26">
        <f t="shared" si="12"/>
        <v>1337</v>
      </c>
      <c r="T31" s="26" t="e">
        <f t="shared" si="13"/>
        <v>#REF!</v>
      </c>
      <c r="U31" s="27" t="e">
        <f t="shared" si="14"/>
        <v>#REF!</v>
      </c>
      <c r="V31" s="27"/>
      <c r="W31" s="26">
        <f t="shared" si="15"/>
        <v>1888</v>
      </c>
      <c r="X31" s="26" t="e">
        <f t="shared" si="16"/>
        <v>#REF!</v>
      </c>
      <c r="Y31" s="27" t="e">
        <f t="shared" si="17"/>
        <v>#REF!</v>
      </c>
    </row>
    <row r="32" spans="1:25" ht="16.5" customHeight="1">
      <c r="A32" s="16" t="s">
        <v>74</v>
      </c>
      <c r="B32" s="17" t="s">
        <v>302</v>
      </c>
      <c r="C32" s="25">
        <f t="shared" si="0"/>
        <v>16448</v>
      </c>
      <c r="D32" s="25" t="e">
        <f t="shared" si="1"/>
        <v>#REF!</v>
      </c>
      <c r="E32" s="27" t="e">
        <f t="shared" si="2"/>
        <v>#REF!</v>
      </c>
      <c r="F32" s="27"/>
      <c r="G32" s="25">
        <f t="shared" si="3"/>
        <v>16740</v>
      </c>
      <c r="H32" s="25" t="e">
        <f t="shared" si="4"/>
        <v>#REF!</v>
      </c>
      <c r="I32" s="27" t="e">
        <f t="shared" si="5"/>
        <v>#REF!</v>
      </c>
      <c r="J32" s="27"/>
      <c r="K32" s="25">
        <f t="shared" si="6"/>
        <v>85323</v>
      </c>
      <c r="L32" s="25" t="e">
        <f t="shared" si="7"/>
        <v>#REF!</v>
      </c>
      <c r="M32" s="27" t="e">
        <f t="shared" si="8"/>
        <v>#REF!</v>
      </c>
      <c r="N32" s="39"/>
      <c r="O32" s="36" t="str">
        <f t="shared" si="9"/>
        <v>Northern</v>
      </c>
      <c r="P32" s="26" t="e">
        <f t="shared" si="10"/>
        <v>#REF!</v>
      </c>
      <c r="Q32" s="27" t="e">
        <f t="shared" si="11"/>
        <v>#VALUE!</v>
      </c>
      <c r="R32" s="27"/>
      <c r="S32" s="26">
        <f t="shared" si="12"/>
        <v>36759</v>
      </c>
      <c r="T32" s="26" t="e">
        <f t="shared" si="13"/>
        <v>#REF!</v>
      </c>
      <c r="U32" s="27" t="e">
        <f t="shared" si="14"/>
        <v>#REF!</v>
      </c>
      <c r="V32" s="27"/>
      <c r="W32" s="26">
        <f t="shared" si="15"/>
        <v>40261</v>
      </c>
      <c r="X32" s="26" t="e">
        <f t="shared" si="16"/>
        <v>#REF!</v>
      </c>
      <c r="Y32" s="27" t="e">
        <f t="shared" si="17"/>
        <v>#REF!</v>
      </c>
    </row>
    <row r="33" spans="1:25" ht="16.5" customHeight="1">
      <c r="A33" s="16" t="s">
        <v>76</v>
      </c>
      <c r="B33" s="17" t="s">
        <v>77</v>
      </c>
      <c r="C33" s="25">
        <f t="shared" si="0"/>
        <v>1530</v>
      </c>
      <c r="D33" s="25" t="e">
        <f t="shared" si="1"/>
        <v>#REF!</v>
      </c>
      <c r="E33" s="27" t="e">
        <f t="shared" si="2"/>
        <v>#REF!</v>
      </c>
      <c r="F33" s="27"/>
      <c r="G33" s="25">
        <f t="shared" si="3"/>
        <v>454</v>
      </c>
      <c r="H33" s="25" t="e">
        <f t="shared" si="4"/>
        <v>#REF!</v>
      </c>
      <c r="I33" s="27" t="e">
        <f t="shared" si="5"/>
        <v>#REF!</v>
      </c>
      <c r="J33" s="27"/>
      <c r="K33" s="25">
        <f t="shared" si="6"/>
        <v>6553</v>
      </c>
      <c r="L33" s="25" t="e">
        <f t="shared" si="7"/>
        <v>#REF!</v>
      </c>
      <c r="M33" s="27" t="e">
        <f t="shared" si="8"/>
        <v>#REF!</v>
      </c>
      <c r="N33" s="39"/>
      <c r="O33" s="36" t="str">
        <f t="shared" si="9"/>
        <v>Northern</v>
      </c>
      <c r="P33" s="26" t="e">
        <f t="shared" si="10"/>
        <v>#REF!</v>
      </c>
      <c r="Q33" s="27" t="e">
        <f t="shared" si="11"/>
        <v>#VALUE!</v>
      </c>
      <c r="R33" s="27"/>
      <c r="S33" s="26">
        <f t="shared" si="12"/>
        <v>2736</v>
      </c>
      <c r="T33" s="26" t="e">
        <f t="shared" si="13"/>
        <v>#REF!</v>
      </c>
      <c r="U33" s="27" t="e">
        <f t="shared" si="14"/>
        <v>#REF!</v>
      </c>
      <c r="V33" s="27"/>
      <c r="W33" s="26">
        <f t="shared" si="15"/>
        <v>3525</v>
      </c>
      <c r="X33" s="26" t="e">
        <f t="shared" si="16"/>
        <v>#REF!</v>
      </c>
      <c r="Y33" s="27" t="e">
        <f t="shared" si="17"/>
        <v>#REF!</v>
      </c>
    </row>
    <row r="34" spans="1:25" ht="16.5" customHeight="1">
      <c r="A34" s="16" t="s">
        <v>78</v>
      </c>
      <c r="B34" s="32" t="s">
        <v>79</v>
      </c>
      <c r="C34" s="25">
        <f t="shared" si="0"/>
        <v>106</v>
      </c>
      <c r="D34" s="25" t="e">
        <f t="shared" si="1"/>
        <v>#REF!</v>
      </c>
      <c r="E34" s="27" t="e">
        <f t="shared" si="2"/>
        <v>#REF!</v>
      </c>
      <c r="F34" s="27"/>
      <c r="G34" s="25">
        <f t="shared" si="3"/>
        <v>141</v>
      </c>
      <c r="H34" s="25" t="e">
        <f t="shared" si="4"/>
        <v>#REF!</v>
      </c>
      <c r="I34" s="27" t="e">
        <f t="shared" si="5"/>
        <v>#REF!</v>
      </c>
      <c r="J34" s="27"/>
      <c r="K34" s="25">
        <f t="shared" si="6"/>
        <v>2879</v>
      </c>
      <c r="L34" s="25" t="e">
        <f t="shared" si="7"/>
        <v>#REF!</v>
      </c>
      <c r="M34" s="27" t="e">
        <f t="shared" si="8"/>
        <v>#REF!</v>
      </c>
      <c r="N34" s="39"/>
      <c r="O34" s="36" t="str">
        <f t="shared" si="9"/>
        <v>Western</v>
      </c>
      <c r="P34" s="26" t="e">
        <f t="shared" si="10"/>
        <v>#REF!</v>
      </c>
      <c r="Q34" s="27" t="e">
        <f t="shared" si="11"/>
        <v>#VALUE!</v>
      </c>
      <c r="R34" s="27"/>
      <c r="S34" s="26">
        <f t="shared" si="12"/>
        <v>1105</v>
      </c>
      <c r="T34" s="26" t="e">
        <f t="shared" si="13"/>
        <v>#REF!</v>
      </c>
      <c r="U34" s="27" t="e">
        <f t="shared" si="14"/>
        <v>#REF!</v>
      </c>
      <c r="V34" s="27"/>
      <c r="W34" s="26">
        <f t="shared" si="15"/>
        <v>1608</v>
      </c>
      <c r="X34" s="26" t="e">
        <f t="shared" si="16"/>
        <v>#REF!</v>
      </c>
      <c r="Y34" s="27" t="e">
        <f t="shared" si="17"/>
        <v>#REF!</v>
      </c>
    </row>
    <row r="35" spans="1:25" ht="16.5" customHeight="1">
      <c r="A35" s="16" t="s">
        <v>80</v>
      </c>
      <c r="B35" s="17" t="s">
        <v>81</v>
      </c>
      <c r="C35" s="25">
        <f t="shared" si="0"/>
        <v>849</v>
      </c>
      <c r="D35" s="25" t="e">
        <f t="shared" si="1"/>
        <v>#REF!</v>
      </c>
      <c r="E35" s="27" t="e">
        <f t="shared" si="2"/>
        <v>#REF!</v>
      </c>
      <c r="F35" s="27"/>
      <c r="G35" s="25">
        <f t="shared" si="3"/>
        <v>94</v>
      </c>
      <c r="H35" s="25" t="e">
        <f t="shared" si="4"/>
        <v>#REF!</v>
      </c>
      <c r="I35" s="27" t="e">
        <f t="shared" si="5"/>
        <v>#REF!</v>
      </c>
      <c r="J35" s="27"/>
      <c r="K35" s="25">
        <f t="shared" si="6"/>
        <v>2767</v>
      </c>
      <c r="L35" s="25" t="e">
        <f t="shared" si="7"/>
        <v>#REF!</v>
      </c>
      <c r="M35" s="27" t="e">
        <f t="shared" si="8"/>
        <v>#REF!</v>
      </c>
      <c r="N35" s="39"/>
      <c r="O35" s="36" t="str">
        <f t="shared" si="9"/>
        <v>Central</v>
      </c>
      <c r="P35" s="26" t="e">
        <f t="shared" si="10"/>
        <v>#REF!</v>
      </c>
      <c r="Q35" s="27" t="e">
        <f t="shared" si="11"/>
        <v>#VALUE!</v>
      </c>
      <c r="R35" s="27"/>
      <c r="S35" s="26">
        <f t="shared" si="12"/>
        <v>1162</v>
      </c>
      <c r="T35" s="26" t="e">
        <f t="shared" si="13"/>
        <v>#REF!</v>
      </c>
      <c r="U35" s="27" t="e">
        <f t="shared" si="14"/>
        <v>#REF!</v>
      </c>
      <c r="V35" s="27"/>
      <c r="W35" s="26">
        <f t="shared" si="15"/>
        <v>1482</v>
      </c>
      <c r="X35" s="26" t="e">
        <f t="shared" si="16"/>
        <v>#REF!</v>
      </c>
      <c r="Y35" s="27" t="e">
        <f t="shared" si="17"/>
        <v>#REF!</v>
      </c>
    </row>
    <row r="36" spans="1:25" ht="16.5" customHeight="1">
      <c r="A36" s="16" t="s">
        <v>84</v>
      </c>
      <c r="B36" s="32" t="s">
        <v>308</v>
      </c>
      <c r="C36" s="25">
        <f t="shared" ref="C36:C67" si="18">VLOOKUP(A36,SNAPClient_Demo,10,FALSE)</f>
        <v>1561</v>
      </c>
      <c r="D36" s="25" t="e">
        <f t="shared" ref="D36:D67" si="19">VLOOKUP(A36,Pop,14,FALSE)</f>
        <v>#REF!</v>
      </c>
      <c r="E36" s="27" t="e">
        <f t="shared" ref="E36:E67" si="20">+C36/D36</f>
        <v>#REF!</v>
      </c>
      <c r="F36" s="27"/>
      <c r="G36" s="25">
        <f t="shared" ref="G36:G67" si="21">VLOOKUP(A36,SNAPClient_Demo,11,FALSE)</f>
        <v>310</v>
      </c>
      <c r="H36" s="25" t="e">
        <f t="shared" ref="H36:H67" si="22">VLOOKUP(A36,Pop,15,FALSE)</f>
        <v>#REF!</v>
      </c>
      <c r="I36" s="27" t="e">
        <f t="shared" ref="I36:I67" si="23">+G36/H36</f>
        <v>#REF!</v>
      </c>
      <c r="J36" s="27"/>
      <c r="K36" s="25">
        <f t="shared" ref="K36:K67" si="24">VLOOKUP(A36,SNAPClient_Demo,12,FALSE)</f>
        <v>11430</v>
      </c>
      <c r="L36" s="25" t="e">
        <f t="shared" ref="L36:L67" si="25">VLOOKUP(A36,Pop,16,FALSE)</f>
        <v>#REF!</v>
      </c>
      <c r="M36" s="27" t="e">
        <f t="shared" ref="M36:M67" si="26">+K36/L36</f>
        <v>#REF!</v>
      </c>
      <c r="N36" s="39"/>
      <c r="O36" s="36" t="str">
        <f t="shared" ref="O36:O67" si="27">VLOOKUP(A36,SNAPClient_Demo,3,FALSE)</f>
        <v>Piedmont</v>
      </c>
      <c r="P36" s="26" t="e">
        <f t="shared" ref="P36:P67" si="28">VLOOKUP(A36,Pop,8,FALSE)</f>
        <v>#REF!</v>
      </c>
      <c r="Q36" s="27" t="e">
        <f t="shared" ref="Q36:Q67" si="29">+O36/P36</f>
        <v>#VALUE!</v>
      </c>
      <c r="R36" s="27"/>
      <c r="S36" s="26">
        <f t="shared" ref="S36:S67" si="30">VLOOKUP(A36,SNAPClient_Demo,4,FALSE)</f>
        <v>4423</v>
      </c>
      <c r="T36" s="26" t="e">
        <f t="shared" ref="T36:T67" si="31">VLOOKUP(A36,Pop,9,FALSE)</f>
        <v>#REF!</v>
      </c>
      <c r="U36" s="27" t="e">
        <f t="shared" ref="U36:U67" si="32">+S36/T36</f>
        <v>#REF!</v>
      </c>
      <c r="V36" s="27"/>
      <c r="W36" s="26">
        <f t="shared" ref="W36:W67" si="33">VLOOKUP(A36,SNAPClient_Demo,5,FALSE)</f>
        <v>6499</v>
      </c>
      <c r="X36" s="26" t="e">
        <f t="shared" ref="X36:X67" si="34">VLOOKUP(A36,Pop,10,FALSE)</f>
        <v>#REF!</v>
      </c>
      <c r="Y36" s="27" t="e">
        <f t="shared" ref="Y36:Y67" si="35">+W36/X36</f>
        <v>#REF!</v>
      </c>
    </row>
    <row r="37" spans="1:25" ht="16.5" customHeight="1">
      <c r="A37" s="16" t="s">
        <v>86</v>
      </c>
      <c r="B37" s="17" t="s">
        <v>87</v>
      </c>
      <c r="C37" s="25">
        <f t="shared" si="18"/>
        <v>857</v>
      </c>
      <c r="D37" s="25" t="e">
        <f t="shared" si="19"/>
        <v>#REF!</v>
      </c>
      <c r="E37" s="27" t="e">
        <f t="shared" si="20"/>
        <v>#REF!</v>
      </c>
      <c r="F37" s="27"/>
      <c r="G37" s="25">
        <f t="shared" si="21"/>
        <v>345</v>
      </c>
      <c r="H37" s="25" t="e">
        <f t="shared" si="22"/>
        <v>#REF!</v>
      </c>
      <c r="I37" s="27" t="e">
        <f t="shared" si="23"/>
        <v>#REF!</v>
      </c>
      <c r="J37" s="27"/>
      <c r="K37" s="25">
        <f t="shared" si="24"/>
        <v>10590</v>
      </c>
      <c r="L37" s="25" t="e">
        <f t="shared" si="25"/>
        <v>#REF!</v>
      </c>
      <c r="M37" s="27" t="e">
        <f t="shared" si="26"/>
        <v>#REF!</v>
      </c>
      <c r="N37" s="39"/>
      <c r="O37" s="36" t="str">
        <f t="shared" si="27"/>
        <v>Northern</v>
      </c>
      <c r="P37" s="26" t="e">
        <f t="shared" si="28"/>
        <v>#REF!</v>
      </c>
      <c r="Q37" s="27" t="e">
        <f t="shared" si="29"/>
        <v>#VALUE!</v>
      </c>
      <c r="R37" s="27"/>
      <c r="S37" s="26">
        <f t="shared" si="30"/>
        <v>4594</v>
      </c>
      <c r="T37" s="26" t="e">
        <f t="shared" si="31"/>
        <v>#REF!</v>
      </c>
      <c r="U37" s="27" t="e">
        <f t="shared" si="32"/>
        <v>#REF!</v>
      </c>
      <c r="V37" s="27"/>
      <c r="W37" s="26">
        <f t="shared" si="33"/>
        <v>5578</v>
      </c>
      <c r="X37" s="26" t="e">
        <f t="shared" si="34"/>
        <v>#REF!</v>
      </c>
      <c r="Y37" s="27" t="e">
        <f t="shared" si="35"/>
        <v>#REF!</v>
      </c>
    </row>
    <row r="38" spans="1:25" ht="16.5" customHeight="1">
      <c r="A38" s="16" t="s">
        <v>92</v>
      </c>
      <c r="B38" s="17" t="s">
        <v>93</v>
      </c>
      <c r="C38" s="25">
        <f t="shared" si="18"/>
        <v>53</v>
      </c>
      <c r="D38" s="25" t="e">
        <f t="shared" si="19"/>
        <v>#REF!</v>
      </c>
      <c r="E38" s="27" t="e">
        <f t="shared" si="20"/>
        <v>#REF!</v>
      </c>
      <c r="F38" s="27"/>
      <c r="G38" s="25">
        <f t="shared" si="21"/>
        <v>24</v>
      </c>
      <c r="H38" s="25" t="e">
        <f t="shared" si="22"/>
        <v>#REF!</v>
      </c>
      <c r="I38" s="27" t="e">
        <f t="shared" si="23"/>
        <v>#REF!</v>
      </c>
      <c r="J38" s="27"/>
      <c r="K38" s="25">
        <f t="shared" si="24"/>
        <v>3507</v>
      </c>
      <c r="L38" s="25" t="e">
        <f t="shared" si="25"/>
        <v>#REF!</v>
      </c>
      <c r="M38" s="27" t="e">
        <f t="shared" si="26"/>
        <v>#REF!</v>
      </c>
      <c r="N38" s="39"/>
      <c r="O38" s="36" t="str">
        <f t="shared" si="27"/>
        <v>Western</v>
      </c>
      <c r="P38" s="26" t="e">
        <f t="shared" si="28"/>
        <v>#REF!</v>
      </c>
      <c r="Q38" s="27" t="e">
        <f t="shared" si="29"/>
        <v>#VALUE!</v>
      </c>
      <c r="R38" s="27"/>
      <c r="S38" s="26">
        <f t="shared" si="30"/>
        <v>1259</v>
      </c>
      <c r="T38" s="26" t="e">
        <f t="shared" si="31"/>
        <v>#REF!</v>
      </c>
      <c r="U38" s="27" t="e">
        <f t="shared" si="32"/>
        <v>#REF!</v>
      </c>
      <c r="V38" s="27"/>
      <c r="W38" s="26">
        <f t="shared" si="33"/>
        <v>2049</v>
      </c>
      <c r="X38" s="26" t="e">
        <f t="shared" si="34"/>
        <v>#REF!</v>
      </c>
      <c r="Y38" s="27" t="e">
        <f t="shared" si="35"/>
        <v>#REF!</v>
      </c>
    </row>
    <row r="39" spans="1:25" ht="16.5" customHeight="1">
      <c r="A39" s="16" t="s">
        <v>94</v>
      </c>
      <c r="B39" s="17" t="s">
        <v>95</v>
      </c>
      <c r="C39" s="25">
        <f t="shared" si="18"/>
        <v>877</v>
      </c>
      <c r="D39" s="25" t="e">
        <f t="shared" si="19"/>
        <v>#REF!</v>
      </c>
      <c r="E39" s="27" t="e">
        <f t="shared" si="20"/>
        <v>#REF!</v>
      </c>
      <c r="F39" s="27"/>
      <c r="G39" s="25">
        <f t="shared" si="21"/>
        <v>132</v>
      </c>
      <c r="H39" s="25" t="e">
        <f t="shared" si="22"/>
        <v>#REF!</v>
      </c>
      <c r="I39" s="27" t="e">
        <f t="shared" si="23"/>
        <v>#REF!</v>
      </c>
      <c r="J39" s="27"/>
      <c r="K39" s="25">
        <f t="shared" si="24"/>
        <v>6251</v>
      </c>
      <c r="L39" s="25" t="e">
        <f t="shared" si="25"/>
        <v>#REF!</v>
      </c>
      <c r="M39" s="27" t="e">
        <f t="shared" si="26"/>
        <v>#REF!</v>
      </c>
      <c r="N39" s="39"/>
      <c r="O39" s="36" t="str">
        <f t="shared" si="27"/>
        <v>Eastern</v>
      </c>
      <c r="P39" s="26" t="e">
        <f t="shared" si="28"/>
        <v>#REF!</v>
      </c>
      <c r="Q39" s="27" t="e">
        <f t="shared" si="29"/>
        <v>#VALUE!</v>
      </c>
      <c r="R39" s="27"/>
      <c r="S39" s="26">
        <f t="shared" si="30"/>
        <v>2365</v>
      </c>
      <c r="T39" s="26" t="e">
        <f t="shared" si="31"/>
        <v>#REF!</v>
      </c>
      <c r="U39" s="27" t="e">
        <f t="shared" si="32"/>
        <v>#REF!</v>
      </c>
      <c r="V39" s="27"/>
      <c r="W39" s="26">
        <f t="shared" si="33"/>
        <v>3624</v>
      </c>
      <c r="X39" s="26" t="e">
        <f t="shared" si="34"/>
        <v>#REF!</v>
      </c>
      <c r="Y39" s="27" t="e">
        <f t="shared" si="35"/>
        <v>#REF!</v>
      </c>
    </row>
    <row r="40" spans="1:25" ht="16.5" customHeight="1">
      <c r="A40" s="16" t="s">
        <v>96</v>
      </c>
      <c r="B40" s="17" t="s">
        <v>97</v>
      </c>
      <c r="C40" s="25">
        <f t="shared" si="18"/>
        <v>799</v>
      </c>
      <c r="D40" s="25" t="e">
        <f t="shared" si="19"/>
        <v>#REF!</v>
      </c>
      <c r="E40" s="27" t="e">
        <f t="shared" si="20"/>
        <v>#REF!</v>
      </c>
      <c r="F40" s="27"/>
      <c r="G40" s="25">
        <f t="shared" si="21"/>
        <v>63</v>
      </c>
      <c r="H40" s="25" t="e">
        <f t="shared" si="22"/>
        <v>#REF!</v>
      </c>
      <c r="I40" s="27" t="e">
        <f t="shared" si="23"/>
        <v>#REF!</v>
      </c>
      <c r="J40" s="27"/>
      <c r="K40" s="25">
        <f t="shared" si="24"/>
        <v>1959</v>
      </c>
      <c r="L40" s="25" t="e">
        <f t="shared" si="25"/>
        <v>#REF!</v>
      </c>
      <c r="M40" s="27" t="e">
        <f t="shared" si="26"/>
        <v>#REF!</v>
      </c>
      <c r="N40" s="39"/>
      <c r="O40" s="36" t="str">
        <f t="shared" si="27"/>
        <v>Central</v>
      </c>
      <c r="P40" s="26" t="e">
        <f t="shared" si="28"/>
        <v>#REF!</v>
      </c>
      <c r="Q40" s="27" t="e">
        <f t="shared" si="29"/>
        <v>#VALUE!</v>
      </c>
      <c r="R40" s="27"/>
      <c r="S40" s="26">
        <f t="shared" si="30"/>
        <v>727</v>
      </c>
      <c r="T40" s="26" t="e">
        <f t="shared" si="31"/>
        <v>#REF!</v>
      </c>
      <c r="U40" s="27" t="e">
        <f t="shared" si="32"/>
        <v>#REF!</v>
      </c>
      <c r="V40" s="27"/>
      <c r="W40" s="26">
        <f t="shared" si="33"/>
        <v>1117</v>
      </c>
      <c r="X40" s="26" t="e">
        <f t="shared" si="34"/>
        <v>#REF!</v>
      </c>
      <c r="Y40" s="27" t="e">
        <f t="shared" si="35"/>
        <v>#REF!</v>
      </c>
    </row>
    <row r="41" spans="1:25" ht="16.5" customHeight="1">
      <c r="A41" s="16" t="s">
        <v>98</v>
      </c>
      <c r="B41" s="17" t="s">
        <v>99</v>
      </c>
      <c r="C41" s="25">
        <f t="shared" si="18"/>
        <v>176</v>
      </c>
      <c r="D41" s="25" t="e">
        <f t="shared" si="19"/>
        <v>#REF!</v>
      </c>
      <c r="E41" s="27" t="e">
        <f t="shared" si="20"/>
        <v>#REF!</v>
      </c>
      <c r="F41" s="27"/>
      <c r="G41" s="25">
        <f t="shared" si="21"/>
        <v>69</v>
      </c>
      <c r="H41" s="25" t="e">
        <f t="shared" si="22"/>
        <v>#REF!</v>
      </c>
      <c r="I41" s="27" t="e">
        <f t="shared" si="23"/>
        <v>#REF!</v>
      </c>
      <c r="J41" s="27"/>
      <c r="K41" s="25">
        <f t="shared" si="24"/>
        <v>4027</v>
      </c>
      <c r="L41" s="25" t="e">
        <f t="shared" si="25"/>
        <v>#REF!</v>
      </c>
      <c r="M41" s="27" t="e">
        <f t="shared" si="26"/>
        <v>#REF!</v>
      </c>
      <c r="N41" s="39"/>
      <c r="O41" s="36" t="str">
        <f t="shared" si="27"/>
        <v>Western</v>
      </c>
      <c r="P41" s="26" t="e">
        <f t="shared" si="28"/>
        <v>#REF!</v>
      </c>
      <c r="Q41" s="27" t="e">
        <f t="shared" si="29"/>
        <v>#VALUE!</v>
      </c>
      <c r="R41" s="27"/>
      <c r="S41" s="26">
        <f t="shared" si="30"/>
        <v>1437</v>
      </c>
      <c r="T41" s="26" t="e">
        <f t="shared" si="31"/>
        <v>#REF!</v>
      </c>
      <c r="U41" s="27" t="e">
        <f t="shared" si="32"/>
        <v>#REF!</v>
      </c>
      <c r="V41" s="27"/>
      <c r="W41" s="26">
        <f t="shared" si="33"/>
        <v>2271</v>
      </c>
      <c r="X41" s="26" t="e">
        <f t="shared" si="34"/>
        <v>#REF!</v>
      </c>
      <c r="Y41" s="27" t="e">
        <f t="shared" si="35"/>
        <v>#REF!</v>
      </c>
    </row>
    <row r="42" spans="1:25" ht="16.5" customHeight="1">
      <c r="A42" s="16" t="s">
        <v>100</v>
      </c>
      <c r="B42" s="17" t="s">
        <v>101</v>
      </c>
      <c r="C42" s="25">
        <f t="shared" si="18"/>
        <v>514</v>
      </c>
      <c r="D42" s="25" t="e">
        <f t="shared" si="19"/>
        <v>#REF!</v>
      </c>
      <c r="E42" s="27" t="e">
        <f t="shared" si="20"/>
        <v>#REF!</v>
      </c>
      <c r="F42" s="27"/>
      <c r="G42" s="25">
        <f t="shared" si="21"/>
        <v>166</v>
      </c>
      <c r="H42" s="25" t="e">
        <f t="shared" si="22"/>
        <v>#REF!</v>
      </c>
      <c r="I42" s="27" t="e">
        <f t="shared" si="23"/>
        <v>#REF!</v>
      </c>
      <c r="J42" s="27"/>
      <c r="K42" s="25">
        <f t="shared" si="24"/>
        <v>3160</v>
      </c>
      <c r="L42" s="25" t="e">
        <f t="shared" si="25"/>
        <v>#REF!</v>
      </c>
      <c r="M42" s="27" t="e">
        <f t="shared" si="26"/>
        <v>#REF!</v>
      </c>
      <c r="N42" s="39"/>
      <c r="O42" s="36" t="str">
        <f t="shared" si="27"/>
        <v>Northern</v>
      </c>
      <c r="P42" s="26" t="e">
        <f t="shared" si="28"/>
        <v>#REF!</v>
      </c>
      <c r="Q42" s="27" t="e">
        <f t="shared" si="29"/>
        <v>#VALUE!</v>
      </c>
      <c r="R42" s="27"/>
      <c r="S42" s="26">
        <f t="shared" si="30"/>
        <v>1321</v>
      </c>
      <c r="T42" s="26" t="e">
        <f t="shared" si="31"/>
        <v>#REF!</v>
      </c>
      <c r="U42" s="27" t="e">
        <f t="shared" si="32"/>
        <v>#REF!</v>
      </c>
      <c r="V42" s="27"/>
      <c r="W42" s="26">
        <f t="shared" si="33"/>
        <v>1716</v>
      </c>
      <c r="X42" s="26" t="e">
        <f t="shared" si="34"/>
        <v>#REF!</v>
      </c>
      <c r="Y42" s="27" t="e">
        <f t="shared" si="35"/>
        <v>#REF!</v>
      </c>
    </row>
    <row r="43" spans="1:25" ht="16.5" customHeight="1">
      <c r="A43" s="16" t="s">
        <v>102</v>
      </c>
      <c r="B43" s="32" t="s">
        <v>103</v>
      </c>
      <c r="C43" s="25">
        <f t="shared" si="18"/>
        <v>4631</v>
      </c>
      <c r="D43" s="25" t="e">
        <f t="shared" si="19"/>
        <v>#REF!</v>
      </c>
      <c r="E43" s="27" t="e">
        <f t="shared" si="20"/>
        <v>#REF!</v>
      </c>
      <c r="F43" s="27"/>
      <c r="G43" s="25">
        <f t="shared" si="21"/>
        <v>135</v>
      </c>
      <c r="H43" s="25" t="e">
        <f t="shared" si="22"/>
        <v>#REF!</v>
      </c>
      <c r="I43" s="27" t="e">
        <f t="shared" si="23"/>
        <v>#REF!</v>
      </c>
      <c r="J43" s="27"/>
      <c r="K43" s="25">
        <f t="shared" si="24"/>
        <v>5833</v>
      </c>
      <c r="L43" s="25" t="e">
        <f t="shared" si="25"/>
        <v>#REF!</v>
      </c>
      <c r="M43" s="27" t="e">
        <f t="shared" si="26"/>
        <v>#REF!</v>
      </c>
      <c r="N43" s="39"/>
      <c r="O43" s="36" t="str">
        <f t="shared" si="27"/>
        <v>Eastern</v>
      </c>
      <c r="P43" s="26" t="e">
        <f t="shared" si="28"/>
        <v>#REF!</v>
      </c>
      <c r="Q43" s="27" t="e">
        <f t="shared" si="29"/>
        <v>#VALUE!</v>
      </c>
      <c r="R43" s="27"/>
      <c r="S43" s="26">
        <f t="shared" si="30"/>
        <v>2284</v>
      </c>
      <c r="T43" s="26" t="e">
        <f t="shared" si="31"/>
        <v>#REF!</v>
      </c>
      <c r="U43" s="27" t="e">
        <f t="shared" si="32"/>
        <v>#REF!</v>
      </c>
      <c r="V43" s="27"/>
      <c r="W43" s="26">
        <f t="shared" si="33"/>
        <v>3216</v>
      </c>
      <c r="X43" s="26" t="e">
        <f t="shared" si="34"/>
        <v>#REF!</v>
      </c>
      <c r="Y43" s="27" t="e">
        <f t="shared" si="35"/>
        <v>#REF!</v>
      </c>
    </row>
    <row r="44" spans="1:25" ht="16.5" customHeight="1">
      <c r="A44" s="16" t="s">
        <v>104</v>
      </c>
      <c r="B44" s="32" t="s">
        <v>309</v>
      </c>
      <c r="C44" s="25">
        <f t="shared" si="18"/>
        <v>5066</v>
      </c>
      <c r="D44" s="25" t="e">
        <f t="shared" si="19"/>
        <v>#REF!</v>
      </c>
      <c r="E44" s="27" t="e">
        <f t="shared" si="20"/>
        <v>#REF!</v>
      </c>
      <c r="F44" s="27"/>
      <c r="G44" s="25">
        <f t="shared" si="21"/>
        <v>180</v>
      </c>
      <c r="H44" s="25" t="e">
        <f t="shared" si="22"/>
        <v>#REF!</v>
      </c>
      <c r="I44" s="27" t="e">
        <f t="shared" si="23"/>
        <v>#REF!</v>
      </c>
      <c r="J44" s="27"/>
      <c r="K44" s="25">
        <f t="shared" si="24"/>
        <v>9288</v>
      </c>
      <c r="L44" s="25" t="e">
        <f t="shared" si="25"/>
        <v>#REF!</v>
      </c>
      <c r="M44" s="27" t="e">
        <f t="shared" si="26"/>
        <v>#REF!</v>
      </c>
      <c r="N44" s="39"/>
      <c r="O44" s="36" t="str">
        <f t="shared" si="27"/>
        <v>Piedmont</v>
      </c>
      <c r="P44" s="26" t="e">
        <f t="shared" si="28"/>
        <v>#REF!</v>
      </c>
      <c r="Q44" s="27" t="e">
        <f t="shared" si="29"/>
        <v>#VALUE!</v>
      </c>
      <c r="R44" s="27"/>
      <c r="S44" s="26">
        <f t="shared" si="30"/>
        <v>3460</v>
      </c>
      <c r="T44" s="26" t="e">
        <f t="shared" si="31"/>
        <v>#REF!</v>
      </c>
      <c r="U44" s="27" t="e">
        <f t="shared" si="32"/>
        <v>#REF!</v>
      </c>
      <c r="V44" s="27"/>
      <c r="W44" s="26">
        <f t="shared" si="33"/>
        <v>5092</v>
      </c>
      <c r="X44" s="26" t="e">
        <f t="shared" si="34"/>
        <v>#REF!</v>
      </c>
      <c r="Y44" s="27" t="e">
        <f t="shared" si="35"/>
        <v>#REF!</v>
      </c>
    </row>
    <row r="45" spans="1:25" ht="16.5" customHeight="1">
      <c r="A45" s="16" t="s">
        <v>108</v>
      </c>
      <c r="B45" s="17" t="s">
        <v>109</v>
      </c>
      <c r="C45" s="25">
        <f t="shared" si="18"/>
        <v>2063</v>
      </c>
      <c r="D45" s="25" t="e">
        <f t="shared" si="19"/>
        <v>#REF!</v>
      </c>
      <c r="E45" s="27" t="e">
        <f t="shared" si="20"/>
        <v>#REF!</v>
      </c>
      <c r="F45" s="27"/>
      <c r="G45" s="25">
        <f t="shared" si="21"/>
        <v>306</v>
      </c>
      <c r="H45" s="25" t="e">
        <f t="shared" si="22"/>
        <v>#REF!</v>
      </c>
      <c r="I45" s="27" t="e">
        <f t="shared" si="23"/>
        <v>#REF!</v>
      </c>
      <c r="J45" s="27"/>
      <c r="K45" s="25">
        <f t="shared" si="24"/>
        <v>8763</v>
      </c>
      <c r="L45" s="25" t="e">
        <f t="shared" si="25"/>
        <v>#REF!</v>
      </c>
      <c r="M45" s="27" t="e">
        <f t="shared" si="26"/>
        <v>#REF!</v>
      </c>
      <c r="N45" s="39"/>
      <c r="O45" s="36" t="str">
        <f t="shared" si="27"/>
        <v>Central</v>
      </c>
      <c r="P45" s="26" t="e">
        <f t="shared" si="28"/>
        <v>#REF!</v>
      </c>
      <c r="Q45" s="27" t="e">
        <f t="shared" si="29"/>
        <v>#VALUE!</v>
      </c>
      <c r="R45" s="27"/>
      <c r="S45" s="26">
        <f t="shared" si="30"/>
        <v>3562</v>
      </c>
      <c r="T45" s="26" t="e">
        <f t="shared" si="31"/>
        <v>#REF!</v>
      </c>
      <c r="U45" s="27" t="e">
        <f t="shared" si="32"/>
        <v>#REF!</v>
      </c>
      <c r="V45" s="27"/>
      <c r="W45" s="26">
        <f t="shared" si="33"/>
        <v>4819</v>
      </c>
      <c r="X45" s="26" t="e">
        <f t="shared" si="34"/>
        <v>#REF!</v>
      </c>
      <c r="Y45" s="27" t="e">
        <f t="shared" si="35"/>
        <v>#REF!</v>
      </c>
    </row>
    <row r="46" spans="1:25" ht="16.5" customHeight="1">
      <c r="A46" s="16" t="s">
        <v>110</v>
      </c>
      <c r="B46" s="17" t="s">
        <v>111</v>
      </c>
      <c r="C46" s="25">
        <f t="shared" si="18"/>
        <v>26698</v>
      </c>
      <c r="D46" s="25" t="e">
        <f t="shared" si="19"/>
        <v>#REF!</v>
      </c>
      <c r="E46" s="27" t="e">
        <f t="shared" si="20"/>
        <v>#REF!</v>
      </c>
      <c r="F46" s="27"/>
      <c r="G46" s="25">
        <f t="shared" si="21"/>
        <v>3075</v>
      </c>
      <c r="H46" s="25" t="e">
        <f t="shared" si="22"/>
        <v>#REF!</v>
      </c>
      <c r="I46" s="27" t="e">
        <f t="shared" si="23"/>
        <v>#REF!</v>
      </c>
      <c r="J46" s="27"/>
      <c r="K46" s="25">
        <f t="shared" si="24"/>
        <v>50799</v>
      </c>
      <c r="L46" s="25" t="e">
        <f t="shared" si="25"/>
        <v>#REF!</v>
      </c>
      <c r="M46" s="27" t="e">
        <f t="shared" si="26"/>
        <v>#REF!</v>
      </c>
      <c r="N46" s="39"/>
      <c r="O46" s="36" t="str">
        <f t="shared" si="27"/>
        <v>Central</v>
      </c>
      <c r="P46" s="26" t="e">
        <f t="shared" si="28"/>
        <v>#REF!</v>
      </c>
      <c r="Q46" s="27" t="e">
        <f t="shared" si="29"/>
        <v>#VALUE!</v>
      </c>
      <c r="R46" s="27"/>
      <c r="S46" s="26">
        <f t="shared" si="30"/>
        <v>21677</v>
      </c>
      <c r="T46" s="26" t="e">
        <f t="shared" si="31"/>
        <v>#REF!</v>
      </c>
      <c r="U46" s="27" t="e">
        <f t="shared" si="32"/>
        <v>#REF!</v>
      </c>
      <c r="V46" s="27"/>
      <c r="W46" s="26">
        <f t="shared" si="33"/>
        <v>27035</v>
      </c>
      <c r="X46" s="26" t="e">
        <f t="shared" si="34"/>
        <v>#REF!</v>
      </c>
      <c r="Y46" s="27" t="e">
        <f t="shared" si="35"/>
        <v>#REF!</v>
      </c>
    </row>
    <row r="47" spans="1:25" ht="16.5" customHeight="1">
      <c r="A47" s="16" t="s">
        <v>112</v>
      </c>
      <c r="B47" s="32" t="s">
        <v>300</v>
      </c>
      <c r="C47" s="25">
        <f t="shared" si="18"/>
        <v>8001</v>
      </c>
      <c r="D47" s="25" t="e">
        <f t="shared" si="19"/>
        <v>#REF!</v>
      </c>
      <c r="E47" s="27" t="e">
        <f t="shared" si="20"/>
        <v>#REF!</v>
      </c>
      <c r="F47" s="27"/>
      <c r="G47" s="25">
        <f t="shared" si="21"/>
        <v>290</v>
      </c>
      <c r="H47" s="25" t="e">
        <f t="shared" si="22"/>
        <v>#REF!</v>
      </c>
      <c r="I47" s="27" t="e">
        <f t="shared" si="23"/>
        <v>#REF!</v>
      </c>
      <c r="J47" s="27"/>
      <c r="K47" s="25">
        <f t="shared" si="24"/>
        <v>22661</v>
      </c>
      <c r="L47" s="25" t="e">
        <f t="shared" si="25"/>
        <v>#REF!</v>
      </c>
      <c r="M47" s="27" t="e">
        <f t="shared" si="26"/>
        <v>#REF!</v>
      </c>
      <c r="N47" s="39"/>
      <c r="O47" s="36" t="str">
        <f t="shared" si="27"/>
        <v>Piedmont</v>
      </c>
      <c r="P47" s="26" t="e">
        <f t="shared" si="28"/>
        <v>#REF!</v>
      </c>
      <c r="Q47" s="27" t="e">
        <f t="shared" si="29"/>
        <v>#VALUE!</v>
      </c>
      <c r="R47" s="27"/>
      <c r="S47" s="26">
        <f t="shared" si="30"/>
        <v>8363</v>
      </c>
      <c r="T47" s="26" t="e">
        <f t="shared" si="31"/>
        <v>#REF!</v>
      </c>
      <c r="U47" s="27" t="e">
        <f t="shared" si="32"/>
        <v>#REF!</v>
      </c>
      <c r="V47" s="27"/>
      <c r="W47" s="26">
        <f t="shared" si="33"/>
        <v>13198</v>
      </c>
      <c r="X47" s="26" t="e">
        <f t="shared" si="34"/>
        <v>#REF!</v>
      </c>
      <c r="Y47" s="27" t="e">
        <f t="shared" si="35"/>
        <v>#REF!</v>
      </c>
    </row>
    <row r="48" spans="1:25" ht="16.5" customHeight="1">
      <c r="A48" s="16" t="s">
        <v>114</v>
      </c>
      <c r="B48" s="32" t="s">
        <v>115</v>
      </c>
      <c r="C48" s="25">
        <f t="shared" si="18"/>
        <v>0</v>
      </c>
      <c r="D48" s="25" t="e">
        <f t="shared" si="19"/>
        <v>#REF!</v>
      </c>
      <c r="E48" s="27" t="e">
        <f t="shared" si="20"/>
        <v>#REF!</v>
      </c>
      <c r="F48" s="27"/>
      <c r="G48" s="25">
        <f t="shared" si="21"/>
        <v>0</v>
      </c>
      <c r="H48" s="25" t="e">
        <f t="shared" si="22"/>
        <v>#REF!</v>
      </c>
      <c r="I48" s="27" t="e">
        <f t="shared" si="23"/>
        <v>#REF!</v>
      </c>
      <c r="J48" s="27"/>
      <c r="K48" s="25">
        <f t="shared" si="24"/>
        <v>244</v>
      </c>
      <c r="L48" s="25" t="e">
        <f t="shared" si="25"/>
        <v>#REF!</v>
      </c>
      <c r="M48" s="27" t="e">
        <f t="shared" si="26"/>
        <v>#REF!</v>
      </c>
      <c r="N48" s="39"/>
      <c r="O48" s="36" t="str">
        <f t="shared" si="27"/>
        <v>Piedmont</v>
      </c>
      <c r="P48" s="26" t="e">
        <f t="shared" si="28"/>
        <v>#REF!</v>
      </c>
      <c r="Q48" s="27" t="e">
        <f t="shared" si="29"/>
        <v>#VALUE!</v>
      </c>
      <c r="R48" s="27"/>
      <c r="S48" s="26">
        <f t="shared" si="30"/>
        <v>82</v>
      </c>
      <c r="T48" s="26" t="e">
        <f t="shared" si="31"/>
        <v>#REF!</v>
      </c>
      <c r="U48" s="27" t="e">
        <f t="shared" si="32"/>
        <v>#REF!</v>
      </c>
      <c r="V48" s="27"/>
      <c r="W48" s="26">
        <f t="shared" si="33"/>
        <v>144</v>
      </c>
      <c r="X48" s="26" t="e">
        <f t="shared" si="34"/>
        <v>#REF!</v>
      </c>
      <c r="Y48" s="27" t="e">
        <f t="shared" si="35"/>
        <v>#REF!</v>
      </c>
    </row>
    <row r="49" spans="1:25" ht="16.5" customHeight="1">
      <c r="A49" s="16" t="s">
        <v>118</v>
      </c>
      <c r="B49" s="17" t="s">
        <v>119</v>
      </c>
      <c r="C49" s="25">
        <f t="shared" si="18"/>
        <v>2682</v>
      </c>
      <c r="D49" s="25" t="e">
        <f t="shared" si="19"/>
        <v>#REF!</v>
      </c>
      <c r="E49" s="27" t="e">
        <f t="shared" si="20"/>
        <v>#REF!</v>
      </c>
      <c r="F49" s="27"/>
      <c r="G49" s="25">
        <f t="shared" si="21"/>
        <v>129</v>
      </c>
      <c r="H49" s="25" t="e">
        <f t="shared" si="22"/>
        <v>#REF!</v>
      </c>
      <c r="I49" s="27" t="e">
        <f t="shared" si="23"/>
        <v>#REF!</v>
      </c>
      <c r="J49" s="27"/>
      <c r="K49" s="25">
        <f t="shared" si="24"/>
        <v>5727</v>
      </c>
      <c r="L49" s="25" t="e">
        <f t="shared" si="25"/>
        <v>#REF!</v>
      </c>
      <c r="M49" s="27" t="e">
        <f t="shared" si="26"/>
        <v>#REF!</v>
      </c>
      <c r="N49" s="39"/>
      <c r="O49" s="36" t="str">
        <f t="shared" si="27"/>
        <v>Eastern</v>
      </c>
      <c r="P49" s="26" t="e">
        <f t="shared" si="28"/>
        <v>#REF!</v>
      </c>
      <c r="Q49" s="27" t="e">
        <f t="shared" si="29"/>
        <v>#VALUE!</v>
      </c>
      <c r="R49" s="27"/>
      <c r="S49" s="26">
        <f t="shared" si="30"/>
        <v>2218</v>
      </c>
      <c r="T49" s="26" t="e">
        <f t="shared" si="31"/>
        <v>#REF!</v>
      </c>
      <c r="U49" s="27" t="e">
        <f t="shared" si="32"/>
        <v>#REF!</v>
      </c>
      <c r="V49" s="27"/>
      <c r="W49" s="26">
        <f t="shared" si="33"/>
        <v>3190</v>
      </c>
      <c r="X49" s="26" t="e">
        <f t="shared" si="34"/>
        <v>#REF!</v>
      </c>
      <c r="Y49" s="27" t="e">
        <f t="shared" si="35"/>
        <v>#REF!</v>
      </c>
    </row>
    <row r="50" spans="1:25" ht="16.5" customHeight="1">
      <c r="A50" s="16" t="s">
        <v>120</v>
      </c>
      <c r="B50" s="17" t="s">
        <v>121</v>
      </c>
      <c r="C50" s="25">
        <f t="shared" si="18"/>
        <v>2832</v>
      </c>
      <c r="D50" s="25" t="e">
        <f t="shared" si="19"/>
        <v>#REF!</v>
      </c>
      <c r="E50" s="27" t="e">
        <f t="shared" si="20"/>
        <v>#REF!</v>
      </c>
      <c r="F50" s="27"/>
      <c r="G50" s="25">
        <f t="shared" si="21"/>
        <v>382</v>
      </c>
      <c r="H50" s="25" t="e">
        <f t="shared" si="22"/>
        <v>#REF!</v>
      </c>
      <c r="I50" s="27" t="e">
        <f t="shared" si="23"/>
        <v>#REF!</v>
      </c>
      <c r="J50" s="27"/>
      <c r="K50" s="25">
        <f t="shared" si="24"/>
        <v>7368</v>
      </c>
      <c r="L50" s="25" t="e">
        <f t="shared" si="25"/>
        <v>#REF!</v>
      </c>
      <c r="M50" s="27" t="e">
        <f t="shared" si="26"/>
        <v>#REF!</v>
      </c>
      <c r="N50" s="39"/>
      <c r="O50" s="36" t="str">
        <f t="shared" si="27"/>
        <v>Eastern</v>
      </c>
      <c r="P50" s="26" t="e">
        <f t="shared" si="28"/>
        <v>#REF!</v>
      </c>
      <c r="Q50" s="27" t="e">
        <f t="shared" si="29"/>
        <v>#VALUE!</v>
      </c>
      <c r="R50" s="27"/>
      <c r="S50" s="26">
        <f t="shared" si="30"/>
        <v>3191</v>
      </c>
      <c r="T50" s="26" t="e">
        <f t="shared" si="31"/>
        <v>#REF!</v>
      </c>
      <c r="U50" s="27" t="e">
        <f t="shared" si="32"/>
        <v>#REF!</v>
      </c>
      <c r="V50" s="27"/>
      <c r="W50" s="26">
        <f t="shared" si="33"/>
        <v>3911</v>
      </c>
      <c r="X50" s="26" t="e">
        <f t="shared" si="34"/>
        <v>#REF!</v>
      </c>
      <c r="Y50" s="27" t="e">
        <f t="shared" si="35"/>
        <v>#REF!</v>
      </c>
    </row>
    <row r="51" spans="1:25" ht="16.5" customHeight="1">
      <c r="A51" s="16" t="s">
        <v>122</v>
      </c>
      <c r="B51" s="17" t="s">
        <v>271</v>
      </c>
      <c r="C51" s="25">
        <f t="shared" si="18"/>
        <v>731</v>
      </c>
      <c r="D51" s="25" t="e">
        <f t="shared" si="19"/>
        <v>#REF!</v>
      </c>
      <c r="E51" s="27" t="e">
        <f t="shared" si="20"/>
        <v>#REF!</v>
      </c>
      <c r="F51" s="27"/>
      <c r="G51" s="25">
        <f t="shared" si="21"/>
        <v>81</v>
      </c>
      <c r="H51" s="25" t="e">
        <f t="shared" si="22"/>
        <v>#REF!</v>
      </c>
      <c r="I51" s="27" t="e">
        <f t="shared" si="23"/>
        <v>#REF!</v>
      </c>
      <c r="J51" s="27"/>
      <c r="K51" s="25">
        <f t="shared" si="24"/>
        <v>1790</v>
      </c>
      <c r="L51" s="25" t="e">
        <f t="shared" si="25"/>
        <v>#REF!</v>
      </c>
      <c r="M51" s="27" t="e">
        <f t="shared" si="26"/>
        <v>#REF!</v>
      </c>
      <c r="N51" s="39"/>
      <c r="O51" s="36" t="str">
        <f t="shared" si="27"/>
        <v>Central</v>
      </c>
      <c r="P51" s="26" t="e">
        <f t="shared" si="28"/>
        <v>#REF!</v>
      </c>
      <c r="Q51" s="27" t="e">
        <f t="shared" si="29"/>
        <v>#VALUE!</v>
      </c>
      <c r="R51" s="27"/>
      <c r="S51" s="26">
        <f t="shared" si="30"/>
        <v>699</v>
      </c>
      <c r="T51" s="26" t="e">
        <f t="shared" si="31"/>
        <v>#REF!</v>
      </c>
      <c r="U51" s="27" t="e">
        <f t="shared" si="32"/>
        <v>#REF!</v>
      </c>
      <c r="V51" s="27"/>
      <c r="W51" s="26">
        <f t="shared" si="33"/>
        <v>979</v>
      </c>
      <c r="X51" s="26" t="e">
        <f t="shared" si="34"/>
        <v>#REF!</v>
      </c>
      <c r="Y51" s="27" t="e">
        <f t="shared" si="35"/>
        <v>#REF!</v>
      </c>
    </row>
    <row r="52" spans="1:25" ht="16.5" customHeight="1">
      <c r="A52" s="16" t="s">
        <v>124</v>
      </c>
      <c r="B52" s="17" t="s">
        <v>125</v>
      </c>
      <c r="C52" s="25">
        <f t="shared" si="18"/>
        <v>1607</v>
      </c>
      <c r="D52" s="25" t="e">
        <f t="shared" si="19"/>
        <v>#REF!</v>
      </c>
      <c r="E52" s="27" t="e">
        <f t="shared" si="20"/>
        <v>#REF!</v>
      </c>
      <c r="F52" s="27"/>
      <c r="G52" s="25">
        <f t="shared" si="21"/>
        <v>196</v>
      </c>
      <c r="H52" s="25" t="e">
        <f t="shared" si="22"/>
        <v>#REF!</v>
      </c>
      <c r="I52" s="27" t="e">
        <f t="shared" si="23"/>
        <v>#REF!</v>
      </c>
      <c r="J52" s="27"/>
      <c r="K52" s="25">
        <f t="shared" si="24"/>
        <v>4417</v>
      </c>
      <c r="L52" s="25" t="e">
        <f t="shared" si="25"/>
        <v>#REF!</v>
      </c>
      <c r="M52" s="27" t="e">
        <f t="shared" si="26"/>
        <v>#REF!</v>
      </c>
      <c r="N52" s="39"/>
      <c r="O52" s="36" t="str">
        <f t="shared" si="27"/>
        <v>Northern</v>
      </c>
      <c r="P52" s="26" t="e">
        <f t="shared" si="28"/>
        <v>#REF!</v>
      </c>
      <c r="Q52" s="27" t="e">
        <f t="shared" si="29"/>
        <v>#VALUE!</v>
      </c>
      <c r="R52" s="27"/>
      <c r="S52" s="26">
        <f t="shared" si="30"/>
        <v>1922</v>
      </c>
      <c r="T52" s="26" t="e">
        <f t="shared" si="31"/>
        <v>#REF!</v>
      </c>
      <c r="U52" s="27" t="e">
        <f t="shared" si="32"/>
        <v>#REF!</v>
      </c>
      <c r="V52" s="27"/>
      <c r="W52" s="26">
        <f t="shared" si="33"/>
        <v>2355</v>
      </c>
      <c r="X52" s="26" t="e">
        <f t="shared" si="34"/>
        <v>#REF!</v>
      </c>
      <c r="Y52" s="27" t="e">
        <f t="shared" si="35"/>
        <v>#REF!</v>
      </c>
    </row>
    <row r="53" spans="1:25" ht="16.5" customHeight="1">
      <c r="A53" s="16" t="s">
        <v>126</v>
      </c>
      <c r="B53" s="17" t="s">
        <v>127</v>
      </c>
      <c r="C53" s="25">
        <f t="shared" si="18"/>
        <v>993</v>
      </c>
      <c r="D53" s="25" t="e">
        <f t="shared" si="19"/>
        <v>#REF!</v>
      </c>
      <c r="E53" s="27" t="e">
        <f t="shared" si="20"/>
        <v>#REF!</v>
      </c>
      <c r="F53" s="27"/>
      <c r="G53" s="25">
        <f t="shared" si="21"/>
        <v>85</v>
      </c>
      <c r="H53" s="25" t="e">
        <f t="shared" si="22"/>
        <v>#REF!</v>
      </c>
      <c r="I53" s="27" t="e">
        <f t="shared" si="23"/>
        <v>#REF!</v>
      </c>
      <c r="J53" s="27"/>
      <c r="K53" s="25">
        <f t="shared" si="24"/>
        <v>2672</v>
      </c>
      <c r="L53" s="25" t="e">
        <f t="shared" si="25"/>
        <v>#REF!</v>
      </c>
      <c r="M53" s="27" t="e">
        <f t="shared" si="26"/>
        <v>#REF!</v>
      </c>
      <c r="N53" s="39"/>
      <c r="O53" s="36" t="str">
        <f t="shared" si="27"/>
        <v>Central</v>
      </c>
      <c r="P53" s="26" t="e">
        <f t="shared" si="28"/>
        <v>#REF!</v>
      </c>
      <c r="Q53" s="27" t="e">
        <f t="shared" si="29"/>
        <v>#VALUE!</v>
      </c>
      <c r="R53" s="27"/>
      <c r="S53" s="26">
        <f t="shared" si="30"/>
        <v>1120</v>
      </c>
      <c r="T53" s="26" t="e">
        <f t="shared" si="31"/>
        <v>#REF!</v>
      </c>
      <c r="U53" s="27" t="e">
        <f t="shared" si="32"/>
        <v>#REF!</v>
      </c>
      <c r="V53" s="27"/>
      <c r="W53" s="26">
        <f t="shared" si="33"/>
        <v>1413</v>
      </c>
      <c r="X53" s="26" t="e">
        <f t="shared" si="34"/>
        <v>#REF!</v>
      </c>
      <c r="Y53" s="27" t="e">
        <f t="shared" si="35"/>
        <v>#REF!</v>
      </c>
    </row>
    <row r="54" spans="1:25" ht="16.5" customHeight="1">
      <c r="A54" s="16" t="s">
        <v>128</v>
      </c>
      <c r="B54" s="17" t="s">
        <v>129</v>
      </c>
      <c r="C54" s="25">
        <f t="shared" si="18"/>
        <v>1543</v>
      </c>
      <c r="D54" s="25" t="e">
        <f t="shared" si="19"/>
        <v>#REF!</v>
      </c>
      <c r="E54" s="27" t="e">
        <f t="shared" si="20"/>
        <v>#REF!</v>
      </c>
      <c r="F54" s="27"/>
      <c r="G54" s="25">
        <f t="shared" si="21"/>
        <v>63</v>
      </c>
      <c r="H54" s="25" t="e">
        <f t="shared" si="22"/>
        <v>#REF!</v>
      </c>
      <c r="I54" s="27" t="e">
        <f t="shared" si="23"/>
        <v>#REF!</v>
      </c>
      <c r="J54" s="27"/>
      <c r="K54" s="25">
        <f t="shared" si="24"/>
        <v>2362</v>
      </c>
      <c r="L54" s="25" t="e">
        <f t="shared" si="25"/>
        <v>#REF!</v>
      </c>
      <c r="M54" s="27" t="e">
        <f t="shared" si="26"/>
        <v>#REF!</v>
      </c>
      <c r="N54" s="39"/>
      <c r="O54" s="36" t="str">
        <f t="shared" si="27"/>
        <v>Central</v>
      </c>
      <c r="P54" s="26" t="e">
        <f t="shared" si="28"/>
        <v>#REF!</v>
      </c>
      <c r="Q54" s="27" t="e">
        <f t="shared" si="29"/>
        <v>#VALUE!</v>
      </c>
      <c r="R54" s="27"/>
      <c r="S54" s="26">
        <f t="shared" si="30"/>
        <v>912</v>
      </c>
      <c r="T54" s="26" t="e">
        <f t="shared" si="31"/>
        <v>#REF!</v>
      </c>
      <c r="U54" s="27" t="e">
        <f t="shared" si="32"/>
        <v>#REF!</v>
      </c>
      <c r="V54" s="27"/>
      <c r="W54" s="26">
        <f t="shared" si="33"/>
        <v>1275</v>
      </c>
      <c r="X54" s="26" t="e">
        <f t="shared" si="34"/>
        <v>#REF!</v>
      </c>
      <c r="Y54" s="27" t="e">
        <f t="shared" si="35"/>
        <v>#REF!</v>
      </c>
    </row>
    <row r="55" spans="1:25" ht="16.5" customHeight="1">
      <c r="A55" s="16" t="s">
        <v>130</v>
      </c>
      <c r="B55" s="32" t="s">
        <v>131</v>
      </c>
      <c r="C55" s="25">
        <f t="shared" si="18"/>
        <v>42</v>
      </c>
      <c r="D55" s="25" t="e">
        <f t="shared" si="19"/>
        <v>#REF!</v>
      </c>
      <c r="E55" s="27" t="e">
        <f t="shared" si="20"/>
        <v>#REF!</v>
      </c>
      <c r="F55" s="27"/>
      <c r="G55" s="25">
        <f t="shared" si="21"/>
        <v>36</v>
      </c>
      <c r="H55" s="25" t="e">
        <f t="shared" si="22"/>
        <v>#REF!</v>
      </c>
      <c r="I55" s="27" t="e">
        <f t="shared" si="23"/>
        <v>#REF!</v>
      </c>
      <c r="J55" s="27"/>
      <c r="K55" s="25">
        <f t="shared" si="24"/>
        <v>8222</v>
      </c>
      <c r="L55" s="25" t="e">
        <f t="shared" si="25"/>
        <v>#REF!</v>
      </c>
      <c r="M55" s="27" t="e">
        <f t="shared" si="26"/>
        <v>#REF!</v>
      </c>
      <c r="N55" s="39"/>
      <c r="O55" s="36" t="str">
        <f t="shared" si="27"/>
        <v>Western</v>
      </c>
      <c r="P55" s="26" t="e">
        <f t="shared" si="28"/>
        <v>#REF!</v>
      </c>
      <c r="Q55" s="27" t="e">
        <f t="shared" si="29"/>
        <v>#VALUE!</v>
      </c>
      <c r="R55" s="27"/>
      <c r="S55" s="26">
        <f t="shared" si="30"/>
        <v>2674</v>
      </c>
      <c r="T55" s="26" t="e">
        <f t="shared" si="31"/>
        <v>#REF!</v>
      </c>
      <c r="U55" s="27" t="e">
        <f t="shared" si="32"/>
        <v>#REF!</v>
      </c>
      <c r="V55" s="27"/>
      <c r="W55" s="26">
        <f t="shared" si="33"/>
        <v>4964</v>
      </c>
      <c r="X55" s="26" t="e">
        <f t="shared" si="34"/>
        <v>#REF!</v>
      </c>
      <c r="Y55" s="27" t="e">
        <f t="shared" si="35"/>
        <v>#REF!</v>
      </c>
    </row>
    <row r="56" spans="1:25" ht="16.5" customHeight="1">
      <c r="A56" s="16" t="s">
        <v>132</v>
      </c>
      <c r="B56" s="17" t="s">
        <v>133</v>
      </c>
      <c r="C56" s="25">
        <f t="shared" si="18"/>
        <v>2768</v>
      </c>
      <c r="D56" s="25" t="e">
        <f t="shared" si="19"/>
        <v>#REF!</v>
      </c>
      <c r="E56" s="27" t="e">
        <f t="shared" si="20"/>
        <v>#REF!</v>
      </c>
      <c r="F56" s="27"/>
      <c r="G56" s="25">
        <f t="shared" si="21"/>
        <v>3048</v>
      </c>
      <c r="H56" s="25" t="e">
        <f t="shared" si="22"/>
        <v>#REF!</v>
      </c>
      <c r="I56" s="27" t="e">
        <f t="shared" si="23"/>
        <v>#REF!</v>
      </c>
      <c r="J56" s="27"/>
      <c r="K56" s="25">
        <f t="shared" si="24"/>
        <v>16628</v>
      </c>
      <c r="L56" s="25" t="e">
        <f t="shared" si="25"/>
        <v>#REF!</v>
      </c>
      <c r="M56" s="27" t="e">
        <f t="shared" si="26"/>
        <v>#REF!</v>
      </c>
      <c r="N56" s="39"/>
      <c r="O56" s="36" t="str">
        <f t="shared" si="27"/>
        <v>Northern</v>
      </c>
      <c r="P56" s="26" t="e">
        <f t="shared" si="28"/>
        <v>#REF!</v>
      </c>
      <c r="Q56" s="27" t="e">
        <f t="shared" si="29"/>
        <v>#VALUE!</v>
      </c>
      <c r="R56" s="27"/>
      <c r="S56" s="26">
        <f t="shared" si="30"/>
        <v>7372</v>
      </c>
      <c r="T56" s="26" t="e">
        <f t="shared" si="31"/>
        <v>#REF!</v>
      </c>
      <c r="U56" s="27" t="e">
        <f t="shared" si="32"/>
        <v>#REF!</v>
      </c>
      <c r="V56" s="27"/>
      <c r="W56" s="26">
        <f t="shared" si="33"/>
        <v>7837</v>
      </c>
      <c r="X56" s="26" t="e">
        <f t="shared" si="34"/>
        <v>#REF!</v>
      </c>
      <c r="Y56" s="27" t="e">
        <f t="shared" si="35"/>
        <v>#REF!</v>
      </c>
    </row>
    <row r="57" spans="1:25" ht="16.5" customHeight="1">
      <c r="A57" s="16" t="s">
        <v>134</v>
      </c>
      <c r="B57" s="17" t="s">
        <v>135</v>
      </c>
      <c r="C57" s="25">
        <f t="shared" si="18"/>
        <v>1756</v>
      </c>
      <c r="D57" s="25" t="e">
        <f t="shared" si="19"/>
        <v>#REF!</v>
      </c>
      <c r="E57" s="27" t="e">
        <f t="shared" si="20"/>
        <v>#REF!</v>
      </c>
      <c r="F57" s="27"/>
      <c r="G57" s="25">
        <f t="shared" si="21"/>
        <v>147</v>
      </c>
      <c r="H57" s="25" t="e">
        <f t="shared" si="22"/>
        <v>#REF!</v>
      </c>
      <c r="I57" s="27" t="e">
        <f t="shared" si="23"/>
        <v>#REF!</v>
      </c>
      <c r="J57" s="27"/>
      <c r="K57" s="25">
        <f t="shared" si="24"/>
        <v>6696</v>
      </c>
      <c r="L57" s="25" t="e">
        <f t="shared" si="25"/>
        <v>#REF!</v>
      </c>
      <c r="M57" s="27" t="e">
        <f t="shared" si="26"/>
        <v>#REF!</v>
      </c>
      <c r="N57" s="39"/>
      <c r="O57" s="36" t="str">
        <f t="shared" si="27"/>
        <v>Northern</v>
      </c>
      <c r="P57" s="26" t="e">
        <f t="shared" si="28"/>
        <v>#REF!</v>
      </c>
      <c r="Q57" s="27" t="e">
        <f t="shared" si="29"/>
        <v>#VALUE!</v>
      </c>
      <c r="R57" s="27"/>
      <c r="S57" s="26">
        <f t="shared" si="30"/>
        <v>2589</v>
      </c>
      <c r="T57" s="26" t="e">
        <f t="shared" si="31"/>
        <v>#REF!</v>
      </c>
      <c r="U57" s="27" t="e">
        <f t="shared" si="32"/>
        <v>#REF!</v>
      </c>
      <c r="V57" s="27"/>
      <c r="W57" s="26">
        <f t="shared" si="33"/>
        <v>3744</v>
      </c>
      <c r="X57" s="26" t="e">
        <f t="shared" si="34"/>
        <v>#REF!</v>
      </c>
      <c r="Y57" s="27" t="e">
        <f t="shared" si="35"/>
        <v>#REF!</v>
      </c>
    </row>
    <row r="58" spans="1:25" ht="16.5" customHeight="1">
      <c r="A58" s="16" t="s">
        <v>136</v>
      </c>
      <c r="B58" s="32" t="s">
        <v>137</v>
      </c>
      <c r="C58" s="25">
        <f t="shared" si="18"/>
        <v>1651</v>
      </c>
      <c r="D58" s="25" t="e">
        <f t="shared" si="19"/>
        <v>#REF!</v>
      </c>
      <c r="E58" s="27" t="e">
        <f t="shared" si="20"/>
        <v>#REF!</v>
      </c>
      <c r="F58" s="27"/>
      <c r="G58" s="25">
        <f t="shared" si="21"/>
        <v>296</v>
      </c>
      <c r="H58" s="25" t="e">
        <f t="shared" si="22"/>
        <v>#REF!</v>
      </c>
      <c r="I58" s="27" t="e">
        <f t="shared" si="23"/>
        <v>#REF!</v>
      </c>
      <c r="J58" s="27"/>
      <c r="K58" s="25">
        <f t="shared" si="24"/>
        <v>3523</v>
      </c>
      <c r="L58" s="25" t="e">
        <f t="shared" si="25"/>
        <v>#REF!</v>
      </c>
      <c r="M58" s="27" t="e">
        <f t="shared" si="26"/>
        <v>#REF!</v>
      </c>
      <c r="N58" s="39"/>
      <c r="O58" s="36" t="str">
        <f t="shared" si="27"/>
        <v>Central</v>
      </c>
      <c r="P58" s="26" t="e">
        <f t="shared" si="28"/>
        <v>#REF!</v>
      </c>
      <c r="Q58" s="27" t="e">
        <f t="shared" si="29"/>
        <v>#VALUE!</v>
      </c>
      <c r="R58" s="27"/>
      <c r="S58" s="26">
        <f t="shared" si="30"/>
        <v>1330</v>
      </c>
      <c r="T58" s="26" t="e">
        <f t="shared" si="31"/>
        <v>#REF!</v>
      </c>
      <c r="U58" s="27" t="e">
        <f t="shared" si="32"/>
        <v>#REF!</v>
      </c>
      <c r="V58" s="27"/>
      <c r="W58" s="26">
        <f t="shared" si="33"/>
        <v>1935</v>
      </c>
      <c r="X58" s="26" t="e">
        <f t="shared" si="34"/>
        <v>#REF!</v>
      </c>
      <c r="Y58" s="27" t="e">
        <f t="shared" si="35"/>
        <v>#REF!</v>
      </c>
    </row>
    <row r="59" spans="1:25" ht="16.5" customHeight="1">
      <c r="A59" s="16" t="s">
        <v>140</v>
      </c>
      <c r="B59" s="17" t="s">
        <v>141</v>
      </c>
      <c r="C59" s="25">
        <f t="shared" si="18"/>
        <v>393</v>
      </c>
      <c r="D59" s="25" t="e">
        <f t="shared" si="19"/>
        <v>#REF!</v>
      </c>
      <c r="E59" s="27" t="e">
        <f t="shared" si="20"/>
        <v>#REF!</v>
      </c>
      <c r="F59" s="27"/>
      <c r="G59" s="25">
        <f t="shared" si="21"/>
        <v>49</v>
      </c>
      <c r="H59" s="25" t="e">
        <f t="shared" si="22"/>
        <v>#REF!</v>
      </c>
      <c r="I59" s="27" t="e">
        <f t="shared" si="23"/>
        <v>#REF!</v>
      </c>
      <c r="J59" s="27"/>
      <c r="K59" s="25">
        <f t="shared" si="24"/>
        <v>2452</v>
      </c>
      <c r="L59" s="25" t="e">
        <f t="shared" si="25"/>
        <v>#REF!</v>
      </c>
      <c r="M59" s="27" t="e">
        <f t="shared" si="26"/>
        <v>#REF!</v>
      </c>
      <c r="N59" s="39"/>
      <c r="O59" s="36" t="str">
        <f t="shared" si="27"/>
        <v>Northern</v>
      </c>
      <c r="P59" s="26" t="e">
        <f t="shared" si="28"/>
        <v>#REF!</v>
      </c>
      <c r="Q59" s="27" t="e">
        <f t="shared" si="29"/>
        <v>#VALUE!</v>
      </c>
      <c r="R59" s="27"/>
      <c r="S59" s="26">
        <f t="shared" si="30"/>
        <v>963</v>
      </c>
      <c r="T59" s="26" t="e">
        <f t="shared" si="31"/>
        <v>#REF!</v>
      </c>
      <c r="U59" s="27" t="e">
        <f t="shared" si="32"/>
        <v>#REF!</v>
      </c>
      <c r="V59" s="27"/>
      <c r="W59" s="26">
        <f t="shared" si="33"/>
        <v>1347</v>
      </c>
      <c r="X59" s="26" t="e">
        <f t="shared" si="34"/>
        <v>#REF!</v>
      </c>
      <c r="Y59" s="27" t="e">
        <f t="shared" si="35"/>
        <v>#REF!</v>
      </c>
    </row>
    <row r="60" spans="1:25" ht="16.5" customHeight="1">
      <c r="A60" s="16" t="s">
        <v>146</v>
      </c>
      <c r="B60" s="17" t="s">
        <v>147</v>
      </c>
      <c r="C60" s="25">
        <f t="shared" si="18"/>
        <v>255</v>
      </c>
      <c r="D60" s="25" t="e">
        <f t="shared" si="19"/>
        <v>#REF!</v>
      </c>
      <c r="E60" s="27" t="e">
        <f t="shared" si="20"/>
        <v>#REF!</v>
      </c>
      <c r="F60" s="27"/>
      <c r="G60" s="25">
        <f t="shared" si="21"/>
        <v>29</v>
      </c>
      <c r="H60" s="25" t="e">
        <f t="shared" si="22"/>
        <v>#REF!</v>
      </c>
      <c r="I60" s="27" t="e">
        <f t="shared" si="23"/>
        <v>#REF!</v>
      </c>
      <c r="J60" s="27"/>
      <c r="K60" s="25">
        <f t="shared" si="24"/>
        <v>1435</v>
      </c>
      <c r="L60" s="25" t="e">
        <f t="shared" si="25"/>
        <v>#REF!</v>
      </c>
      <c r="M60" s="27" t="e">
        <f t="shared" si="26"/>
        <v>#REF!</v>
      </c>
      <c r="N60" s="39"/>
      <c r="O60" s="36" t="str">
        <f t="shared" si="27"/>
        <v>Eastern</v>
      </c>
      <c r="P60" s="26" t="e">
        <f t="shared" si="28"/>
        <v>#REF!</v>
      </c>
      <c r="Q60" s="27" t="e">
        <f t="shared" si="29"/>
        <v>#VALUE!</v>
      </c>
      <c r="R60" s="27"/>
      <c r="S60" s="26">
        <f t="shared" si="30"/>
        <v>499</v>
      </c>
      <c r="T60" s="26" t="e">
        <f t="shared" si="31"/>
        <v>#REF!</v>
      </c>
      <c r="U60" s="27" t="e">
        <f t="shared" si="32"/>
        <v>#REF!</v>
      </c>
      <c r="V60" s="27"/>
      <c r="W60" s="26">
        <f t="shared" si="33"/>
        <v>838</v>
      </c>
      <c r="X60" s="26" t="e">
        <f t="shared" si="34"/>
        <v>#REF!</v>
      </c>
      <c r="Y60" s="27" t="e">
        <f t="shared" si="35"/>
        <v>#REF!</v>
      </c>
    </row>
    <row r="61" spans="1:25" ht="16.5" customHeight="1">
      <c r="A61" s="16" t="s">
        <v>148</v>
      </c>
      <c r="B61" s="17" t="s">
        <v>149</v>
      </c>
      <c r="C61" s="25">
        <f t="shared" si="18"/>
        <v>4416</v>
      </c>
      <c r="D61" s="25" t="e">
        <f t="shared" si="19"/>
        <v>#REF!</v>
      </c>
      <c r="E61" s="27" t="e">
        <f t="shared" si="20"/>
        <v>#REF!</v>
      </c>
      <c r="F61" s="27"/>
      <c r="G61" s="25">
        <f t="shared" si="21"/>
        <v>114</v>
      </c>
      <c r="H61" s="25" t="e">
        <f t="shared" si="22"/>
        <v>#REF!</v>
      </c>
      <c r="I61" s="27" t="e">
        <f t="shared" si="23"/>
        <v>#REF!</v>
      </c>
      <c r="J61" s="27"/>
      <c r="K61" s="25">
        <f t="shared" si="24"/>
        <v>7635</v>
      </c>
      <c r="L61" s="25" t="e">
        <f t="shared" si="25"/>
        <v>#REF!</v>
      </c>
      <c r="M61" s="27" t="e">
        <f t="shared" si="26"/>
        <v>#REF!</v>
      </c>
      <c r="N61" s="39"/>
      <c r="O61" s="36" t="str">
        <f t="shared" si="27"/>
        <v>Piedmont</v>
      </c>
      <c r="P61" s="26" t="e">
        <f t="shared" si="28"/>
        <v>#REF!</v>
      </c>
      <c r="Q61" s="27" t="e">
        <f t="shared" si="29"/>
        <v>#VALUE!</v>
      </c>
      <c r="R61" s="27"/>
      <c r="S61" s="26">
        <f t="shared" si="30"/>
        <v>2942</v>
      </c>
      <c r="T61" s="26" t="e">
        <f t="shared" si="31"/>
        <v>#REF!</v>
      </c>
      <c r="U61" s="27" t="e">
        <f t="shared" si="32"/>
        <v>#REF!</v>
      </c>
      <c r="V61" s="27"/>
      <c r="W61" s="26">
        <f t="shared" si="33"/>
        <v>4219</v>
      </c>
      <c r="X61" s="26" t="e">
        <f t="shared" si="34"/>
        <v>#REF!</v>
      </c>
      <c r="Y61" s="27" t="e">
        <f t="shared" si="35"/>
        <v>#REF!</v>
      </c>
    </row>
    <row r="62" spans="1:25" ht="16.5" customHeight="1">
      <c r="A62" s="16" t="s">
        <v>150</v>
      </c>
      <c r="B62" s="32" t="s">
        <v>151</v>
      </c>
      <c r="C62" s="25">
        <f t="shared" si="18"/>
        <v>740</v>
      </c>
      <c r="D62" s="25" t="e">
        <f t="shared" si="19"/>
        <v>#REF!</v>
      </c>
      <c r="E62" s="27" t="e">
        <f t="shared" si="20"/>
        <v>#REF!</v>
      </c>
      <c r="F62" s="27"/>
      <c r="G62" s="25">
        <f t="shared" si="21"/>
        <v>36</v>
      </c>
      <c r="H62" s="25" t="e">
        <f t="shared" si="22"/>
        <v>#REF!</v>
      </c>
      <c r="I62" s="27" t="e">
        <f t="shared" si="23"/>
        <v>#REF!</v>
      </c>
      <c r="J62" s="27"/>
      <c r="K62" s="25">
        <f t="shared" si="24"/>
        <v>2299</v>
      </c>
      <c r="L62" s="25" t="e">
        <f t="shared" si="25"/>
        <v>#REF!</v>
      </c>
      <c r="M62" s="27" t="e">
        <f t="shared" si="26"/>
        <v>#REF!</v>
      </c>
      <c r="N62" s="39"/>
      <c r="O62" s="36" t="str">
        <f t="shared" si="27"/>
        <v>Central</v>
      </c>
      <c r="P62" s="26" t="e">
        <f t="shared" si="28"/>
        <v>#REF!</v>
      </c>
      <c r="Q62" s="27" t="e">
        <f t="shared" si="29"/>
        <v>#VALUE!</v>
      </c>
      <c r="R62" s="27"/>
      <c r="S62" s="26">
        <f t="shared" si="30"/>
        <v>827</v>
      </c>
      <c r="T62" s="26" t="e">
        <f t="shared" si="31"/>
        <v>#REF!</v>
      </c>
      <c r="U62" s="27" t="e">
        <f t="shared" si="32"/>
        <v>#REF!</v>
      </c>
      <c r="V62" s="27"/>
      <c r="W62" s="26">
        <f t="shared" si="33"/>
        <v>1337</v>
      </c>
      <c r="X62" s="26" t="e">
        <f t="shared" si="34"/>
        <v>#REF!</v>
      </c>
      <c r="Y62" s="27" t="e">
        <f t="shared" si="35"/>
        <v>#REF!</v>
      </c>
    </row>
    <row r="63" spans="1:25" ht="16.5" customHeight="1">
      <c r="A63" s="16" t="s">
        <v>152</v>
      </c>
      <c r="B63" s="17" t="s">
        <v>153</v>
      </c>
      <c r="C63" s="25">
        <f t="shared" si="18"/>
        <v>959</v>
      </c>
      <c r="D63" s="25" t="e">
        <f t="shared" si="19"/>
        <v>#REF!</v>
      </c>
      <c r="E63" s="27" t="e">
        <f t="shared" si="20"/>
        <v>#REF!</v>
      </c>
      <c r="F63" s="27"/>
      <c r="G63" s="25">
        <f t="shared" si="21"/>
        <v>309</v>
      </c>
      <c r="H63" s="25" t="e">
        <f t="shared" si="22"/>
        <v>#REF!</v>
      </c>
      <c r="I63" s="27" t="e">
        <f t="shared" si="23"/>
        <v>#REF!</v>
      </c>
      <c r="J63" s="27"/>
      <c r="K63" s="25">
        <f t="shared" si="24"/>
        <v>11199</v>
      </c>
      <c r="L63" s="25" t="e">
        <f t="shared" si="25"/>
        <v>#REF!</v>
      </c>
      <c r="M63" s="27" t="e">
        <f t="shared" si="26"/>
        <v>#REF!</v>
      </c>
      <c r="N63" s="39"/>
      <c r="O63" s="36" t="str">
        <f t="shared" si="27"/>
        <v>Western</v>
      </c>
      <c r="P63" s="26" t="e">
        <f t="shared" si="28"/>
        <v>#REF!</v>
      </c>
      <c r="Q63" s="27" t="e">
        <f t="shared" si="29"/>
        <v>#VALUE!</v>
      </c>
      <c r="R63" s="27"/>
      <c r="S63" s="26">
        <f t="shared" si="30"/>
        <v>4294</v>
      </c>
      <c r="T63" s="26" t="e">
        <f t="shared" si="31"/>
        <v>#REF!</v>
      </c>
      <c r="U63" s="27" t="e">
        <f t="shared" si="32"/>
        <v>#REF!</v>
      </c>
      <c r="V63" s="27"/>
      <c r="W63" s="26">
        <f t="shared" si="33"/>
        <v>6474</v>
      </c>
      <c r="X63" s="26" t="e">
        <f t="shared" si="34"/>
        <v>#REF!</v>
      </c>
      <c r="Y63" s="27" t="e">
        <f t="shared" si="35"/>
        <v>#REF!</v>
      </c>
    </row>
    <row r="64" spans="1:25" ht="16.5" customHeight="1">
      <c r="A64" s="16" t="s">
        <v>154</v>
      </c>
      <c r="B64" s="32" t="s">
        <v>155</v>
      </c>
      <c r="C64" s="25">
        <f t="shared" si="18"/>
        <v>624</v>
      </c>
      <c r="D64" s="25" t="e">
        <f t="shared" si="19"/>
        <v>#REF!</v>
      </c>
      <c r="E64" s="27" t="e">
        <f t="shared" si="20"/>
        <v>#REF!</v>
      </c>
      <c r="F64" s="27"/>
      <c r="G64" s="25">
        <f t="shared" si="21"/>
        <v>85</v>
      </c>
      <c r="H64" s="25" t="e">
        <f t="shared" si="22"/>
        <v>#REF!</v>
      </c>
      <c r="I64" s="27" t="e">
        <f t="shared" si="23"/>
        <v>#REF!</v>
      </c>
      <c r="J64" s="27"/>
      <c r="K64" s="25">
        <f t="shared" si="24"/>
        <v>3290</v>
      </c>
      <c r="L64" s="25" t="e">
        <f t="shared" si="25"/>
        <v>#REF!</v>
      </c>
      <c r="M64" s="27" t="e">
        <f t="shared" si="26"/>
        <v>#REF!</v>
      </c>
      <c r="N64" s="39"/>
      <c r="O64" s="36" t="str">
        <f t="shared" si="27"/>
        <v>Piedmont</v>
      </c>
      <c r="P64" s="26" t="e">
        <f t="shared" si="28"/>
        <v>#REF!</v>
      </c>
      <c r="Q64" s="27" t="e">
        <f t="shared" si="29"/>
        <v>#VALUE!</v>
      </c>
      <c r="R64" s="27"/>
      <c r="S64" s="26">
        <f t="shared" si="30"/>
        <v>1178</v>
      </c>
      <c r="T64" s="26" t="e">
        <f t="shared" si="31"/>
        <v>#REF!</v>
      </c>
      <c r="U64" s="27" t="e">
        <f t="shared" si="32"/>
        <v>#REF!</v>
      </c>
      <c r="V64" s="27"/>
      <c r="W64" s="26">
        <f t="shared" si="33"/>
        <v>1857</v>
      </c>
      <c r="X64" s="26" t="e">
        <f t="shared" si="34"/>
        <v>#REF!</v>
      </c>
      <c r="Y64" s="27" t="e">
        <f t="shared" si="35"/>
        <v>#REF!</v>
      </c>
    </row>
    <row r="65" spans="1:25" ht="16.5" customHeight="1">
      <c r="A65" s="16" t="s">
        <v>156</v>
      </c>
      <c r="B65" s="17" t="s">
        <v>157</v>
      </c>
      <c r="C65" s="25">
        <f t="shared" si="18"/>
        <v>397</v>
      </c>
      <c r="D65" s="25" t="e">
        <f t="shared" si="19"/>
        <v>#REF!</v>
      </c>
      <c r="E65" s="27" t="e">
        <f t="shared" si="20"/>
        <v>#REF!</v>
      </c>
      <c r="F65" s="27"/>
      <c r="G65" s="25">
        <f t="shared" si="21"/>
        <v>63</v>
      </c>
      <c r="H65" s="25" t="e">
        <f t="shared" si="22"/>
        <v>#REF!</v>
      </c>
      <c r="I65" s="27" t="e">
        <f t="shared" si="23"/>
        <v>#REF!</v>
      </c>
      <c r="J65" s="27"/>
      <c r="K65" s="25">
        <f t="shared" si="24"/>
        <v>1872</v>
      </c>
      <c r="L65" s="25" t="e">
        <f t="shared" si="25"/>
        <v>#REF!</v>
      </c>
      <c r="M65" s="27" t="e">
        <f t="shared" si="26"/>
        <v>#REF!</v>
      </c>
      <c r="N65" s="39"/>
      <c r="O65" s="36" t="str">
        <f t="shared" si="27"/>
        <v>Central</v>
      </c>
      <c r="P65" s="26" t="e">
        <f t="shared" si="28"/>
        <v>#REF!</v>
      </c>
      <c r="Q65" s="27" t="e">
        <f t="shared" si="29"/>
        <v>#VALUE!</v>
      </c>
      <c r="R65" s="27"/>
      <c r="S65" s="26">
        <f t="shared" si="30"/>
        <v>794</v>
      </c>
      <c r="T65" s="26" t="e">
        <f t="shared" si="31"/>
        <v>#REF!</v>
      </c>
      <c r="U65" s="27" t="e">
        <f t="shared" si="32"/>
        <v>#REF!</v>
      </c>
      <c r="V65" s="27"/>
      <c r="W65" s="26">
        <f t="shared" si="33"/>
        <v>1020</v>
      </c>
      <c r="X65" s="26" t="e">
        <f t="shared" si="34"/>
        <v>#REF!</v>
      </c>
      <c r="Y65" s="27" t="e">
        <f t="shared" si="35"/>
        <v>#REF!</v>
      </c>
    </row>
    <row r="66" spans="1:25" ht="16.5" customHeight="1">
      <c r="A66" s="16" t="s">
        <v>162</v>
      </c>
      <c r="B66" s="32" t="s">
        <v>163</v>
      </c>
      <c r="C66" s="25">
        <f t="shared" si="18"/>
        <v>2414</v>
      </c>
      <c r="D66" s="25" t="e">
        <f t="shared" si="19"/>
        <v>#REF!</v>
      </c>
      <c r="E66" s="27" t="e">
        <f t="shared" si="20"/>
        <v>#REF!</v>
      </c>
      <c r="F66" s="27"/>
      <c r="G66" s="25">
        <f t="shared" si="21"/>
        <v>32</v>
      </c>
      <c r="H66" s="25" t="e">
        <f t="shared" si="22"/>
        <v>#REF!</v>
      </c>
      <c r="I66" s="27" t="e">
        <f t="shared" si="23"/>
        <v>#REF!</v>
      </c>
      <c r="J66" s="27"/>
      <c r="K66" s="25">
        <f t="shared" si="24"/>
        <v>3992</v>
      </c>
      <c r="L66" s="25" t="e">
        <f t="shared" si="25"/>
        <v>#REF!</v>
      </c>
      <c r="M66" s="27" t="e">
        <f t="shared" si="26"/>
        <v>#REF!</v>
      </c>
      <c r="N66" s="39"/>
      <c r="O66" s="36" t="str">
        <f t="shared" si="27"/>
        <v>Eastern</v>
      </c>
      <c r="P66" s="26" t="e">
        <f t="shared" si="28"/>
        <v>#REF!</v>
      </c>
      <c r="Q66" s="27" t="e">
        <f t="shared" si="29"/>
        <v>#VALUE!</v>
      </c>
      <c r="R66" s="27"/>
      <c r="S66" s="26">
        <f t="shared" si="30"/>
        <v>1450</v>
      </c>
      <c r="T66" s="26" t="e">
        <f t="shared" si="31"/>
        <v>#REF!</v>
      </c>
      <c r="U66" s="27" t="e">
        <f t="shared" si="32"/>
        <v>#REF!</v>
      </c>
      <c r="V66" s="27"/>
      <c r="W66" s="26">
        <f t="shared" si="33"/>
        <v>2144</v>
      </c>
      <c r="X66" s="26" t="e">
        <f t="shared" si="34"/>
        <v>#REF!</v>
      </c>
      <c r="Y66" s="27" t="e">
        <f t="shared" si="35"/>
        <v>#REF!</v>
      </c>
    </row>
    <row r="67" spans="1:25" ht="16.5" customHeight="1">
      <c r="A67" s="16" t="s">
        <v>164</v>
      </c>
      <c r="B67" s="17" t="s">
        <v>165</v>
      </c>
      <c r="C67" s="25">
        <f t="shared" si="18"/>
        <v>1342</v>
      </c>
      <c r="D67" s="25" t="e">
        <f t="shared" si="19"/>
        <v>#REF!</v>
      </c>
      <c r="E67" s="27" t="e">
        <f t="shared" si="20"/>
        <v>#REF!</v>
      </c>
      <c r="F67" s="27"/>
      <c r="G67" s="25">
        <f t="shared" si="21"/>
        <v>120</v>
      </c>
      <c r="H67" s="25" t="e">
        <f t="shared" si="22"/>
        <v>#REF!</v>
      </c>
      <c r="I67" s="27" t="e">
        <f t="shared" si="23"/>
        <v>#REF!</v>
      </c>
      <c r="J67" s="27"/>
      <c r="K67" s="25">
        <f t="shared" si="24"/>
        <v>2574</v>
      </c>
      <c r="L67" s="25" t="e">
        <f t="shared" si="25"/>
        <v>#REF!</v>
      </c>
      <c r="M67" s="27" t="e">
        <f t="shared" si="26"/>
        <v>#REF!</v>
      </c>
      <c r="N67" s="39"/>
      <c r="O67" s="36" t="str">
        <f t="shared" si="27"/>
        <v>Central</v>
      </c>
      <c r="P67" s="26" t="e">
        <f t="shared" si="28"/>
        <v>#REF!</v>
      </c>
      <c r="Q67" s="27" t="e">
        <f t="shared" si="29"/>
        <v>#VALUE!</v>
      </c>
      <c r="R67" s="27"/>
      <c r="S67" s="26">
        <f t="shared" si="30"/>
        <v>1009</v>
      </c>
      <c r="T67" s="26" t="e">
        <f t="shared" si="31"/>
        <v>#REF!</v>
      </c>
      <c r="U67" s="27" t="e">
        <f t="shared" si="32"/>
        <v>#REF!</v>
      </c>
      <c r="V67" s="27"/>
      <c r="W67" s="26">
        <f t="shared" si="33"/>
        <v>1390</v>
      </c>
      <c r="X67" s="26" t="e">
        <f t="shared" si="34"/>
        <v>#REF!</v>
      </c>
      <c r="Y67" s="27" t="e">
        <f t="shared" si="35"/>
        <v>#REF!</v>
      </c>
    </row>
    <row r="68" spans="1:25" ht="16.5" customHeight="1">
      <c r="A68" s="16" t="s">
        <v>168</v>
      </c>
      <c r="B68" s="32" t="s">
        <v>169</v>
      </c>
      <c r="C68" s="25">
        <f t="shared" ref="C68:C99" si="36">VLOOKUP(A68,SNAPClient_Demo,10,FALSE)</f>
        <v>2573</v>
      </c>
      <c r="D68" s="25" t="e">
        <f t="shared" ref="D68:D99" si="37">VLOOKUP(A68,Pop,14,FALSE)</f>
        <v>#REF!</v>
      </c>
      <c r="E68" s="27" t="e">
        <f t="shared" ref="E68:E99" si="38">+C68/D68</f>
        <v>#REF!</v>
      </c>
      <c r="F68" s="27"/>
      <c r="G68" s="25">
        <f t="shared" ref="G68:G99" si="39">VLOOKUP(A68,SNAPClient_Demo,11,FALSE)</f>
        <v>212</v>
      </c>
      <c r="H68" s="25" t="e">
        <f t="shared" ref="H68:H99" si="40">VLOOKUP(A68,Pop,15,FALSE)</f>
        <v>#REF!</v>
      </c>
      <c r="I68" s="27" t="e">
        <f t="shared" ref="I68:I99" si="41">+G68/H68</f>
        <v>#REF!</v>
      </c>
      <c r="J68" s="27"/>
      <c r="K68" s="25">
        <f t="shared" ref="K68:K99" si="42">VLOOKUP(A68,SNAPClient_Demo,12,FALSE)</f>
        <v>4992</v>
      </c>
      <c r="L68" s="25" t="e">
        <f t="shared" ref="L68:L99" si="43">VLOOKUP(A68,Pop,16,FALSE)</f>
        <v>#REF!</v>
      </c>
      <c r="M68" s="27" t="e">
        <f t="shared" ref="M68:M99" si="44">+K68/L68</f>
        <v>#REF!</v>
      </c>
      <c r="N68" s="39"/>
      <c r="O68" s="36" t="str">
        <f t="shared" ref="O68:O99" si="45">VLOOKUP(A68,SNAPClient_Demo,3,FALSE)</f>
        <v>Central</v>
      </c>
      <c r="P68" s="26" t="e">
        <f t="shared" ref="P68:P99" si="46">VLOOKUP(A68,Pop,8,FALSE)</f>
        <v>#REF!</v>
      </c>
      <c r="Q68" s="27" t="e">
        <f t="shared" ref="Q68:Q99" si="47">+O68/P68</f>
        <v>#VALUE!</v>
      </c>
      <c r="R68" s="27"/>
      <c r="S68" s="26">
        <f t="shared" ref="S68:S99" si="48">VLOOKUP(A68,SNAPClient_Demo,4,FALSE)</f>
        <v>1956</v>
      </c>
      <c r="T68" s="26" t="e">
        <f t="shared" ref="T68:T99" si="49">VLOOKUP(A68,Pop,9,FALSE)</f>
        <v>#REF!</v>
      </c>
      <c r="U68" s="27" t="e">
        <f t="shared" ref="U68:U99" si="50">+S68/T68</f>
        <v>#REF!</v>
      </c>
      <c r="V68" s="27"/>
      <c r="W68" s="26">
        <f t="shared" ref="W68:W99" si="51">VLOOKUP(A68,SNAPClient_Demo,5,FALSE)</f>
        <v>2742</v>
      </c>
      <c r="X68" s="26" t="e">
        <f t="shared" ref="X68:X99" si="52">VLOOKUP(A68,Pop,10,FALSE)</f>
        <v>#REF!</v>
      </c>
      <c r="Y68" s="27" t="e">
        <f t="shared" ref="Y68:Y99" si="53">+W68/X68</f>
        <v>#REF!</v>
      </c>
    </row>
    <row r="69" spans="1:25" ht="16.5" customHeight="1">
      <c r="A69" s="16" t="s">
        <v>170</v>
      </c>
      <c r="B69" s="17" t="s">
        <v>171</v>
      </c>
      <c r="C69" s="25">
        <f t="shared" si="36"/>
        <v>1331</v>
      </c>
      <c r="D69" s="25" t="e">
        <f t="shared" si="37"/>
        <v>#REF!</v>
      </c>
      <c r="E69" s="27" t="e">
        <f t="shared" si="38"/>
        <v>#REF!</v>
      </c>
      <c r="F69" s="27"/>
      <c r="G69" s="25">
        <f t="shared" si="39"/>
        <v>182</v>
      </c>
      <c r="H69" s="25" t="e">
        <f t="shared" si="40"/>
        <v>#REF!</v>
      </c>
      <c r="I69" s="27" t="e">
        <f t="shared" si="41"/>
        <v>#REF!</v>
      </c>
      <c r="J69" s="27"/>
      <c r="K69" s="25">
        <f t="shared" si="42"/>
        <v>5248</v>
      </c>
      <c r="L69" s="25" t="e">
        <f t="shared" si="43"/>
        <v>#REF!</v>
      </c>
      <c r="M69" s="27" t="e">
        <f t="shared" si="44"/>
        <v>#REF!</v>
      </c>
      <c r="N69" s="39"/>
      <c r="O69" s="36" t="str">
        <f t="shared" si="45"/>
        <v>Northern</v>
      </c>
      <c r="P69" s="26" t="e">
        <f t="shared" si="46"/>
        <v>#REF!</v>
      </c>
      <c r="Q69" s="27" t="e">
        <f t="shared" si="47"/>
        <v>#VALUE!</v>
      </c>
      <c r="R69" s="27"/>
      <c r="S69" s="26">
        <f t="shared" si="48"/>
        <v>2165</v>
      </c>
      <c r="T69" s="26" t="e">
        <f t="shared" si="49"/>
        <v>#REF!</v>
      </c>
      <c r="U69" s="27" t="e">
        <f t="shared" si="50"/>
        <v>#REF!</v>
      </c>
      <c r="V69" s="27"/>
      <c r="W69" s="26">
        <f t="shared" si="51"/>
        <v>2854</v>
      </c>
      <c r="X69" s="26" t="e">
        <f t="shared" si="52"/>
        <v>#REF!</v>
      </c>
      <c r="Y69" s="27" t="e">
        <f t="shared" si="53"/>
        <v>#REF!</v>
      </c>
    </row>
    <row r="70" spans="1:25" ht="16.5" customHeight="1">
      <c r="A70" s="16" t="s">
        <v>172</v>
      </c>
      <c r="B70" s="17" t="s">
        <v>173</v>
      </c>
      <c r="C70" s="25">
        <f t="shared" si="36"/>
        <v>172</v>
      </c>
      <c r="D70" s="25" t="e">
        <f t="shared" si="37"/>
        <v>#REF!</v>
      </c>
      <c r="E70" s="27" t="e">
        <f t="shared" si="38"/>
        <v>#REF!</v>
      </c>
      <c r="F70" s="27"/>
      <c r="G70" s="25">
        <f t="shared" si="39"/>
        <v>53</v>
      </c>
      <c r="H70" s="25" t="e">
        <f t="shared" si="40"/>
        <v>#REF!</v>
      </c>
      <c r="I70" s="27" t="e">
        <f t="shared" si="41"/>
        <v>#REF!</v>
      </c>
      <c r="J70" s="27"/>
      <c r="K70" s="25">
        <f t="shared" si="42"/>
        <v>5558</v>
      </c>
      <c r="L70" s="25" t="e">
        <f t="shared" si="43"/>
        <v>#REF!</v>
      </c>
      <c r="M70" s="27" t="e">
        <f t="shared" si="44"/>
        <v>#REF!</v>
      </c>
      <c r="N70" s="39"/>
      <c r="O70" s="36" t="str">
        <f t="shared" si="45"/>
        <v>Northern</v>
      </c>
      <c r="P70" s="26" t="e">
        <f t="shared" si="46"/>
        <v>#REF!</v>
      </c>
      <c r="Q70" s="27" t="e">
        <f t="shared" si="47"/>
        <v>#VALUE!</v>
      </c>
      <c r="R70" s="27"/>
      <c r="S70" s="26">
        <f t="shared" si="48"/>
        <v>2068</v>
      </c>
      <c r="T70" s="26" t="e">
        <f t="shared" si="49"/>
        <v>#REF!</v>
      </c>
      <c r="U70" s="27" t="e">
        <f t="shared" si="50"/>
        <v>#REF!</v>
      </c>
      <c r="V70" s="27"/>
      <c r="W70" s="26">
        <f t="shared" si="51"/>
        <v>3194</v>
      </c>
      <c r="X70" s="26" t="e">
        <f t="shared" si="52"/>
        <v>#REF!</v>
      </c>
      <c r="Y70" s="27" t="e">
        <f t="shared" si="53"/>
        <v>#REF!</v>
      </c>
    </row>
    <row r="71" spans="1:25" ht="16.5" customHeight="1">
      <c r="A71" s="16" t="s">
        <v>174</v>
      </c>
      <c r="B71" s="17" t="s">
        <v>175</v>
      </c>
      <c r="C71" s="25">
        <f t="shared" si="36"/>
        <v>379</v>
      </c>
      <c r="D71" s="25" t="e">
        <f t="shared" si="37"/>
        <v>#REF!</v>
      </c>
      <c r="E71" s="27" t="e">
        <f t="shared" si="38"/>
        <v>#REF!</v>
      </c>
      <c r="F71" s="27"/>
      <c r="G71" s="25">
        <f t="shared" si="39"/>
        <v>131</v>
      </c>
      <c r="H71" s="25" t="e">
        <f t="shared" si="40"/>
        <v>#REF!</v>
      </c>
      <c r="I71" s="27" t="e">
        <f t="shared" si="41"/>
        <v>#REF!</v>
      </c>
      <c r="J71" s="27"/>
      <c r="K71" s="25">
        <f t="shared" si="42"/>
        <v>4566</v>
      </c>
      <c r="L71" s="25" t="e">
        <f t="shared" si="43"/>
        <v>#REF!</v>
      </c>
      <c r="M71" s="27" t="e">
        <f t="shared" si="44"/>
        <v>#REF!</v>
      </c>
      <c r="N71" s="39"/>
      <c r="O71" s="36" t="str">
        <f t="shared" si="45"/>
        <v>Western</v>
      </c>
      <c r="P71" s="26" t="e">
        <f t="shared" si="46"/>
        <v>#REF!</v>
      </c>
      <c r="Q71" s="27" t="e">
        <f t="shared" si="47"/>
        <v>#VALUE!</v>
      </c>
      <c r="R71" s="27"/>
      <c r="S71" s="26">
        <f t="shared" si="48"/>
        <v>1574</v>
      </c>
      <c r="T71" s="26" t="e">
        <f t="shared" si="49"/>
        <v>#REF!</v>
      </c>
      <c r="U71" s="27" t="e">
        <f t="shared" si="50"/>
        <v>#REF!</v>
      </c>
      <c r="V71" s="27"/>
      <c r="W71" s="26">
        <f t="shared" si="51"/>
        <v>2685</v>
      </c>
      <c r="X71" s="26" t="e">
        <f t="shared" si="52"/>
        <v>#REF!</v>
      </c>
      <c r="Y71" s="27" t="e">
        <f t="shared" si="53"/>
        <v>#REF!</v>
      </c>
    </row>
    <row r="72" spans="1:25" ht="16.5" customHeight="1">
      <c r="A72" s="16" t="s">
        <v>178</v>
      </c>
      <c r="B72" s="32" t="s">
        <v>179</v>
      </c>
      <c r="C72" s="25">
        <f t="shared" si="36"/>
        <v>4508</v>
      </c>
      <c r="D72" s="25" t="e">
        <f t="shared" si="37"/>
        <v>#REF!</v>
      </c>
      <c r="E72" s="27" t="e">
        <f t="shared" si="38"/>
        <v>#REF!</v>
      </c>
      <c r="F72" s="27"/>
      <c r="G72" s="25">
        <f t="shared" si="39"/>
        <v>420</v>
      </c>
      <c r="H72" s="25" t="e">
        <f t="shared" si="40"/>
        <v>#REF!</v>
      </c>
      <c r="I72" s="27" t="e">
        <f t="shared" si="41"/>
        <v>#REF!</v>
      </c>
      <c r="J72" s="27"/>
      <c r="K72" s="25">
        <f t="shared" si="42"/>
        <v>14498</v>
      </c>
      <c r="L72" s="25" t="e">
        <f t="shared" si="43"/>
        <v>#REF!</v>
      </c>
      <c r="M72" s="27" t="e">
        <f t="shared" si="44"/>
        <v>#REF!</v>
      </c>
      <c r="N72" s="39"/>
      <c r="O72" s="36" t="str">
        <f t="shared" si="45"/>
        <v>Piedmont</v>
      </c>
      <c r="P72" s="26" t="e">
        <f t="shared" si="46"/>
        <v>#REF!</v>
      </c>
      <c r="Q72" s="27" t="e">
        <f t="shared" si="47"/>
        <v>#VALUE!</v>
      </c>
      <c r="R72" s="27"/>
      <c r="S72" s="26">
        <f t="shared" si="48"/>
        <v>5431</v>
      </c>
      <c r="T72" s="26" t="e">
        <f t="shared" si="49"/>
        <v>#REF!</v>
      </c>
      <c r="U72" s="27" t="e">
        <f t="shared" si="50"/>
        <v>#REF!</v>
      </c>
      <c r="V72" s="27"/>
      <c r="W72" s="26">
        <f t="shared" si="51"/>
        <v>8125</v>
      </c>
      <c r="X72" s="26" t="e">
        <f t="shared" si="52"/>
        <v>#REF!</v>
      </c>
      <c r="Y72" s="27" t="e">
        <f t="shared" si="53"/>
        <v>#REF!</v>
      </c>
    </row>
    <row r="73" spans="1:25" ht="16.5" customHeight="1">
      <c r="A73" s="16" t="s">
        <v>182</v>
      </c>
      <c r="B73" s="17" t="s">
        <v>183</v>
      </c>
      <c r="C73" s="25">
        <f t="shared" si="36"/>
        <v>347</v>
      </c>
      <c r="D73" s="25" t="e">
        <f t="shared" si="37"/>
        <v>#REF!</v>
      </c>
      <c r="E73" s="27" t="e">
        <f t="shared" si="38"/>
        <v>#REF!</v>
      </c>
      <c r="F73" s="27"/>
      <c r="G73" s="25">
        <f t="shared" si="39"/>
        <v>42</v>
      </c>
      <c r="H73" s="25" t="e">
        <f t="shared" si="40"/>
        <v>#REF!</v>
      </c>
      <c r="I73" s="27" t="e">
        <f t="shared" si="41"/>
        <v>#REF!</v>
      </c>
      <c r="J73" s="27"/>
      <c r="K73" s="25">
        <f t="shared" si="42"/>
        <v>2244</v>
      </c>
      <c r="L73" s="25" t="e">
        <f t="shared" si="43"/>
        <v>#REF!</v>
      </c>
      <c r="M73" s="27" t="e">
        <f t="shared" si="44"/>
        <v>#REF!</v>
      </c>
      <c r="N73" s="39"/>
      <c r="O73" s="36" t="str">
        <f t="shared" si="45"/>
        <v>Central</v>
      </c>
      <c r="P73" s="26" t="e">
        <f t="shared" si="46"/>
        <v>#REF!</v>
      </c>
      <c r="Q73" s="27" t="e">
        <f t="shared" si="47"/>
        <v>#VALUE!</v>
      </c>
      <c r="R73" s="27"/>
      <c r="S73" s="26">
        <f t="shared" si="48"/>
        <v>885</v>
      </c>
      <c r="T73" s="26" t="e">
        <f t="shared" si="49"/>
        <v>#REF!</v>
      </c>
      <c r="U73" s="27" t="e">
        <f t="shared" si="50"/>
        <v>#REF!</v>
      </c>
      <c r="V73" s="27"/>
      <c r="W73" s="26">
        <f t="shared" si="51"/>
        <v>1242</v>
      </c>
      <c r="X73" s="26" t="e">
        <f t="shared" si="52"/>
        <v>#REF!</v>
      </c>
      <c r="Y73" s="27" t="e">
        <f t="shared" si="53"/>
        <v>#REF!</v>
      </c>
    </row>
    <row r="74" spans="1:25" ht="16.5" customHeight="1">
      <c r="A74" s="16" t="s">
        <v>184</v>
      </c>
      <c r="B74" s="17" t="s">
        <v>185</v>
      </c>
      <c r="C74" s="25">
        <f t="shared" si="36"/>
        <v>3013</v>
      </c>
      <c r="D74" s="25" t="e">
        <f t="shared" si="37"/>
        <v>#REF!</v>
      </c>
      <c r="E74" s="27" t="e">
        <f t="shared" si="38"/>
        <v>#REF!</v>
      </c>
      <c r="F74" s="27"/>
      <c r="G74" s="25">
        <f t="shared" si="39"/>
        <v>115</v>
      </c>
      <c r="H74" s="25" t="e">
        <f t="shared" si="40"/>
        <v>#REF!</v>
      </c>
      <c r="I74" s="27" t="e">
        <f t="shared" si="41"/>
        <v>#REF!</v>
      </c>
      <c r="J74" s="27"/>
      <c r="K74" s="25">
        <f t="shared" si="42"/>
        <v>5208</v>
      </c>
      <c r="L74" s="25" t="e">
        <f t="shared" si="43"/>
        <v>#REF!</v>
      </c>
      <c r="M74" s="27" t="e">
        <f t="shared" si="44"/>
        <v>#REF!</v>
      </c>
      <c r="N74" s="39"/>
      <c r="O74" s="36" t="str">
        <f t="shared" si="45"/>
        <v>Central</v>
      </c>
      <c r="P74" s="26" t="e">
        <f t="shared" si="46"/>
        <v>#REF!</v>
      </c>
      <c r="Q74" s="27" t="e">
        <f t="shared" si="47"/>
        <v>#VALUE!</v>
      </c>
      <c r="R74" s="27"/>
      <c r="S74" s="26">
        <f t="shared" si="48"/>
        <v>1979</v>
      </c>
      <c r="T74" s="26" t="e">
        <f t="shared" si="49"/>
        <v>#REF!</v>
      </c>
      <c r="U74" s="27" t="e">
        <f t="shared" si="50"/>
        <v>#REF!</v>
      </c>
      <c r="V74" s="27"/>
      <c r="W74" s="26">
        <f t="shared" si="51"/>
        <v>2934</v>
      </c>
      <c r="X74" s="26" t="e">
        <f t="shared" si="52"/>
        <v>#REF!</v>
      </c>
      <c r="Y74" s="27" t="e">
        <f t="shared" si="53"/>
        <v>#REF!</v>
      </c>
    </row>
    <row r="75" spans="1:25" ht="16.5" customHeight="1">
      <c r="A75" s="16" t="s">
        <v>186</v>
      </c>
      <c r="B75" s="17" t="s">
        <v>187</v>
      </c>
      <c r="C75" s="25">
        <f t="shared" si="36"/>
        <v>1933</v>
      </c>
      <c r="D75" s="25" t="e">
        <f t="shared" si="37"/>
        <v>#REF!</v>
      </c>
      <c r="E75" s="27" t="e">
        <f t="shared" si="38"/>
        <v>#REF!</v>
      </c>
      <c r="F75" s="27"/>
      <c r="G75" s="25">
        <f t="shared" si="39"/>
        <v>142</v>
      </c>
      <c r="H75" s="25" t="e">
        <f t="shared" si="40"/>
        <v>#REF!</v>
      </c>
      <c r="I75" s="27" t="e">
        <f t="shared" si="41"/>
        <v>#REF!</v>
      </c>
      <c r="J75" s="27"/>
      <c r="K75" s="25">
        <f t="shared" si="42"/>
        <v>4725</v>
      </c>
      <c r="L75" s="25" t="e">
        <f t="shared" si="43"/>
        <v>#REF!</v>
      </c>
      <c r="M75" s="27" t="e">
        <f t="shared" si="44"/>
        <v>#REF!</v>
      </c>
      <c r="N75" s="39"/>
      <c r="O75" s="36" t="str">
        <f t="shared" si="45"/>
        <v>Eastern</v>
      </c>
      <c r="P75" s="26" t="e">
        <f t="shared" si="46"/>
        <v>#REF!</v>
      </c>
      <c r="Q75" s="27" t="e">
        <f t="shared" si="47"/>
        <v>#VALUE!</v>
      </c>
      <c r="R75" s="27"/>
      <c r="S75" s="26">
        <f t="shared" si="48"/>
        <v>2047</v>
      </c>
      <c r="T75" s="26" t="e">
        <f t="shared" si="49"/>
        <v>#REF!</v>
      </c>
      <c r="U75" s="27" t="e">
        <f t="shared" si="50"/>
        <v>#REF!</v>
      </c>
      <c r="V75" s="27"/>
      <c r="W75" s="26">
        <f t="shared" si="51"/>
        <v>2552</v>
      </c>
      <c r="X75" s="26" t="e">
        <f t="shared" si="52"/>
        <v>#REF!</v>
      </c>
      <c r="Y75" s="27" t="e">
        <f t="shared" si="53"/>
        <v>#REF!</v>
      </c>
    </row>
    <row r="76" spans="1:25" ht="16.5" customHeight="1">
      <c r="A76" s="16" t="s">
        <v>188</v>
      </c>
      <c r="B76" s="17" t="s">
        <v>189</v>
      </c>
      <c r="C76" s="25">
        <f t="shared" si="36"/>
        <v>15398</v>
      </c>
      <c r="D76" s="25" t="e">
        <f t="shared" si="37"/>
        <v>#REF!</v>
      </c>
      <c r="E76" s="27" t="e">
        <f t="shared" si="38"/>
        <v>#REF!</v>
      </c>
      <c r="F76" s="27"/>
      <c r="G76" s="25">
        <f t="shared" si="39"/>
        <v>5480</v>
      </c>
      <c r="H76" s="25" t="e">
        <f t="shared" si="40"/>
        <v>#REF!</v>
      </c>
      <c r="I76" s="27" t="e">
        <f t="shared" si="41"/>
        <v>#REF!</v>
      </c>
      <c r="J76" s="27"/>
      <c r="K76" s="25">
        <f t="shared" si="42"/>
        <v>48721</v>
      </c>
      <c r="L76" s="25" t="e">
        <f t="shared" si="43"/>
        <v>#REF!</v>
      </c>
      <c r="M76" s="27" t="e">
        <f t="shared" si="44"/>
        <v>#REF!</v>
      </c>
      <c r="N76" s="39"/>
      <c r="O76" s="36" t="str">
        <f t="shared" si="45"/>
        <v>Northern</v>
      </c>
      <c r="P76" s="26" t="e">
        <f t="shared" si="46"/>
        <v>#REF!</v>
      </c>
      <c r="Q76" s="27" t="e">
        <f t="shared" si="47"/>
        <v>#VALUE!</v>
      </c>
      <c r="R76" s="27"/>
      <c r="S76" s="26">
        <f t="shared" si="48"/>
        <v>23156</v>
      </c>
      <c r="T76" s="26" t="e">
        <f t="shared" si="49"/>
        <v>#REF!</v>
      </c>
      <c r="U76" s="27" t="e">
        <f t="shared" si="50"/>
        <v>#REF!</v>
      </c>
      <c r="V76" s="27"/>
      <c r="W76" s="26">
        <f t="shared" si="51"/>
        <v>23524</v>
      </c>
      <c r="X76" s="26" t="e">
        <f t="shared" si="52"/>
        <v>#REF!</v>
      </c>
      <c r="Y76" s="27" t="e">
        <f t="shared" si="53"/>
        <v>#REF!</v>
      </c>
    </row>
    <row r="77" spans="1:25" ht="16.5" customHeight="1">
      <c r="A77" s="16" t="s">
        <v>190</v>
      </c>
      <c r="B77" s="17" t="s">
        <v>191</v>
      </c>
      <c r="C77" s="25">
        <f t="shared" si="36"/>
        <v>797</v>
      </c>
      <c r="D77" s="25" t="e">
        <f t="shared" si="37"/>
        <v>#REF!</v>
      </c>
      <c r="E77" s="27" t="e">
        <f t="shared" si="38"/>
        <v>#REF!</v>
      </c>
      <c r="F77" s="27"/>
      <c r="G77" s="25">
        <f t="shared" si="39"/>
        <v>206</v>
      </c>
      <c r="H77" s="25" t="e">
        <f t="shared" si="40"/>
        <v>#REF!</v>
      </c>
      <c r="I77" s="27" t="e">
        <f t="shared" si="41"/>
        <v>#REF!</v>
      </c>
      <c r="J77" s="27"/>
      <c r="K77" s="25">
        <f t="shared" si="42"/>
        <v>8309</v>
      </c>
      <c r="L77" s="25" t="e">
        <f t="shared" si="43"/>
        <v>#REF!</v>
      </c>
      <c r="M77" s="27" t="e">
        <f t="shared" si="44"/>
        <v>#REF!</v>
      </c>
      <c r="N77" s="39"/>
      <c r="O77" s="36" t="str">
        <f t="shared" si="45"/>
        <v>Western</v>
      </c>
      <c r="P77" s="26" t="e">
        <f t="shared" si="46"/>
        <v>#REF!</v>
      </c>
      <c r="Q77" s="27" t="e">
        <f t="shared" si="47"/>
        <v>#VALUE!</v>
      </c>
      <c r="R77" s="27"/>
      <c r="S77" s="26">
        <f t="shared" si="48"/>
        <v>2850</v>
      </c>
      <c r="T77" s="26" t="e">
        <f t="shared" si="49"/>
        <v>#REF!</v>
      </c>
      <c r="U77" s="27" t="e">
        <f t="shared" si="50"/>
        <v>#REF!</v>
      </c>
      <c r="V77" s="27"/>
      <c r="W77" s="26">
        <f t="shared" si="51"/>
        <v>5016</v>
      </c>
      <c r="X77" s="26" t="e">
        <f t="shared" si="52"/>
        <v>#REF!</v>
      </c>
      <c r="Y77" s="27" t="e">
        <f t="shared" si="53"/>
        <v>#REF!</v>
      </c>
    </row>
    <row r="78" spans="1:25" ht="16.5" customHeight="1">
      <c r="A78" s="16" t="s">
        <v>194</v>
      </c>
      <c r="B78" s="17" t="s">
        <v>195</v>
      </c>
      <c r="C78" s="25">
        <f t="shared" si="36"/>
        <v>84</v>
      </c>
      <c r="D78" s="25" t="e">
        <f t="shared" si="37"/>
        <v>#REF!</v>
      </c>
      <c r="E78" s="27" t="e">
        <f t="shared" si="38"/>
        <v>#REF!</v>
      </c>
      <c r="F78" s="27"/>
      <c r="G78" s="25">
        <f t="shared" si="39"/>
        <v>25</v>
      </c>
      <c r="H78" s="25" t="e">
        <f t="shared" si="40"/>
        <v>#REF!</v>
      </c>
      <c r="I78" s="27" t="e">
        <f t="shared" si="41"/>
        <v>#REF!</v>
      </c>
      <c r="J78" s="27"/>
      <c r="K78" s="25">
        <f t="shared" si="42"/>
        <v>750</v>
      </c>
      <c r="L78" s="25" t="e">
        <f t="shared" si="43"/>
        <v>#REF!</v>
      </c>
      <c r="M78" s="27" t="e">
        <f t="shared" si="44"/>
        <v>#REF!</v>
      </c>
      <c r="N78" s="39"/>
      <c r="O78" s="36" t="str">
        <f t="shared" si="45"/>
        <v>Northern</v>
      </c>
      <c r="P78" s="26" t="e">
        <f t="shared" si="46"/>
        <v>#REF!</v>
      </c>
      <c r="Q78" s="27" t="e">
        <f t="shared" si="47"/>
        <v>#VALUE!</v>
      </c>
      <c r="R78" s="27"/>
      <c r="S78" s="26">
        <f t="shared" si="48"/>
        <v>309</v>
      </c>
      <c r="T78" s="26" t="e">
        <f t="shared" si="49"/>
        <v>#REF!</v>
      </c>
      <c r="U78" s="27" t="e">
        <f t="shared" si="50"/>
        <v>#REF!</v>
      </c>
      <c r="V78" s="27"/>
      <c r="W78" s="26">
        <f t="shared" si="51"/>
        <v>398</v>
      </c>
      <c r="X78" s="26" t="e">
        <f t="shared" si="52"/>
        <v>#REF!</v>
      </c>
      <c r="Y78" s="27" t="e">
        <f t="shared" si="53"/>
        <v>#REF!</v>
      </c>
    </row>
    <row r="79" spans="1:25" ht="16.5" customHeight="1">
      <c r="A79" s="16" t="s">
        <v>198</v>
      </c>
      <c r="B79" s="32" t="s">
        <v>199</v>
      </c>
      <c r="C79" s="25">
        <f t="shared" si="36"/>
        <v>987</v>
      </c>
      <c r="D79" s="25" t="e">
        <f t="shared" si="37"/>
        <v>#REF!</v>
      </c>
      <c r="E79" s="27" t="e">
        <f t="shared" si="38"/>
        <v>#REF!</v>
      </c>
      <c r="F79" s="27"/>
      <c r="G79" s="25">
        <f t="shared" si="39"/>
        <v>127</v>
      </c>
      <c r="H79" s="25" t="e">
        <f t="shared" si="40"/>
        <v>#REF!</v>
      </c>
      <c r="I79" s="27" t="e">
        <f t="shared" si="41"/>
        <v>#REF!</v>
      </c>
      <c r="J79" s="27"/>
      <c r="K79" s="25">
        <f t="shared" si="42"/>
        <v>2195</v>
      </c>
      <c r="L79" s="25" t="e">
        <f t="shared" si="43"/>
        <v>#REF!</v>
      </c>
      <c r="M79" s="27" t="e">
        <f t="shared" si="44"/>
        <v>#REF!</v>
      </c>
      <c r="N79" s="39"/>
      <c r="O79" s="36" t="str">
        <f t="shared" si="45"/>
        <v>Central</v>
      </c>
      <c r="P79" s="26" t="e">
        <f t="shared" si="46"/>
        <v>#REF!</v>
      </c>
      <c r="Q79" s="27" t="e">
        <f t="shared" si="47"/>
        <v>#VALUE!</v>
      </c>
      <c r="R79" s="27"/>
      <c r="S79" s="26">
        <f t="shared" si="48"/>
        <v>837</v>
      </c>
      <c r="T79" s="26" t="e">
        <f t="shared" si="49"/>
        <v>#REF!</v>
      </c>
      <c r="U79" s="27" t="e">
        <f t="shared" si="50"/>
        <v>#REF!</v>
      </c>
      <c r="V79" s="27"/>
      <c r="W79" s="26">
        <f t="shared" si="51"/>
        <v>1220</v>
      </c>
      <c r="X79" s="26" t="e">
        <f t="shared" si="52"/>
        <v>#REF!</v>
      </c>
      <c r="Y79" s="27" t="e">
        <f t="shared" si="53"/>
        <v>#REF!</v>
      </c>
    </row>
    <row r="80" spans="1:25" ht="16.5" customHeight="1">
      <c r="A80" s="16" t="s">
        <v>202</v>
      </c>
      <c r="B80" s="17" t="s">
        <v>203</v>
      </c>
      <c r="C80" s="25">
        <f t="shared" si="36"/>
        <v>1987</v>
      </c>
      <c r="D80" s="25" t="e">
        <f t="shared" si="37"/>
        <v>#REF!</v>
      </c>
      <c r="E80" s="27" t="e">
        <f t="shared" si="38"/>
        <v>#REF!</v>
      </c>
      <c r="F80" s="27"/>
      <c r="G80" s="25">
        <f t="shared" si="39"/>
        <v>602</v>
      </c>
      <c r="H80" s="25" t="e">
        <f t="shared" si="40"/>
        <v>#REF!</v>
      </c>
      <c r="I80" s="27" t="e">
        <f t="shared" si="41"/>
        <v>#REF!</v>
      </c>
      <c r="J80" s="27"/>
      <c r="K80" s="25">
        <f t="shared" si="42"/>
        <v>12926</v>
      </c>
      <c r="L80" s="25" t="e">
        <f t="shared" si="43"/>
        <v>#REF!</v>
      </c>
      <c r="M80" s="27" t="e">
        <f t="shared" si="44"/>
        <v>#REF!</v>
      </c>
      <c r="N80" s="39"/>
      <c r="O80" s="36" t="str">
        <f t="shared" si="45"/>
        <v>Piedmont</v>
      </c>
      <c r="P80" s="26" t="e">
        <f t="shared" si="46"/>
        <v>#REF!</v>
      </c>
      <c r="Q80" s="27" t="e">
        <f t="shared" si="47"/>
        <v>#VALUE!</v>
      </c>
      <c r="R80" s="27"/>
      <c r="S80" s="26">
        <f t="shared" si="48"/>
        <v>5332</v>
      </c>
      <c r="T80" s="26" t="e">
        <f t="shared" si="49"/>
        <v>#REF!</v>
      </c>
      <c r="U80" s="27" t="e">
        <f t="shared" si="50"/>
        <v>#REF!</v>
      </c>
      <c r="V80" s="27"/>
      <c r="W80" s="26">
        <f t="shared" si="51"/>
        <v>6985</v>
      </c>
      <c r="X80" s="26" t="e">
        <f t="shared" si="52"/>
        <v>#REF!</v>
      </c>
      <c r="Y80" s="27" t="e">
        <f t="shared" si="53"/>
        <v>#REF!</v>
      </c>
    </row>
    <row r="81" spans="1:25" ht="16.5" customHeight="1">
      <c r="A81" s="16" t="s">
        <v>204</v>
      </c>
      <c r="B81" s="17" t="s">
        <v>205</v>
      </c>
      <c r="C81" s="25">
        <f t="shared" si="36"/>
        <v>505</v>
      </c>
      <c r="D81" s="25" t="e">
        <f t="shared" si="37"/>
        <v>#REF!</v>
      </c>
      <c r="E81" s="27" t="e">
        <f t="shared" si="38"/>
        <v>#REF!</v>
      </c>
      <c r="F81" s="27"/>
      <c r="G81" s="25">
        <f t="shared" si="39"/>
        <v>94</v>
      </c>
      <c r="H81" s="25" t="e">
        <f t="shared" si="40"/>
        <v>#REF!</v>
      </c>
      <c r="I81" s="27" t="e">
        <f t="shared" si="41"/>
        <v>#REF!</v>
      </c>
      <c r="J81" s="27"/>
      <c r="K81" s="25">
        <f t="shared" si="42"/>
        <v>6176</v>
      </c>
      <c r="L81" s="25" t="e">
        <f t="shared" si="43"/>
        <v>#REF!</v>
      </c>
      <c r="M81" s="27" t="e">
        <f t="shared" si="44"/>
        <v>#REF!</v>
      </c>
      <c r="N81" s="39"/>
      <c r="O81" s="36" t="str">
        <f t="shared" si="45"/>
        <v>Piedmont</v>
      </c>
      <c r="P81" s="26" t="e">
        <f t="shared" si="46"/>
        <v>#REF!</v>
      </c>
      <c r="Q81" s="27" t="e">
        <f t="shared" si="47"/>
        <v>#VALUE!</v>
      </c>
      <c r="R81" s="27"/>
      <c r="S81" s="26">
        <f t="shared" si="48"/>
        <v>2393</v>
      </c>
      <c r="T81" s="26" t="e">
        <f t="shared" si="49"/>
        <v>#REF!</v>
      </c>
      <c r="U81" s="27" t="e">
        <f t="shared" si="50"/>
        <v>#REF!</v>
      </c>
      <c r="V81" s="27"/>
      <c r="W81" s="26">
        <f t="shared" si="51"/>
        <v>3408</v>
      </c>
      <c r="X81" s="26" t="e">
        <f t="shared" si="52"/>
        <v>#REF!</v>
      </c>
      <c r="Y81" s="27" t="e">
        <f t="shared" si="53"/>
        <v>#REF!</v>
      </c>
    </row>
    <row r="82" spans="1:25" ht="16.5" customHeight="1">
      <c r="A82" s="16" t="s">
        <v>206</v>
      </c>
      <c r="B82" s="32" t="s">
        <v>207</v>
      </c>
      <c r="C82" s="25">
        <f t="shared" si="36"/>
        <v>1502</v>
      </c>
      <c r="D82" s="25" t="e">
        <f t="shared" si="37"/>
        <v>#REF!</v>
      </c>
      <c r="E82" s="27" t="e">
        <f t="shared" si="38"/>
        <v>#REF!</v>
      </c>
      <c r="F82" s="27"/>
      <c r="G82" s="25">
        <f t="shared" si="39"/>
        <v>1657</v>
      </c>
      <c r="H82" s="25" t="e">
        <f t="shared" si="40"/>
        <v>#REF!</v>
      </c>
      <c r="I82" s="27" t="e">
        <f t="shared" si="41"/>
        <v>#REF!</v>
      </c>
      <c r="J82" s="27"/>
      <c r="K82" s="25">
        <f t="shared" si="42"/>
        <v>18812</v>
      </c>
      <c r="L82" s="25" t="e">
        <f t="shared" si="43"/>
        <v>#REF!</v>
      </c>
      <c r="M82" s="27" t="e">
        <f t="shared" si="44"/>
        <v>#REF!</v>
      </c>
      <c r="N82" s="39"/>
      <c r="O82" s="36" t="str">
        <f t="shared" si="45"/>
        <v>Northern</v>
      </c>
      <c r="P82" s="26" t="e">
        <f t="shared" si="46"/>
        <v>#REF!</v>
      </c>
      <c r="Q82" s="27" t="e">
        <f t="shared" si="47"/>
        <v>#VALUE!</v>
      </c>
      <c r="R82" s="27"/>
      <c r="S82" s="26">
        <f t="shared" si="48"/>
        <v>8053</v>
      </c>
      <c r="T82" s="26" t="e">
        <f t="shared" si="49"/>
        <v>#REF!</v>
      </c>
      <c r="U82" s="27" t="e">
        <f t="shared" si="50"/>
        <v>#REF!</v>
      </c>
      <c r="V82" s="27"/>
      <c r="W82" s="26">
        <f t="shared" si="51"/>
        <v>10030</v>
      </c>
      <c r="X82" s="26" t="e">
        <f t="shared" si="52"/>
        <v>#REF!</v>
      </c>
      <c r="Y82" s="27" t="e">
        <f t="shared" si="53"/>
        <v>#REF!</v>
      </c>
    </row>
    <row r="83" spans="1:25" ht="16.5" customHeight="1">
      <c r="A83" s="16" t="s">
        <v>208</v>
      </c>
      <c r="B83" s="32" t="s">
        <v>209</v>
      </c>
      <c r="C83" s="25">
        <f t="shared" si="36"/>
        <v>64</v>
      </c>
      <c r="D83" s="25" t="e">
        <f t="shared" si="37"/>
        <v>#REF!</v>
      </c>
      <c r="E83" s="27" t="e">
        <f t="shared" si="38"/>
        <v>#REF!</v>
      </c>
      <c r="F83" s="27"/>
      <c r="G83" s="25">
        <f t="shared" si="39"/>
        <v>26</v>
      </c>
      <c r="H83" s="25" t="e">
        <f t="shared" si="40"/>
        <v>#REF!</v>
      </c>
      <c r="I83" s="27" t="e">
        <f t="shared" si="41"/>
        <v>#REF!</v>
      </c>
      <c r="J83" s="27"/>
      <c r="K83" s="25">
        <f t="shared" si="42"/>
        <v>8253</v>
      </c>
      <c r="L83" s="25" t="e">
        <f t="shared" si="43"/>
        <v>#REF!</v>
      </c>
      <c r="M83" s="27" t="e">
        <f t="shared" si="44"/>
        <v>#REF!</v>
      </c>
      <c r="N83" s="39"/>
      <c r="O83" s="36" t="str">
        <f t="shared" si="45"/>
        <v>Western</v>
      </c>
      <c r="P83" s="26" t="e">
        <f t="shared" si="46"/>
        <v>#REF!</v>
      </c>
      <c r="Q83" s="27" t="e">
        <f t="shared" si="47"/>
        <v>#VALUE!</v>
      </c>
      <c r="R83" s="27"/>
      <c r="S83" s="26">
        <f t="shared" si="48"/>
        <v>2877</v>
      </c>
      <c r="T83" s="26" t="e">
        <f t="shared" si="49"/>
        <v>#REF!</v>
      </c>
      <c r="U83" s="27" t="e">
        <f t="shared" si="50"/>
        <v>#REF!</v>
      </c>
      <c r="V83" s="27"/>
      <c r="W83" s="26">
        <f t="shared" si="51"/>
        <v>4895</v>
      </c>
      <c r="X83" s="26" t="e">
        <f t="shared" si="52"/>
        <v>#REF!</v>
      </c>
      <c r="Y83" s="27" t="e">
        <f t="shared" si="53"/>
        <v>#REF!</v>
      </c>
    </row>
    <row r="84" spans="1:25" ht="16.5" customHeight="1">
      <c r="A84" s="16" t="s">
        <v>210</v>
      </c>
      <c r="B84" s="32" t="s">
        <v>211</v>
      </c>
      <c r="C84" s="25">
        <f t="shared" si="36"/>
        <v>89</v>
      </c>
      <c r="D84" s="25" t="e">
        <f t="shared" si="37"/>
        <v>#REF!</v>
      </c>
      <c r="E84" s="27" t="e">
        <f t="shared" si="38"/>
        <v>#REF!</v>
      </c>
      <c r="F84" s="27"/>
      <c r="G84" s="25">
        <f t="shared" si="39"/>
        <v>61</v>
      </c>
      <c r="H84" s="25" t="e">
        <f t="shared" si="40"/>
        <v>#REF!</v>
      </c>
      <c r="I84" s="27" t="e">
        <f t="shared" si="41"/>
        <v>#REF!</v>
      </c>
      <c r="J84" s="27"/>
      <c r="K84" s="25">
        <f t="shared" si="42"/>
        <v>5664</v>
      </c>
      <c r="L84" s="25" t="e">
        <f t="shared" si="43"/>
        <v>#REF!</v>
      </c>
      <c r="M84" s="27" t="e">
        <f t="shared" si="44"/>
        <v>#REF!</v>
      </c>
      <c r="N84" s="39"/>
      <c r="O84" s="36" t="str">
        <f t="shared" si="45"/>
        <v>Western</v>
      </c>
      <c r="P84" s="26" t="e">
        <f t="shared" si="46"/>
        <v>#REF!</v>
      </c>
      <c r="Q84" s="27" t="e">
        <f t="shared" si="47"/>
        <v>#VALUE!</v>
      </c>
      <c r="R84" s="27"/>
      <c r="S84" s="26">
        <f t="shared" si="48"/>
        <v>1982</v>
      </c>
      <c r="T84" s="26" t="e">
        <f t="shared" si="49"/>
        <v>#REF!</v>
      </c>
      <c r="U84" s="27" t="e">
        <f t="shared" si="50"/>
        <v>#REF!</v>
      </c>
      <c r="V84" s="27"/>
      <c r="W84" s="26">
        <f t="shared" si="51"/>
        <v>3258</v>
      </c>
      <c r="X84" s="26" t="e">
        <f t="shared" si="52"/>
        <v>#REF!</v>
      </c>
      <c r="Y84" s="27" t="e">
        <f t="shared" si="53"/>
        <v>#REF!</v>
      </c>
    </row>
    <row r="85" spans="1:25" ht="16.5" customHeight="1">
      <c r="A85" s="16" t="s">
        <v>212</v>
      </c>
      <c r="B85" s="32" t="s">
        <v>213</v>
      </c>
      <c r="C85" s="25">
        <f t="shared" si="36"/>
        <v>324</v>
      </c>
      <c r="D85" s="25" t="e">
        <f t="shared" si="37"/>
        <v>#REF!</v>
      </c>
      <c r="E85" s="27" t="e">
        <f t="shared" si="38"/>
        <v>#REF!</v>
      </c>
      <c r="F85" s="27"/>
      <c r="G85" s="25">
        <f t="shared" si="39"/>
        <v>659</v>
      </c>
      <c r="H85" s="25" t="e">
        <f t="shared" si="40"/>
        <v>#REF!</v>
      </c>
      <c r="I85" s="27" t="e">
        <f t="shared" si="41"/>
        <v>#REF!</v>
      </c>
      <c r="J85" s="27"/>
      <c r="K85" s="25">
        <f t="shared" si="42"/>
        <v>8165</v>
      </c>
      <c r="L85" s="25" t="e">
        <f t="shared" si="43"/>
        <v>#REF!</v>
      </c>
      <c r="M85" s="27" t="e">
        <f t="shared" si="44"/>
        <v>#REF!</v>
      </c>
      <c r="N85" s="39"/>
      <c r="O85" s="36" t="str">
        <f t="shared" si="45"/>
        <v>Northern</v>
      </c>
      <c r="P85" s="26" t="e">
        <f t="shared" si="46"/>
        <v>#REF!</v>
      </c>
      <c r="Q85" s="27" t="e">
        <f t="shared" si="47"/>
        <v>#VALUE!</v>
      </c>
      <c r="R85" s="27"/>
      <c r="S85" s="26">
        <f t="shared" si="48"/>
        <v>3418</v>
      </c>
      <c r="T85" s="26" t="e">
        <f t="shared" si="49"/>
        <v>#REF!</v>
      </c>
      <c r="U85" s="27" t="e">
        <f t="shared" si="50"/>
        <v>#REF!</v>
      </c>
      <c r="V85" s="27"/>
      <c r="W85" s="26">
        <f t="shared" si="51"/>
        <v>4438</v>
      </c>
      <c r="X85" s="26" t="e">
        <f t="shared" si="52"/>
        <v>#REF!</v>
      </c>
      <c r="Y85" s="27" t="e">
        <f t="shared" si="53"/>
        <v>#REF!</v>
      </c>
    </row>
    <row r="86" spans="1:25" ht="16.5" customHeight="1">
      <c r="A86" s="16" t="s">
        <v>214</v>
      </c>
      <c r="B86" s="32" t="s">
        <v>215</v>
      </c>
      <c r="C86" s="25">
        <f t="shared" si="36"/>
        <v>208</v>
      </c>
      <c r="D86" s="25" t="e">
        <f t="shared" si="37"/>
        <v>#REF!</v>
      </c>
      <c r="E86" s="27" t="e">
        <f t="shared" si="38"/>
        <v>#REF!</v>
      </c>
      <c r="F86" s="27"/>
      <c r="G86" s="25">
        <f t="shared" si="39"/>
        <v>84</v>
      </c>
      <c r="H86" s="25" t="e">
        <f t="shared" si="40"/>
        <v>#REF!</v>
      </c>
      <c r="I86" s="27" t="e">
        <f t="shared" si="41"/>
        <v>#REF!</v>
      </c>
      <c r="J86" s="27"/>
      <c r="K86" s="25">
        <f t="shared" si="42"/>
        <v>8924</v>
      </c>
      <c r="L86" s="25" t="e">
        <f t="shared" si="43"/>
        <v>#REF!</v>
      </c>
      <c r="M86" s="27" t="e">
        <f t="shared" si="44"/>
        <v>#REF!</v>
      </c>
      <c r="N86" s="39"/>
      <c r="O86" s="36" t="str">
        <f t="shared" si="45"/>
        <v>Western</v>
      </c>
      <c r="P86" s="26" t="e">
        <f t="shared" si="46"/>
        <v>#REF!</v>
      </c>
      <c r="Q86" s="27" t="e">
        <f t="shared" si="47"/>
        <v>#VALUE!</v>
      </c>
      <c r="R86" s="27"/>
      <c r="S86" s="26">
        <f t="shared" si="48"/>
        <v>3136</v>
      </c>
      <c r="T86" s="26" t="e">
        <f t="shared" si="49"/>
        <v>#REF!</v>
      </c>
      <c r="U86" s="27" t="e">
        <f t="shared" si="50"/>
        <v>#REF!</v>
      </c>
      <c r="V86" s="27"/>
      <c r="W86" s="26">
        <f t="shared" si="51"/>
        <v>5302</v>
      </c>
      <c r="X86" s="26" t="e">
        <f t="shared" si="52"/>
        <v>#REF!</v>
      </c>
      <c r="Y86" s="27" t="e">
        <f t="shared" si="53"/>
        <v>#REF!</v>
      </c>
    </row>
    <row r="87" spans="1:25" ht="16.5" customHeight="1">
      <c r="A87" s="16" t="s">
        <v>216</v>
      </c>
      <c r="B87" s="32" t="s">
        <v>217</v>
      </c>
      <c r="C87" s="25">
        <f t="shared" si="36"/>
        <v>2342</v>
      </c>
      <c r="D87" s="25" t="e">
        <f t="shared" si="37"/>
        <v>#REF!</v>
      </c>
      <c r="E87" s="27" t="e">
        <f t="shared" si="38"/>
        <v>#REF!</v>
      </c>
      <c r="F87" s="27"/>
      <c r="G87" s="25">
        <f t="shared" si="39"/>
        <v>54</v>
      </c>
      <c r="H87" s="25" t="e">
        <f t="shared" si="40"/>
        <v>#REF!</v>
      </c>
      <c r="I87" s="27" t="e">
        <f t="shared" si="41"/>
        <v>#REF!</v>
      </c>
      <c r="J87" s="27"/>
      <c r="K87" s="25">
        <f t="shared" si="42"/>
        <v>4273</v>
      </c>
      <c r="L87" s="25" t="e">
        <f t="shared" si="43"/>
        <v>#REF!</v>
      </c>
      <c r="M87" s="27" t="e">
        <f t="shared" si="44"/>
        <v>#REF!</v>
      </c>
      <c r="N87" s="39"/>
      <c r="O87" s="36" t="str">
        <f t="shared" si="45"/>
        <v>Eastern</v>
      </c>
      <c r="P87" s="26" t="e">
        <f t="shared" si="46"/>
        <v>#REF!</v>
      </c>
      <c r="Q87" s="27" t="e">
        <f t="shared" si="47"/>
        <v>#VALUE!</v>
      </c>
      <c r="R87" s="27"/>
      <c r="S87" s="26">
        <f t="shared" si="48"/>
        <v>1664</v>
      </c>
      <c r="T87" s="26" t="e">
        <f t="shared" si="49"/>
        <v>#REF!</v>
      </c>
      <c r="U87" s="27" t="e">
        <f t="shared" si="50"/>
        <v>#REF!</v>
      </c>
      <c r="V87" s="27"/>
      <c r="W87" s="26">
        <f t="shared" si="51"/>
        <v>2313</v>
      </c>
      <c r="X87" s="26" t="e">
        <f t="shared" si="52"/>
        <v>#REF!</v>
      </c>
      <c r="Y87" s="27" t="e">
        <f t="shared" si="53"/>
        <v>#REF!</v>
      </c>
    </row>
    <row r="88" spans="1:25" ht="16.5" customHeight="1">
      <c r="A88" s="16" t="s">
        <v>218</v>
      </c>
      <c r="B88" s="17" t="s">
        <v>219</v>
      </c>
      <c r="C88" s="25">
        <f t="shared" si="36"/>
        <v>5139</v>
      </c>
      <c r="D88" s="25" t="e">
        <f t="shared" si="37"/>
        <v>#REF!</v>
      </c>
      <c r="E88" s="27" t="e">
        <f t="shared" si="38"/>
        <v>#REF!</v>
      </c>
      <c r="F88" s="27"/>
      <c r="G88" s="25">
        <f t="shared" si="39"/>
        <v>1172</v>
      </c>
      <c r="H88" s="25" t="e">
        <f t="shared" si="40"/>
        <v>#REF!</v>
      </c>
      <c r="I88" s="27" t="e">
        <f t="shared" si="41"/>
        <v>#REF!</v>
      </c>
      <c r="J88" s="27"/>
      <c r="K88" s="25">
        <f t="shared" si="42"/>
        <v>18892</v>
      </c>
      <c r="L88" s="25" t="e">
        <f t="shared" si="43"/>
        <v>#REF!</v>
      </c>
      <c r="M88" s="27" t="e">
        <f t="shared" si="44"/>
        <v>#REF!</v>
      </c>
      <c r="N88" s="39"/>
      <c r="O88" s="36" t="str">
        <f t="shared" si="45"/>
        <v>Northern</v>
      </c>
      <c r="P88" s="26" t="e">
        <f t="shared" si="46"/>
        <v>#REF!</v>
      </c>
      <c r="Q88" s="27" t="e">
        <f t="shared" si="47"/>
        <v>#VALUE!</v>
      </c>
      <c r="R88" s="27"/>
      <c r="S88" s="26">
        <f t="shared" si="48"/>
        <v>8467</v>
      </c>
      <c r="T88" s="26" t="e">
        <f t="shared" si="49"/>
        <v>#REF!</v>
      </c>
      <c r="U88" s="27" t="e">
        <f t="shared" si="50"/>
        <v>#REF!</v>
      </c>
      <c r="V88" s="27"/>
      <c r="W88" s="26">
        <f t="shared" si="51"/>
        <v>9856</v>
      </c>
      <c r="X88" s="26" t="e">
        <f t="shared" si="52"/>
        <v>#REF!</v>
      </c>
      <c r="Y88" s="27" t="e">
        <f t="shared" si="53"/>
        <v>#REF!</v>
      </c>
    </row>
    <row r="89" spans="1:25" ht="16.5" customHeight="1">
      <c r="A89" s="16" t="s">
        <v>220</v>
      </c>
      <c r="B89" s="17" t="s">
        <v>221</v>
      </c>
      <c r="C89" s="25">
        <f t="shared" si="36"/>
        <v>4319</v>
      </c>
      <c r="D89" s="25" t="e">
        <f t="shared" si="37"/>
        <v>#REF!</v>
      </c>
      <c r="E89" s="27" t="e">
        <f t="shared" si="38"/>
        <v>#REF!</v>
      </c>
      <c r="F89" s="27"/>
      <c r="G89" s="25">
        <f t="shared" si="39"/>
        <v>1481</v>
      </c>
      <c r="H89" s="25" t="e">
        <f t="shared" si="40"/>
        <v>#REF!</v>
      </c>
      <c r="I89" s="27" t="e">
        <f t="shared" si="41"/>
        <v>#REF!</v>
      </c>
      <c r="J89" s="27"/>
      <c r="K89" s="25">
        <f t="shared" si="42"/>
        <v>15456</v>
      </c>
      <c r="L89" s="25" t="e">
        <f t="shared" si="43"/>
        <v>#REF!</v>
      </c>
      <c r="M89" s="27" t="e">
        <f t="shared" si="44"/>
        <v>#REF!</v>
      </c>
      <c r="N89" s="39"/>
      <c r="O89" s="36" t="str">
        <f t="shared" si="45"/>
        <v>Northern</v>
      </c>
      <c r="P89" s="26" t="e">
        <f t="shared" si="46"/>
        <v>#REF!</v>
      </c>
      <c r="Q89" s="27" t="e">
        <f t="shared" si="47"/>
        <v>#VALUE!</v>
      </c>
      <c r="R89" s="27"/>
      <c r="S89" s="26">
        <f t="shared" si="48"/>
        <v>7194</v>
      </c>
      <c r="T89" s="26" t="e">
        <f t="shared" si="49"/>
        <v>#REF!</v>
      </c>
      <c r="U89" s="27" t="e">
        <f t="shared" si="50"/>
        <v>#REF!</v>
      </c>
      <c r="V89" s="27"/>
      <c r="W89" s="26">
        <f t="shared" si="51"/>
        <v>7833</v>
      </c>
      <c r="X89" s="26" t="e">
        <f t="shared" si="52"/>
        <v>#REF!</v>
      </c>
      <c r="Y89" s="27" t="e">
        <f t="shared" si="53"/>
        <v>#REF!</v>
      </c>
    </row>
    <row r="90" spans="1:25" ht="16.5" customHeight="1">
      <c r="A90" s="16" t="s">
        <v>224</v>
      </c>
      <c r="B90" s="17" t="s">
        <v>225</v>
      </c>
      <c r="C90" s="25">
        <f t="shared" si="36"/>
        <v>894</v>
      </c>
      <c r="D90" s="25" t="e">
        <f t="shared" si="37"/>
        <v>#REF!</v>
      </c>
      <c r="E90" s="27" t="e">
        <f t="shared" si="38"/>
        <v>#REF!</v>
      </c>
      <c r="F90" s="27"/>
      <c r="G90" s="25">
        <f t="shared" si="39"/>
        <v>36</v>
      </c>
      <c r="H90" s="25" t="e">
        <f t="shared" si="40"/>
        <v>#REF!</v>
      </c>
      <c r="I90" s="27" t="e">
        <f t="shared" si="41"/>
        <v>#REF!</v>
      </c>
      <c r="J90" s="27"/>
      <c r="K90" s="25">
        <f t="shared" si="42"/>
        <v>1518</v>
      </c>
      <c r="L90" s="25" t="e">
        <f t="shared" si="43"/>
        <v>#REF!</v>
      </c>
      <c r="M90" s="27" t="e">
        <f t="shared" si="44"/>
        <v>#REF!</v>
      </c>
      <c r="N90" s="39"/>
      <c r="O90" s="36" t="str">
        <f t="shared" si="45"/>
        <v>Eastern</v>
      </c>
      <c r="P90" s="26" t="e">
        <f t="shared" si="46"/>
        <v>#REF!</v>
      </c>
      <c r="Q90" s="27" t="e">
        <f t="shared" si="47"/>
        <v>#VALUE!</v>
      </c>
      <c r="R90" s="27"/>
      <c r="S90" s="26">
        <f t="shared" si="48"/>
        <v>574</v>
      </c>
      <c r="T90" s="26" t="e">
        <f t="shared" si="49"/>
        <v>#REF!</v>
      </c>
      <c r="U90" s="27" t="e">
        <f t="shared" si="50"/>
        <v>#REF!</v>
      </c>
      <c r="V90" s="27"/>
      <c r="W90" s="26">
        <f t="shared" si="51"/>
        <v>863</v>
      </c>
      <c r="X90" s="26" t="e">
        <f t="shared" si="52"/>
        <v>#REF!</v>
      </c>
      <c r="Y90" s="27" t="e">
        <f t="shared" si="53"/>
        <v>#REF!</v>
      </c>
    </row>
    <row r="91" spans="1:25" ht="16.5" customHeight="1">
      <c r="A91" s="16" t="s">
        <v>226</v>
      </c>
      <c r="B91" s="32" t="s">
        <v>227</v>
      </c>
      <c r="C91" s="25">
        <f t="shared" si="36"/>
        <v>1754</v>
      </c>
      <c r="D91" s="25" t="e">
        <f t="shared" si="37"/>
        <v>#REF!</v>
      </c>
      <c r="E91" s="27" t="e">
        <f t="shared" si="38"/>
        <v>#REF!</v>
      </c>
      <c r="F91" s="27"/>
      <c r="G91" s="25">
        <f t="shared" si="39"/>
        <v>25</v>
      </c>
      <c r="H91" s="25" t="e">
        <f t="shared" si="40"/>
        <v>#REF!</v>
      </c>
      <c r="I91" s="27" t="e">
        <f t="shared" si="41"/>
        <v>#REF!</v>
      </c>
      <c r="J91" s="27"/>
      <c r="K91" s="25">
        <f t="shared" si="42"/>
        <v>2851</v>
      </c>
      <c r="L91" s="25" t="e">
        <f t="shared" si="43"/>
        <v>#REF!</v>
      </c>
      <c r="M91" s="27" t="e">
        <f t="shared" si="44"/>
        <v>#REF!</v>
      </c>
      <c r="N91" s="39"/>
      <c r="O91" s="36" t="str">
        <f t="shared" si="45"/>
        <v>Eastern</v>
      </c>
      <c r="P91" s="26" t="e">
        <f t="shared" si="46"/>
        <v>#REF!</v>
      </c>
      <c r="Q91" s="27" t="e">
        <f t="shared" si="47"/>
        <v>#VALUE!</v>
      </c>
      <c r="R91" s="27"/>
      <c r="S91" s="26">
        <f t="shared" si="48"/>
        <v>1117</v>
      </c>
      <c r="T91" s="26" t="e">
        <f t="shared" si="49"/>
        <v>#REF!</v>
      </c>
      <c r="U91" s="27" t="e">
        <f t="shared" si="50"/>
        <v>#REF!</v>
      </c>
      <c r="V91" s="27"/>
      <c r="W91" s="26">
        <f t="shared" si="51"/>
        <v>1558</v>
      </c>
      <c r="X91" s="26" t="e">
        <f t="shared" si="52"/>
        <v>#REF!</v>
      </c>
      <c r="Y91" s="27" t="e">
        <f t="shared" si="53"/>
        <v>#REF!</v>
      </c>
    </row>
    <row r="92" spans="1:25" ht="16.5" customHeight="1">
      <c r="A92" s="16" t="s">
        <v>228</v>
      </c>
      <c r="B92" s="32" t="s">
        <v>229</v>
      </c>
      <c r="C92" s="25">
        <f t="shared" si="36"/>
        <v>454</v>
      </c>
      <c r="D92" s="25" t="e">
        <f t="shared" si="37"/>
        <v>#REF!</v>
      </c>
      <c r="E92" s="27" t="e">
        <f t="shared" si="38"/>
        <v>#REF!</v>
      </c>
      <c r="F92" s="27"/>
      <c r="G92" s="25">
        <f t="shared" si="39"/>
        <v>84</v>
      </c>
      <c r="H92" s="25" t="e">
        <f t="shared" si="40"/>
        <v>#REF!</v>
      </c>
      <c r="I92" s="27" t="e">
        <f t="shared" si="41"/>
        <v>#REF!</v>
      </c>
      <c r="J92" s="27"/>
      <c r="K92" s="25">
        <f t="shared" si="42"/>
        <v>11636</v>
      </c>
      <c r="L92" s="25" t="e">
        <f t="shared" si="43"/>
        <v>#REF!</v>
      </c>
      <c r="M92" s="27" t="e">
        <f t="shared" si="44"/>
        <v>#REF!</v>
      </c>
      <c r="N92" s="39"/>
      <c r="O92" s="36" t="str">
        <f t="shared" si="45"/>
        <v>Western</v>
      </c>
      <c r="P92" s="26" t="e">
        <f t="shared" si="46"/>
        <v>#REF!</v>
      </c>
      <c r="Q92" s="27" t="e">
        <f t="shared" si="47"/>
        <v>#VALUE!</v>
      </c>
      <c r="R92" s="27"/>
      <c r="S92" s="26">
        <f t="shared" si="48"/>
        <v>4072</v>
      </c>
      <c r="T92" s="26" t="e">
        <f t="shared" si="49"/>
        <v>#REF!</v>
      </c>
      <c r="U92" s="27" t="e">
        <f t="shared" si="50"/>
        <v>#REF!</v>
      </c>
      <c r="V92" s="27"/>
      <c r="W92" s="26">
        <f t="shared" si="51"/>
        <v>6986</v>
      </c>
      <c r="X92" s="26" t="e">
        <f t="shared" si="52"/>
        <v>#REF!</v>
      </c>
      <c r="Y92" s="27" t="e">
        <f t="shared" si="53"/>
        <v>#REF!</v>
      </c>
    </row>
    <row r="93" spans="1:25" ht="16.5" customHeight="1">
      <c r="A93" s="16" t="s">
        <v>232</v>
      </c>
      <c r="B93" s="32" t="s">
        <v>233</v>
      </c>
      <c r="C93" s="25">
        <f t="shared" si="36"/>
        <v>734</v>
      </c>
      <c r="D93" s="25" t="e">
        <f t="shared" si="37"/>
        <v>#REF!</v>
      </c>
      <c r="E93" s="27" t="e">
        <f t="shared" si="38"/>
        <v>#REF!</v>
      </c>
      <c r="F93" s="27"/>
      <c r="G93" s="25">
        <f t="shared" si="39"/>
        <v>290</v>
      </c>
      <c r="H93" s="25" t="e">
        <f t="shared" si="40"/>
        <v>#REF!</v>
      </c>
      <c r="I93" s="27" t="e">
        <f t="shared" si="41"/>
        <v>#REF!</v>
      </c>
      <c r="J93" s="27"/>
      <c r="K93" s="25">
        <f t="shared" si="42"/>
        <v>7323</v>
      </c>
      <c r="L93" s="25" t="e">
        <f t="shared" si="43"/>
        <v>#REF!</v>
      </c>
      <c r="M93" s="27" t="e">
        <f t="shared" si="44"/>
        <v>#REF!</v>
      </c>
      <c r="N93" s="39"/>
      <c r="O93" s="36" t="str">
        <f t="shared" si="45"/>
        <v>Northern</v>
      </c>
      <c r="P93" s="26" t="e">
        <f t="shared" si="46"/>
        <v>#REF!</v>
      </c>
      <c r="Q93" s="27" t="e">
        <f t="shared" si="47"/>
        <v>#VALUE!</v>
      </c>
      <c r="R93" s="27"/>
      <c r="S93" s="26">
        <f t="shared" si="48"/>
        <v>2925</v>
      </c>
      <c r="T93" s="26" t="e">
        <f t="shared" si="49"/>
        <v>#REF!</v>
      </c>
      <c r="U93" s="27" t="e">
        <f t="shared" si="50"/>
        <v>#REF!</v>
      </c>
      <c r="V93" s="27"/>
      <c r="W93" s="26">
        <f t="shared" si="51"/>
        <v>4122</v>
      </c>
      <c r="X93" s="26" t="e">
        <f t="shared" si="52"/>
        <v>#REF!</v>
      </c>
      <c r="Y93" s="27" t="e">
        <f t="shared" si="53"/>
        <v>#REF!</v>
      </c>
    </row>
    <row r="94" spans="1:25" ht="16.5" customHeight="1">
      <c r="A94" s="16" t="s">
        <v>234</v>
      </c>
      <c r="B94" s="17" t="s">
        <v>235</v>
      </c>
      <c r="C94" s="25">
        <f t="shared" si="36"/>
        <v>243</v>
      </c>
      <c r="D94" s="25" t="e">
        <f t="shared" si="37"/>
        <v>#REF!</v>
      </c>
      <c r="E94" s="27" t="e">
        <f t="shared" si="38"/>
        <v>#REF!</v>
      </c>
      <c r="F94" s="27"/>
      <c r="G94" s="25">
        <f t="shared" si="39"/>
        <v>143</v>
      </c>
      <c r="H94" s="25" t="e">
        <f t="shared" si="40"/>
        <v>#REF!</v>
      </c>
      <c r="I94" s="27" t="e">
        <f t="shared" si="41"/>
        <v>#REF!</v>
      </c>
      <c r="J94" s="27"/>
      <c r="K94" s="25">
        <f t="shared" si="42"/>
        <v>11084</v>
      </c>
      <c r="L94" s="25" t="e">
        <f t="shared" si="43"/>
        <v>#REF!</v>
      </c>
      <c r="M94" s="27" t="e">
        <f t="shared" si="44"/>
        <v>#REF!</v>
      </c>
      <c r="N94" s="39"/>
      <c r="O94" s="36" t="str">
        <f t="shared" si="45"/>
        <v>Western</v>
      </c>
      <c r="P94" s="26" t="e">
        <f t="shared" si="46"/>
        <v>#REF!</v>
      </c>
      <c r="Q94" s="27" t="e">
        <f t="shared" si="47"/>
        <v>#VALUE!</v>
      </c>
      <c r="R94" s="27"/>
      <c r="S94" s="26">
        <f t="shared" si="48"/>
        <v>4038</v>
      </c>
      <c r="T94" s="26" t="e">
        <f t="shared" si="49"/>
        <v>#REF!</v>
      </c>
      <c r="U94" s="27" t="e">
        <f t="shared" si="50"/>
        <v>#REF!</v>
      </c>
      <c r="V94" s="27"/>
      <c r="W94" s="26">
        <f t="shared" si="51"/>
        <v>6390</v>
      </c>
      <c r="X94" s="26" t="e">
        <f t="shared" si="52"/>
        <v>#REF!</v>
      </c>
      <c r="Y94" s="27" t="e">
        <f t="shared" si="53"/>
        <v>#REF!</v>
      </c>
    </row>
    <row r="95" spans="1:25" ht="16.5" customHeight="1">
      <c r="A95" s="16" t="s">
        <v>236</v>
      </c>
      <c r="B95" s="32" t="s">
        <v>237</v>
      </c>
      <c r="C95" s="25">
        <f t="shared" si="36"/>
        <v>1921</v>
      </c>
      <c r="D95" s="25" t="e">
        <f t="shared" si="37"/>
        <v>#REF!</v>
      </c>
      <c r="E95" s="27" t="e">
        <f t="shared" si="38"/>
        <v>#REF!</v>
      </c>
      <c r="F95" s="27"/>
      <c r="G95" s="25">
        <f t="shared" si="39"/>
        <v>242</v>
      </c>
      <c r="H95" s="25" t="e">
        <f t="shared" si="40"/>
        <v>#REF!</v>
      </c>
      <c r="I95" s="27" t="e">
        <f t="shared" si="41"/>
        <v>#REF!</v>
      </c>
      <c r="J95" s="27"/>
      <c r="K95" s="25">
        <f t="shared" si="42"/>
        <v>4677</v>
      </c>
      <c r="L95" s="25" t="e">
        <f t="shared" si="43"/>
        <v>#REF!</v>
      </c>
      <c r="M95" s="27" t="e">
        <f t="shared" si="44"/>
        <v>#REF!</v>
      </c>
      <c r="N95" s="39"/>
      <c r="O95" s="36" t="str">
        <f t="shared" si="45"/>
        <v>Central</v>
      </c>
      <c r="P95" s="26" t="e">
        <f t="shared" si="46"/>
        <v>#REF!</v>
      </c>
      <c r="Q95" s="27" t="e">
        <f t="shared" si="47"/>
        <v>#VALUE!</v>
      </c>
      <c r="R95" s="27"/>
      <c r="S95" s="26">
        <f t="shared" si="48"/>
        <v>1754</v>
      </c>
      <c r="T95" s="26" t="e">
        <f t="shared" si="49"/>
        <v>#REF!</v>
      </c>
      <c r="U95" s="27" t="e">
        <f t="shared" si="50"/>
        <v>#REF!</v>
      </c>
      <c r="V95" s="27"/>
      <c r="W95" s="26">
        <f t="shared" si="51"/>
        <v>2602</v>
      </c>
      <c r="X95" s="26" t="e">
        <f t="shared" si="52"/>
        <v>#REF!</v>
      </c>
      <c r="Y95" s="27" t="e">
        <f t="shared" si="53"/>
        <v>#REF!</v>
      </c>
    </row>
    <row r="96" spans="1:25" ht="16.5" customHeight="1">
      <c r="A96" s="16" t="s">
        <v>242</v>
      </c>
      <c r="B96" s="32" t="s">
        <v>243</v>
      </c>
      <c r="C96" s="25">
        <f t="shared" si="36"/>
        <v>285</v>
      </c>
      <c r="D96" s="25" t="e">
        <f t="shared" si="37"/>
        <v>#REF!</v>
      </c>
      <c r="E96" s="27" t="e">
        <f t="shared" si="38"/>
        <v>#REF!</v>
      </c>
      <c r="F96" s="27"/>
      <c r="G96" s="25">
        <f t="shared" si="39"/>
        <v>72</v>
      </c>
      <c r="H96" s="25" t="e">
        <f t="shared" si="40"/>
        <v>#REF!</v>
      </c>
      <c r="I96" s="27" t="e">
        <f t="shared" si="41"/>
        <v>#REF!</v>
      </c>
      <c r="J96" s="27"/>
      <c r="K96" s="25">
        <f t="shared" si="42"/>
        <v>12467</v>
      </c>
      <c r="L96" s="25" t="e">
        <f t="shared" si="43"/>
        <v>#REF!</v>
      </c>
      <c r="M96" s="27" t="e">
        <f t="shared" si="44"/>
        <v>#REF!</v>
      </c>
      <c r="N96" s="39"/>
      <c r="O96" s="36" t="str">
        <f t="shared" si="45"/>
        <v>Western</v>
      </c>
      <c r="P96" s="26" t="e">
        <f t="shared" si="46"/>
        <v>#REF!</v>
      </c>
      <c r="Q96" s="27" t="e">
        <f t="shared" si="47"/>
        <v>#VALUE!</v>
      </c>
      <c r="R96" s="27"/>
      <c r="S96" s="26">
        <f t="shared" si="48"/>
        <v>4443</v>
      </c>
      <c r="T96" s="26" t="e">
        <f t="shared" si="49"/>
        <v>#REF!</v>
      </c>
      <c r="U96" s="27" t="e">
        <f t="shared" si="50"/>
        <v>#REF!</v>
      </c>
      <c r="V96" s="27"/>
      <c r="W96" s="26">
        <f t="shared" si="51"/>
        <v>7504</v>
      </c>
      <c r="X96" s="26" t="e">
        <f t="shared" si="52"/>
        <v>#REF!</v>
      </c>
      <c r="Y96" s="27" t="e">
        <f t="shared" si="53"/>
        <v>#REF!</v>
      </c>
    </row>
    <row r="97" spans="1:25" ht="16.5" customHeight="1">
      <c r="A97" s="16" t="s">
        <v>244</v>
      </c>
      <c r="B97" s="32" t="s">
        <v>245</v>
      </c>
      <c r="C97" s="25">
        <f t="shared" si="36"/>
        <v>383</v>
      </c>
      <c r="D97" s="25" t="e">
        <f t="shared" si="37"/>
        <v>#REF!</v>
      </c>
      <c r="E97" s="27" t="e">
        <f t="shared" si="38"/>
        <v>#REF!</v>
      </c>
      <c r="F97" s="27"/>
      <c r="G97" s="25">
        <f t="shared" si="39"/>
        <v>90</v>
      </c>
      <c r="H97" s="25" t="e">
        <f t="shared" si="40"/>
        <v>#REF!</v>
      </c>
      <c r="I97" s="27" t="e">
        <f t="shared" si="41"/>
        <v>#REF!</v>
      </c>
      <c r="J97" s="27"/>
      <c r="K97" s="25">
        <f t="shared" si="42"/>
        <v>6373</v>
      </c>
      <c r="L97" s="25" t="e">
        <f t="shared" si="43"/>
        <v>#REF!</v>
      </c>
      <c r="M97" s="27" t="e">
        <f t="shared" si="44"/>
        <v>#REF!</v>
      </c>
      <c r="N97" s="39"/>
      <c r="O97" s="36" t="str">
        <f t="shared" si="45"/>
        <v>Western</v>
      </c>
      <c r="P97" s="26" t="e">
        <f t="shared" si="46"/>
        <v>#REF!</v>
      </c>
      <c r="Q97" s="27" t="e">
        <f t="shared" si="47"/>
        <v>#VALUE!</v>
      </c>
      <c r="R97" s="27"/>
      <c r="S97" s="26">
        <f t="shared" si="48"/>
        <v>2242</v>
      </c>
      <c r="T97" s="26" t="e">
        <f t="shared" si="49"/>
        <v>#REF!</v>
      </c>
      <c r="U97" s="27" t="e">
        <f t="shared" si="50"/>
        <v>#REF!</v>
      </c>
      <c r="V97" s="27"/>
      <c r="W97" s="26">
        <f t="shared" si="51"/>
        <v>3756</v>
      </c>
      <c r="X97" s="26" t="e">
        <f t="shared" si="52"/>
        <v>#REF!</v>
      </c>
      <c r="Y97" s="27" t="e">
        <f t="shared" si="53"/>
        <v>#REF!</v>
      </c>
    </row>
    <row r="98" spans="1:25" ht="16.5" customHeight="1">
      <c r="A98" s="16" t="s">
        <v>246</v>
      </c>
      <c r="B98" s="17" t="s">
        <v>310</v>
      </c>
      <c r="C98" s="25">
        <f t="shared" si="36"/>
        <v>1852</v>
      </c>
      <c r="D98" s="25" t="e">
        <f t="shared" si="37"/>
        <v>#REF!</v>
      </c>
      <c r="E98" s="27" t="e">
        <f t="shared" si="38"/>
        <v>#REF!</v>
      </c>
      <c r="F98" s="27"/>
      <c r="G98" s="25">
        <f t="shared" si="39"/>
        <v>365</v>
      </c>
      <c r="H98" s="25" t="e">
        <f t="shared" si="40"/>
        <v>#REF!</v>
      </c>
      <c r="I98" s="27" t="e">
        <f t="shared" si="41"/>
        <v>#REF!</v>
      </c>
      <c r="J98" s="27"/>
      <c r="K98" s="25">
        <f t="shared" si="42"/>
        <v>5501</v>
      </c>
      <c r="L98" s="25" t="e">
        <f t="shared" si="43"/>
        <v>#REF!</v>
      </c>
      <c r="M98" s="27" t="e">
        <f t="shared" si="44"/>
        <v>#REF!</v>
      </c>
      <c r="N98" s="39"/>
      <c r="O98" s="36" t="str">
        <f t="shared" si="45"/>
        <v>Eastern</v>
      </c>
      <c r="P98" s="26" t="e">
        <f t="shared" si="46"/>
        <v>#REF!</v>
      </c>
      <c r="Q98" s="27" t="e">
        <f t="shared" si="47"/>
        <v>#VALUE!</v>
      </c>
      <c r="R98" s="27"/>
      <c r="S98" s="26">
        <f t="shared" si="48"/>
        <v>2353</v>
      </c>
      <c r="T98" s="26" t="e">
        <f t="shared" si="49"/>
        <v>#REF!</v>
      </c>
      <c r="U98" s="27" t="e">
        <f t="shared" si="50"/>
        <v>#REF!</v>
      </c>
      <c r="V98" s="27"/>
      <c r="W98" s="26">
        <f t="shared" si="51"/>
        <v>2971</v>
      </c>
      <c r="X98" s="26" t="e">
        <f t="shared" si="52"/>
        <v>#REF!</v>
      </c>
      <c r="Y98" s="27" t="e">
        <f t="shared" si="53"/>
        <v>#REF!</v>
      </c>
    </row>
    <row r="99" spans="1:25" ht="16.5" customHeight="1">
      <c r="A99" s="16" t="s">
        <v>14</v>
      </c>
      <c r="B99" s="17" t="s">
        <v>15</v>
      </c>
      <c r="C99" s="25">
        <f t="shared" si="36"/>
        <v>5881</v>
      </c>
      <c r="D99" s="25" t="e">
        <f t="shared" si="37"/>
        <v>#REF!</v>
      </c>
      <c r="E99" s="27" t="e">
        <f t="shared" si="38"/>
        <v>#REF!</v>
      </c>
      <c r="F99" s="27"/>
      <c r="G99" s="25">
        <f t="shared" si="39"/>
        <v>957</v>
      </c>
      <c r="H99" s="25" t="e">
        <f t="shared" si="40"/>
        <v>#REF!</v>
      </c>
      <c r="I99" s="27" t="e">
        <f t="shared" si="41"/>
        <v>#REF!</v>
      </c>
      <c r="J99" s="27"/>
      <c r="K99" s="25">
        <f t="shared" si="42"/>
        <v>14854</v>
      </c>
      <c r="L99" s="25" t="e">
        <f t="shared" si="43"/>
        <v>#REF!</v>
      </c>
      <c r="M99" s="27" t="e">
        <f t="shared" si="44"/>
        <v>#REF!</v>
      </c>
      <c r="N99" s="39"/>
      <c r="O99" s="36" t="str">
        <f t="shared" si="45"/>
        <v>Northern</v>
      </c>
      <c r="P99" s="26" t="e">
        <f t="shared" si="46"/>
        <v>#REF!</v>
      </c>
      <c r="Q99" s="27" t="e">
        <f t="shared" si="47"/>
        <v>#VALUE!</v>
      </c>
      <c r="R99" s="27"/>
      <c r="S99" s="26">
        <f t="shared" si="48"/>
        <v>6278</v>
      </c>
      <c r="T99" s="26" t="e">
        <f t="shared" si="49"/>
        <v>#REF!</v>
      </c>
      <c r="U99" s="27" t="e">
        <f t="shared" si="50"/>
        <v>#REF!</v>
      </c>
      <c r="V99" s="27"/>
      <c r="W99" s="26">
        <f t="shared" si="51"/>
        <v>7552</v>
      </c>
      <c r="X99" s="26" t="e">
        <f t="shared" si="52"/>
        <v>#REF!</v>
      </c>
      <c r="Y99" s="27" t="e">
        <f t="shared" si="53"/>
        <v>#REF!</v>
      </c>
    </row>
    <row r="100" spans="1:25" ht="16.5" customHeight="1">
      <c r="A100" s="16" t="s">
        <v>34</v>
      </c>
      <c r="B100" s="17" t="s">
        <v>35</v>
      </c>
      <c r="C100" s="25">
        <f t="shared" ref="C100:C123" si="54">VLOOKUP(A100,SNAPClient_Demo,10,FALSE)</f>
        <v>700</v>
      </c>
      <c r="D100" s="25" t="e">
        <f t="shared" ref="D100:D123" si="55">VLOOKUP(A100,Pop,14,FALSE)</f>
        <v>#REF!</v>
      </c>
      <c r="E100" s="27" t="e">
        <f t="shared" ref="E100:E123" si="56">+C100/D100</f>
        <v>#REF!</v>
      </c>
      <c r="F100" s="27"/>
      <c r="G100" s="25">
        <f t="shared" ref="G100:G123" si="57">VLOOKUP(A100,SNAPClient_Demo,11,FALSE)</f>
        <v>168</v>
      </c>
      <c r="H100" s="25" t="e">
        <f t="shared" ref="H100:H123" si="58">VLOOKUP(A100,Pop,15,FALSE)</f>
        <v>#REF!</v>
      </c>
      <c r="I100" s="27" t="e">
        <f t="shared" ref="I100:I123" si="59">+G100/H100</f>
        <v>#REF!</v>
      </c>
      <c r="J100" s="27"/>
      <c r="K100" s="25">
        <f t="shared" ref="K100:K123" si="60">VLOOKUP(A100,SNAPClient_Demo,12,FALSE)</f>
        <v>6775</v>
      </c>
      <c r="L100" s="25" t="e">
        <f t="shared" ref="L100:L123" si="61">VLOOKUP(A100,Pop,16,FALSE)</f>
        <v>#REF!</v>
      </c>
      <c r="M100" s="27" t="e">
        <f t="shared" ref="M100:M123" si="62">+K100/L100</f>
        <v>#REF!</v>
      </c>
      <c r="N100" s="39"/>
      <c r="O100" s="36" t="str">
        <f t="shared" ref="O100:O123" si="63">VLOOKUP(A100,SNAPClient_Demo,3,FALSE)</f>
        <v>Western</v>
      </c>
      <c r="P100" s="26" t="e">
        <f t="shared" ref="P100:P123" si="64">VLOOKUP(A100,Pop,8,FALSE)</f>
        <v>#REF!</v>
      </c>
      <c r="Q100" s="27" t="e">
        <f t="shared" ref="Q100:Q123" si="65">+O100/P100</f>
        <v>#VALUE!</v>
      </c>
      <c r="R100" s="27"/>
      <c r="S100" s="26">
        <f t="shared" ref="S100:S123" si="66">VLOOKUP(A100,SNAPClient_Demo,4,FALSE)</f>
        <v>2484</v>
      </c>
      <c r="T100" s="26" t="e">
        <f t="shared" ref="T100:T123" si="67">VLOOKUP(A100,Pop,9,FALSE)</f>
        <v>#REF!</v>
      </c>
      <c r="U100" s="27" t="e">
        <f t="shared" ref="U100:U123" si="68">+S100/T100</f>
        <v>#REF!</v>
      </c>
      <c r="V100" s="27"/>
      <c r="W100" s="26">
        <f t="shared" ref="W100:W123" si="69">VLOOKUP(A100,SNAPClient_Demo,5,FALSE)</f>
        <v>3963</v>
      </c>
      <c r="X100" s="26" t="e">
        <f t="shared" ref="X100:X123" si="70">VLOOKUP(A100,Pop,10,FALSE)</f>
        <v>#REF!</v>
      </c>
      <c r="Y100" s="27" t="e">
        <f t="shared" ref="Y100:Y123" si="71">+W100/X100</f>
        <v>#REF!</v>
      </c>
    </row>
    <row r="101" spans="1:25" ht="16.5" customHeight="1">
      <c r="A101" s="16" t="s">
        <v>52</v>
      </c>
      <c r="B101" s="17" t="s">
        <v>53</v>
      </c>
      <c r="C101" s="25">
        <f t="shared" si="54"/>
        <v>4395</v>
      </c>
      <c r="D101" s="25" t="e">
        <f t="shared" si="55"/>
        <v>#REF!</v>
      </c>
      <c r="E101" s="27" t="e">
        <f t="shared" si="56"/>
        <v>#REF!</v>
      </c>
      <c r="F101" s="27"/>
      <c r="G101" s="25">
        <f t="shared" si="57"/>
        <v>636</v>
      </c>
      <c r="H101" s="25" t="e">
        <f t="shared" si="58"/>
        <v>#REF!</v>
      </c>
      <c r="I101" s="27" t="e">
        <f t="shared" si="59"/>
        <v>#REF!</v>
      </c>
      <c r="J101" s="27"/>
      <c r="K101" s="25">
        <f t="shared" si="60"/>
        <v>7934</v>
      </c>
      <c r="L101" s="25" t="e">
        <f t="shared" si="61"/>
        <v>#REF!</v>
      </c>
      <c r="M101" s="27" t="e">
        <f t="shared" si="62"/>
        <v>#REF!</v>
      </c>
      <c r="N101" s="39"/>
      <c r="O101" s="36" t="str">
        <f t="shared" si="63"/>
        <v>Piedmont</v>
      </c>
      <c r="P101" s="26" t="e">
        <f t="shared" si="64"/>
        <v>#REF!</v>
      </c>
      <c r="Q101" s="27" t="e">
        <f t="shared" si="65"/>
        <v>#VALUE!</v>
      </c>
      <c r="R101" s="27"/>
      <c r="S101" s="26">
        <f t="shared" si="66"/>
        <v>2853</v>
      </c>
      <c r="T101" s="26" t="e">
        <f t="shared" si="67"/>
        <v>#REF!</v>
      </c>
      <c r="U101" s="27" t="e">
        <f t="shared" si="68"/>
        <v>#REF!</v>
      </c>
      <c r="V101" s="27"/>
      <c r="W101" s="26">
        <f t="shared" si="69"/>
        <v>4729</v>
      </c>
      <c r="X101" s="26" t="e">
        <f t="shared" si="70"/>
        <v>#REF!</v>
      </c>
      <c r="Y101" s="27" t="e">
        <f t="shared" si="71"/>
        <v>#REF!</v>
      </c>
    </row>
    <row r="102" spans="1:25" ht="16.5" customHeight="1">
      <c r="A102" s="16" t="s">
        <v>54</v>
      </c>
      <c r="B102" s="17" t="s">
        <v>55</v>
      </c>
      <c r="C102" s="25">
        <f t="shared" si="54"/>
        <v>20188</v>
      </c>
      <c r="D102" s="25" t="e">
        <f t="shared" si="55"/>
        <v>#REF!</v>
      </c>
      <c r="E102" s="27" t="e">
        <f t="shared" si="56"/>
        <v>#REF!</v>
      </c>
      <c r="F102" s="27"/>
      <c r="G102" s="25">
        <f t="shared" si="57"/>
        <v>1375</v>
      </c>
      <c r="H102" s="25" t="e">
        <f t="shared" si="58"/>
        <v>#REF!</v>
      </c>
      <c r="I102" s="27" t="e">
        <f t="shared" si="59"/>
        <v>#REF!</v>
      </c>
      <c r="J102" s="27"/>
      <c r="K102" s="25">
        <f t="shared" si="60"/>
        <v>35735</v>
      </c>
      <c r="L102" s="25" t="e">
        <f t="shared" si="61"/>
        <v>#REF!</v>
      </c>
      <c r="M102" s="27" t="e">
        <f t="shared" si="62"/>
        <v>#REF!</v>
      </c>
      <c r="N102" s="39"/>
      <c r="O102" s="36" t="str">
        <f t="shared" si="63"/>
        <v>Eastern</v>
      </c>
      <c r="P102" s="26" t="e">
        <f t="shared" si="64"/>
        <v>#REF!</v>
      </c>
      <c r="Q102" s="27" t="e">
        <f t="shared" si="65"/>
        <v>#VALUE!</v>
      </c>
      <c r="R102" s="27"/>
      <c r="S102" s="26">
        <f t="shared" si="66"/>
        <v>15693</v>
      </c>
      <c r="T102" s="26" t="e">
        <f t="shared" si="67"/>
        <v>#REF!</v>
      </c>
      <c r="U102" s="27" t="e">
        <f t="shared" si="68"/>
        <v>#REF!</v>
      </c>
      <c r="V102" s="27"/>
      <c r="W102" s="26">
        <f t="shared" si="69"/>
        <v>18815</v>
      </c>
      <c r="X102" s="26" t="e">
        <f t="shared" si="70"/>
        <v>#REF!</v>
      </c>
      <c r="Y102" s="27" t="e">
        <f t="shared" si="71"/>
        <v>#REF!</v>
      </c>
    </row>
    <row r="103" spans="1:25" ht="16.5" customHeight="1">
      <c r="A103" s="16" t="s">
        <v>66</v>
      </c>
      <c r="B103" s="32" t="s">
        <v>67</v>
      </c>
      <c r="C103" s="25">
        <f t="shared" si="54"/>
        <v>11470</v>
      </c>
      <c r="D103" s="25" t="e">
        <f t="shared" si="55"/>
        <v>#REF!</v>
      </c>
      <c r="E103" s="27" t="e">
        <f t="shared" si="56"/>
        <v>#REF!</v>
      </c>
      <c r="F103" s="27"/>
      <c r="G103" s="25">
        <f t="shared" si="57"/>
        <v>371</v>
      </c>
      <c r="H103" s="25" t="e">
        <f t="shared" si="58"/>
        <v>#REF!</v>
      </c>
      <c r="I103" s="27" t="e">
        <f t="shared" si="59"/>
        <v>#REF!</v>
      </c>
      <c r="J103" s="27"/>
      <c r="K103" s="25">
        <f t="shared" si="60"/>
        <v>18039</v>
      </c>
      <c r="L103" s="25" t="e">
        <f t="shared" si="61"/>
        <v>#REF!</v>
      </c>
      <c r="M103" s="27" t="e">
        <f t="shared" si="62"/>
        <v>#REF!</v>
      </c>
      <c r="N103" s="39"/>
      <c r="O103" s="36" t="str">
        <f t="shared" si="63"/>
        <v>Piedmont</v>
      </c>
      <c r="P103" s="26" t="e">
        <f t="shared" si="64"/>
        <v>#REF!</v>
      </c>
      <c r="Q103" s="27" t="e">
        <f t="shared" si="65"/>
        <v>#VALUE!</v>
      </c>
      <c r="R103" s="27"/>
      <c r="S103" s="26">
        <f t="shared" si="66"/>
        <v>6797</v>
      </c>
      <c r="T103" s="26" t="e">
        <f t="shared" si="67"/>
        <v>#REF!</v>
      </c>
      <c r="U103" s="27" t="e">
        <f t="shared" si="68"/>
        <v>#REF!</v>
      </c>
      <c r="V103" s="27"/>
      <c r="W103" s="26">
        <f t="shared" si="69"/>
        <v>10362</v>
      </c>
      <c r="X103" s="26" t="e">
        <f t="shared" si="70"/>
        <v>#REF!</v>
      </c>
      <c r="Y103" s="27" t="e">
        <f t="shared" si="71"/>
        <v>#REF!</v>
      </c>
    </row>
    <row r="104" spans="1:25" ht="16.5" customHeight="1">
      <c r="A104" s="16" t="s">
        <v>82</v>
      </c>
      <c r="B104" s="32" t="s">
        <v>311</v>
      </c>
      <c r="C104" s="25">
        <f t="shared" si="54"/>
        <v>2860</v>
      </c>
      <c r="D104" s="25" t="e">
        <f t="shared" si="55"/>
        <v>#REF!</v>
      </c>
      <c r="E104" s="27" t="e">
        <f t="shared" si="56"/>
        <v>#REF!</v>
      </c>
      <c r="F104" s="27"/>
      <c r="G104" s="25">
        <f t="shared" si="57"/>
        <v>40</v>
      </c>
      <c r="H104" s="25" t="e">
        <f t="shared" si="58"/>
        <v>#REF!</v>
      </c>
      <c r="I104" s="27" t="e">
        <f t="shared" si="59"/>
        <v>#REF!</v>
      </c>
      <c r="J104" s="27"/>
      <c r="K104" s="25">
        <f t="shared" si="60"/>
        <v>3557</v>
      </c>
      <c r="L104" s="25" t="e">
        <f t="shared" si="61"/>
        <v>#REF!</v>
      </c>
      <c r="M104" s="27" t="e">
        <f t="shared" si="62"/>
        <v>#REF!</v>
      </c>
      <c r="N104" s="39"/>
      <c r="O104" s="36" t="str">
        <f t="shared" si="63"/>
        <v>Eastern</v>
      </c>
      <c r="P104" s="26" t="e">
        <f t="shared" si="64"/>
        <v>#REF!</v>
      </c>
      <c r="Q104" s="27" t="e">
        <f t="shared" si="65"/>
        <v>#VALUE!</v>
      </c>
      <c r="R104" s="27"/>
      <c r="S104" s="26">
        <f t="shared" si="66"/>
        <v>1410</v>
      </c>
      <c r="T104" s="26" t="e">
        <f t="shared" si="67"/>
        <v>#REF!</v>
      </c>
      <c r="U104" s="27" t="e">
        <f t="shared" si="68"/>
        <v>#REF!</v>
      </c>
      <c r="V104" s="27"/>
      <c r="W104" s="26">
        <f t="shared" si="69"/>
        <v>1986</v>
      </c>
      <c r="X104" s="26" t="e">
        <f t="shared" si="70"/>
        <v>#REF!</v>
      </c>
      <c r="Y104" s="27" t="e">
        <f t="shared" si="71"/>
        <v>#REF!</v>
      </c>
    </row>
    <row r="105" spans="1:25" ht="16.5" customHeight="1">
      <c r="A105" s="16" t="s">
        <v>88</v>
      </c>
      <c r="B105" s="17" t="s">
        <v>89</v>
      </c>
      <c r="C105" s="25">
        <f t="shared" si="54"/>
        <v>2961</v>
      </c>
      <c r="D105" s="25" t="e">
        <f t="shared" si="55"/>
        <v>#REF!</v>
      </c>
      <c r="E105" s="27" t="e">
        <f t="shared" si="56"/>
        <v>#REF!</v>
      </c>
      <c r="F105" s="27"/>
      <c r="G105" s="25">
        <f t="shared" si="57"/>
        <v>631</v>
      </c>
      <c r="H105" s="25" t="e">
        <f t="shared" si="58"/>
        <v>#REF!</v>
      </c>
      <c r="I105" s="27" t="e">
        <f t="shared" si="59"/>
        <v>#REF!</v>
      </c>
      <c r="J105" s="27"/>
      <c r="K105" s="25">
        <f t="shared" si="60"/>
        <v>7338</v>
      </c>
      <c r="L105" s="25" t="e">
        <f t="shared" si="61"/>
        <v>#REF!</v>
      </c>
      <c r="M105" s="27" t="e">
        <f t="shared" si="62"/>
        <v>#REF!</v>
      </c>
      <c r="N105" s="39"/>
      <c r="O105" s="36" t="str">
        <f t="shared" si="63"/>
        <v>Northern</v>
      </c>
      <c r="P105" s="26" t="e">
        <f t="shared" si="64"/>
        <v>#REF!</v>
      </c>
      <c r="Q105" s="27" t="e">
        <f t="shared" si="65"/>
        <v>#VALUE!</v>
      </c>
      <c r="R105" s="27"/>
      <c r="S105" s="26">
        <f t="shared" si="66"/>
        <v>2882</v>
      </c>
      <c r="T105" s="26" t="e">
        <f t="shared" si="67"/>
        <v>#REF!</v>
      </c>
      <c r="U105" s="27" t="e">
        <f t="shared" si="68"/>
        <v>#REF!</v>
      </c>
      <c r="V105" s="27"/>
      <c r="W105" s="26">
        <f t="shared" si="69"/>
        <v>4201</v>
      </c>
      <c r="X105" s="26" t="e">
        <f t="shared" si="70"/>
        <v>#REF!</v>
      </c>
      <c r="Y105" s="27" t="e">
        <f t="shared" si="71"/>
        <v>#REF!</v>
      </c>
    </row>
    <row r="106" spans="1:25" ht="16.5" customHeight="1">
      <c r="A106" s="16" t="s">
        <v>90</v>
      </c>
      <c r="B106" s="17" t="s">
        <v>91</v>
      </c>
      <c r="C106" s="25">
        <f t="shared" si="54"/>
        <v>305</v>
      </c>
      <c r="D106" s="25" t="e">
        <f t="shared" si="55"/>
        <v>#REF!</v>
      </c>
      <c r="E106" s="27" t="e">
        <f t="shared" si="56"/>
        <v>#REF!</v>
      </c>
      <c r="F106" s="27"/>
      <c r="G106" s="25">
        <f t="shared" si="57"/>
        <v>45</v>
      </c>
      <c r="H106" s="25" t="e">
        <f t="shared" si="58"/>
        <v>#REF!</v>
      </c>
      <c r="I106" s="27" t="e">
        <f t="shared" si="59"/>
        <v>#REF!</v>
      </c>
      <c r="J106" s="27"/>
      <c r="K106" s="25">
        <f t="shared" si="60"/>
        <v>2964</v>
      </c>
      <c r="L106" s="25" t="e">
        <f t="shared" si="61"/>
        <v>#REF!</v>
      </c>
      <c r="M106" s="27" t="e">
        <f t="shared" si="62"/>
        <v>#REF!</v>
      </c>
      <c r="N106" s="39"/>
      <c r="O106" s="36" t="str">
        <f t="shared" si="63"/>
        <v>Western</v>
      </c>
      <c r="P106" s="26" t="e">
        <f t="shared" si="64"/>
        <v>#REF!</v>
      </c>
      <c r="Q106" s="27" t="e">
        <f t="shared" si="65"/>
        <v>#VALUE!</v>
      </c>
      <c r="R106" s="27"/>
      <c r="S106" s="26">
        <f t="shared" si="66"/>
        <v>1115</v>
      </c>
      <c r="T106" s="26" t="e">
        <f t="shared" si="67"/>
        <v>#REF!</v>
      </c>
      <c r="U106" s="27" t="e">
        <f t="shared" si="68"/>
        <v>#REF!</v>
      </c>
      <c r="V106" s="27"/>
      <c r="W106" s="26">
        <f t="shared" si="69"/>
        <v>1667</v>
      </c>
      <c r="X106" s="26" t="e">
        <f t="shared" si="70"/>
        <v>#REF!</v>
      </c>
      <c r="Y106" s="27" t="e">
        <f t="shared" si="71"/>
        <v>#REF!</v>
      </c>
    </row>
    <row r="107" spans="1:25" ht="16.5" customHeight="1">
      <c r="A107" s="16" t="s">
        <v>106</v>
      </c>
      <c r="B107" s="17" t="s">
        <v>107</v>
      </c>
      <c r="C107" s="25">
        <f t="shared" si="54"/>
        <v>21297</v>
      </c>
      <c r="D107" s="25" t="e">
        <f t="shared" si="55"/>
        <v>#REF!</v>
      </c>
      <c r="E107" s="27" t="e">
        <f t="shared" si="56"/>
        <v>#REF!</v>
      </c>
      <c r="F107" s="27"/>
      <c r="G107" s="25">
        <f t="shared" si="57"/>
        <v>909</v>
      </c>
      <c r="H107" s="25" t="e">
        <f t="shared" si="58"/>
        <v>#REF!</v>
      </c>
      <c r="I107" s="27" t="e">
        <f t="shared" si="59"/>
        <v>#REF!</v>
      </c>
      <c r="J107" s="27"/>
      <c r="K107" s="25">
        <f t="shared" si="60"/>
        <v>33529</v>
      </c>
      <c r="L107" s="25" t="e">
        <f t="shared" si="61"/>
        <v>#REF!</v>
      </c>
      <c r="M107" s="27" t="e">
        <f t="shared" si="62"/>
        <v>#REF!</v>
      </c>
      <c r="N107" s="39"/>
      <c r="O107" s="36" t="str">
        <f t="shared" si="63"/>
        <v>Eastern</v>
      </c>
      <c r="P107" s="26" t="e">
        <f t="shared" si="64"/>
        <v>#REF!</v>
      </c>
      <c r="Q107" s="27" t="e">
        <f t="shared" si="65"/>
        <v>#VALUE!</v>
      </c>
      <c r="R107" s="27"/>
      <c r="S107" s="26">
        <f t="shared" si="66"/>
        <v>13974</v>
      </c>
      <c r="T107" s="26" t="e">
        <f t="shared" si="67"/>
        <v>#REF!</v>
      </c>
      <c r="U107" s="27" t="e">
        <f t="shared" si="68"/>
        <v>#REF!</v>
      </c>
      <c r="V107" s="27"/>
      <c r="W107" s="26">
        <f t="shared" si="69"/>
        <v>18515</v>
      </c>
      <c r="X107" s="26" t="e">
        <f t="shared" si="70"/>
        <v>#REF!</v>
      </c>
      <c r="Y107" s="27" t="e">
        <f t="shared" si="71"/>
        <v>#REF!</v>
      </c>
    </row>
    <row r="108" spans="1:25" ht="16.5" customHeight="1">
      <c r="A108" s="16" t="s">
        <v>116</v>
      </c>
      <c r="B108" s="32" t="s">
        <v>117</v>
      </c>
      <c r="C108" s="25">
        <f t="shared" si="54"/>
        <v>5117</v>
      </c>
      <c r="D108" s="25" t="e">
        <f t="shared" si="55"/>
        <v>#REF!</v>
      </c>
      <c r="E108" s="27" t="e">
        <f t="shared" si="56"/>
        <v>#REF!</v>
      </c>
      <c r="F108" s="27"/>
      <c r="G108" s="25">
        <f t="shared" si="57"/>
        <v>264</v>
      </c>
      <c r="H108" s="25" t="e">
        <f t="shared" si="58"/>
        <v>#REF!</v>
      </c>
      <c r="I108" s="27" t="e">
        <f t="shared" si="59"/>
        <v>#REF!</v>
      </c>
      <c r="J108" s="27"/>
      <c r="K108" s="25">
        <f t="shared" si="60"/>
        <v>9954</v>
      </c>
      <c r="L108" s="25" t="e">
        <f t="shared" si="61"/>
        <v>#REF!</v>
      </c>
      <c r="M108" s="27" t="e">
        <f t="shared" si="62"/>
        <v>#REF!</v>
      </c>
      <c r="N108" s="39"/>
      <c r="O108" s="36" t="str">
        <f t="shared" si="63"/>
        <v>Central</v>
      </c>
      <c r="P108" s="26" t="e">
        <f t="shared" si="64"/>
        <v>#REF!</v>
      </c>
      <c r="Q108" s="27" t="e">
        <f t="shared" si="65"/>
        <v>#VALUE!</v>
      </c>
      <c r="R108" s="27"/>
      <c r="S108" s="26">
        <f t="shared" si="66"/>
        <v>4256</v>
      </c>
      <c r="T108" s="26" t="e">
        <f t="shared" si="67"/>
        <v>#REF!</v>
      </c>
      <c r="U108" s="27" t="e">
        <f t="shared" si="68"/>
        <v>#REF!</v>
      </c>
      <c r="V108" s="27"/>
      <c r="W108" s="26">
        <f t="shared" si="69"/>
        <v>5415</v>
      </c>
      <c r="X108" s="26" t="e">
        <f t="shared" si="70"/>
        <v>#REF!</v>
      </c>
      <c r="Y108" s="27" t="e">
        <f t="shared" si="71"/>
        <v>#REF!</v>
      </c>
    </row>
    <row r="109" spans="1:25" ht="16.5" customHeight="1">
      <c r="A109" s="16" t="s">
        <v>138</v>
      </c>
      <c r="B109" s="17" t="s">
        <v>139</v>
      </c>
      <c r="C109" s="25">
        <f t="shared" si="54"/>
        <v>11006</v>
      </c>
      <c r="D109" s="25" t="e">
        <f t="shared" si="55"/>
        <v>#REF!</v>
      </c>
      <c r="E109" s="27" t="e">
        <f t="shared" si="56"/>
        <v>#REF!</v>
      </c>
      <c r="F109" s="27"/>
      <c r="G109" s="25">
        <f t="shared" si="57"/>
        <v>397</v>
      </c>
      <c r="H109" s="25" t="e">
        <f t="shared" si="58"/>
        <v>#REF!</v>
      </c>
      <c r="I109" s="27" t="e">
        <f t="shared" si="59"/>
        <v>#REF!</v>
      </c>
      <c r="J109" s="27"/>
      <c r="K109" s="25">
        <f t="shared" si="60"/>
        <v>19438</v>
      </c>
      <c r="L109" s="25" t="e">
        <f t="shared" si="61"/>
        <v>#REF!</v>
      </c>
      <c r="M109" s="27" t="e">
        <f t="shared" si="62"/>
        <v>#REF!</v>
      </c>
      <c r="N109" s="39"/>
      <c r="O109" s="36" t="str">
        <f t="shared" si="63"/>
        <v>Piedmont</v>
      </c>
      <c r="P109" s="26" t="e">
        <f t="shared" si="64"/>
        <v>#REF!</v>
      </c>
      <c r="Q109" s="27" t="e">
        <f t="shared" si="65"/>
        <v>#VALUE!</v>
      </c>
      <c r="R109" s="27"/>
      <c r="S109" s="26">
        <f t="shared" si="66"/>
        <v>7653</v>
      </c>
      <c r="T109" s="26" t="e">
        <f t="shared" si="67"/>
        <v>#REF!</v>
      </c>
      <c r="U109" s="27" t="e">
        <f t="shared" si="68"/>
        <v>#REF!</v>
      </c>
      <c r="V109" s="27"/>
      <c r="W109" s="26">
        <f t="shared" si="69"/>
        <v>11022</v>
      </c>
      <c r="X109" s="26" t="e">
        <f t="shared" si="70"/>
        <v>#REF!</v>
      </c>
      <c r="Y109" s="27" t="e">
        <f t="shared" si="71"/>
        <v>#REF!</v>
      </c>
    </row>
    <row r="110" spans="1:25" ht="16.5" customHeight="1">
      <c r="A110" s="16" t="s">
        <v>142</v>
      </c>
      <c r="B110" s="32" t="s">
        <v>143</v>
      </c>
      <c r="C110" s="25">
        <f t="shared" si="54"/>
        <v>1560</v>
      </c>
      <c r="D110" s="25" t="e">
        <f t="shared" si="55"/>
        <v>#REF!</v>
      </c>
      <c r="E110" s="27" t="e">
        <f t="shared" si="56"/>
        <v>#REF!</v>
      </c>
      <c r="F110" s="27"/>
      <c r="G110" s="25">
        <f t="shared" si="57"/>
        <v>990</v>
      </c>
      <c r="H110" s="25" t="e">
        <f t="shared" si="58"/>
        <v>#REF!</v>
      </c>
      <c r="I110" s="27" t="e">
        <f t="shared" si="59"/>
        <v>#REF!</v>
      </c>
      <c r="J110" s="27"/>
      <c r="K110" s="25">
        <f t="shared" si="60"/>
        <v>7794</v>
      </c>
      <c r="L110" s="25" t="e">
        <f t="shared" si="61"/>
        <v>#REF!</v>
      </c>
      <c r="M110" s="27" t="e">
        <f t="shared" si="62"/>
        <v>#REF!</v>
      </c>
      <c r="N110" s="39"/>
      <c r="O110" s="36" t="str">
        <f t="shared" si="63"/>
        <v>Northern</v>
      </c>
      <c r="P110" s="26" t="e">
        <f t="shared" si="64"/>
        <v>#REF!</v>
      </c>
      <c r="Q110" s="27" t="e">
        <f t="shared" si="65"/>
        <v>#VALUE!</v>
      </c>
      <c r="R110" s="27"/>
      <c r="S110" s="26">
        <f t="shared" si="66"/>
        <v>3973</v>
      </c>
      <c r="T110" s="26" t="e">
        <f t="shared" si="67"/>
        <v>#REF!</v>
      </c>
      <c r="U110" s="27" t="e">
        <f t="shared" si="68"/>
        <v>#REF!</v>
      </c>
      <c r="V110" s="27"/>
      <c r="W110" s="26">
        <f t="shared" si="69"/>
        <v>3634</v>
      </c>
      <c r="X110" s="26" t="e">
        <f t="shared" si="70"/>
        <v>#REF!</v>
      </c>
      <c r="Y110" s="27" t="e">
        <f t="shared" si="71"/>
        <v>#REF!</v>
      </c>
    </row>
    <row r="111" spans="1:25" ht="16.5" customHeight="1">
      <c r="A111" s="16" t="s">
        <v>144</v>
      </c>
      <c r="B111" s="17" t="s">
        <v>145</v>
      </c>
      <c r="C111" s="25">
        <f t="shared" si="54"/>
        <v>275</v>
      </c>
      <c r="D111" s="25" t="e">
        <f t="shared" si="55"/>
        <v>#REF!</v>
      </c>
      <c r="E111" s="27" t="e">
        <f t="shared" si="56"/>
        <v>#REF!</v>
      </c>
      <c r="F111" s="27"/>
      <c r="G111" s="25">
        <f t="shared" si="57"/>
        <v>524</v>
      </c>
      <c r="H111" s="25" t="e">
        <f t="shared" si="58"/>
        <v>#REF!</v>
      </c>
      <c r="I111" s="27" t="e">
        <f t="shared" si="59"/>
        <v>#REF!</v>
      </c>
      <c r="J111" s="27"/>
      <c r="K111" s="25">
        <f t="shared" si="60"/>
        <v>2223</v>
      </c>
      <c r="L111" s="25" t="e">
        <f t="shared" si="61"/>
        <v>#REF!</v>
      </c>
      <c r="M111" s="27" t="e">
        <f t="shared" si="62"/>
        <v>#REF!</v>
      </c>
      <c r="N111" s="39"/>
      <c r="O111" s="36" t="str">
        <f t="shared" si="63"/>
        <v>Northern</v>
      </c>
      <c r="P111" s="26" t="e">
        <f t="shared" si="64"/>
        <v>#REF!</v>
      </c>
      <c r="Q111" s="27" t="e">
        <f t="shared" si="65"/>
        <v>#VALUE!</v>
      </c>
      <c r="R111" s="27"/>
      <c r="S111" s="26">
        <f t="shared" si="66"/>
        <v>1101</v>
      </c>
      <c r="T111" s="26" t="e">
        <f t="shared" si="67"/>
        <v>#REF!</v>
      </c>
      <c r="U111" s="27" t="e">
        <f t="shared" si="68"/>
        <v>#REF!</v>
      </c>
      <c r="V111" s="27"/>
      <c r="W111" s="26">
        <f t="shared" si="69"/>
        <v>1010</v>
      </c>
      <c r="X111" s="26" t="e">
        <f t="shared" si="70"/>
        <v>#REF!</v>
      </c>
      <c r="Y111" s="27" t="e">
        <f t="shared" si="71"/>
        <v>#REF!</v>
      </c>
    </row>
    <row r="112" spans="1:25" ht="16.5" customHeight="1">
      <c r="A112" s="16" t="s">
        <v>158</v>
      </c>
      <c r="B112" s="17" t="s">
        <v>159</v>
      </c>
      <c r="C112" s="25">
        <f t="shared" si="54"/>
        <v>33994</v>
      </c>
      <c r="D112" s="25" t="e">
        <f t="shared" si="55"/>
        <v>#REF!</v>
      </c>
      <c r="E112" s="27" t="e">
        <f t="shared" si="56"/>
        <v>#REF!</v>
      </c>
      <c r="F112" s="27"/>
      <c r="G112" s="25">
        <f t="shared" si="57"/>
        <v>2719</v>
      </c>
      <c r="H112" s="25" t="e">
        <f t="shared" si="58"/>
        <v>#REF!</v>
      </c>
      <c r="I112" s="27" t="e">
        <f t="shared" si="59"/>
        <v>#REF!</v>
      </c>
      <c r="J112" s="27"/>
      <c r="K112" s="25">
        <f t="shared" si="60"/>
        <v>51766</v>
      </c>
      <c r="L112" s="25" t="e">
        <f t="shared" si="61"/>
        <v>#REF!</v>
      </c>
      <c r="M112" s="27" t="e">
        <f t="shared" si="62"/>
        <v>#REF!</v>
      </c>
      <c r="N112" s="39"/>
      <c r="O112" s="36" t="str">
        <f t="shared" si="63"/>
        <v>Eastern</v>
      </c>
      <c r="P112" s="26" t="e">
        <f t="shared" si="64"/>
        <v>#REF!</v>
      </c>
      <c r="Q112" s="27" t="e">
        <f t="shared" si="65"/>
        <v>#VALUE!</v>
      </c>
      <c r="R112" s="27"/>
      <c r="S112" s="26">
        <f t="shared" si="66"/>
        <v>21729</v>
      </c>
      <c r="T112" s="26" t="e">
        <f t="shared" si="67"/>
        <v>#REF!</v>
      </c>
      <c r="U112" s="27" t="e">
        <f t="shared" si="68"/>
        <v>#REF!</v>
      </c>
      <c r="V112" s="27"/>
      <c r="W112" s="26">
        <f t="shared" si="69"/>
        <v>28571</v>
      </c>
      <c r="X112" s="26" t="e">
        <f t="shared" si="70"/>
        <v>#REF!</v>
      </c>
      <c r="Y112" s="27" t="e">
        <f t="shared" si="71"/>
        <v>#REF!</v>
      </c>
    </row>
    <row r="113" spans="1:25" ht="16.5" customHeight="1">
      <c r="A113" s="16" t="s">
        <v>160</v>
      </c>
      <c r="B113" s="17" t="s">
        <v>161</v>
      </c>
      <c r="C113" s="25">
        <f t="shared" si="54"/>
        <v>48758</v>
      </c>
      <c r="D113" s="25" t="e">
        <f t="shared" si="55"/>
        <v>#REF!</v>
      </c>
      <c r="E113" s="27" t="e">
        <f t="shared" si="56"/>
        <v>#REF!</v>
      </c>
      <c r="F113" s="27"/>
      <c r="G113" s="25">
        <f t="shared" si="57"/>
        <v>2289</v>
      </c>
      <c r="H113" s="25" t="e">
        <f t="shared" si="58"/>
        <v>#REF!</v>
      </c>
      <c r="I113" s="27" t="e">
        <f t="shared" si="59"/>
        <v>#REF!</v>
      </c>
      <c r="J113" s="27"/>
      <c r="K113" s="25">
        <f t="shared" si="60"/>
        <v>68640</v>
      </c>
      <c r="L113" s="25" t="e">
        <f t="shared" si="61"/>
        <v>#REF!</v>
      </c>
      <c r="M113" s="27" t="e">
        <f t="shared" si="62"/>
        <v>#REF!</v>
      </c>
      <c r="N113" s="39"/>
      <c r="O113" s="36" t="str">
        <f t="shared" si="63"/>
        <v>Eastern</v>
      </c>
      <c r="P113" s="26" t="e">
        <f t="shared" si="64"/>
        <v>#REF!</v>
      </c>
      <c r="Q113" s="27" t="e">
        <f t="shared" si="65"/>
        <v>#VALUE!</v>
      </c>
      <c r="R113" s="27"/>
      <c r="S113" s="26">
        <f t="shared" si="66"/>
        <v>27848</v>
      </c>
      <c r="T113" s="26" t="e">
        <f t="shared" si="67"/>
        <v>#REF!</v>
      </c>
      <c r="U113" s="27" t="e">
        <f t="shared" si="68"/>
        <v>#REF!</v>
      </c>
      <c r="V113" s="27"/>
      <c r="W113" s="26">
        <f t="shared" si="69"/>
        <v>38249</v>
      </c>
      <c r="X113" s="26" t="e">
        <f t="shared" si="70"/>
        <v>#REF!</v>
      </c>
      <c r="Y113" s="27" t="e">
        <f t="shared" si="71"/>
        <v>#REF!</v>
      </c>
    </row>
    <row r="114" spans="1:25" ht="16.5" customHeight="1">
      <c r="A114" s="16" t="s">
        <v>166</v>
      </c>
      <c r="B114" s="32" t="s">
        <v>167</v>
      </c>
      <c r="C114" s="25">
        <f t="shared" si="54"/>
        <v>124</v>
      </c>
      <c r="D114" s="25" t="e">
        <f t="shared" si="55"/>
        <v>#REF!</v>
      </c>
      <c r="E114" s="27" t="e">
        <f t="shared" si="56"/>
        <v>#REF!</v>
      </c>
      <c r="F114" s="27"/>
      <c r="G114" s="25">
        <f t="shared" si="57"/>
        <v>46</v>
      </c>
      <c r="H114" s="25" t="e">
        <f t="shared" si="58"/>
        <v>#REF!</v>
      </c>
      <c r="I114" s="27" t="e">
        <f t="shared" si="59"/>
        <v>#REF!</v>
      </c>
      <c r="J114" s="27"/>
      <c r="K114" s="25">
        <f t="shared" si="60"/>
        <v>1533</v>
      </c>
      <c r="L114" s="25" t="e">
        <f t="shared" si="61"/>
        <v>#REF!</v>
      </c>
      <c r="M114" s="27" t="e">
        <f t="shared" si="62"/>
        <v>#REF!</v>
      </c>
      <c r="N114" s="39"/>
      <c r="O114" s="36" t="str">
        <f t="shared" si="63"/>
        <v>Western</v>
      </c>
      <c r="P114" s="26" t="e">
        <f t="shared" si="64"/>
        <v>#REF!</v>
      </c>
      <c r="Q114" s="27" t="e">
        <f t="shared" si="65"/>
        <v>#VALUE!</v>
      </c>
      <c r="R114" s="27"/>
      <c r="S114" s="26">
        <f t="shared" si="66"/>
        <v>524</v>
      </c>
      <c r="T114" s="26" t="e">
        <f t="shared" si="67"/>
        <v>#REF!</v>
      </c>
      <c r="U114" s="27" t="e">
        <f t="shared" si="68"/>
        <v>#REF!</v>
      </c>
      <c r="V114" s="27"/>
      <c r="W114" s="26">
        <f t="shared" si="69"/>
        <v>915</v>
      </c>
      <c r="X114" s="26" t="e">
        <f t="shared" si="70"/>
        <v>#REF!</v>
      </c>
      <c r="Y114" s="27" t="e">
        <f t="shared" si="71"/>
        <v>#REF!</v>
      </c>
    </row>
    <row r="115" spans="1:25" ht="16.5" customHeight="1">
      <c r="A115" s="16" t="s">
        <v>176</v>
      </c>
      <c r="B115" s="32" t="s">
        <v>177</v>
      </c>
      <c r="C115" s="25">
        <f t="shared" si="54"/>
        <v>12365</v>
      </c>
      <c r="D115" s="25" t="e">
        <f t="shared" si="55"/>
        <v>#REF!</v>
      </c>
      <c r="E115" s="27" t="e">
        <f t="shared" si="56"/>
        <v>#REF!</v>
      </c>
      <c r="F115" s="27"/>
      <c r="G115" s="25">
        <f t="shared" si="57"/>
        <v>302</v>
      </c>
      <c r="H115" s="25" t="e">
        <f t="shared" si="58"/>
        <v>#REF!</v>
      </c>
      <c r="I115" s="27" t="e">
        <f t="shared" si="59"/>
        <v>#REF!</v>
      </c>
      <c r="J115" s="27"/>
      <c r="K115" s="25">
        <f t="shared" si="60"/>
        <v>15347</v>
      </c>
      <c r="L115" s="25" t="e">
        <f t="shared" si="61"/>
        <v>#REF!</v>
      </c>
      <c r="M115" s="27" t="e">
        <f t="shared" si="62"/>
        <v>#REF!</v>
      </c>
      <c r="N115" s="39"/>
      <c r="O115" s="36" t="str">
        <f t="shared" si="63"/>
        <v>Central</v>
      </c>
      <c r="P115" s="26" t="e">
        <f t="shared" si="64"/>
        <v>#REF!</v>
      </c>
      <c r="Q115" s="27" t="e">
        <f t="shared" si="65"/>
        <v>#VALUE!</v>
      </c>
      <c r="R115" s="27"/>
      <c r="S115" s="26">
        <f t="shared" si="66"/>
        <v>5564</v>
      </c>
      <c r="T115" s="26" t="e">
        <f t="shared" si="67"/>
        <v>#REF!</v>
      </c>
      <c r="U115" s="27" t="e">
        <f t="shared" si="68"/>
        <v>#REF!</v>
      </c>
      <c r="V115" s="27"/>
      <c r="W115" s="26">
        <f t="shared" si="69"/>
        <v>9120</v>
      </c>
      <c r="X115" s="26" t="e">
        <f t="shared" si="70"/>
        <v>#REF!</v>
      </c>
      <c r="Y115" s="27" t="e">
        <f t="shared" si="71"/>
        <v>#REF!</v>
      </c>
    </row>
    <row r="116" spans="1:25" ht="16.5" customHeight="1">
      <c r="A116" s="16" t="s">
        <v>180</v>
      </c>
      <c r="B116" s="17" t="s">
        <v>181</v>
      </c>
      <c r="C116" s="25">
        <f t="shared" si="54"/>
        <v>24056</v>
      </c>
      <c r="D116" s="25" t="e">
        <f t="shared" si="55"/>
        <v>#REF!</v>
      </c>
      <c r="E116" s="27" t="e">
        <f t="shared" si="56"/>
        <v>#REF!</v>
      </c>
      <c r="F116" s="27"/>
      <c r="G116" s="25">
        <f t="shared" si="57"/>
        <v>425</v>
      </c>
      <c r="H116" s="25" t="e">
        <f t="shared" si="58"/>
        <v>#REF!</v>
      </c>
      <c r="I116" s="27" t="e">
        <f t="shared" si="59"/>
        <v>#REF!</v>
      </c>
      <c r="J116" s="27"/>
      <c r="K116" s="25">
        <f t="shared" si="60"/>
        <v>32765</v>
      </c>
      <c r="L116" s="25" t="e">
        <f t="shared" si="61"/>
        <v>#REF!</v>
      </c>
      <c r="M116" s="27" t="e">
        <f t="shared" si="62"/>
        <v>#REF!</v>
      </c>
      <c r="N116" s="39"/>
      <c r="O116" s="36" t="str">
        <f t="shared" si="63"/>
        <v>Eastern</v>
      </c>
      <c r="P116" s="26" t="e">
        <f t="shared" si="64"/>
        <v>#REF!</v>
      </c>
      <c r="Q116" s="27" t="e">
        <f t="shared" si="65"/>
        <v>#VALUE!</v>
      </c>
      <c r="R116" s="27"/>
      <c r="S116" s="26">
        <f t="shared" si="66"/>
        <v>13777</v>
      </c>
      <c r="T116" s="26" t="e">
        <f t="shared" si="67"/>
        <v>#REF!</v>
      </c>
      <c r="U116" s="27" t="e">
        <f t="shared" si="68"/>
        <v>#REF!</v>
      </c>
      <c r="V116" s="27"/>
      <c r="W116" s="26">
        <f t="shared" si="69"/>
        <v>17874</v>
      </c>
      <c r="X116" s="26" t="e">
        <f t="shared" si="70"/>
        <v>#REF!</v>
      </c>
      <c r="Y116" s="27" t="e">
        <f t="shared" si="71"/>
        <v>#REF!</v>
      </c>
    </row>
    <row r="117" spans="1:25" ht="16.5" customHeight="1">
      <c r="A117" s="16" t="s">
        <v>192</v>
      </c>
      <c r="B117" s="17" t="s">
        <v>193</v>
      </c>
      <c r="C117" s="25">
        <f t="shared" si="54"/>
        <v>459</v>
      </c>
      <c r="D117" s="25" t="e">
        <f t="shared" si="55"/>
        <v>#REF!</v>
      </c>
      <c r="E117" s="27" t="e">
        <f t="shared" si="56"/>
        <v>#REF!</v>
      </c>
      <c r="F117" s="27"/>
      <c r="G117" s="25">
        <f t="shared" si="57"/>
        <v>73</v>
      </c>
      <c r="H117" s="25" t="e">
        <f t="shared" si="58"/>
        <v>#REF!</v>
      </c>
      <c r="I117" s="27" t="e">
        <f t="shared" si="59"/>
        <v>#REF!</v>
      </c>
      <c r="J117" s="27"/>
      <c r="K117" s="25">
        <f t="shared" si="60"/>
        <v>2756</v>
      </c>
      <c r="L117" s="25" t="e">
        <f t="shared" si="61"/>
        <v>#REF!</v>
      </c>
      <c r="M117" s="27" t="e">
        <f t="shared" si="62"/>
        <v>#REF!</v>
      </c>
      <c r="N117" s="39"/>
      <c r="O117" s="36" t="str">
        <f t="shared" si="63"/>
        <v>Western</v>
      </c>
      <c r="P117" s="26" t="e">
        <f t="shared" si="64"/>
        <v>#REF!</v>
      </c>
      <c r="Q117" s="27" t="e">
        <f t="shared" si="65"/>
        <v>#VALUE!</v>
      </c>
      <c r="R117" s="27"/>
      <c r="S117" s="26">
        <f t="shared" si="66"/>
        <v>1047</v>
      </c>
      <c r="T117" s="26" t="e">
        <f t="shared" si="67"/>
        <v>#REF!</v>
      </c>
      <c r="U117" s="27" t="e">
        <f t="shared" si="68"/>
        <v>#REF!</v>
      </c>
      <c r="V117" s="27"/>
      <c r="W117" s="26">
        <f t="shared" si="69"/>
        <v>1644</v>
      </c>
      <c r="X117" s="26" t="e">
        <f t="shared" si="70"/>
        <v>#REF!</v>
      </c>
      <c r="Y117" s="27" t="e">
        <f t="shared" si="71"/>
        <v>#REF!</v>
      </c>
    </row>
    <row r="118" spans="1:25" ht="16.5" customHeight="1">
      <c r="A118" s="16" t="s">
        <v>196</v>
      </c>
      <c r="B118" s="32" t="s">
        <v>312</v>
      </c>
      <c r="C118" s="25">
        <f t="shared" si="54"/>
        <v>54073</v>
      </c>
      <c r="D118" s="25" t="e">
        <f t="shared" si="55"/>
        <v>#REF!</v>
      </c>
      <c r="E118" s="27" t="e">
        <f t="shared" si="56"/>
        <v>#REF!</v>
      </c>
      <c r="F118" s="27"/>
      <c r="G118" s="25">
        <f t="shared" si="57"/>
        <v>3480</v>
      </c>
      <c r="H118" s="25" t="e">
        <f t="shared" si="58"/>
        <v>#REF!</v>
      </c>
      <c r="I118" s="27" t="e">
        <f t="shared" si="59"/>
        <v>#REF!</v>
      </c>
      <c r="J118" s="27"/>
      <c r="K118" s="25">
        <f t="shared" si="60"/>
        <v>72640</v>
      </c>
      <c r="L118" s="25" t="e">
        <f t="shared" si="61"/>
        <v>#REF!</v>
      </c>
      <c r="M118" s="27" t="e">
        <f t="shared" si="62"/>
        <v>#REF!</v>
      </c>
      <c r="N118" s="39"/>
      <c r="O118" s="36" t="str">
        <f t="shared" si="63"/>
        <v>Central</v>
      </c>
      <c r="P118" s="26" t="e">
        <f t="shared" si="64"/>
        <v>#REF!</v>
      </c>
      <c r="Q118" s="27" t="e">
        <f t="shared" si="65"/>
        <v>#VALUE!</v>
      </c>
      <c r="R118" s="27"/>
      <c r="S118" s="26">
        <f t="shared" si="66"/>
        <v>27229</v>
      </c>
      <c r="T118" s="26" t="e">
        <f t="shared" si="67"/>
        <v>#REF!</v>
      </c>
      <c r="U118" s="27" t="e">
        <f t="shared" si="68"/>
        <v>#REF!</v>
      </c>
      <c r="V118" s="27"/>
      <c r="W118" s="26">
        <f t="shared" si="69"/>
        <v>42658</v>
      </c>
      <c r="X118" s="26" t="e">
        <f t="shared" si="70"/>
        <v>#REF!</v>
      </c>
      <c r="Y118" s="27" t="e">
        <f t="shared" si="71"/>
        <v>#REF!</v>
      </c>
    </row>
    <row r="119" spans="1:25" ht="16.5" customHeight="1">
      <c r="A119" s="16" t="s">
        <v>200</v>
      </c>
      <c r="B119" s="32" t="s">
        <v>313</v>
      </c>
      <c r="C119" s="25">
        <f t="shared" si="54"/>
        <v>14898</v>
      </c>
      <c r="D119" s="25" t="e">
        <f t="shared" si="55"/>
        <v>#REF!</v>
      </c>
      <c r="E119" s="27" t="e">
        <f t="shared" si="56"/>
        <v>#REF!</v>
      </c>
      <c r="F119" s="27"/>
      <c r="G119" s="25">
        <f t="shared" si="57"/>
        <v>2174</v>
      </c>
      <c r="H119" s="25" t="e">
        <f t="shared" si="58"/>
        <v>#REF!</v>
      </c>
      <c r="I119" s="27" t="e">
        <f t="shared" si="59"/>
        <v>#REF!</v>
      </c>
      <c r="J119" s="27"/>
      <c r="K119" s="25">
        <f t="shared" si="60"/>
        <v>35249</v>
      </c>
      <c r="L119" s="25" t="e">
        <f t="shared" si="61"/>
        <v>#REF!</v>
      </c>
      <c r="M119" s="27" t="e">
        <f t="shared" si="62"/>
        <v>#REF!</v>
      </c>
      <c r="N119" s="39"/>
      <c r="O119" s="36" t="str">
        <f t="shared" si="63"/>
        <v>Piedmont</v>
      </c>
      <c r="P119" s="26" t="e">
        <f t="shared" si="64"/>
        <v>#REF!</v>
      </c>
      <c r="Q119" s="27" t="e">
        <f t="shared" si="65"/>
        <v>#VALUE!</v>
      </c>
      <c r="R119" s="27"/>
      <c r="S119" s="26">
        <f t="shared" si="66"/>
        <v>13586</v>
      </c>
      <c r="T119" s="26" t="e">
        <f t="shared" si="67"/>
        <v>#REF!</v>
      </c>
      <c r="U119" s="27" t="e">
        <f t="shared" si="68"/>
        <v>#REF!</v>
      </c>
      <c r="V119" s="27"/>
      <c r="W119" s="26">
        <f t="shared" si="69"/>
        <v>20368</v>
      </c>
      <c r="X119" s="26" t="e">
        <f t="shared" si="70"/>
        <v>#REF!</v>
      </c>
      <c r="Y119" s="27" t="e">
        <f t="shared" si="71"/>
        <v>#REF!</v>
      </c>
    </row>
    <row r="120" spans="1:25" ht="16.5" customHeight="1">
      <c r="A120" s="16" t="s">
        <v>222</v>
      </c>
      <c r="B120" s="17" t="s">
        <v>223</v>
      </c>
      <c r="C120" s="25">
        <f t="shared" si="54"/>
        <v>12616</v>
      </c>
      <c r="D120" s="25" t="e">
        <f t="shared" si="55"/>
        <v>#REF!</v>
      </c>
      <c r="E120" s="27" t="e">
        <f t="shared" si="56"/>
        <v>#REF!</v>
      </c>
      <c r="F120" s="27"/>
      <c r="G120" s="25">
        <f t="shared" si="57"/>
        <v>336</v>
      </c>
      <c r="H120" s="25" t="e">
        <f t="shared" si="58"/>
        <v>#REF!</v>
      </c>
      <c r="I120" s="27" t="e">
        <f t="shared" si="59"/>
        <v>#REF!</v>
      </c>
      <c r="J120" s="27"/>
      <c r="K120" s="25">
        <f t="shared" si="60"/>
        <v>18249</v>
      </c>
      <c r="L120" s="25" t="e">
        <f t="shared" si="61"/>
        <v>#REF!</v>
      </c>
      <c r="M120" s="27" t="e">
        <f t="shared" si="62"/>
        <v>#REF!</v>
      </c>
      <c r="N120" s="39"/>
      <c r="O120" s="36" t="str">
        <f t="shared" si="63"/>
        <v>Eastern</v>
      </c>
      <c r="P120" s="26" t="e">
        <f t="shared" si="64"/>
        <v>#REF!</v>
      </c>
      <c r="Q120" s="27" t="e">
        <f t="shared" si="65"/>
        <v>#VALUE!</v>
      </c>
      <c r="R120" s="27"/>
      <c r="S120" s="26">
        <f t="shared" si="66"/>
        <v>7475</v>
      </c>
      <c r="T120" s="26" t="e">
        <f t="shared" si="67"/>
        <v>#REF!</v>
      </c>
      <c r="U120" s="27" t="e">
        <f t="shared" si="68"/>
        <v>#REF!</v>
      </c>
      <c r="V120" s="27"/>
      <c r="W120" s="26">
        <f t="shared" si="69"/>
        <v>9974</v>
      </c>
      <c r="X120" s="26" t="e">
        <f t="shared" si="70"/>
        <v>#REF!</v>
      </c>
      <c r="Y120" s="27" t="e">
        <f t="shared" si="71"/>
        <v>#REF!</v>
      </c>
    </row>
    <row r="121" spans="1:25" ht="16.5" customHeight="1">
      <c r="A121" s="16" t="s">
        <v>230</v>
      </c>
      <c r="B121" s="17" t="s">
        <v>231</v>
      </c>
      <c r="C121" s="25">
        <f t="shared" si="54"/>
        <v>22737</v>
      </c>
      <c r="D121" s="25" t="e">
        <f t="shared" si="55"/>
        <v>#REF!</v>
      </c>
      <c r="E121" s="27" t="e">
        <f t="shared" si="56"/>
        <v>#REF!</v>
      </c>
      <c r="F121" s="27"/>
      <c r="G121" s="25">
        <f t="shared" si="57"/>
        <v>3808</v>
      </c>
      <c r="H121" s="25" t="e">
        <f t="shared" si="58"/>
        <v>#REF!</v>
      </c>
      <c r="I121" s="27" t="e">
        <f t="shared" si="59"/>
        <v>#REF!</v>
      </c>
      <c r="J121" s="27"/>
      <c r="K121" s="25">
        <f t="shared" si="60"/>
        <v>54484</v>
      </c>
      <c r="L121" s="25" t="e">
        <f t="shared" si="61"/>
        <v>#REF!</v>
      </c>
      <c r="M121" s="27" t="e">
        <f t="shared" si="62"/>
        <v>#REF!</v>
      </c>
      <c r="N121" s="39"/>
      <c r="O121" s="36" t="str">
        <f t="shared" si="63"/>
        <v>Eastern</v>
      </c>
      <c r="P121" s="26" t="e">
        <f t="shared" si="64"/>
        <v>#REF!</v>
      </c>
      <c r="Q121" s="27" t="e">
        <f t="shared" si="65"/>
        <v>#VALUE!</v>
      </c>
      <c r="R121" s="27"/>
      <c r="S121" s="26">
        <f t="shared" si="66"/>
        <v>23227</v>
      </c>
      <c r="T121" s="26" t="e">
        <f t="shared" si="67"/>
        <v>#REF!</v>
      </c>
      <c r="U121" s="27" t="e">
        <f t="shared" si="68"/>
        <v>#REF!</v>
      </c>
      <c r="V121" s="27"/>
      <c r="W121" s="26">
        <f t="shared" si="69"/>
        <v>29251</v>
      </c>
      <c r="X121" s="26" t="e">
        <f t="shared" si="70"/>
        <v>#REF!</v>
      </c>
      <c r="Y121" s="27" t="e">
        <f t="shared" si="71"/>
        <v>#REF!</v>
      </c>
    </row>
    <row r="122" spans="1:25" ht="16.5" customHeight="1">
      <c r="A122" s="16" t="s">
        <v>238</v>
      </c>
      <c r="B122" s="17" t="s">
        <v>239</v>
      </c>
      <c r="C122" s="25">
        <f t="shared" si="54"/>
        <v>954</v>
      </c>
      <c r="D122" s="25" t="e">
        <f t="shared" si="55"/>
        <v>#REF!</v>
      </c>
      <c r="E122" s="27" t="e">
        <f t="shared" si="56"/>
        <v>#REF!</v>
      </c>
      <c r="F122" s="27"/>
      <c r="G122" s="25">
        <f t="shared" si="57"/>
        <v>187</v>
      </c>
      <c r="H122" s="25" t="e">
        <f t="shared" si="58"/>
        <v>#REF!</v>
      </c>
      <c r="I122" s="27" t="e">
        <f t="shared" si="59"/>
        <v>#REF!</v>
      </c>
      <c r="J122" s="27"/>
      <c r="K122" s="25">
        <f t="shared" si="60"/>
        <v>2072</v>
      </c>
      <c r="L122" s="25" t="e">
        <f t="shared" si="61"/>
        <v>#REF!</v>
      </c>
      <c r="M122" s="27" t="e">
        <f t="shared" si="62"/>
        <v>#REF!</v>
      </c>
      <c r="N122" s="39"/>
      <c r="O122" s="36" t="str">
        <f t="shared" si="63"/>
        <v>Eastern</v>
      </c>
      <c r="P122" s="26" t="e">
        <f t="shared" si="64"/>
        <v>#REF!</v>
      </c>
      <c r="Q122" s="27" t="e">
        <f t="shared" si="65"/>
        <v>#VALUE!</v>
      </c>
      <c r="R122" s="27"/>
      <c r="S122" s="26">
        <f t="shared" si="66"/>
        <v>887</v>
      </c>
      <c r="T122" s="26" t="e">
        <f t="shared" si="67"/>
        <v>#REF!</v>
      </c>
      <c r="U122" s="27" t="e">
        <f t="shared" si="68"/>
        <v>#REF!</v>
      </c>
      <c r="V122" s="27"/>
      <c r="W122" s="26">
        <f t="shared" si="69"/>
        <v>1142</v>
      </c>
      <c r="X122" s="26" t="e">
        <f t="shared" si="70"/>
        <v>#REF!</v>
      </c>
      <c r="Y122" s="27" t="e">
        <f t="shared" si="71"/>
        <v>#REF!</v>
      </c>
    </row>
    <row r="123" spans="1:25" ht="16.5" customHeight="1">
      <c r="A123" s="16" t="s">
        <v>240</v>
      </c>
      <c r="B123" s="32" t="s">
        <v>241</v>
      </c>
      <c r="C123" s="25">
        <f t="shared" si="54"/>
        <v>1344</v>
      </c>
      <c r="D123" s="25" t="e">
        <f t="shared" si="55"/>
        <v>#REF!</v>
      </c>
      <c r="E123" s="27" t="e">
        <f t="shared" si="56"/>
        <v>#REF!</v>
      </c>
      <c r="F123" s="27"/>
      <c r="G123" s="25">
        <f t="shared" si="57"/>
        <v>299</v>
      </c>
      <c r="H123" s="25" t="e">
        <f t="shared" si="58"/>
        <v>#REF!</v>
      </c>
      <c r="I123" s="27" t="e">
        <f t="shared" si="59"/>
        <v>#REF!</v>
      </c>
      <c r="J123" s="27"/>
      <c r="K123" s="25">
        <f t="shared" si="60"/>
        <v>7441</v>
      </c>
      <c r="L123" s="25" t="e">
        <f t="shared" si="61"/>
        <v>#REF!</v>
      </c>
      <c r="M123" s="27" t="e">
        <f t="shared" si="62"/>
        <v>#REF!</v>
      </c>
      <c r="N123" s="39"/>
      <c r="O123" s="36" t="str">
        <f t="shared" si="63"/>
        <v>Northern</v>
      </c>
      <c r="P123" s="26" t="e">
        <f t="shared" si="64"/>
        <v>#REF!</v>
      </c>
      <c r="Q123" s="27" t="e">
        <f t="shared" si="65"/>
        <v>#VALUE!</v>
      </c>
      <c r="R123" s="27"/>
      <c r="S123" s="26">
        <f t="shared" si="66"/>
        <v>3162</v>
      </c>
      <c r="T123" s="26" t="e">
        <f t="shared" si="67"/>
        <v>#REF!</v>
      </c>
      <c r="U123" s="27" t="e">
        <f t="shared" si="68"/>
        <v>#REF!</v>
      </c>
      <c r="V123" s="27"/>
      <c r="W123" s="26">
        <f t="shared" si="69"/>
        <v>4018</v>
      </c>
      <c r="X123" s="26" t="e">
        <f t="shared" si="70"/>
        <v>#REF!</v>
      </c>
      <c r="Y123" s="27" t="e">
        <f t="shared" si="71"/>
        <v>#REF!</v>
      </c>
    </row>
    <row r="124" spans="1:25">
      <c r="C124" s="28">
        <f>SUM(C4:C123)</f>
        <v>529083</v>
      </c>
      <c r="D124" s="28"/>
      <c r="E124" s="28"/>
      <c r="F124" s="28"/>
      <c r="G124" s="28"/>
      <c r="H124" s="28"/>
      <c r="I124" s="28"/>
      <c r="J124" s="28"/>
      <c r="K124" s="28"/>
      <c r="L124" s="28"/>
    </row>
    <row r="125" spans="1:25">
      <c r="C125" s="28">
        <f>+C124/12</f>
        <v>44090.25</v>
      </c>
      <c r="D125" s="28"/>
      <c r="E125" s="28"/>
      <c r="F125" s="28"/>
      <c r="G125" s="28"/>
      <c r="H125" s="28"/>
      <c r="I125" s="28"/>
      <c r="J125" s="28"/>
      <c r="K125" s="28"/>
      <c r="L125" s="28"/>
    </row>
    <row r="126" spans="1:25" ht="12.75" customHeight="1">
      <c r="A126" s="1935" t="s">
        <v>575</v>
      </c>
      <c r="B126" s="1935"/>
      <c r="C126" s="1936"/>
      <c r="D126" s="19"/>
      <c r="E126" s="19"/>
      <c r="F126" s="19"/>
      <c r="G126" s="19"/>
      <c r="H126" s="19"/>
      <c r="I126" s="19"/>
      <c r="J126" s="19"/>
      <c r="K126" s="19"/>
      <c r="L126" s="19"/>
    </row>
    <row r="127" spans="1:25">
      <c r="A127" s="18" t="s">
        <v>576</v>
      </c>
    </row>
  </sheetData>
  <mergeCells count="9">
    <mergeCell ref="C1:M1"/>
    <mergeCell ref="W2:Y2"/>
    <mergeCell ref="O1:Y1"/>
    <mergeCell ref="A126:C126"/>
    <mergeCell ref="C2:E2"/>
    <mergeCell ref="G2:I2"/>
    <mergeCell ref="K2:M2"/>
    <mergeCell ref="O2:Q2"/>
    <mergeCell ref="S2:U2"/>
  </mergeCells>
  <conditionalFormatting sqref="Q4:R123 E4:F123">
    <cfRule type="cellIs" dxfId="3" priority="20" stopIfTrue="1" operator="greaterThan">
      <formula>"&gt;1"</formula>
    </cfRule>
  </conditionalFormatting>
  <conditionalFormatting sqref="Y4:Y123 M4:N123 U4:V123 Q4:R123 I4:J123 E4:F123">
    <cfRule type="cellIs" dxfId="2" priority="19" stopIfTrue="1" operator="greaterThan">
      <formula>1</formula>
    </cfRule>
  </conditionalFormatting>
  <pageMargins left="0.75" right="0.75" top="1" bottom="1" header="0.5" footer="0.5"/>
  <pageSetup orientation="portrait" r:id="rId1"/>
</worksheet>
</file>

<file path=xl/worksheets/sheet42.xml><?xml version="1.0" encoding="utf-8"?>
<worksheet xmlns="http://schemas.openxmlformats.org/spreadsheetml/2006/main" xmlns:r="http://schemas.openxmlformats.org/officeDocument/2006/relationships">
  <dimension ref="A1:Y127"/>
  <sheetViews>
    <sheetView zoomScaleNormal="106" zoomScaleSheetLayoutView="116" workbookViewId="0">
      <pane xSplit="2" ySplit="3" topLeftCell="C4" activePane="bottomRight" state="frozen"/>
      <selection pane="topRight" activeCell="C1" sqref="C1"/>
      <selection pane="bottomLeft" activeCell="A4" sqref="A4"/>
      <selection pane="bottomRight" activeCell="E7" sqref="E7"/>
    </sheetView>
  </sheetViews>
  <sheetFormatPr defaultRowHeight="12.75"/>
  <cols>
    <col min="1" max="1" width="12.25" style="18" customWidth="1"/>
    <col min="2" max="2" width="21.5" style="18" customWidth="1"/>
    <col min="3" max="3" width="10.5" style="18" customWidth="1"/>
    <col min="4" max="4" width="10.625" style="18" customWidth="1"/>
    <col min="5" max="5" width="9.75" style="18" customWidth="1"/>
    <col min="6" max="6" width="2.625" style="18" customWidth="1"/>
    <col min="7" max="7" width="10.25" style="18" customWidth="1"/>
    <col min="8" max="8" width="10.125" style="18" customWidth="1"/>
    <col min="9" max="9" width="10.875" style="18" customWidth="1"/>
    <col min="10" max="10" width="2.625" style="18" customWidth="1"/>
    <col min="11" max="11" width="11.625" style="18" customWidth="1"/>
    <col min="12" max="12" width="11.375" style="18" customWidth="1"/>
    <col min="13" max="13" width="10.25" style="18" customWidth="1"/>
    <col min="14" max="14" width="2.625" style="18" customWidth="1"/>
    <col min="15" max="15" width="10.125" style="18" customWidth="1"/>
    <col min="16" max="17" width="10" style="18" customWidth="1"/>
    <col min="18" max="18" width="2.625" style="18" customWidth="1"/>
    <col min="19" max="19" width="10.625" style="18" customWidth="1"/>
    <col min="20" max="20" width="10.5" style="18" customWidth="1"/>
    <col min="21" max="21" width="10.125" style="18" customWidth="1"/>
    <col min="22" max="22" width="2.625" style="18" customWidth="1"/>
    <col min="23" max="23" width="10.125" style="18" customWidth="1"/>
    <col min="24" max="24" width="11.5" style="18" customWidth="1"/>
    <col min="25" max="25" width="11" style="18" customWidth="1"/>
    <col min="26" max="16384" width="9" style="18"/>
  </cols>
  <sheetData>
    <row r="1" spans="1:25" ht="15.75">
      <c r="C1" s="1937" t="s">
        <v>581</v>
      </c>
      <c r="D1" s="1937"/>
      <c r="E1" s="1937"/>
      <c r="F1" s="1937"/>
      <c r="G1" s="1937"/>
      <c r="H1" s="1937"/>
      <c r="I1" s="1937"/>
      <c r="J1" s="1937"/>
      <c r="K1" s="1937"/>
      <c r="L1" s="1937"/>
      <c r="M1" s="1937"/>
      <c r="O1" s="1937" t="s">
        <v>582</v>
      </c>
      <c r="P1" s="1937"/>
      <c r="Q1" s="1937"/>
      <c r="R1" s="1937"/>
      <c r="S1" s="1937"/>
      <c r="T1" s="1937"/>
      <c r="U1" s="1937"/>
      <c r="V1" s="1937"/>
      <c r="W1" s="1937"/>
      <c r="X1" s="1937"/>
      <c r="Y1" s="1937"/>
    </row>
    <row r="2" spans="1:25">
      <c r="C2" s="1933" t="s">
        <v>2</v>
      </c>
      <c r="D2" s="1933"/>
      <c r="E2" s="1933"/>
      <c r="G2" s="1933" t="s">
        <v>450</v>
      </c>
      <c r="H2" s="1933"/>
      <c r="I2" s="1933"/>
      <c r="K2" s="1933" t="s">
        <v>452</v>
      </c>
      <c r="L2" s="1933"/>
      <c r="M2" s="1933"/>
      <c r="N2" s="46"/>
      <c r="O2" s="1933" t="s">
        <v>2</v>
      </c>
      <c r="P2" s="1933"/>
      <c r="Q2" s="1933"/>
      <c r="S2" s="1933" t="s">
        <v>450</v>
      </c>
      <c r="T2" s="1933"/>
      <c r="U2" s="1933"/>
      <c r="W2" s="1933" t="s">
        <v>452</v>
      </c>
      <c r="X2" s="1933"/>
      <c r="Y2" s="1933"/>
    </row>
    <row r="3" spans="1:25" s="21" customFormat="1" ht="71.25" customHeight="1">
      <c r="A3" s="20" t="s">
        <v>305</v>
      </c>
      <c r="B3" s="20" t="s">
        <v>306</v>
      </c>
      <c r="C3" s="23" t="s">
        <v>583</v>
      </c>
      <c r="D3" s="23" t="s">
        <v>584</v>
      </c>
      <c r="E3" s="34" t="s">
        <v>585</v>
      </c>
      <c r="F3" s="38"/>
      <c r="G3" s="23" t="s">
        <v>583</v>
      </c>
      <c r="H3" s="23" t="s">
        <v>584</v>
      </c>
      <c r="I3" s="34" t="s">
        <v>585</v>
      </c>
      <c r="J3" s="38"/>
      <c r="K3" s="23" t="s">
        <v>583</v>
      </c>
      <c r="L3" s="23" t="s">
        <v>584</v>
      </c>
      <c r="M3" s="34" t="s">
        <v>585</v>
      </c>
      <c r="N3" s="38"/>
      <c r="O3" s="23" t="s">
        <v>583</v>
      </c>
      <c r="P3" s="23" t="s">
        <v>584</v>
      </c>
      <c r="Q3" s="34" t="s">
        <v>585</v>
      </c>
      <c r="R3" s="38"/>
      <c r="S3" s="23" t="s">
        <v>583</v>
      </c>
      <c r="T3" s="23" t="s">
        <v>584</v>
      </c>
      <c r="U3" s="34" t="s">
        <v>585</v>
      </c>
      <c r="V3" s="38"/>
      <c r="W3" s="23" t="s">
        <v>583</v>
      </c>
      <c r="X3" s="23" t="s">
        <v>584</v>
      </c>
      <c r="Y3" s="34" t="s">
        <v>585</v>
      </c>
    </row>
    <row r="4" spans="1:25" ht="16.5" customHeight="1">
      <c r="A4" s="16" t="s">
        <v>10</v>
      </c>
      <c r="B4" s="16" t="s">
        <v>11</v>
      </c>
      <c r="C4" s="25">
        <f t="shared" ref="C4:C35" si="0">VLOOKUP(A4,TANFClient_Demo,7,FALSE)</f>
        <v>590</v>
      </c>
      <c r="D4" s="25" t="e">
        <f t="shared" ref="D4:D35" si="1">VLOOKUP(A4,Pop,14,FALSE)</f>
        <v>#REF!</v>
      </c>
      <c r="E4" s="27" t="e">
        <f t="shared" ref="E4:E35" si="2">+C4/D4</f>
        <v>#REF!</v>
      </c>
      <c r="F4" s="42"/>
      <c r="G4" s="25">
        <f t="shared" ref="G4:G35" si="3">VLOOKUP(A4,TANFClient_Demo,8,FALSE)</f>
        <v>384</v>
      </c>
      <c r="H4" s="25" t="e">
        <f t="shared" ref="H4:H35" si="4">VLOOKUP(A4,Pop,15,FALSE)</f>
        <v>#REF!</v>
      </c>
      <c r="I4" s="27" t="e">
        <f t="shared" ref="I4:I35" si="5">+G4/H4</f>
        <v>#REF!</v>
      </c>
      <c r="J4" s="42"/>
      <c r="K4" s="25">
        <f t="shared" ref="K4:K35" si="6">VLOOKUP(A4,TANFClient_Demo,9,FALSE)</f>
        <v>391</v>
      </c>
      <c r="L4" s="25" t="e">
        <f t="shared" ref="L4:L35" si="7">VLOOKUP(A4,Pop,16,FALSE)</f>
        <v>#REF!</v>
      </c>
      <c r="M4" s="27" t="e">
        <f t="shared" ref="M4:M35" si="8">+K4/L4</f>
        <v>#REF!</v>
      </c>
      <c r="N4" s="27"/>
      <c r="O4" s="26" t="str">
        <f t="shared" ref="O4:O35" si="9">VLOOKUP(A4,TANFClient_Demo,3,FALSE)</f>
        <v>Eastern</v>
      </c>
      <c r="P4" s="26" t="e">
        <f t="shared" ref="P4:P35" si="10">VLOOKUP(A4,Pop,8,FALSE)</f>
        <v>#REF!</v>
      </c>
      <c r="Q4" s="27" t="e">
        <f t="shared" ref="Q4:Q35" si="11">+O4/P4</f>
        <v>#VALUE!</v>
      </c>
      <c r="R4" s="27"/>
      <c r="S4" s="26">
        <f t="shared" ref="S4:S35" si="12">VLOOKUP(A4,TANFClient_Demo,4,FALSE)</f>
        <v>623</v>
      </c>
      <c r="T4" s="26" t="e">
        <f t="shared" ref="T4:T35" si="13">VLOOKUP(A4,Pop,9,FALSE)</f>
        <v>#REF!</v>
      </c>
      <c r="U4" s="27" t="e">
        <f t="shared" ref="U4:U35" si="14">+S4/T4</f>
        <v>#REF!</v>
      </c>
      <c r="V4" s="27"/>
      <c r="W4" s="26">
        <f t="shared" ref="W4:W35" si="15">VLOOKUP(A4,TANFClient_Demo,5,FALSE)</f>
        <v>350</v>
      </c>
      <c r="X4" s="26" t="e">
        <f t="shared" ref="X4:X35" si="16">VLOOKUP(A4,Pop,10,FALSE)</f>
        <v>#REF!</v>
      </c>
      <c r="Y4" s="27" t="e">
        <f t="shared" ref="Y4:Y35" si="17">+W4/X4</f>
        <v>#REF!</v>
      </c>
    </row>
    <row r="5" spans="1:25" ht="16.5" customHeight="1">
      <c r="A5" s="16" t="s">
        <v>12</v>
      </c>
      <c r="B5" s="16" t="s">
        <v>13</v>
      </c>
      <c r="C5" s="25">
        <f t="shared" si="0"/>
        <v>494</v>
      </c>
      <c r="D5" s="25" t="e">
        <f t="shared" si="1"/>
        <v>#REF!</v>
      </c>
      <c r="E5" s="27" t="e">
        <f t="shared" si="2"/>
        <v>#REF!</v>
      </c>
      <c r="F5" s="25"/>
      <c r="G5" s="25">
        <f t="shared" si="3"/>
        <v>313</v>
      </c>
      <c r="H5" s="25" t="e">
        <f t="shared" si="4"/>
        <v>#REF!</v>
      </c>
      <c r="I5" s="27" t="e">
        <f t="shared" si="5"/>
        <v>#REF!</v>
      </c>
      <c r="J5" s="25"/>
      <c r="K5" s="25">
        <f t="shared" si="6"/>
        <v>298</v>
      </c>
      <c r="L5" s="25" t="e">
        <f t="shared" si="7"/>
        <v>#REF!</v>
      </c>
      <c r="M5" s="27" t="e">
        <f t="shared" si="8"/>
        <v>#REF!</v>
      </c>
      <c r="N5" s="27"/>
      <c r="O5" s="26" t="str">
        <f t="shared" si="9"/>
        <v>Piedmont</v>
      </c>
      <c r="P5" s="26" t="e">
        <f t="shared" si="10"/>
        <v>#REF!</v>
      </c>
      <c r="Q5" s="27" t="e">
        <f t="shared" si="11"/>
        <v>#VALUE!</v>
      </c>
      <c r="R5" s="27"/>
      <c r="S5" s="26">
        <f t="shared" si="12"/>
        <v>499</v>
      </c>
      <c r="T5" s="26" t="e">
        <f t="shared" si="13"/>
        <v>#REF!</v>
      </c>
      <c r="U5" s="27" t="e">
        <f t="shared" si="14"/>
        <v>#REF!</v>
      </c>
      <c r="V5" s="27"/>
      <c r="W5" s="26">
        <f t="shared" si="15"/>
        <v>307</v>
      </c>
      <c r="X5" s="26" t="e">
        <f t="shared" si="16"/>
        <v>#REF!</v>
      </c>
      <c r="Y5" s="27" t="e">
        <f t="shared" si="17"/>
        <v>#REF!</v>
      </c>
    </row>
    <row r="6" spans="1:25" ht="16.5" customHeight="1">
      <c r="A6" s="16" t="s">
        <v>16</v>
      </c>
      <c r="B6" s="16" t="s">
        <v>297</v>
      </c>
      <c r="C6" s="25">
        <f t="shared" si="0"/>
        <v>276</v>
      </c>
      <c r="D6" s="25" t="e">
        <f t="shared" si="1"/>
        <v>#REF!</v>
      </c>
      <c r="E6" s="27" t="e">
        <f t="shared" si="2"/>
        <v>#REF!</v>
      </c>
      <c r="F6" s="25"/>
      <c r="G6" s="25">
        <f t="shared" si="3"/>
        <v>200</v>
      </c>
      <c r="H6" s="25" t="e">
        <f t="shared" si="4"/>
        <v>#REF!</v>
      </c>
      <c r="I6" s="27" t="e">
        <f t="shared" si="5"/>
        <v>#REF!</v>
      </c>
      <c r="J6" s="25"/>
      <c r="K6" s="25">
        <f t="shared" si="6"/>
        <v>361</v>
      </c>
      <c r="L6" s="25" t="e">
        <f t="shared" si="7"/>
        <v>#REF!</v>
      </c>
      <c r="M6" s="27" t="e">
        <f t="shared" si="8"/>
        <v>#REF!</v>
      </c>
      <c r="N6" s="27"/>
      <c r="O6" s="26" t="str">
        <f t="shared" si="9"/>
        <v>Piedmont</v>
      </c>
      <c r="P6" s="26" t="e">
        <f t="shared" si="10"/>
        <v>#REF!</v>
      </c>
      <c r="Q6" s="27" t="e">
        <f t="shared" si="11"/>
        <v>#VALUE!</v>
      </c>
      <c r="R6" s="27"/>
      <c r="S6" s="26">
        <f t="shared" si="12"/>
        <v>286</v>
      </c>
      <c r="T6" s="26" t="e">
        <f t="shared" si="13"/>
        <v>#REF!</v>
      </c>
      <c r="U6" s="27" t="e">
        <f t="shared" si="14"/>
        <v>#REF!</v>
      </c>
      <c r="V6" s="27"/>
      <c r="W6" s="26">
        <f t="shared" si="15"/>
        <v>189</v>
      </c>
      <c r="X6" s="26" t="e">
        <f t="shared" si="16"/>
        <v>#REF!</v>
      </c>
      <c r="Y6" s="27" t="e">
        <f t="shared" si="17"/>
        <v>#REF!</v>
      </c>
    </row>
    <row r="7" spans="1:25" ht="16.5" customHeight="1">
      <c r="A7" s="49" t="s">
        <v>18</v>
      </c>
      <c r="B7" s="48" t="s">
        <v>19</v>
      </c>
      <c r="C7" s="25">
        <f t="shared" si="0"/>
        <v>164</v>
      </c>
      <c r="D7" s="25" t="e">
        <f t="shared" si="1"/>
        <v>#REF!</v>
      </c>
      <c r="E7" s="27" t="e">
        <f t="shared" si="2"/>
        <v>#REF!</v>
      </c>
      <c r="F7" s="25"/>
      <c r="G7" s="25">
        <f t="shared" si="3"/>
        <v>111</v>
      </c>
      <c r="H7" s="25" t="e">
        <f t="shared" si="4"/>
        <v>#REF!</v>
      </c>
      <c r="I7" s="27" t="e">
        <f t="shared" si="5"/>
        <v>#REF!</v>
      </c>
      <c r="J7" s="25"/>
      <c r="K7" s="25">
        <f t="shared" si="6"/>
        <v>138</v>
      </c>
      <c r="L7" s="25" t="e">
        <f t="shared" si="7"/>
        <v>#REF!</v>
      </c>
      <c r="M7" s="27" t="e">
        <f t="shared" si="8"/>
        <v>#REF!</v>
      </c>
      <c r="N7" s="27"/>
      <c r="O7" s="26" t="str">
        <f t="shared" si="9"/>
        <v>Central</v>
      </c>
      <c r="P7" s="26" t="e">
        <f t="shared" si="10"/>
        <v>#REF!</v>
      </c>
      <c r="Q7" s="27" t="e">
        <f t="shared" si="11"/>
        <v>#VALUE!</v>
      </c>
      <c r="R7" s="27"/>
      <c r="S7" s="26">
        <f t="shared" si="12"/>
        <v>158</v>
      </c>
      <c r="T7" s="26" t="e">
        <f t="shared" si="13"/>
        <v>#REF!</v>
      </c>
      <c r="U7" s="27" t="e">
        <f t="shared" si="14"/>
        <v>#REF!</v>
      </c>
      <c r="V7" s="27"/>
      <c r="W7" s="26">
        <f t="shared" si="15"/>
        <v>115</v>
      </c>
      <c r="X7" s="26" t="e">
        <f t="shared" si="16"/>
        <v>#REF!</v>
      </c>
      <c r="Y7" s="27" t="e">
        <f t="shared" si="17"/>
        <v>#REF!</v>
      </c>
    </row>
    <row r="8" spans="1:25" ht="16.5" customHeight="1">
      <c r="A8" s="16" t="s">
        <v>20</v>
      </c>
      <c r="B8" s="16" t="s">
        <v>21</v>
      </c>
      <c r="C8" s="25">
        <f t="shared" si="0"/>
        <v>279</v>
      </c>
      <c r="D8" s="25" t="e">
        <f t="shared" si="1"/>
        <v>#REF!</v>
      </c>
      <c r="E8" s="27" t="e">
        <f t="shared" si="2"/>
        <v>#REF!</v>
      </c>
      <c r="F8" s="25"/>
      <c r="G8" s="25">
        <f t="shared" si="3"/>
        <v>177</v>
      </c>
      <c r="H8" s="25" t="e">
        <f t="shared" si="4"/>
        <v>#REF!</v>
      </c>
      <c r="I8" s="27" t="e">
        <f t="shared" si="5"/>
        <v>#REF!</v>
      </c>
      <c r="J8" s="25"/>
      <c r="K8" s="25">
        <f t="shared" si="6"/>
        <v>269</v>
      </c>
      <c r="L8" s="25" t="e">
        <f t="shared" si="7"/>
        <v>#REF!</v>
      </c>
      <c r="M8" s="27" t="e">
        <f t="shared" si="8"/>
        <v>#REF!</v>
      </c>
      <c r="N8" s="27"/>
      <c r="O8" s="26" t="str">
        <f t="shared" si="9"/>
        <v>Piedmont</v>
      </c>
      <c r="P8" s="26" t="e">
        <f t="shared" si="10"/>
        <v>#REF!</v>
      </c>
      <c r="Q8" s="27" t="e">
        <f t="shared" si="11"/>
        <v>#VALUE!</v>
      </c>
      <c r="R8" s="27"/>
      <c r="S8" s="26">
        <f t="shared" si="12"/>
        <v>304</v>
      </c>
      <c r="T8" s="26" t="e">
        <f t="shared" si="13"/>
        <v>#REF!</v>
      </c>
      <c r="U8" s="27" t="e">
        <f t="shared" si="14"/>
        <v>#REF!</v>
      </c>
      <c r="V8" s="27"/>
      <c r="W8" s="26">
        <f t="shared" si="15"/>
        <v>152</v>
      </c>
      <c r="X8" s="26" t="e">
        <f t="shared" si="16"/>
        <v>#REF!</v>
      </c>
      <c r="Y8" s="27" t="e">
        <f t="shared" si="17"/>
        <v>#REF!</v>
      </c>
    </row>
    <row r="9" spans="1:25" ht="16.5" customHeight="1">
      <c r="A9" s="16" t="s">
        <v>22</v>
      </c>
      <c r="B9" s="16" t="s">
        <v>23</v>
      </c>
      <c r="C9" s="25">
        <f t="shared" si="0"/>
        <v>284</v>
      </c>
      <c r="D9" s="25" t="e">
        <f t="shared" si="1"/>
        <v>#REF!</v>
      </c>
      <c r="E9" s="27" t="e">
        <f t="shared" si="2"/>
        <v>#REF!</v>
      </c>
      <c r="F9" s="25"/>
      <c r="G9" s="25">
        <f t="shared" si="3"/>
        <v>208</v>
      </c>
      <c r="H9" s="25" t="e">
        <f t="shared" si="4"/>
        <v>#REF!</v>
      </c>
      <c r="I9" s="27" t="e">
        <f t="shared" si="5"/>
        <v>#REF!</v>
      </c>
      <c r="J9" s="25"/>
      <c r="K9" s="25">
        <f t="shared" si="6"/>
        <v>229</v>
      </c>
      <c r="L9" s="25" t="e">
        <f t="shared" si="7"/>
        <v>#REF!</v>
      </c>
      <c r="M9" s="27" t="e">
        <f t="shared" si="8"/>
        <v>#REF!</v>
      </c>
      <c r="N9" s="27"/>
      <c r="O9" s="26" t="str">
        <f t="shared" si="9"/>
        <v>Piedmont</v>
      </c>
      <c r="P9" s="26" t="e">
        <f t="shared" si="10"/>
        <v>#REF!</v>
      </c>
      <c r="Q9" s="27" t="e">
        <f t="shared" si="11"/>
        <v>#VALUE!</v>
      </c>
      <c r="R9" s="27"/>
      <c r="S9" s="26">
        <f t="shared" si="12"/>
        <v>305</v>
      </c>
      <c r="T9" s="26" t="e">
        <f t="shared" si="13"/>
        <v>#REF!</v>
      </c>
      <c r="U9" s="27" t="e">
        <f t="shared" si="14"/>
        <v>#REF!</v>
      </c>
      <c r="V9" s="27"/>
      <c r="W9" s="26">
        <f t="shared" si="15"/>
        <v>187</v>
      </c>
      <c r="X9" s="26" t="e">
        <f t="shared" si="16"/>
        <v>#REF!</v>
      </c>
      <c r="Y9" s="27" t="e">
        <f t="shared" si="17"/>
        <v>#REF!</v>
      </c>
    </row>
    <row r="10" spans="1:25" ht="16.5" customHeight="1">
      <c r="A10" s="16" t="s">
        <v>24</v>
      </c>
      <c r="B10" s="16" t="s">
        <v>25</v>
      </c>
      <c r="C10" s="25">
        <f t="shared" si="0"/>
        <v>686</v>
      </c>
      <c r="D10" s="25" t="e">
        <f t="shared" si="1"/>
        <v>#REF!</v>
      </c>
      <c r="E10" s="27" t="e">
        <f t="shared" si="2"/>
        <v>#REF!</v>
      </c>
      <c r="F10" s="25"/>
      <c r="G10" s="25">
        <f t="shared" si="3"/>
        <v>421</v>
      </c>
      <c r="H10" s="25" t="e">
        <f t="shared" si="4"/>
        <v>#REF!</v>
      </c>
      <c r="I10" s="27" t="e">
        <f t="shared" si="5"/>
        <v>#REF!</v>
      </c>
      <c r="J10" s="25"/>
      <c r="K10" s="25">
        <f t="shared" si="6"/>
        <v>366</v>
      </c>
      <c r="L10" s="25" t="e">
        <f t="shared" si="7"/>
        <v>#REF!</v>
      </c>
      <c r="M10" s="27" t="e">
        <f t="shared" si="8"/>
        <v>#REF!</v>
      </c>
      <c r="N10" s="27"/>
      <c r="O10" s="26" t="str">
        <f t="shared" si="9"/>
        <v>Northern</v>
      </c>
      <c r="P10" s="26" t="e">
        <f t="shared" si="10"/>
        <v>#REF!</v>
      </c>
      <c r="Q10" s="27" t="e">
        <f t="shared" si="11"/>
        <v>#VALUE!</v>
      </c>
      <c r="R10" s="27"/>
      <c r="S10" s="26">
        <f t="shared" si="12"/>
        <v>647</v>
      </c>
      <c r="T10" s="26" t="e">
        <f t="shared" si="13"/>
        <v>#REF!</v>
      </c>
      <c r="U10" s="27" t="e">
        <f t="shared" si="14"/>
        <v>#REF!</v>
      </c>
      <c r="V10" s="27"/>
      <c r="W10" s="26">
        <f t="shared" si="15"/>
        <v>456</v>
      </c>
      <c r="X10" s="26" t="e">
        <f t="shared" si="16"/>
        <v>#REF!</v>
      </c>
      <c r="Y10" s="27" t="e">
        <f t="shared" si="17"/>
        <v>#REF!</v>
      </c>
    </row>
    <row r="11" spans="1:25" ht="16.5" customHeight="1">
      <c r="A11" s="16" t="s">
        <v>26</v>
      </c>
      <c r="B11" s="16" t="s">
        <v>298</v>
      </c>
      <c r="C11" s="25">
        <f t="shared" si="0"/>
        <v>1553</v>
      </c>
      <c r="D11" s="25" t="e">
        <f t="shared" si="1"/>
        <v>#REF!</v>
      </c>
      <c r="E11" s="27" t="e">
        <f t="shared" si="2"/>
        <v>#REF!</v>
      </c>
      <c r="F11" s="25"/>
      <c r="G11" s="25">
        <f t="shared" si="3"/>
        <v>981</v>
      </c>
      <c r="H11" s="25" t="e">
        <f t="shared" si="4"/>
        <v>#REF!</v>
      </c>
      <c r="I11" s="27" t="e">
        <f t="shared" si="5"/>
        <v>#REF!</v>
      </c>
      <c r="J11" s="25"/>
      <c r="K11" s="25">
        <f t="shared" si="6"/>
        <v>1679</v>
      </c>
      <c r="L11" s="25" t="e">
        <f t="shared" si="7"/>
        <v>#REF!</v>
      </c>
      <c r="M11" s="27" t="e">
        <f t="shared" si="8"/>
        <v>#REF!</v>
      </c>
      <c r="N11" s="27"/>
      <c r="O11" s="26" t="str">
        <f t="shared" si="9"/>
        <v>Piedmont</v>
      </c>
      <c r="P11" s="26" t="e">
        <f t="shared" si="10"/>
        <v>#REF!</v>
      </c>
      <c r="Q11" s="27" t="e">
        <f t="shared" si="11"/>
        <v>#VALUE!</v>
      </c>
      <c r="R11" s="27"/>
      <c r="S11" s="26">
        <f t="shared" si="12"/>
        <v>1590</v>
      </c>
      <c r="T11" s="26" t="e">
        <f t="shared" si="13"/>
        <v>#REF!</v>
      </c>
      <c r="U11" s="27" t="e">
        <f t="shared" si="14"/>
        <v>#REF!</v>
      </c>
      <c r="V11" s="27"/>
      <c r="W11" s="26">
        <f t="shared" si="15"/>
        <v>943</v>
      </c>
      <c r="X11" s="26" t="e">
        <f t="shared" si="16"/>
        <v>#REF!</v>
      </c>
      <c r="Y11" s="27" t="e">
        <f t="shared" si="17"/>
        <v>#REF!</v>
      </c>
    </row>
    <row r="12" spans="1:25" ht="16.5" customHeight="1">
      <c r="A12" s="16" t="s">
        <v>27</v>
      </c>
      <c r="B12" s="16" t="s">
        <v>28</v>
      </c>
      <c r="C12" s="25">
        <f t="shared" si="0"/>
        <v>16</v>
      </c>
      <c r="D12" s="25" t="e">
        <f t="shared" si="1"/>
        <v>#REF!</v>
      </c>
      <c r="E12" s="27" t="e">
        <f t="shared" si="2"/>
        <v>#REF!</v>
      </c>
      <c r="F12" s="25"/>
      <c r="G12" s="25">
        <f t="shared" si="3"/>
        <v>8</v>
      </c>
      <c r="H12" s="25" t="e">
        <f t="shared" si="4"/>
        <v>#REF!</v>
      </c>
      <c r="I12" s="27" t="e">
        <f t="shared" si="5"/>
        <v>#REF!</v>
      </c>
      <c r="J12" s="25"/>
      <c r="K12" s="25">
        <f t="shared" si="6"/>
        <v>21</v>
      </c>
      <c r="L12" s="25" t="e">
        <f t="shared" si="7"/>
        <v>#REF!</v>
      </c>
      <c r="M12" s="27" t="e">
        <f t="shared" si="8"/>
        <v>#REF!</v>
      </c>
      <c r="N12" s="27"/>
      <c r="O12" s="26" t="str">
        <f t="shared" si="9"/>
        <v>Piedmont</v>
      </c>
      <c r="P12" s="26" t="e">
        <f t="shared" si="10"/>
        <v>#REF!</v>
      </c>
      <c r="Q12" s="27" t="e">
        <f t="shared" si="11"/>
        <v>#VALUE!</v>
      </c>
      <c r="R12" s="27"/>
      <c r="S12" s="26">
        <f t="shared" si="12"/>
        <v>15</v>
      </c>
      <c r="T12" s="26" t="e">
        <f t="shared" si="13"/>
        <v>#REF!</v>
      </c>
      <c r="U12" s="27" t="e">
        <f t="shared" si="14"/>
        <v>#REF!</v>
      </c>
      <c r="V12" s="27"/>
      <c r="W12" s="26">
        <f t="shared" si="15"/>
        <v>9</v>
      </c>
      <c r="X12" s="26" t="e">
        <f t="shared" si="16"/>
        <v>#REF!</v>
      </c>
      <c r="Y12" s="27" t="e">
        <f t="shared" si="17"/>
        <v>#REF!</v>
      </c>
    </row>
    <row r="13" spans="1:25" ht="16.5" customHeight="1">
      <c r="A13" s="16" t="s">
        <v>29</v>
      </c>
      <c r="B13" s="16" t="s">
        <v>307</v>
      </c>
      <c r="C13" s="25">
        <f t="shared" si="0"/>
        <v>638</v>
      </c>
      <c r="D13" s="25" t="e">
        <f t="shared" si="1"/>
        <v>#REF!</v>
      </c>
      <c r="E13" s="27" t="e">
        <f t="shared" si="2"/>
        <v>#REF!</v>
      </c>
      <c r="F13" s="25"/>
      <c r="G13" s="25">
        <f t="shared" si="3"/>
        <v>442</v>
      </c>
      <c r="H13" s="25" t="e">
        <f t="shared" si="4"/>
        <v>#REF!</v>
      </c>
      <c r="I13" s="27" t="e">
        <f t="shared" si="5"/>
        <v>#REF!</v>
      </c>
      <c r="J13" s="25"/>
      <c r="K13" s="25">
        <f t="shared" si="6"/>
        <v>738</v>
      </c>
      <c r="L13" s="25" t="e">
        <f t="shared" si="7"/>
        <v>#REF!</v>
      </c>
      <c r="M13" s="27" t="e">
        <f t="shared" si="8"/>
        <v>#REF!</v>
      </c>
      <c r="N13" s="27"/>
      <c r="O13" s="26" t="str">
        <f t="shared" si="9"/>
        <v>Piedmont</v>
      </c>
      <c r="P13" s="26" t="e">
        <f t="shared" si="10"/>
        <v>#REF!</v>
      </c>
      <c r="Q13" s="27" t="e">
        <f t="shared" si="11"/>
        <v>#VALUE!</v>
      </c>
      <c r="R13" s="27"/>
      <c r="S13" s="26">
        <f t="shared" si="12"/>
        <v>681</v>
      </c>
      <c r="T13" s="26" t="e">
        <f t="shared" si="13"/>
        <v>#REF!</v>
      </c>
      <c r="U13" s="27" t="e">
        <f t="shared" si="14"/>
        <v>#REF!</v>
      </c>
      <c r="V13" s="27"/>
      <c r="W13" s="26">
        <f t="shared" si="15"/>
        <v>399</v>
      </c>
      <c r="X13" s="26" t="e">
        <f t="shared" si="16"/>
        <v>#REF!</v>
      </c>
      <c r="Y13" s="27" t="e">
        <f t="shared" si="17"/>
        <v>#REF!</v>
      </c>
    </row>
    <row r="14" spans="1:25" ht="16.5" customHeight="1">
      <c r="A14" s="16" t="s">
        <v>30</v>
      </c>
      <c r="B14" s="16" t="s">
        <v>31</v>
      </c>
      <c r="C14" s="25">
        <f t="shared" si="0"/>
        <v>49</v>
      </c>
      <c r="D14" s="25" t="e">
        <f t="shared" si="1"/>
        <v>#REF!</v>
      </c>
      <c r="E14" s="27" t="e">
        <f t="shared" si="2"/>
        <v>#REF!</v>
      </c>
      <c r="F14" s="25"/>
      <c r="G14" s="25">
        <f t="shared" si="3"/>
        <v>29</v>
      </c>
      <c r="H14" s="25" t="e">
        <f t="shared" si="4"/>
        <v>#REF!</v>
      </c>
      <c r="I14" s="27" t="e">
        <f t="shared" si="5"/>
        <v>#REF!</v>
      </c>
      <c r="J14" s="25"/>
      <c r="K14" s="25">
        <f t="shared" si="6"/>
        <v>70</v>
      </c>
      <c r="L14" s="25" t="e">
        <f t="shared" si="7"/>
        <v>#REF!</v>
      </c>
      <c r="M14" s="27" t="e">
        <f t="shared" si="8"/>
        <v>#REF!</v>
      </c>
      <c r="N14" s="27"/>
      <c r="O14" s="26" t="str">
        <f t="shared" si="9"/>
        <v>Western</v>
      </c>
      <c r="P14" s="26" t="e">
        <f t="shared" si="10"/>
        <v>#REF!</v>
      </c>
      <c r="Q14" s="27" t="e">
        <f t="shared" si="11"/>
        <v>#VALUE!</v>
      </c>
      <c r="R14" s="27"/>
      <c r="S14" s="26">
        <f t="shared" si="12"/>
        <v>49</v>
      </c>
      <c r="T14" s="26" t="e">
        <f t="shared" si="13"/>
        <v>#REF!</v>
      </c>
      <c r="U14" s="27" t="e">
        <f t="shared" si="14"/>
        <v>#REF!</v>
      </c>
      <c r="V14" s="27"/>
      <c r="W14" s="26">
        <f t="shared" si="15"/>
        <v>29</v>
      </c>
      <c r="X14" s="26" t="e">
        <f t="shared" si="16"/>
        <v>#REF!</v>
      </c>
      <c r="Y14" s="27" t="e">
        <f t="shared" si="17"/>
        <v>#REF!</v>
      </c>
    </row>
    <row r="15" spans="1:25" ht="16.5" customHeight="1">
      <c r="A15" s="16" t="s">
        <v>32</v>
      </c>
      <c r="B15" s="16" t="s">
        <v>33</v>
      </c>
      <c r="C15" s="25">
        <f t="shared" si="0"/>
        <v>92</v>
      </c>
      <c r="D15" s="25" t="e">
        <f t="shared" si="1"/>
        <v>#REF!</v>
      </c>
      <c r="E15" s="27" t="e">
        <f t="shared" si="2"/>
        <v>#REF!</v>
      </c>
      <c r="F15" s="25"/>
      <c r="G15" s="25">
        <f t="shared" si="3"/>
        <v>83</v>
      </c>
      <c r="H15" s="25" t="e">
        <f t="shared" si="4"/>
        <v>#REF!</v>
      </c>
      <c r="I15" s="27" t="e">
        <f t="shared" si="5"/>
        <v>#REF!</v>
      </c>
      <c r="J15" s="25"/>
      <c r="K15" s="25">
        <f t="shared" si="6"/>
        <v>141</v>
      </c>
      <c r="L15" s="25" t="e">
        <f t="shared" si="7"/>
        <v>#REF!</v>
      </c>
      <c r="M15" s="27" t="e">
        <f t="shared" si="8"/>
        <v>#REF!</v>
      </c>
      <c r="N15" s="27"/>
      <c r="O15" s="26" t="str">
        <f t="shared" si="9"/>
        <v>Piedmont</v>
      </c>
      <c r="P15" s="26" t="e">
        <f t="shared" si="10"/>
        <v>#REF!</v>
      </c>
      <c r="Q15" s="27" t="e">
        <f t="shared" si="11"/>
        <v>#VALUE!</v>
      </c>
      <c r="R15" s="27"/>
      <c r="S15" s="26">
        <f t="shared" si="12"/>
        <v>111</v>
      </c>
      <c r="T15" s="26" t="e">
        <f t="shared" si="13"/>
        <v>#REF!</v>
      </c>
      <c r="U15" s="27" t="e">
        <f t="shared" si="14"/>
        <v>#REF!</v>
      </c>
      <c r="V15" s="27"/>
      <c r="W15" s="26">
        <f t="shared" si="15"/>
        <v>64</v>
      </c>
      <c r="X15" s="26" t="e">
        <f t="shared" si="16"/>
        <v>#REF!</v>
      </c>
      <c r="Y15" s="27" t="e">
        <f t="shared" si="17"/>
        <v>#REF!</v>
      </c>
    </row>
    <row r="16" spans="1:25" ht="16.5" customHeight="1">
      <c r="A16" s="16" t="s">
        <v>36</v>
      </c>
      <c r="B16" s="16" t="s">
        <v>37</v>
      </c>
      <c r="C16" s="25">
        <f t="shared" si="0"/>
        <v>325</v>
      </c>
      <c r="D16" s="25" t="e">
        <f t="shared" si="1"/>
        <v>#REF!</v>
      </c>
      <c r="E16" s="27" t="e">
        <f t="shared" si="2"/>
        <v>#REF!</v>
      </c>
      <c r="F16" s="25"/>
      <c r="G16" s="25">
        <f t="shared" si="3"/>
        <v>176</v>
      </c>
      <c r="H16" s="25" t="e">
        <f t="shared" si="4"/>
        <v>#REF!</v>
      </c>
      <c r="I16" s="27" t="e">
        <f t="shared" si="5"/>
        <v>#REF!</v>
      </c>
      <c r="J16" s="25"/>
      <c r="K16" s="25">
        <f t="shared" si="6"/>
        <v>79</v>
      </c>
      <c r="L16" s="25" t="e">
        <f t="shared" si="7"/>
        <v>#REF!</v>
      </c>
      <c r="M16" s="27" t="e">
        <f t="shared" si="8"/>
        <v>#REF!</v>
      </c>
      <c r="N16" s="27"/>
      <c r="O16" s="26" t="str">
        <f t="shared" si="9"/>
        <v>Eastern</v>
      </c>
      <c r="P16" s="26" t="e">
        <f t="shared" si="10"/>
        <v>#REF!</v>
      </c>
      <c r="Q16" s="27" t="e">
        <f t="shared" si="11"/>
        <v>#VALUE!</v>
      </c>
      <c r="R16" s="27"/>
      <c r="S16" s="26">
        <f t="shared" si="12"/>
        <v>324</v>
      </c>
      <c r="T16" s="26" t="e">
        <f t="shared" si="13"/>
        <v>#REF!</v>
      </c>
      <c r="U16" s="27" t="e">
        <f t="shared" si="14"/>
        <v>#REF!</v>
      </c>
      <c r="V16" s="27"/>
      <c r="W16" s="26">
        <f t="shared" si="15"/>
        <v>177</v>
      </c>
      <c r="X16" s="26" t="e">
        <f t="shared" si="16"/>
        <v>#REF!</v>
      </c>
      <c r="Y16" s="27" t="e">
        <f t="shared" si="17"/>
        <v>#REF!</v>
      </c>
    </row>
    <row r="17" spans="1:25" ht="16.5" customHeight="1">
      <c r="A17" s="16" t="s">
        <v>38</v>
      </c>
      <c r="B17" s="16" t="s">
        <v>39</v>
      </c>
      <c r="C17" s="25">
        <f t="shared" si="0"/>
        <v>396</v>
      </c>
      <c r="D17" s="25" t="e">
        <f t="shared" si="1"/>
        <v>#REF!</v>
      </c>
      <c r="E17" s="27" t="e">
        <f t="shared" si="2"/>
        <v>#REF!</v>
      </c>
      <c r="F17" s="25"/>
      <c r="G17" s="25">
        <f t="shared" si="3"/>
        <v>297</v>
      </c>
      <c r="H17" s="25" t="e">
        <f t="shared" si="4"/>
        <v>#REF!</v>
      </c>
      <c r="I17" s="27" t="e">
        <f t="shared" si="5"/>
        <v>#REF!</v>
      </c>
      <c r="J17" s="25"/>
      <c r="K17" s="25">
        <f t="shared" si="6"/>
        <v>661</v>
      </c>
      <c r="L17" s="25" t="e">
        <f t="shared" si="7"/>
        <v>#REF!</v>
      </c>
      <c r="M17" s="27" t="e">
        <f t="shared" si="8"/>
        <v>#REF!</v>
      </c>
      <c r="N17" s="27"/>
      <c r="O17" s="26" t="str">
        <f t="shared" si="9"/>
        <v>Western</v>
      </c>
      <c r="P17" s="26" t="e">
        <f t="shared" si="10"/>
        <v>#REF!</v>
      </c>
      <c r="Q17" s="27" t="e">
        <f t="shared" si="11"/>
        <v>#VALUE!</v>
      </c>
      <c r="R17" s="27"/>
      <c r="S17" s="26">
        <f t="shared" si="12"/>
        <v>396</v>
      </c>
      <c r="T17" s="26" t="e">
        <f t="shared" si="13"/>
        <v>#REF!</v>
      </c>
      <c r="U17" s="27" t="e">
        <f t="shared" si="14"/>
        <v>#REF!</v>
      </c>
      <c r="V17" s="27"/>
      <c r="W17" s="26">
        <f t="shared" si="15"/>
        <v>296</v>
      </c>
      <c r="X17" s="26" t="e">
        <f t="shared" si="16"/>
        <v>#REF!</v>
      </c>
      <c r="Y17" s="27" t="e">
        <f t="shared" si="17"/>
        <v>#REF!</v>
      </c>
    </row>
    <row r="18" spans="1:25" ht="16.5" customHeight="1">
      <c r="A18" s="16" t="s">
        <v>40</v>
      </c>
      <c r="B18" s="16" t="s">
        <v>41</v>
      </c>
      <c r="C18" s="25">
        <f t="shared" si="0"/>
        <v>211</v>
      </c>
      <c r="D18" s="25" t="e">
        <f t="shared" si="1"/>
        <v>#REF!</v>
      </c>
      <c r="E18" s="27" t="e">
        <f t="shared" si="2"/>
        <v>#REF!</v>
      </c>
      <c r="F18" s="25"/>
      <c r="G18" s="25">
        <f t="shared" si="3"/>
        <v>124</v>
      </c>
      <c r="H18" s="25" t="e">
        <f t="shared" si="4"/>
        <v>#REF!</v>
      </c>
      <c r="I18" s="27" t="e">
        <f t="shared" si="5"/>
        <v>#REF!</v>
      </c>
      <c r="J18" s="25"/>
      <c r="K18" s="25">
        <f t="shared" si="6"/>
        <v>130</v>
      </c>
      <c r="L18" s="25" t="e">
        <f t="shared" si="7"/>
        <v>#REF!</v>
      </c>
      <c r="M18" s="27" t="e">
        <f t="shared" si="8"/>
        <v>#REF!</v>
      </c>
      <c r="N18" s="27"/>
      <c r="O18" s="26" t="str">
        <f t="shared" si="9"/>
        <v>Central</v>
      </c>
      <c r="P18" s="26" t="e">
        <f t="shared" si="10"/>
        <v>#REF!</v>
      </c>
      <c r="Q18" s="27" t="e">
        <f t="shared" si="11"/>
        <v>#VALUE!</v>
      </c>
      <c r="R18" s="27"/>
      <c r="S18" s="26">
        <f t="shared" si="12"/>
        <v>212</v>
      </c>
      <c r="T18" s="26" t="e">
        <f t="shared" si="13"/>
        <v>#REF!</v>
      </c>
      <c r="U18" s="27" t="e">
        <f t="shared" si="14"/>
        <v>#REF!</v>
      </c>
      <c r="V18" s="27"/>
      <c r="W18" s="26">
        <f t="shared" si="15"/>
        <v>123</v>
      </c>
      <c r="X18" s="26" t="e">
        <f t="shared" si="16"/>
        <v>#REF!</v>
      </c>
      <c r="Y18" s="27" t="e">
        <f t="shared" si="17"/>
        <v>#REF!</v>
      </c>
    </row>
    <row r="19" spans="1:25" ht="16.5" customHeight="1">
      <c r="A19" s="16" t="s">
        <v>42</v>
      </c>
      <c r="B19" s="16" t="s">
        <v>43</v>
      </c>
      <c r="C19" s="25">
        <f t="shared" si="0"/>
        <v>733</v>
      </c>
      <c r="D19" s="25" t="e">
        <f t="shared" si="1"/>
        <v>#REF!</v>
      </c>
      <c r="E19" s="27" t="e">
        <f t="shared" si="2"/>
        <v>#REF!</v>
      </c>
      <c r="F19" s="25"/>
      <c r="G19" s="25">
        <f t="shared" si="3"/>
        <v>471</v>
      </c>
      <c r="H19" s="25" t="e">
        <f t="shared" si="4"/>
        <v>#REF!</v>
      </c>
      <c r="I19" s="27" t="e">
        <f t="shared" si="5"/>
        <v>#REF!</v>
      </c>
      <c r="J19" s="25"/>
      <c r="K19" s="25">
        <f t="shared" si="6"/>
        <v>710</v>
      </c>
      <c r="L19" s="25" t="e">
        <f t="shared" si="7"/>
        <v>#REF!</v>
      </c>
      <c r="M19" s="27" t="e">
        <f t="shared" si="8"/>
        <v>#REF!</v>
      </c>
      <c r="N19" s="27"/>
      <c r="O19" s="26" t="str">
        <f t="shared" si="9"/>
        <v>Piedmont</v>
      </c>
      <c r="P19" s="26" t="e">
        <f t="shared" si="10"/>
        <v>#REF!</v>
      </c>
      <c r="Q19" s="27" t="e">
        <f t="shared" si="11"/>
        <v>#VALUE!</v>
      </c>
      <c r="R19" s="27"/>
      <c r="S19" s="26">
        <f t="shared" si="12"/>
        <v>730</v>
      </c>
      <c r="T19" s="26" t="e">
        <f t="shared" si="13"/>
        <v>#REF!</v>
      </c>
      <c r="U19" s="27" t="e">
        <f t="shared" si="14"/>
        <v>#REF!</v>
      </c>
      <c r="V19" s="27"/>
      <c r="W19" s="26">
        <f t="shared" si="15"/>
        <v>474</v>
      </c>
      <c r="X19" s="26" t="e">
        <f t="shared" si="16"/>
        <v>#REF!</v>
      </c>
      <c r="Y19" s="27" t="e">
        <f t="shared" si="17"/>
        <v>#REF!</v>
      </c>
    </row>
    <row r="20" spans="1:25" ht="16.5" customHeight="1">
      <c r="A20" s="16" t="s">
        <v>44</v>
      </c>
      <c r="B20" s="16" t="s">
        <v>45</v>
      </c>
      <c r="C20" s="25">
        <f t="shared" si="0"/>
        <v>512</v>
      </c>
      <c r="D20" s="25" t="e">
        <f t="shared" si="1"/>
        <v>#REF!</v>
      </c>
      <c r="E20" s="27" t="e">
        <f t="shared" si="2"/>
        <v>#REF!</v>
      </c>
      <c r="F20" s="25"/>
      <c r="G20" s="25">
        <f t="shared" si="3"/>
        <v>338</v>
      </c>
      <c r="H20" s="25" t="e">
        <f t="shared" si="4"/>
        <v>#REF!</v>
      </c>
      <c r="I20" s="27" t="e">
        <f t="shared" si="5"/>
        <v>#REF!</v>
      </c>
      <c r="J20" s="25"/>
      <c r="K20" s="25">
        <f t="shared" si="6"/>
        <v>373</v>
      </c>
      <c r="L20" s="25" t="e">
        <f t="shared" si="7"/>
        <v>#REF!</v>
      </c>
      <c r="M20" s="27" t="e">
        <f t="shared" si="8"/>
        <v>#REF!</v>
      </c>
      <c r="N20" s="27"/>
      <c r="O20" s="26" t="str">
        <f t="shared" si="9"/>
        <v>Central</v>
      </c>
      <c r="P20" s="26" t="e">
        <f t="shared" si="10"/>
        <v>#REF!</v>
      </c>
      <c r="Q20" s="27" t="e">
        <f t="shared" si="11"/>
        <v>#VALUE!</v>
      </c>
      <c r="R20" s="27"/>
      <c r="S20" s="26">
        <f t="shared" si="12"/>
        <v>528</v>
      </c>
      <c r="T20" s="26" t="e">
        <f t="shared" si="13"/>
        <v>#REF!</v>
      </c>
      <c r="U20" s="27" t="e">
        <f t="shared" si="14"/>
        <v>#REF!</v>
      </c>
      <c r="V20" s="27"/>
      <c r="W20" s="26">
        <f t="shared" si="15"/>
        <v>321</v>
      </c>
      <c r="X20" s="26" t="e">
        <f t="shared" si="16"/>
        <v>#REF!</v>
      </c>
      <c r="Y20" s="27" t="e">
        <f t="shared" si="17"/>
        <v>#REF!</v>
      </c>
    </row>
    <row r="21" spans="1:25" ht="16.5" customHeight="1">
      <c r="A21" s="16" t="s">
        <v>46</v>
      </c>
      <c r="B21" s="16" t="s">
        <v>47</v>
      </c>
      <c r="C21" s="25">
        <f t="shared" si="0"/>
        <v>273</v>
      </c>
      <c r="D21" s="25" t="e">
        <f t="shared" si="1"/>
        <v>#REF!</v>
      </c>
      <c r="E21" s="27" t="e">
        <f t="shared" si="2"/>
        <v>#REF!</v>
      </c>
      <c r="F21" s="25"/>
      <c r="G21" s="25">
        <f t="shared" si="3"/>
        <v>229</v>
      </c>
      <c r="H21" s="25" t="e">
        <f t="shared" si="4"/>
        <v>#REF!</v>
      </c>
      <c r="I21" s="27" t="e">
        <f t="shared" si="5"/>
        <v>#REF!</v>
      </c>
      <c r="J21" s="25"/>
      <c r="K21" s="25">
        <f t="shared" si="6"/>
        <v>453</v>
      </c>
      <c r="L21" s="25" t="e">
        <f t="shared" si="7"/>
        <v>#REF!</v>
      </c>
      <c r="M21" s="27" t="e">
        <f t="shared" si="8"/>
        <v>#REF!</v>
      </c>
      <c r="N21" s="27"/>
      <c r="O21" s="26" t="str">
        <f t="shared" si="9"/>
        <v>Western</v>
      </c>
      <c r="P21" s="26" t="e">
        <f t="shared" si="10"/>
        <v>#REF!</v>
      </c>
      <c r="Q21" s="27" t="e">
        <f t="shared" si="11"/>
        <v>#VALUE!</v>
      </c>
      <c r="R21" s="27"/>
      <c r="S21" s="26">
        <f t="shared" si="12"/>
        <v>315</v>
      </c>
      <c r="T21" s="26" t="e">
        <f t="shared" si="13"/>
        <v>#REF!</v>
      </c>
      <c r="U21" s="27" t="e">
        <f t="shared" si="14"/>
        <v>#REF!</v>
      </c>
      <c r="V21" s="27"/>
      <c r="W21" s="26">
        <f t="shared" si="15"/>
        <v>185</v>
      </c>
      <c r="X21" s="26" t="e">
        <f t="shared" si="16"/>
        <v>#REF!</v>
      </c>
      <c r="Y21" s="27" t="e">
        <f t="shared" si="17"/>
        <v>#REF!</v>
      </c>
    </row>
    <row r="22" spans="1:25" ht="16.5" customHeight="1">
      <c r="A22" s="16" t="s">
        <v>48</v>
      </c>
      <c r="B22" s="16" t="s">
        <v>269</v>
      </c>
      <c r="C22" s="25">
        <f t="shared" si="0"/>
        <v>40</v>
      </c>
      <c r="D22" s="25" t="e">
        <f t="shared" si="1"/>
        <v>#REF!</v>
      </c>
      <c r="E22" s="27" t="e">
        <f t="shared" si="2"/>
        <v>#REF!</v>
      </c>
      <c r="F22" s="25"/>
      <c r="G22" s="25">
        <f t="shared" si="3"/>
        <v>29</v>
      </c>
      <c r="H22" s="25" t="e">
        <f t="shared" si="4"/>
        <v>#REF!</v>
      </c>
      <c r="I22" s="27" t="e">
        <f t="shared" si="5"/>
        <v>#REF!</v>
      </c>
      <c r="J22" s="25"/>
      <c r="K22" s="25">
        <f t="shared" si="6"/>
        <v>25</v>
      </c>
      <c r="L22" s="25" t="e">
        <f t="shared" si="7"/>
        <v>#REF!</v>
      </c>
      <c r="M22" s="27" t="e">
        <f t="shared" si="8"/>
        <v>#REF!</v>
      </c>
      <c r="N22" s="27"/>
      <c r="O22" s="26" t="str">
        <f t="shared" si="9"/>
        <v>Central</v>
      </c>
      <c r="P22" s="26" t="e">
        <f t="shared" si="10"/>
        <v>#REF!</v>
      </c>
      <c r="Q22" s="27" t="e">
        <f t="shared" si="11"/>
        <v>#VALUE!</v>
      </c>
      <c r="R22" s="27"/>
      <c r="S22" s="26">
        <f t="shared" si="12"/>
        <v>45</v>
      </c>
      <c r="T22" s="26" t="e">
        <f t="shared" si="13"/>
        <v>#REF!</v>
      </c>
      <c r="U22" s="27" t="e">
        <f t="shared" si="14"/>
        <v>#REF!</v>
      </c>
      <c r="V22" s="27"/>
      <c r="W22" s="26">
        <f t="shared" si="15"/>
        <v>24</v>
      </c>
      <c r="X22" s="26" t="e">
        <f t="shared" si="16"/>
        <v>#REF!</v>
      </c>
      <c r="Y22" s="27" t="e">
        <f t="shared" si="17"/>
        <v>#REF!</v>
      </c>
    </row>
    <row r="23" spans="1:25" ht="16.5" customHeight="1">
      <c r="A23" s="16" t="s">
        <v>50</v>
      </c>
      <c r="B23" s="16" t="s">
        <v>51</v>
      </c>
      <c r="C23" s="25">
        <f t="shared" si="0"/>
        <v>243</v>
      </c>
      <c r="D23" s="25" t="e">
        <f t="shared" si="1"/>
        <v>#REF!</v>
      </c>
      <c r="E23" s="27" t="e">
        <f t="shared" si="2"/>
        <v>#REF!</v>
      </c>
      <c r="F23" s="25"/>
      <c r="G23" s="25">
        <f t="shared" si="3"/>
        <v>181</v>
      </c>
      <c r="H23" s="25" t="e">
        <f t="shared" si="4"/>
        <v>#REF!</v>
      </c>
      <c r="I23" s="27" t="e">
        <f t="shared" si="5"/>
        <v>#REF!</v>
      </c>
      <c r="J23" s="25"/>
      <c r="K23" s="25">
        <f t="shared" si="6"/>
        <v>148</v>
      </c>
      <c r="L23" s="25" t="e">
        <f t="shared" si="7"/>
        <v>#REF!</v>
      </c>
      <c r="M23" s="27" t="e">
        <f t="shared" si="8"/>
        <v>#REF!</v>
      </c>
      <c r="N23" s="27"/>
      <c r="O23" s="26" t="str">
        <f t="shared" si="9"/>
        <v>Piedmont</v>
      </c>
      <c r="P23" s="26" t="e">
        <f t="shared" si="10"/>
        <v>#REF!</v>
      </c>
      <c r="Q23" s="27" t="e">
        <f t="shared" si="11"/>
        <v>#VALUE!</v>
      </c>
      <c r="R23" s="27"/>
      <c r="S23" s="26">
        <f t="shared" si="12"/>
        <v>271</v>
      </c>
      <c r="T23" s="26" t="e">
        <f t="shared" si="13"/>
        <v>#REF!</v>
      </c>
      <c r="U23" s="27" t="e">
        <f t="shared" si="14"/>
        <v>#REF!</v>
      </c>
      <c r="V23" s="27"/>
      <c r="W23" s="26">
        <f t="shared" si="15"/>
        <v>153</v>
      </c>
      <c r="X23" s="26" t="e">
        <f t="shared" si="16"/>
        <v>#REF!</v>
      </c>
      <c r="Y23" s="27" t="e">
        <f t="shared" si="17"/>
        <v>#REF!</v>
      </c>
    </row>
    <row r="24" spans="1:25" ht="16.5" customHeight="1">
      <c r="A24" s="16" t="s">
        <v>56</v>
      </c>
      <c r="B24" s="16" t="s">
        <v>295</v>
      </c>
      <c r="C24" s="25">
        <f t="shared" si="0"/>
        <v>2754</v>
      </c>
      <c r="D24" s="25" t="e">
        <f t="shared" si="1"/>
        <v>#REF!</v>
      </c>
      <c r="E24" s="27" t="e">
        <f t="shared" si="2"/>
        <v>#REF!</v>
      </c>
      <c r="F24" s="25"/>
      <c r="G24" s="25">
        <f t="shared" si="3"/>
        <v>1769</v>
      </c>
      <c r="H24" s="25" t="e">
        <f t="shared" si="4"/>
        <v>#REF!</v>
      </c>
      <c r="I24" s="27" t="e">
        <f t="shared" si="5"/>
        <v>#REF!</v>
      </c>
      <c r="J24" s="25"/>
      <c r="K24" s="25">
        <f t="shared" si="6"/>
        <v>1505</v>
      </c>
      <c r="L24" s="25" t="e">
        <f t="shared" si="7"/>
        <v>#REF!</v>
      </c>
      <c r="M24" s="27" t="e">
        <f t="shared" si="8"/>
        <v>#REF!</v>
      </c>
      <c r="N24" s="27"/>
      <c r="O24" s="26" t="str">
        <f t="shared" si="9"/>
        <v>Central</v>
      </c>
      <c r="P24" s="26" t="e">
        <f t="shared" si="10"/>
        <v>#REF!</v>
      </c>
      <c r="Q24" s="27" t="e">
        <f t="shared" si="11"/>
        <v>#VALUE!</v>
      </c>
      <c r="R24" s="27"/>
      <c r="S24" s="26">
        <f t="shared" si="12"/>
        <v>2871</v>
      </c>
      <c r="T24" s="26" t="e">
        <f t="shared" si="13"/>
        <v>#REF!</v>
      </c>
      <c r="U24" s="27" t="e">
        <f t="shared" si="14"/>
        <v>#REF!</v>
      </c>
      <c r="V24" s="27"/>
      <c r="W24" s="26">
        <f t="shared" si="15"/>
        <v>1651</v>
      </c>
      <c r="X24" s="26" t="e">
        <f t="shared" si="16"/>
        <v>#REF!</v>
      </c>
      <c r="Y24" s="27" t="e">
        <f t="shared" si="17"/>
        <v>#REF!</v>
      </c>
    </row>
    <row r="25" spans="1:25" ht="16.5" customHeight="1">
      <c r="A25" s="16" t="s">
        <v>58</v>
      </c>
      <c r="B25" s="16" t="s">
        <v>59</v>
      </c>
      <c r="C25" s="25">
        <f t="shared" si="0"/>
        <v>48</v>
      </c>
      <c r="D25" s="25" t="e">
        <f t="shared" si="1"/>
        <v>#REF!</v>
      </c>
      <c r="E25" s="27" t="e">
        <f t="shared" si="2"/>
        <v>#REF!</v>
      </c>
      <c r="F25" s="25"/>
      <c r="G25" s="25">
        <f t="shared" si="3"/>
        <v>32</v>
      </c>
      <c r="H25" s="25" t="e">
        <f t="shared" si="4"/>
        <v>#REF!</v>
      </c>
      <c r="I25" s="27" t="e">
        <f t="shared" si="5"/>
        <v>#REF!</v>
      </c>
      <c r="J25" s="25"/>
      <c r="K25" s="25">
        <f t="shared" si="6"/>
        <v>64</v>
      </c>
      <c r="L25" s="25" t="e">
        <f t="shared" si="7"/>
        <v>#REF!</v>
      </c>
      <c r="M25" s="27" t="e">
        <f t="shared" si="8"/>
        <v>#REF!</v>
      </c>
      <c r="N25" s="27"/>
      <c r="O25" s="26" t="str">
        <f t="shared" si="9"/>
        <v>Northern</v>
      </c>
      <c r="P25" s="26" t="e">
        <f t="shared" si="10"/>
        <v>#REF!</v>
      </c>
      <c r="Q25" s="27" t="e">
        <f t="shared" si="11"/>
        <v>#VALUE!</v>
      </c>
      <c r="R25" s="27"/>
      <c r="S25" s="26">
        <f t="shared" si="12"/>
        <v>47</v>
      </c>
      <c r="T25" s="26" t="e">
        <f t="shared" si="13"/>
        <v>#REF!</v>
      </c>
      <c r="U25" s="27" t="e">
        <f t="shared" si="14"/>
        <v>#REF!</v>
      </c>
      <c r="V25" s="27"/>
      <c r="W25" s="26">
        <f t="shared" si="15"/>
        <v>32</v>
      </c>
      <c r="X25" s="26" t="e">
        <f t="shared" si="16"/>
        <v>#REF!</v>
      </c>
      <c r="Y25" s="27" t="e">
        <f t="shared" si="17"/>
        <v>#REF!</v>
      </c>
    </row>
    <row r="26" spans="1:25" ht="16.5" customHeight="1">
      <c r="A26" s="16" t="s">
        <v>60</v>
      </c>
      <c r="B26" s="16" t="s">
        <v>61</v>
      </c>
      <c r="C26" s="25">
        <f t="shared" si="0"/>
        <v>37</v>
      </c>
      <c r="D26" s="25" t="e">
        <f t="shared" si="1"/>
        <v>#REF!</v>
      </c>
      <c r="E26" s="27" t="e">
        <f t="shared" si="2"/>
        <v>#REF!</v>
      </c>
      <c r="F26" s="25"/>
      <c r="G26" s="25">
        <f t="shared" si="3"/>
        <v>22</v>
      </c>
      <c r="H26" s="25" t="e">
        <f t="shared" si="4"/>
        <v>#REF!</v>
      </c>
      <c r="I26" s="27" t="e">
        <f t="shared" si="5"/>
        <v>#REF!</v>
      </c>
      <c r="J26" s="25"/>
      <c r="K26" s="25">
        <f t="shared" si="6"/>
        <v>58</v>
      </c>
      <c r="L26" s="25" t="e">
        <f t="shared" si="7"/>
        <v>#REF!</v>
      </c>
      <c r="M26" s="27" t="e">
        <f t="shared" si="8"/>
        <v>#REF!</v>
      </c>
      <c r="N26" s="27"/>
      <c r="O26" s="26" t="str">
        <f t="shared" si="9"/>
        <v>Piedmont</v>
      </c>
      <c r="P26" s="26" t="e">
        <f t="shared" si="10"/>
        <v>#REF!</v>
      </c>
      <c r="Q26" s="27" t="e">
        <f t="shared" si="11"/>
        <v>#VALUE!</v>
      </c>
      <c r="R26" s="27"/>
      <c r="S26" s="26">
        <f t="shared" si="12"/>
        <v>41</v>
      </c>
      <c r="T26" s="26" t="e">
        <f t="shared" si="13"/>
        <v>#REF!</v>
      </c>
      <c r="U26" s="27" t="e">
        <f t="shared" si="14"/>
        <v>#REF!</v>
      </c>
      <c r="V26" s="27"/>
      <c r="W26" s="26">
        <f t="shared" si="15"/>
        <v>18</v>
      </c>
      <c r="X26" s="26" t="e">
        <f t="shared" si="16"/>
        <v>#REF!</v>
      </c>
      <c r="Y26" s="27" t="e">
        <f t="shared" si="17"/>
        <v>#REF!</v>
      </c>
    </row>
    <row r="27" spans="1:25" ht="16.5" customHeight="1">
      <c r="A27" s="16" t="s">
        <v>62</v>
      </c>
      <c r="B27" s="16" t="s">
        <v>63</v>
      </c>
      <c r="C27" s="25">
        <f t="shared" si="0"/>
        <v>489</v>
      </c>
      <c r="D27" s="25" t="e">
        <f t="shared" si="1"/>
        <v>#REF!</v>
      </c>
      <c r="E27" s="27" t="e">
        <f t="shared" si="2"/>
        <v>#REF!</v>
      </c>
      <c r="F27" s="25"/>
      <c r="G27" s="25">
        <f t="shared" si="3"/>
        <v>303</v>
      </c>
      <c r="H27" s="25" t="e">
        <f t="shared" si="4"/>
        <v>#REF!</v>
      </c>
      <c r="I27" s="27" t="e">
        <f t="shared" si="5"/>
        <v>#REF!</v>
      </c>
      <c r="J27" s="25"/>
      <c r="K27" s="25">
        <f t="shared" si="6"/>
        <v>370</v>
      </c>
      <c r="L27" s="25" t="e">
        <f t="shared" si="7"/>
        <v>#REF!</v>
      </c>
      <c r="M27" s="27" t="e">
        <f t="shared" si="8"/>
        <v>#REF!</v>
      </c>
      <c r="N27" s="27"/>
      <c r="O27" s="26" t="str">
        <f t="shared" si="9"/>
        <v>Northern</v>
      </c>
      <c r="P27" s="26" t="e">
        <f t="shared" si="10"/>
        <v>#REF!</v>
      </c>
      <c r="Q27" s="27" t="e">
        <f t="shared" si="11"/>
        <v>#VALUE!</v>
      </c>
      <c r="R27" s="27"/>
      <c r="S27" s="26">
        <f t="shared" si="12"/>
        <v>500</v>
      </c>
      <c r="T27" s="26" t="e">
        <f t="shared" si="13"/>
        <v>#REF!</v>
      </c>
      <c r="U27" s="27" t="e">
        <f t="shared" si="14"/>
        <v>#REF!</v>
      </c>
      <c r="V27" s="27"/>
      <c r="W27" s="26">
        <f t="shared" si="15"/>
        <v>291</v>
      </c>
      <c r="X27" s="26" t="e">
        <f t="shared" si="16"/>
        <v>#REF!</v>
      </c>
      <c r="Y27" s="27" t="e">
        <f t="shared" si="17"/>
        <v>#REF!</v>
      </c>
    </row>
    <row r="28" spans="1:25" ht="16.5" customHeight="1">
      <c r="A28" s="16" t="s">
        <v>64</v>
      </c>
      <c r="B28" s="16" t="s">
        <v>65</v>
      </c>
      <c r="C28" s="25">
        <f t="shared" si="0"/>
        <v>180</v>
      </c>
      <c r="D28" s="25" t="e">
        <f t="shared" si="1"/>
        <v>#REF!</v>
      </c>
      <c r="E28" s="27" t="e">
        <f t="shared" si="2"/>
        <v>#REF!</v>
      </c>
      <c r="F28" s="25"/>
      <c r="G28" s="25">
        <f t="shared" si="3"/>
        <v>148</v>
      </c>
      <c r="H28" s="25" t="e">
        <f t="shared" si="4"/>
        <v>#REF!</v>
      </c>
      <c r="I28" s="27" t="e">
        <f t="shared" si="5"/>
        <v>#REF!</v>
      </c>
      <c r="J28" s="25"/>
      <c r="K28" s="25">
        <f t="shared" si="6"/>
        <v>129</v>
      </c>
      <c r="L28" s="25" t="e">
        <f t="shared" si="7"/>
        <v>#REF!</v>
      </c>
      <c r="M28" s="27" t="e">
        <f t="shared" si="8"/>
        <v>#REF!</v>
      </c>
      <c r="N28" s="27"/>
      <c r="O28" s="26" t="str">
        <f t="shared" si="9"/>
        <v>Central</v>
      </c>
      <c r="P28" s="26" t="e">
        <f t="shared" si="10"/>
        <v>#REF!</v>
      </c>
      <c r="Q28" s="27" t="e">
        <f t="shared" si="11"/>
        <v>#VALUE!</v>
      </c>
      <c r="R28" s="27"/>
      <c r="S28" s="26">
        <f t="shared" si="12"/>
        <v>209</v>
      </c>
      <c r="T28" s="26" t="e">
        <f t="shared" si="13"/>
        <v>#REF!</v>
      </c>
      <c r="U28" s="27" t="e">
        <f t="shared" si="14"/>
        <v>#REF!</v>
      </c>
      <c r="V28" s="27"/>
      <c r="W28" s="26">
        <f t="shared" si="15"/>
        <v>118</v>
      </c>
      <c r="X28" s="26" t="e">
        <f t="shared" si="16"/>
        <v>#REF!</v>
      </c>
      <c r="Y28" s="27" t="e">
        <f t="shared" si="17"/>
        <v>#REF!</v>
      </c>
    </row>
    <row r="29" spans="1:25" ht="16.5" customHeight="1">
      <c r="A29" s="16" t="s">
        <v>68</v>
      </c>
      <c r="B29" s="16" t="s">
        <v>69</v>
      </c>
      <c r="C29" s="25">
        <f t="shared" si="0"/>
        <v>218</v>
      </c>
      <c r="D29" s="25" t="e">
        <f t="shared" si="1"/>
        <v>#REF!</v>
      </c>
      <c r="E29" s="27" t="e">
        <f t="shared" si="2"/>
        <v>#REF!</v>
      </c>
      <c r="F29" s="25"/>
      <c r="G29" s="25">
        <f t="shared" si="3"/>
        <v>146</v>
      </c>
      <c r="H29" s="25" t="e">
        <f t="shared" si="4"/>
        <v>#REF!</v>
      </c>
      <c r="I29" s="27" t="e">
        <f t="shared" si="5"/>
        <v>#REF!</v>
      </c>
      <c r="J29" s="25"/>
      <c r="K29" s="25">
        <f t="shared" si="6"/>
        <v>351</v>
      </c>
      <c r="L29" s="25" t="e">
        <f t="shared" si="7"/>
        <v>#REF!</v>
      </c>
      <c r="M29" s="27" t="e">
        <f t="shared" si="8"/>
        <v>#REF!</v>
      </c>
      <c r="N29" s="27"/>
      <c r="O29" s="26" t="str">
        <f t="shared" si="9"/>
        <v>Western</v>
      </c>
      <c r="P29" s="26" t="e">
        <f t="shared" si="10"/>
        <v>#REF!</v>
      </c>
      <c r="Q29" s="27" t="e">
        <f t="shared" si="11"/>
        <v>#VALUE!</v>
      </c>
      <c r="R29" s="27"/>
      <c r="S29" s="26">
        <f t="shared" si="12"/>
        <v>206</v>
      </c>
      <c r="T29" s="26" t="e">
        <f t="shared" si="13"/>
        <v>#REF!</v>
      </c>
      <c r="U29" s="27" t="e">
        <f t="shared" si="14"/>
        <v>#REF!</v>
      </c>
      <c r="V29" s="27"/>
      <c r="W29" s="26">
        <f t="shared" si="15"/>
        <v>158</v>
      </c>
      <c r="X29" s="26" t="e">
        <f t="shared" si="16"/>
        <v>#REF!</v>
      </c>
      <c r="Y29" s="27" t="e">
        <f t="shared" si="17"/>
        <v>#REF!</v>
      </c>
    </row>
    <row r="30" spans="1:25" ht="16.5" customHeight="1">
      <c r="A30" s="16" t="s">
        <v>70</v>
      </c>
      <c r="B30" s="16" t="s">
        <v>71</v>
      </c>
      <c r="C30" s="25">
        <f t="shared" si="0"/>
        <v>417</v>
      </c>
      <c r="D30" s="25" t="e">
        <f t="shared" si="1"/>
        <v>#REF!</v>
      </c>
      <c r="E30" s="27" t="e">
        <f t="shared" si="2"/>
        <v>#REF!</v>
      </c>
      <c r="F30" s="25"/>
      <c r="G30" s="25">
        <f t="shared" si="3"/>
        <v>276</v>
      </c>
      <c r="H30" s="25" t="e">
        <f t="shared" si="4"/>
        <v>#REF!</v>
      </c>
      <c r="I30" s="27" t="e">
        <f t="shared" si="5"/>
        <v>#REF!</v>
      </c>
      <c r="J30" s="25"/>
      <c r="K30" s="25">
        <f t="shared" si="6"/>
        <v>325</v>
      </c>
      <c r="L30" s="25" t="e">
        <f t="shared" si="7"/>
        <v>#REF!</v>
      </c>
      <c r="M30" s="27" t="e">
        <f t="shared" si="8"/>
        <v>#REF!</v>
      </c>
      <c r="N30" s="27"/>
      <c r="O30" s="26" t="str">
        <f t="shared" si="9"/>
        <v>Eastern</v>
      </c>
      <c r="P30" s="26" t="e">
        <f t="shared" si="10"/>
        <v>#REF!</v>
      </c>
      <c r="Q30" s="27" t="e">
        <f t="shared" si="11"/>
        <v>#VALUE!</v>
      </c>
      <c r="R30" s="27"/>
      <c r="S30" s="26">
        <f t="shared" si="12"/>
        <v>450</v>
      </c>
      <c r="T30" s="26" t="e">
        <f t="shared" si="13"/>
        <v>#REF!</v>
      </c>
      <c r="U30" s="27" t="e">
        <f t="shared" si="14"/>
        <v>#REF!</v>
      </c>
      <c r="V30" s="27"/>
      <c r="W30" s="26">
        <f t="shared" si="15"/>
        <v>243</v>
      </c>
      <c r="X30" s="26" t="e">
        <f t="shared" si="16"/>
        <v>#REF!</v>
      </c>
      <c r="Y30" s="27" t="e">
        <f t="shared" si="17"/>
        <v>#REF!</v>
      </c>
    </row>
    <row r="31" spans="1:25" ht="16.5" customHeight="1">
      <c r="A31" s="16" t="s">
        <v>72</v>
      </c>
      <c r="B31" s="16" t="s">
        <v>73</v>
      </c>
      <c r="C31" s="25">
        <f t="shared" si="0"/>
        <v>246</v>
      </c>
      <c r="D31" s="25" t="e">
        <f t="shared" si="1"/>
        <v>#REF!</v>
      </c>
      <c r="E31" s="27" t="e">
        <f t="shared" si="2"/>
        <v>#REF!</v>
      </c>
      <c r="F31" s="25"/>
      <c r="G31" s="25">
        <f t="shared" si="3"/>
        <v>143</v>
      </c>
      <c r="H31" s="25" t="e">
        <f t="shared" si="4"/>
        <v>#REF!</v>
      </c>
      <c r="I31" s="27" t="e">
        <f t="shared" si="5"/>
        <v>#REF!</v>
      </c>
      <c r="J31" s="25"/>
      <c r="K31" s="25">
        <f t="shared" si="6"/>
        <v>78</v>
      </c>
      <c r="L31" s="25" t="e">
        <f t="shared" si="7"/>
        <v>#REF!</v>
      </c>
      <c r="M31" s="27" t="e">
        <f t="shared" si="8"/>
        <v>#REF!</v>
      </c>
      <c r="N31" s="27"/>
      <c r="O31" s="26" t="str">
        <f t="shared" si="9"/>
        <v>Central</v>
      </c>
      <c r="P31" s="26" t="e">
        <f t="shared" si="10"/>
        <v>#REF!</v>
      </c>
      <c r="Q31" s="27" t="e">
        <f t="shared" si="11"/>
        <v>#VALUE!</v>
      </c>
      <c r="R31" s="27"/>
      <c r="S31" s="26">
        <f t="shared" si="12"/>
        <v>254</v>
      </c>
      <c r="T31" s="26" t="e">
        <f t="shared" si="13"/>
        <v>#REF!</v>
      </c>
      <c r="U31" s="27" t="e">
        <f t="shared" si="14"/>
        <v>#REF!</v>
      </c>
      <c r="V31" s="27"/>
      <c r="W31" s="26">
        <f t="shared" si="15"/>
        <v>134</v>
      </c>
      <c r="X31" s="26" t="e">
        <f t="shared" si="16"/>
        <v>#REF!</v>
      </c>
      <c r="Y31" s="27" t="e">
        <f t="shared" si="17"/>
        <v>#REF!</v>
      </c>
    </row>
    <row r="32" spans="1:25" ht="16.5" customHeight="1">
      <c r="A32" s="16" t="s">
        <v>74</v>
      </c>
      <c r="B32" s="16" t="s">
        <v>302</v>
      </c>
      <c r="C32" s="25">
        <f t="shared" si="0"/>
        <v>4552</v>
      </c>
      <c r="D32" s="25" t="e">
        <f t="shared" si="1"/>
        <v>#REF!</v>
      </c>
      <c r="E32" s="27" t="e">
        <f t="shared" si="2"/>
        <v>#REF!</v>
      </c>
      <c r="F32" s="25"/>
      <c r="G32" s="25">
        <f t="shared" si="3"/>
        <v>2956</v>
      </c>
      <c r="H32" s="25" t="e">
        <f t="shared" si="4"/>
        <v>#REF!</v>
      </c>
      <c r="I32" s="27" t="e">
        <f t="shared" si="5"/>
        <v>#REF!</v>
      </c>
      <c r="J32" s="25"/>
      <c r="K32" s="25">
        <f t="shared" si="6"/>
        <v>2436</v>
      </c>
      <c r="L32" s="25" t="e">
        <f t="shared" si="7"/>
        <v>#REF!</v>
      </c>
      <c r="M32" s="27" t="e">
        <f t="shared" si="8"/>
        <v>#REF!</v>
      </c>
      <c r="N32" s="27"/>
      <c r="O32" s="26" t="str">
        <f t="shared" si="9"/>
        <v>Northern</v>
      </c>
      <c r="P32" s="26" t="e">
        <f t="shared" si="10"/>
        <v>#REF!</v>
      </c>
      <c r="Q32" s="27" t="e">
        <f t="shared" si="11"/>
        <v>#VALUE!</v>
      </c>
      <c r="R32" s="27"/>
      <c r="S32" s="26">
        <f t="shared" si="12"/>
        <v>4545</v>
      </c>
      <c r="T32" s="26" t="e">
        <f t="shared" si="13"/>
        <v>#REF!</v>
      </c>
      <c r="U32" s="27" t="e">
        <f t="shared" si="14"/>
        <v>#REF!</v>
      </c>
      <c r="V32" s="27"/>
      <c r="W32" s="26">
        <f t="shared" si="15"/>
        <v>2947</v>
      </c>
      <c r="X32" s="26" t="e">
        <f t="shared" si="16"/>
        <v>#REF!</v>
      </c>
      <c r="Y32" s="27" t="e">
        <f t="shared" si="17"/>
        <v>#REF!</v>
      </c>
    </row>
    <row r="33" spans="1:25" ht="16.5" customHeight="1">
      <c r="A33" s="16" t="s">
        <v>76</v>
      </c>
      <c r="B33" s="16" t="s">
        <v>77</v>
      </c>
      <c r="C33" s="25">
        <f t="shared" si="0"/>
        <v>271</v>
      </c>
      <c r="D33" s="25" t="e">
        <f t="shared" si="1"/>
        <v>#REF!</v>
      </c>
      <c r="E33" s="27" t="e">
        <f t="shared" si="2"/>
        <v>#REF!</v>
      </c>
      <c r="F33" s="25"/>
      <c r="G33" s="25">
        <f t="shared" si="3"/>
        <v>178</v>
      </c>
      <c r="H33" s="25" t="e">
        <f t="shared" si="4"/>
        <v>#REF!</v>
      </c>
      <c r="I33" s="27" t="e">
        <f t="shared" si="5"/>
        <v>#REF!</v>
      </c>
      <c r="J33" s="25"/>
      <c r="K33" s="25">
        <f t="shared" si="6"/>
        <v>238</v>
      </c>
      <c r="L33" s="25" t="e">
        <f t="shared" si="7"/>
        <v>#REF!</v>
      </c>
      <c r="M33" s="27" t="e">
        <f t="shared" si="8"/>
        <v>#REF!</v>
      </c>
      <c r="N33" s="27"/>
      <c r="O33" s="26" t="str">
        <f t="shared" si="9"/>
        <v>Northern</v>
      </c>
      <c r="P33" s="26" t="e">
        <f t="shared" si="10"/>
        <v>#REF!</v>
      </c>
      <c r="Q33" s="27" t="e">
        <f t="shared" si="11"/>
        <v>#VALUE!</v>
      </c>
      <c r="R33" s="27"/>
      <c r="S33" s="26">
        <f t="shared" si="12"/>
        <v>285</v>
      </c>
      <c r="T33" s="26" t="e">
        <f t="shared" si="13"/>
        <v>#REF!</v>
      </c>
      <c r="U33" s="27" t="e">
        <f t="shared" si="14"/>
        <v>#REF!</v>
      </c>
      <c r="V33" s="27"/>
      <c r="W33" s="26">
        <f t="shared" si="15"/>
        <v>164</v>
      </c>
      <c r="X33" s="26" t="e">
        <f t="shared" si="16"/>
        <v>#REF!</v>
      </c>
      <c r="Y33" s="27" t="e">
        <f t="shared" si="17"/>
        <v>#REF!</v>
      </c>
    </row>
    <row r="34" spans="1:25" ht="16.5" customHeight="1">
      <c r="A34" s="16" t="s">
        <v>78</v>
      </c>
      <c r="B34" s="16" t="s">
        <v>79</v>
      </c>
      <c r="C34" s="25">
        <f t="shared" si="0"/>
        <v>138</v>
      </c>
      <c r="D34" s="25" t="e">
        <f t="shared" si="1"/>
        <v>#REF!</v>
      </c>
      <c r="E34" s="27" t="e">
        <f t="shared" si="2"/>
        <v>#REF!</v>
      </c>
      <c r="F34" s="25"/>
      <c r="G34" s="25">
        <f t="shared" si="3"/>
        <v>116</v>
      </c>
      <c r="H34" s="25" t="e">
        <f t="shared" si="4"/>
        <v>#REF!</v>
      </c>
      <c r="I34" s="27" t="e">
        <f t="shared" si="5"/>
        <v>#REF!</v>
      </c>
      <c r="J34" s="25"/>
      <c r="K34" s="25">
        <f t="shared" si="6"/>
        <v>218</v>
      </c>
      <c r="L34" s="25" t="e">
        <f t="shared" si="7"/>
        <v>#REF!</v>
      </c>
      <c r="M34" s="27" t="e">
        <f t="shared" si="8"/>
        <v>#REF!</v>
      </c>
      <c r="N34" s="27"/>
      <c r="O34" s="26" t="str">
        <f t="shared" si="9"/>
        <v>Western</v>
      </c>
      <c r="P34" s="26" t="e">
        <f t="shared" si="10"/>
        <v>#REF!</v>
      </c>
      <c r="Q34" s="27" t="e">
        <f t="shared" si="11"/>
        <v>#VALUE!</v>
      </c>
      <c r="R34" s="27"/>
      <c r="S34" s="26">
        <f t="shared" si="12"/>
        <v>158</v>
      </c>
      <c r="T34" s="26" t="e">
        <f t="shared" si="13"/>
        <v>#REF!</v>
      </c>
      <c r="U34" s="27" t="e">
        <f t="shared" si="14"/>
        <v>#REF!</v>
      </c>
      <c r="V34" s="27"/>
      <c r="W34" s="26">
        <f t="shared" si="15"/>
        <v>95</v>
      </c>
      <c r="X34" s="26" t="e">
        <f t="shared" si="16"/>
        <v>#REF!</v>
      </c>
      <c r="Y34" s="27" t="e">
        <f t="shared" si="17"/>
        <v>#REF!</v>
      </c>
    </row>
    <row r="35" spans="1:25" ht="16.5" customHeight="1">
      <c r="A35" s="16" t="s">
        <v>80</v>
      </c>
      <c r="B35" s="16" t="s">
        <v>81</v>
      </c>
      <c r="C35" s="25">
        <f t="shared" si="0"/>
        <v>115</v>
      </c>
      <c r="D35" s="25" t="e">
        <f t="shared" si="1"/>
        <v>#REF!</v>
      </c>
      <c r="E35" s="27" t="e">
        <f t="shared" si="2"/>
        <v>#REF!</v>
      </c>
      <c r="F35" s="25"/>
      <c r="G35" s="25">
        <f t="shared" si="3"/>
        <v>89</v>
      </c>
      <c r="H35" s="25" t="e">
        <f t="shared" si="4"/>
        <v>#REF!</v>
      </c>
      <c r="I35" s="27" t="e">
        <f t="shared" si="5"/>
        <v>#REF!</v>
      </c>
      <c r="J35" s="25"/>
      <c r="K35" s="25">
        <f t="shared" si="6"/>
        <v>121</v>
      </c>
      <c r="L35" s="25" t="e">
        <f t="shared" si="7"/>
        <v>#REF!</v>
      </c>
      <c r="M35" s="27" t="e">
        <f t="shared" si="8"/>
        <v>#REF!</v>
      </c>
      <c r="N35" s="27"/>
      <c r="O35" s="26" t="str">
        <f t="shared" si="9"/>
        <v>Central</v>
      </c>
      <c r="P35" s="26" t="e">
        <f t="shared" si="10"/>
        <v>#REF!</v>
      </c>
      <c r="Q35" s="27" t="e">
        <f t="shared" si="11"/>
        <v>#VALUE!</v>
      </c>
      <c r="R35" s="27"/>
      <c r="S35" s="26">
        <f t="shared" si="12"/>
        <v>144</v>
      </c>
      <c r="T35" s="26" t="e">
        <f t="shared" si="13"/>
        <v>#REF!</v>
      </c>
      <c r="U35" s="27" t="e">
        <f t="shared" si="14"/>
        <v>#REF!</v>
      </c>
      <c r="V35" s="27"/>
      <c r="W35" s="26">
        <f t="shared" si="15"/>
        <v>60</v>
      </c>
      <c r="X35" s="26" t="e">
        <f t="shared" si="16"/>
        <v>#REF!</v>
      </c>
      <c r="Y35" s="27" t="e">
        <f t="shared" si="17"/>
        <v>#REF!</v>
      </c>
    </row>
    <row r="36" spans="1:25" ht="16.5" customHeight="1">
      <c r="A36" s="16" t="s">
        <v>84</v>
      </c>
      <c r="B36" s="16" t="s">
        <v>308</v>
      </c>
      <c r="C36" s="25">
        <f t="shared" ref="C36:C67" si="18">VLOOKUP(A36,TANFClient_Demo,7,FALSE)</f>
        <v>600</v>
      </c>
      <c r="D36" s="25" t="e">
        <f t="shared" ref="D36:D67" si="19">VLOOKUP(A36,Pop,14,FALSE)</f>
        <v>#REF!</v>
      </c>
      <c r="E36" s="27" t="e">
        <f t="shared" ref="E36:E67" si="20">+C36/D36</f>
        <v>#REF!</v>
      </c>
      <c r="F36" s="25"/>
      <c r="G36" s="25">
        <f t="shared" ref="G36:G67" si="21">VLOOKUP(A36,TANFClient_Demo,8,FALSE)</f>
        <v>418</v>
      </c>
      <c r="H36" s="25" t="e">
        <f t="shared" ref="H36:H67" si="22">VLOOKUP(A36,Pop,15,FALSE)</f>
        <v>#REF!</v>
      </c>
      <c r="I36" s="27" t="e">
        <f t="shared" ref="I36:I67" si="23">+G36/H36</f>
        <v>#REF!</v>
      </c>
      <c r="J36" s="25"/>
      <c r="K36" s="25">
        <f t="shared" ref="K36:K67" si="24">VLOOKUP(A36,TANFClient_Demo,9,FALSE)</f>
        <v>703</v>
      </c>
      <c r="L36" s="25" t="e">
        <f t="shared" ref="L36:L67" si="25">VLOOKUP(A36,Pop,16,FALSE)</f>
        <v>#REF!</v>
      </c>
      <c r="M36" s="27" t="e">
        <f t="shared" ref="M36:M67" si="26">+K36/L36</f>
        <v>#REF!</v>
      </c>
      <c r="N36" s="27"/>
      <c r="O36" s="26" t="str">
        <f t="shared" ref="O36:O67" si="27">VLOOKUP(A36,TANFClient_Demo,3,FALSE)</f>
        <v>Piedmont</v>
      </c>
      <c r="P36" s="26" t="e">
        <f t="shared" ref="P36:P67" si="28">VLOOKUP(A36,Pop,8,FALSE)</f>
        <v>#REF!</v>
      </c>
      <c r="Q36" s="27" t="e">
        <f t="shared" ref="Q36:Q67" si="29">+O36/P36</f>
        <v>#VALUE!</v>
      </c>
      <c r="R36" s="27"/>
      <c r="S36" s="26">
        <f t="shared" ref="S36:S67" si="30">VLOOKUP(A36,TANFClient_Demo,4,FALSE)</f>
        <v>625</v>
      </c>
      <c r="T36" s="26" t="e">
        <f t="shared" ref="T36:T67" si="31">VLOOKUP(A36,Pop,9,FALSE)</f>
        <v>#REF!</v>
      </c>
      <c r="U36" s="27" t="e">
        <f t="shared" ref="U36:U67" si="32">+S36/T36</f>
        <v>#REF!</v>
      </c>
      <c r="V36" s="27"/>
      <c r="W36" s="26">
        <f t="shared" ref="W36:W67" si="33">VLOOKUP(A36,TANFClient_Demo,5,FALSE)</f>
        <v>391</v>
      </c>
      <c r="X36" s="26" t="e">
        <f t="shared" ref="X36:X67" si="34">VLOOKUP(A36,Pop,10,FALSE)</f>
        <v>#REF!</v>
      </c>
      <c r="Y36" s="27" t="e">
        <f t="shared" ref="Y36:Y67" si="35">+W36/X36</f>
        <v>#REF!</v>
      </c>
    </row>
    <row r="37" spans="1:25" ht="16.5" customHeight="1">
      <c r="A37" s="16" t="s">
        <v>86</v>
      </c>
      <c r="B37" s="16" t="s">
        <v>87</v>
      </c>
      <c r="C37" s="25">
        <f t="shared" si="18"/>
        <v>375</v>
      </c>
      <c r="D37" s="25" t="e">
        <f t="shared" si="19"/>
        <v>#REF!</v>
      </c>
      <c r="E37" s="27" t="e">
        <f t="shared" si="20"/>
        <v>#REF!</v>
      </c>
      <c r="F37" s="25"/>
      <c r="G37" s="25">
        <f t="shared" si="21"/>
        <v>273</v>
      </c>
      <c r="H37" s="25" t="e">
        <f t="shared" si="22"/>
        <v>#REF!</v>
      </c>
      <c r="I37" s="27" t="e">
        <f t="shared" si="23"/>
        <v>#REF!</v>
      </c>
      <c r="J37" s="25"/>
      <c r="K37" s="25">
        <f t="shared" si="24"/>
        <v>470</v>
      </c>
      <c r="L37" s="25" t="e">
        <f t="shared" si="25"/>
        <v>#REF!</v>
      </c>
      <c r="M37" s="27" t="e">
        <f t="shared" si="26"/>
        <v>#REF!</v>
      </c>
      <c r="N37" s="27"/>
      <c r="O37" s="26" t="str">
        <f t="shared" si="27"/>
        <v>Northern</v>
      </c>
      <c r="P37" s="26" t="e">
        <f t="shared" si="28"/>
        <v>#REF!</v>
      </c>
      <c r="Q37" s="27" t="e">
        <f t="shared" si="29"/>
        <v>#VALUE!</v>
      </c>
      <c r="R37" s="27"/>
      <c r="S37" s="26">
        <f t="shared" si="30"/>
        <v>411</v>
      </c>
      <c r="T37" s="26" t="e">
        <f t="shared" si="31"/>
        <v>#REF!</v>
      </c>
      <c r="U37" s="27" t="e">
        <f t="shared" si="32"/>
        <v>#REF!</v>
      </c>
      <c r="V37" s="27"/>
      <c r="W37" s="26">
        <f t="shared" si="33"/>
        <v>237</v>
      </c>
      <c r="X37" s="26" t="e">
        <f t="shared" si="34"/>
        <v>#REF!</v>
      </c>
      <c r="Y37" s="27" t="e">
        <f t="shared" si="35"/>
        <v>#REF!</v>
      </c>
    </row>
    <row r="38" spans="1:25" ht="16.5" customHeight="1">
      <c r="A38" s="16" t="s">
        <v>92</v>
      </c>
      <c r="B38" s="16" t="s">
        <v>93</v>
      </c>
      <c r="C38" s="25">
        <f t="shared" si="18"/>
        <v>135</v>
      </c>
      <c r="D38" s="25" t="e">
        <f t="shared" si="19"/>
        <v>#REF!</v>
      </c>
      <c r="E38" s="27" t="e">
        <f t="shared" si="20"/>
        <v>#REF!</v>
      </c>
      <c r="F38" s="25"/>
      <c r="G38" s="25">
        <f t="shared" si="21"/>
        <v>88</v>
      </c>
      <c r="H38" s="25" t="e">
        <f t="shared" si="22"/>
        <v>#REF!</v>
      </c>
      <c r="I38" s="27" t="e">
        <f t="shared" si="23"/>
        <v>#REF!</v>
      </c>
      <c r="J38" s="25"/>
      <c r="K38" s="25">
        <f t="shared" si="24"/>
        <v>202</v>
      </c>
      <c r="L38" s="25" t="e">
        <f t="shared" si="25"/>
        <v>#REF!</v>
      </c>
      <c r="M38" s="27" t="e">
        <f t="shared" si="26"/>
        <v>#REF!</v>
      </c>
      <c r="N38" s="27"/>
      <c r="O38" s="26" t="str">
        <f t="shared" si="27"/>
        <v>Western</v>
      </c>
      <c r="P38" s="26" t="e">
        <f t="shared" si="28"/>
        <v>#REF!</v>
      </c>
      <c r="Q38" s="27" t="e">
        <f t="shared" si="29"/>
        <v>#VALUE!</v>
      </c>
      <c r="R38" s="27"/>
      <c r="S38" s="26">
        <f t="shared" si="30"/>
        <v>145</v>
      </c>
      <c r="T38" s="26" t="e">
        <f t="shared" si="31"/>
        <v>#REF!</v>
      </c>
      <c r="U38" s="27" t="e">
        <f t="shared" si="32"/>
        <v>#REF!</v>
      </c>
      <c r="V38" s="27"/>
      <c r="W38" s="26">
        <f t="shared" si="33"/>
        <v>78</v>
      </c>
      <c r="X38" s="26" t="e">
        <f t="shared" si="34"/>
        <v>#REF!</v>
      </c>
      <c r="Y38" s="27" t="e">
        <f t="shared" si="35"/>
        <v>#REF!</v>
      </c>
    </row>
    <row r="39" spans="1:25" ht="16.5" customHeight="1">
      <c r="A39" s="16" t="s">
        <v>94</v>
      </c>
      <c r="B39" s="16" t="s">
        <v>95</v>
      </c>
      <c r="C39" s="25">
        <f t="shared" si="18"/>
        <v>311</v>
      </c>
      <c r="D39" s="25" t="e">
        <f t="shared" si="19"/>
        <v>#REF!</v>
      </c>
      <c r="E39" s="27" t="e">
        <f t="shared" si="20"/>
        <v>#REF!</v>
      </c>
      <c r="F39" s="25"/>
      <c r="G39" s="25">
        <f t="shared" si="21"/>
        <v>217</v>
      </c>
      <c r="H39" s="25" t="e">
        <f t="shared" si="22"/>
        <v>#REF!</v>
      </c>
      <c r="I39" s="27" t="e">
        <f t="shared" si="23"/>
        <v>#REF!</v>
      </c>
      <c r="J39" s="25"/>
      <c r="K39" s="25">
        <f t="shared" si="24"/>
        <v>387</v>
      </c>
      <c r="L39" s="25" t="e">
        <f t="shared" si="25"/>
        <v>#REF!</v>
      </c>
      <c r="M39" s="27" t="e">
        <f t="shared" si="26"/>
        <v>#REF!</v>
      </c>
      <c r="N39" s="27"/>
      <c r="O39" s="26" t="str">
        <f t="shared" si="27"/>
        <v>Eastern</v>
      </c>
      <c r="P39" s="26" t="e">
        <f t="shared" si="28"/>
        <v>#REF!</v>
      </c>
      <c r="Q39" s="27" t="e">
        <f t="shared" si="29"/>
        <v>#VALUE!</v>
      </c>
      <c r="R39" s="27"/>
      <c r="S39" s="26">
        <f t="shared" si="30"/>
        <v>355</v>
      </c>
      <c r="T39" s="26" t="e">
        <f t="shared" si="31"/>
        <v>#REF!</v>
      </c>
      <c r="U39" s="27" t="e">
        <f t="shared" si="32"/>
        <v>#REF!</v>
      </c>
      <c r="V39" s="27"/>
      <c r="W39" s="26">
        <f t="shared" si="33"/>
        <v>173</v>
      </c>
      <c r="X39" s="26" t="e">
        <f t="shared" si="34"/>
        <v>#REF!</v>
      </c>
      <c r="Y39" s="27" t="e">
        <f t="shared" si="35"/>
        <v>#REF!</v>
      </c>
    </row>
    <row r="40" spans="1:25" ht="16.5" customHeight="1">
      <c r="A40" s="16" t="s">
        <v>96</v>
      </c>
      <c r="B40" s="16" t="s">
        <v>97</v>
      </c>
      <c r="C40" s="25">
        <f t="shared" si="18"/>
        <v>72</v>
      </c>
      <c r="D40" s="25" t="e">
        <f t="shared" si="19"/>
        <v>#REF!</v>
      </c>
      <c r="E40" s="27" t="e">
        <f t="shared" si="20"/>
        <v>#REF!</v>
      </c>
      <c r="F40" s="25"/>
      <c r="G40" s="25">
        <f t="shared" si="21"/>
        <v>49</v>
      </c>
      <c r="H40" s="25" t="e">
        <f t="shared" si="22"/>
        <v>#REF!</v>
      </c>
      <c r="I40" s="27" t="e">
        <f t="shared" si="23"/>
        <v>#REF!</v>
      </c>
      <c r="J40" s="25"/>
      <c r="K40" s="25">
        <f t="shared" si="24"/>
        <v>72</v>
      </c>
      <c r="L40" s="25" t="e">
        <f t="shared" si="25"/>
        <v>#REF!</v>
      </c>
      <c r="M40" s="27" t="e">
        <f t="shared" si="26"/>
        <v>#REF!</v>
      </c>
      <c r="N40" s="27"/>
      <c r="O40" s="26" t="str">
        <f t="shared" si="27"/>
        <v>Central</v>
      </c>
      <c r="P40" s="26" t="e">
        <f t="shared" si="28"/>
        <v>#REF!</v>
      </c>
      <c r="Q40" s="27" t="e">
        <f t="shared" si="29"/>
        <v>#VALUE!</v>
      </c>
      <c r="R40" s="27"/>
      <c r="S40" s="26">
        <f t="shared" si="30"/>
        <v>74</v>
      </c>
      <c r="T40" s="26" t="e">
        <f t="shared" si="31"/>
        <v>#REF!</v>
      </c>
      <c r="U40" s="27" t="e">
        <f t="shared" si="32"/>
        <v>#REF!</v>
      </c>
      <c r="V40" s="27"/>
      <c r="W40" s="26">
        <f t="shared" si="33"/>
        <v>47</v>
      </c>
      <c r="X40" s="26" t="e">
        <f t="shared" si="34"/>
        <v>#REF!</v>
      </c>
      <c r="Y40" s="27" t="e">
        <f t="shared" si="35"/>
        <v>#REF!</v>
      </c>
    </row>
    <row r="41" spans="1:25" ht="16.5" customHeight="1">
      <c r="A41" s="16" t="s">
        <v>98</v>
      </c>
      <c r="B41" s="16" t="s">
        <v>99</v>
      </c>
      <c r="C41" s="25">
        <f t="shared" si="18"/>
        <v>154</v>
      </c>
      <c r="D41" s="25" t="e">
        <f t="shared" si="19"/>
        <v>#REF!</v>
      </c>
      <c r="E41" s="27" t="e">
        <f t="shared" si="20"/>
        <v>#REF!</v>
      </c>
      <c r="F41" s="25"/>
      <c r="G41" s="25">
        <f t="shared" si="21"/>
        <v>97</v>
      </c>
      <c r="H41" s="25" t="e">
        <f t="shared" si="22"/>
        <v>#REF!</v>
      </c>
      <c r="I41" s="27" t="e">
        <f t="shared" si="23"/>
        <v>#REF!</v>
      </c>
      <c r="J41" s="25"/>
      <c r="K41" s="25">
        <f t="shared" si="24"/>
        <v>217</v>
      </c>
      <c r="L41" s="25" t="e">
        <f t="shared" si="25"/>
        <v>#REF!</v>
      </c>
      <c r="M41" s="27" t="e">
        <f t="shared" si="26"/>
        <v>#REF!</v>
      </c>
      <c r="N41" s="27"/>
      <c r="O41" s="26" t="str">
        <f t="shared" si="27"/>
        <v>Western</v>
      </c>
      <c r="P41" s="26" t="e">
        <f t="shared" si="28"/>
        <v>#REF!</v>
      </c>
      <c r="Q41" s="27" t="e">
        <f t="shared" si="29"/>
        <v>#VALUE!</v>
      </c>
      <c r="R41" s="27"/>
      <c r="S41" s="26">
        <f t="shared" si="30"/>
        <v>155</v>
      </c>
      <c r="T41" s="26" t="e">
        <f t="shared" si="31"/>
        <v>#REF!</v>
      </c>
      <c r="U41" s="27" t="e">
        <f t="shared" si="32"/>
        <v>#REF!</v>
      </c>
      <c r="V41" s="27"/>
      <c r="W41" s="26">
        <f t="shared" si="33"/>
        <v>96</v>
      </c>
      <c r="X41" s="26" t="e">
        <f t="shared" si="34"/>
        <v>#REF!</v>
      </c>
      <c r="Y41" s="27" t="e">
        <f t="shared" si="35"/>
        <v>#REF!</v>
      </c>
    </row>
    <row r="42" spans="1:25" ht="16.5" customHeight="1">
      <c r="A42" s="16" t="s">
        <v>100</v>
      </c>
      <c r="B42" s="16" t="s">
        <v>101</v>
      </c>
      <c r="C42" s="25">
        <f t="shared" si="18"/>
        <v>118</v>
      </c>
      <c r="D42" s="25" t="e">
        <f t="shared" si="19"/>
        <v>#REF!</v>
      </c>
      <c r="E42" s="27" t="e">
        <f t="shared" si="20"/>
        <v>#REF!</v>
      </c>
      <c r="F42" s="25"/>
      <c r="G42" s="25">
        <f t="shared" si="21"/>
        <v>84</v>
      </c>
      <c r="H42" s="25" t="e">
        <f t="shared" si="22"/>
        <v>#REF!</v>
      </c>
      <c r="I42" s="27" t="e">
        <f t="shared" si="23"/>
        <v>#REF!</v>
      </c>
      <c r="J42" s="25"/>
      <c r="K42" s="25">
        <f t="shared" si="24"/>
        <v>134</v>
      </c>
      <c r="L42" s="25" t="e">
        <f t="shared" si="25"/>
        <v>#REF!</v>
      </c>
      <c r="M42" s="27" t="e">
        <f t="shared" si="26"/>
        <v>#REF!</v>
      </c>
      <c r="N42" s="27"/>
      <c r="O42" s="26" t="str">
        <f t="shared" si="27"/>
        <v>Northern</v>
      </c>
      <c r="P42" s="26" t="e">
        <f t="shared" si="28"/>
        <v>#REF!</v>
      </c>
      <c r="Q42" s="27" t="e">
        <f t="shared" si="29"/>
        <v>#VALUE!</v>
      </c>
      <c r="R42" s="27"/>
      <c r="S42" s="26">
        <f t="shared" si="30"/>
        <v>130</v>
      </c>
      <c r="T42" s="26" t="e">
        <f t="shared" si="31"/>
        <v>#REF!</v>
      </c>
      <c r="U42" s="27" t="e">
        <f t="shared" si="32"/>
        <v>#REF!</v>
      </c>
      <c r="V42" s="27"/>
      <c r="W42" s="26">
        <f t="shared" si="33"/>
        <v>72</v>
      </c>
      <c r="X42" s="26" t="e">
        <f t="shared" si="34"/>
        <v>#REF!</v>
      </c>
      <c r="Y42" s="27" t="e">
        <f t="shared" si="35"/>
        <v>#REF!</v>
      </c>
    </row>
    <row r="43" spans="1:25" ht="16.5" customHeight="1">
      <c r="A43" s="16" t="s">
        <v>102</v>
      </c>
      <c r="B43" s="16" t="s">
        <v>103</v>
      </c>
      <c r="C43" s="25">
        <f t="shared" si="18"/>
        <v>508</v>
      </c>
      <c r="D43" s="25" t="e">
        <f t="shared" si="19"/>
        <v>#REF!</v>
      </c>
      <c r="E43" s="27" t="e">
        <f t="shared" si="20"/>
        <v>#REF!</v>
      </c>
      <c r="F43" s="25"/>
      <c r="G43" s="25">
        <f t="shared" si="21"/>
        <v>326</v>
      </c>
      <c r="H43" s="25" t="e">
        <f t="shared" si="22"/>
        <v>#REF!</v>
      </c>
      <c r="I43" s="27" t="e">
        <f t="shared" si="23"/>
        <v>#REF!</v>
      </c>
      <c r="J43" s="25"/>
      <c r="K43" s="25">
        <f t="shared" si="24"/>
        <v>63</v>
      </c>
      <c r="L43" s="25" t="e">
        <f t="shared" si="25"/>
        <v>#REF!</v>
      </c>
      <c r="M43" s="27" t="e">
        <f t="shared" si="26"/>
        <v>#REF!</v>
      </c>
      <c r="N43" s="27"/>
      <c r="O43" s="26" t="str">
        <f t="shared" si="27"/>
        <v>Eastern</v>
      </c>
      <c r="P43" s="26" t="e">
        <f t="shared" si="28"/>
        <v>#REF!</v>
      </c>
      <c r="Q43" s="27" t="e">
        <f t="shared" si="29"/>
        <v>#VALUE!</v>
      </c>
      <c r="R43" s="27"/>
      <c r="S43" s="26">
        <f t="shared" si="30"/>
        <v>533</v>
      </c>
      <c r="T43" s="26" t="e">
        <f t="shared" si="31"/>
        <v>#REF!</v>
      </c>
      <c r="U43" s="27" t="e">
        <f t="shared" si="32"/>
        <v>#REF!</v>
      </c>
      <c r="V43" s="27"/>
      <c r="W43" s="26">
        <f t="shared" si="33"/>
        <v>299</v>
      </c>
      <c r="X43" s="26" t="e">
        <f t="shared" si="34"/>
        <v>#REF!</v>
      </c>
      <c r="Y43" s="27" t="e">
        <f t="shared" si="35"/>
        <v>#REF!</v>
      </c>
    </row>
    <row r="44" spans="1:25" ht="16.5" customHeight="1">
      <c r="A44" s="16" t="s">
        <v>104</v>
      </c>
      <c r="B44" s="16" t="s">
        <v>309</v>
      </c>
      <c r="C44" s="25">
        <f t="shared" si="18"/>
        <v>595</v>
      </c>
      <c r="D44" s="25" t="e">
        <f t="shared" si="19"/>
        <v>#REF!</v>
      </c>
      <c r="E44" s="27" t="e">
        <f t="shared" si="20"/>
        <v>#REF!</v>
      </c>
      <c r="F44" s="25"/>
      <c r="G44" s="25">
        <f t="shared" si="21"/>
        <v>350</v>
      </c>
      <c r="H44" s="25" t="e">
        <f t="shared" si="22"/>
        <v>#REF!</v>
      </c>
      <c r="I44" s="27" t="e">
        <f t="shared" si="23"/>
        <v>#REF!</v>
      </c>
      <c r="J44" s="25"/>
      <c r="K44" s="25">
        <f t="shared" si="24"/>
        <v>265</v>
      </c>
      <c r="L44" s="25" t="e">
        <f t="shared" si="25"/>
        <v>#REF!</v>
      </c>
      <c r="M44" s="27" t="e">
        <f t="shared" si="26"/>
        <v>#REF!</v>
      </c>
      <c r="N44" s="27"/>
      <c r="O44" s="26" t="str">
        <f t="shared" si="27"/>
        <v>Piedmont</v>
      </c>
      <c r="P44" s="26" t="e">
        <f t="shared" si="28"/>
        <v>#REF!</v>
      </c>
      <c r="Q44" s="27" t="e">
        <f t="shared" si="29"/>
        <v>#VALUE!</v>
      </c>
      <c r="R44" s="27"/>
      <c r="S44" s="26">
        <f t="shared" si="30"/>
        <v>601</v>
      </c>
      <c r="T44" s="26" t="e">
        <f t="shared" si="31"/>
        <v>#REF!</v>
      </c>
      <c r="U44" s="27" t="e">
        <f t="shared" si="32"/>
        <v>#REF!</v>
      </c>
      <c r="V44" s="27"/>
      <c r="W44" s="26">
        <f t="shared" si="33"/>
        <v>342</v>
      </c>
      <c r="X44" s="26" t="e">
        <f t="shared" si="34"/>
        <v>#REF!</v>
      </c>
      <c r="Y44" s="27" t="e">
        <f t="shared" si="35"/>
        <v>#REF!</v>
      </c>
    </row>
    <row r="45" spans="1:25" ht="16.5" customHeight="1">
      <c r="A45" s="16" t="s">
        <v>108</v>
      </c>
      <c r="B45" s="16" t="s">
        <v>109</v>
      </c>
      <c r="C45" s="25">
        <f t="shared" si="18"/>
        <v>422</v>
      </c>
      <c r="D45" s="25" t="e">
        <f t="shared" si="19"/>
        <v>#REF!</v>
      </c>
      <c r="E45" s="27" t="e">
        <f t="shared" si="20"/>
        <v>#REF!</v>
      </c>
      <c r="F45" s="25"/>
      <c r="G45" s="25">
        <f t="shared" si="21"/>
        <v>296</v>
      </c>
      <c r="H45" s="25" t="e">
        <f t="shared" si="22"/>
        <v>#REF!</v>
      </c>
      <c r="I45" s="27" t="e">
        <f t="shared" si="23"/>
        <v>#REF!</v>
      </c>
      <c r="J45" s="25"/>
      <c r="K45" s="25">
        <f t="shared" si="24"/>
        <v>377</v>
      </c>
      <c r="L45" s="25" t="e">
        <f t="shared" si="25"/>
        <v>#REF!</v>
      </c>
      <c r="M45" s="27" t="e">
        <f t="shared" si="26"/>
        <v>#REF!</v>
      </c>
      <c r="N45" s="27"/>
      <c r="O45" s="26" t="str">
        <f t="shared" si="27"/>
        <v>Central</v>
      </c>
      <c r="P45" s="26" t="e">
        <f t="shared" si="28"/>
        <v>#REF!</v>
      </c>
      <c r="Q45" s="27" t="e">
        <f t="shared" si="29"/>
        <v>#VALUE!</v>
      </c>
      <c r="R45" s="27"/>
      <c r="S45" s="26">
        <f t="shared" si="30"/>
        <v>450</v>
      </c>
      <c r="T45" s="26" t="e">
        <f t="shared" si="31"/>
        <v>#REF!</v>
      </c>
      <c r="U45" s="27" t="e">
        <f t="shared" si="32"/>
        <v>#REF!</v>
      </c>
      <c r="V45" s="27"/>
      <c r="W45" s="26">
        <f t="shared" si="33"/>
        <v>267</v>
      </c>
      <c r="X45" s="26" t="e">
        <f t="shared" si="34"/>
        <v>#REF!</v>
      </c>
      <c r="Y45" s="27" t="e">
        <f t="shared" si="35"/>
        <v>#REF!</v>
      </c>
    </row>
    <row r="46" spans="1:25" ht="16.5" customHeight="1">
      <c r="A46" s="16" t="s">
        <v>110</v>
      </c>
      <c r="B46" s="16" t="s">
        <v>111</v>
      </c>
      <c r="C46" s="25">
        <f t="shared" si="18"/>
        <v>3790</v>
      </c>
      <c r="D46" s="25" t="e">
        <f t="shared" si="19"/>
        <v>#REF!</v>
      </c>
      <c r="E46" s="27" t="e">
        <f t="shared" si="20"/>
        <v>#REF!</v>
      </c>
      <c r="F46" s="25"/>
      <c r="G46" s="25">
        <f t="shared" si="21"/>
        <v>2311</v>
      </c>
      <c r="H46" s="25" t="e">
        <f t="shared" si="22"/>
        <v>#REF!</v>
      </c>
      <c r="I46" s="27" t="e">
        <f t="shared" si="23"/>
        <v>#REF!</v>
      </c>
      <c r="J46" s="25"/>
      <c r="K46" s="25">
        <f t="shared" si="24"/>
        <v>1045</v>
      </c>
      <c r="L46" s="25" t="e">
        <f t="shared" si="25"/>
        <v>#REF!</v>
      </c>
      <c r="M46" s="27" t="e">
        <f t="shared" si="26"/>
        <v>#REF!</v>
      </c>
      <c r="N46" s="27"/>
      <c r="O46" s="26" t="str">
        <f t="shared" si="27"/>
        <v>Central</v>
      </c>
      <c r="P46" s="26" t="e">
        <f t="shared" si="28"/>
        <v>#REF!</v>
      </c>
      <c r="Q46" s="27" t="e">
        <f t="shared" si="29"/>
        <v>#VALUE!</v>
      </c>
      <c r="R46" s="27"/>
      <c r="S46" s="26">
        <f t="shared" si="30"/>
        <v>3875</v>
      </c>
      <c r="T46" s="26" t="e">
        <f t="shared" si="31"/>
        <v>#REF!</v>
      </c>
      <c r="U46" s="27" t="e">
        <f t="shared" si="32"/>
        <v>#REF!</v>
      </c>
      <c r="V46" s="27"/>
      <c r="W46" s="26">
        <f t="shared" si="33"/>
        <v>2219</v>
      </c>
      <c r="X46" s="26" t="e">
        <f t="shared" si="34"/>
        <v>#REF!</v>
      </c>
      <c r="Y46" s="27" t="e">
        <f t="shared" si="35"/>
        <v>#REF!</v>
      </c>
    </row>
    <row r="47" spans="1:25" ht="16.5" customHeight="1">
      <c r="A47" s="16" t="s">
        <v>112</v>
      </c>
      <c r="B47" s="16" t="s">
        <v>300</v>
      </c>
      <c r="C47" s="25">
        <f t="shared" si="18"/>
        <v>1278</v>
      </c>
      <c r="D47" s="25" t="e">
        <f t="shared" si="19"/>
        <v>#REF!</v>
      </c>
      <c r="E47" s="27" t="e">
        <f t="shared" si="20"/>
        <v>#REF!</v>
      </c>
      <c r="F47" s="25"/>
      <c r="G47" s="25">
        <f t="shared" si="21"/>
        <v>807</v>
      </c>
      <c r="H47" s="25" t="e">
        <f t="shared" si="22"/>
        <v>#REF!</v>
      </c>
      <c r="I47" s="27" t="e">
        <f t="shared" si="23"/>
        <v>#REF!</v>
      </c>
      <c r="J47" s="25"/>
      <c r="K47" s="25">
        <f t="shared" si="24"/>
        <v>857</v>
      </c>
      <c r="L47" s="25" t="e">
        <f t="shared" si="25"/>
        <v>#REF!</v>
      </c>
      <c r="M47" s="27" t="e">
        <f t="shared" si="26"/>
        <v>#REF!</v>
      </c>
      <c r="N47" s="27"/>
      <c r="O47" s="26" t="str">
        <f t="shared" si="27"/>
        <v>Piedmont</v>
      </c>
      <c r="P47" s="26" t="e">
        <f t="shared" si="28"/>
        <v>#REF!</v>
      </c>
      <c r="Q47" s="27" t="e">
        <f t="shared" si="29"/>
        <v>#VALUE!</v>
      </c>
      <c r="R47" s="27"/>
      <c r="S47" s="26">
        <f t="shared" si="30"/>
        <v>1351</v>
      </c>
      <c r="T47" s="26" t="e">
        <f t="shared" si="31"/>
        <v>#REF!</v>
      </c>
      <c r="U47" s="27" t="e">
        <f t="shared" si="32"/>
        <v>#REF!</v>
      </c>
      <c r="V47" s="27"/>
      <c r="W47" s="26">
        <f t="shared" si="33"/>
        <v>734</v>
      </c>
      <c r="X47" s="26" t="e">
        <f t="shared" si="34"/>
        <v>#REF!</v>
      </c>
      <c r="Y47" s="27" t="e">
        <f t="shared" si="35"/>
        <v>#REF!</v>
      </c>
    </row>
    <row r="48" spans="1:25" ht="16.5" customHeight="1">
      <c r="A48" s="16" t="s">
        <v>114</v>
      </c>
      <c r="B48" s="16" t="s">
        <v>115</v>
      </c>
      <c r="C48" s="25">
        <f t="shared" si="18"/>
        <v>7</v>
      </c>
      <c r="D48" s="25" t="e">
        <f t="shared" si="19"/>
        <v>#REF!</v>
      </c>
      <c r="E48" s="27" t="e">
        <f t="shared" si="20"/>
        <v>#REF!</v>
      </c>
      <c r="F48" s="25"/>
      <c r="G48" s="25">
        <f t="shared" si="21"/>
        <v>2</v>
      </c>
      <c r="H48" s="25" t="e">
        <f t="shared" si="22"/>
        <v>#REF!</v>
      </c>
      <c r="I48" s="27" t="e">
        <f t="shared" si="23"/>
        <v>#REF!</v>
      </c>
      <c r="J48" s="25"/>
      <c r="K48" s="25">
        <f t="shared" si="24"/>
        <v>7</v>
      </c>
      <c r="L48" s="25" t="e">
        <f t="shared" si="25"/>
        <v>#REF!</v>
      </c>
      <c r="M48" s="27" t="e">
        <f t="shared" si="26"/>
        <v>#REF!</v>
      </c>
      <c r="N48" s="27"/>
      <c r="O48" s="26" t="str">
        <f t="shared" si="27"/>
        <v>Piedmont</v>
      </c>
      <c r="P48" s="26" t="e">
        <f t="shared" si="28"/>
        <v>#REF!</v>
      </c>
      <c r="Q48" s="27" t="e">
        <f t="shared" si="29"/>
        <v>#VALUE!</v>
      </c>
      <c r="R48" s="27"/>
      <c r="S48" s="26">
        <f t="shared" si="30"/>
        <v>6</v>
      </c>
      <c r="T48" s="26" t="e">
        <f t="shared" si="31"/>
        <v>#REF!</v>
      </c>
      <c r="U48" s="27" t="e">
        <f t="shared" si="32"/>
        <v>#REF!</v>
      </c>
      <c r="V48" s="27"/>
      <c r="W48" s="26">
        <f t="shared" si="33"/>
        <v>3</v>
      </c>
      <c r="X48" s="26" t="e">
        <f t="shared" si="34"/>
        <v>#REF!</v>
      </c>
      <c r="Y48" s="27" t="e">
        <f t="shared" si="35"/>
        <v>#REF!</v>
      </c>
    </row>
    <row r="49" spans="1:25" ht="16.5" customHeight="1">
      <c r="A49" s="16" t="s">
        <v>118</v>
      </c>
      <c r="B49" s="16" t="s">
        <v>119</v>
      </c>
      <c r="C49" s="25">
        <f t="shared" si="18"/>
        <v>336</v>
      </c>
      <c r="D49" s="25" t="e">
        <f t="shared" si="19"/>
        <v>#REF!</v>
      </c>
      <c r="E49" s="27" t="e">
        <f t="shared" si="20"/>
        <v>#REF!</v>
      </c>
      <c r="F49" s="25"/>
      <c r="G49" s="25">
        <f t="shared" si="21"/>
        <v>219</v>
      </c>
      <c r="H49" s="25" t="e">
        <f t="shared" si="22"/>
        <v>#REF!</v>
      </c>
      <c r="I49" s="27" t="e">
        <f t="shared" si="23"/>
        <v>#REF!</v>
      </c>
      <c r="J49" s="25"/>
      <c r="K49" s="25">
        <f t="shared" si="24"/>
        <v>211</v>
      </c>
      <c r="L49" s="25" t="e">
        <f t="shared" si="25"/>
        <v>#REF!</v>
      </c>
      <c r="M49" s="27" t="e">
        <f t="shared" si="26"/>
        <v>#REF!</v>
      </c>
      <c r="N49" s="27"/>
      <c r="O49" s="26" t="str">
        <f t="shared" si="27"/>
        <v>Eastern</v>
      </c>
      <c r="P49" s="26" t="e">
        <f t="shared" si="28"/>
        <v>#REF!</v>
      </c>
      <c r="Q49" s="27" t="e">
        <f t="shared" si="29"/>
        <v>#VALUE!</v>
      </c>
      <c r="R49" s="27"/>
      <c r="S49" s="26">
        <f t="shared" si="30"/>
        <v>357</v>
      </c>
      <c r="T49" s="26" t="e">
        <f t="shared" si="31"/>
        <v>#REF!</v>
      </c>
      <c r="U49" s="27" t="e">
        <f t="shared" si="32"/>
        <v>#REF!</v>
      </c>
      <c r="V49" s="27"/>
      <c r="W49" s="26">
        <f t="shared" si="33"/>
        <v>197</v>
      </c>
      <c r="X49" s="26" t="e">
        <f t="shared" si="34"/>
        <v>#REF!</v>
      </c>
      <c r="Y49" s="27" t="e">
        <f t="shared" si="35"/>
        <v>#REF!</v>
      </c>
    </row>
    <row r="50" spans="1:25" ht="16.5" customHeight="1">
      <c r="A50" s="16" t="s">
        <v>120</v>
      </c>
      <c r="B50" s="16" t="s">
        <v>121</v>
      </c>
      <c r="C50" s="25">
        <f t="shared" si="18"/>
        <v>490</v>
      </c>
      <c r="D50" s="25" t="e">
        <f t="shared" si="19"/>
        <v>#REF!</v>
      </c>
      <c r="E50" s="27" t="e">
        <f t="shared" si="20"/>
        <v>#REF!</v>
      </c>
      <c r="F50" s="25"/>
      <c r="G50" s="25">
        <f t="shared" si="21"/>
        <v>273</v>
      </c>
      <c r="H50" s="25" t="e">
        <f t="shared" si="22"/>
        <v>#REF!</v>
      </c>
      <c r="I50" s="27" t="e">
        <f t="shared" si="23"/>
        <v>#REF!</v>
      </c>
      <c r="J50" s="25"/>
      <c r="K50" s="25">
        <f t="shared" si="24"/>
        <v>284</v>
      </c>
      <c r="L50" s="25" t="e">
        <f t="shared" si="25"/>
        <v>#REF!</v>
      </c>
      <c r="M50" s="27" t="e">
        <f t="shared" si="26"/>
        <v>#REF!</v>
      </c>
      <c r="N50" s="27"/>
      <c r="O50" s="26" t="str">
        <f t="shared" si="27"/>
        <v>Eastern</v>
      </c>
      <c r="P50" s="26" t="e">
        <f t="shared" si="28"/>
        <v>#REF!</v>
      </c>
      <c r="Q50" s="27" t="e">
        <f t="shared" si="29"/>
        <v>#VALUE!</v>
      </c>
      <c r="R50" s="27"/>
      <c r="S50" s="26">
        <f t="shared" si="30"/>
        <v>474</v>
      </c>
      <c r="T50" s="26" t="e">
        <f t="shared" si="31"/>
        <v>#REF!</v>
      </c>
      <c r="U50" s="27" t="e">
        <f t="shared" si="32"/>
        <v>#REF!</v>
      </c>
      <c r="V50" s="27"/>
      <c r="W50" s="26">
        <f t="shared" si="33"/>
        <v>289</v>
      </c>
      <c r="X50" s="26" t="e">
        <f t="shared" si="34"/>
        <v>#REF!</v>
      </c>
      <c r="Y50" s="27" t="e">
        <f t="shared" si="35"/>
        <v>#REF!</v>
      </c>
    </row>
    <row r="51" spans="1:25" ht="16.5" customHeight="1">
      <c r="A51" s="16" t="s">
        <v>122</v>
      </c>
      <c r="B51" s="16" t="s">
        <v>271</v>
      </c>
      <c r="C51" s="25">
        <f t="shared" si="18"/>
        <v>80</v>
      </c>
      <c r="D51" s="25" t="e">
        <f t="shared" si="19"/>
        <v>#REF!</v>
      </c>
      <c r="E51" s="27" t="e">
        <f t="shared" si="20"/>
        <v>#REF!</v>
      </c>
      <c r="F51" s="25"/>
      <c r="G51" s="25">
        <f t="shared" si="21"/>
        <v>54</v>
      </c>
      <c r="H51" s="25" t="e">
        <f t="shared" si="22"/>
        <v>#REF!</v>
      </c>
      <c r="I51" s="27" t="e">
        <f t="shared" si="23"/>
        <v>#REF!</v>
      </c>
      <c r="J51" s="25"/>
      <c r="K51" s="25">
        <f t="shared" si="24"/>
        <v>51</v>
      </c>
      <c r="L51" s="25" t="e">
        <f t="shared" si="25"/>
        <v>#REF!</v>
      </c>
      <c r="M51" s="27" t="e">
        <f t="shared" si="26"/>
        <v>#REF!</v>
      </c>
      <c r="N51" s="27"/>
      <c r="O51" s="26" t="str">
        <f t="shared" si="27"/>
        <v>Central</v>
      </c>
      <c r="P51" s="26" t="e">
        <f t="shared" si="28"/>
        <v>#REF!</v>
      </c>
      <c r="Q51" s="27" t="e">
        <f t="shared" si="29"/>
        <v>#VALUE!</v>
      </c>
      <c r="R51" s="27"/>
      <c r="S51" s="26">
        <f t="shared" si="30"/>
        <v>87</v>
      </c>
      <c r="T51" s="26" t="e">
        <f t="shared" si="31"/>
        <v>#REF!</v>
      </c>
      <c r="U51" s="27" t="e">
        <f t="shared" si="32"/>
        <v>#REF!</v>
      </c>
      <c r="V51" s="27"/>
      <c r="W51" s="26">
        <f t="shared" si="33"/>
        <v>47</v>
      </c>
      <c r="X51" s="26" t="e">
        <f t="shared" si="34"/>
        <v>#REF!</v>
      </c>
      <c r="Y51" s="27" t="e">
        <f t="shared" si="35"/>
        <v>#REF!</v>
      </c>
    </row>
    <row r="52" spans="1:25" ht="16.5" customHeight="1">
      <c r="A52" s="16" t="s">
        <v>124</v>
      </c>
      <c r="B52" s="16" t="s">
        <v>125</v>
      </c>
      <c r="C52" s="25">
        <f t="shared" si="18"/>
        <v>217</v>
      </c>
      <c r="D52" s="25" t="e">
        <f t="shared" si="19"/>
        <v>#REF!</v>
      </c>
      <c r="E52" s="27" t="e">
        <f t="shared" si="20"/>
        <v>#REF!</v>
      </c>
      <c r="F52" s="25"/>
      <c r="G52" s="25">
        <f t="shared" si="21"/>
        <v>144</v>
      </c>
      <c r="H52" s="25" t="e">
        <f t="shared" si="22"/>
        <v>#REF!</v>
      </c>
      <c r="I52" s="27" t="e">
        <f t="shared" si="23"/>
        <v>#REF!</v>
      </c>
      <c r="J52" s="25"/>
      <c r="K52" s="25">
        <f t="shared" si="24"/>
        <v>132</v>
      </c>
      <c r="L52" s="25" t="e">
        <f t="shared" si="25"/>
        <v>#REF!</v>
      </c>
      <c r="M52" s="27" t="e">
        <f t="shared" si="26"/>
        <v>#REF!</v>
      </c>
      <c r="N52" s="27"/>
      <c r="O52" s="26" t="str">
        <f t="shared" si="27"/>
        <v>Northern</v>
      </c>
      <c r="P52" s="26" t="e">
        <f t="shared" si="28"/>
        <v>#REF!</v>
      </c>
      <c r="Q52" s="27" t="e">
        <f t="shared" si="29"/>
        <v>#VALUE!</v>
      </c>
      <c r="R52" s="27"/>
      <c r="S52" s="26">
        <f t="shared" si="30"/>
        <v>253</v>
      </c>
      <c r="T52" s="26" t="e">
        <f t="shared" si="31"/>
        <v>#REF!</v>
      </c>
      <c r="U52" s="27" t="e">
        <f t="shared" si="32"/>
        <v>#REF!</v>
      </c>
      <c r="V52" s="27"/>
      <c r="W52" s="26">
        <f t="shared" si="33"/>
        <v>107</v>
      </c>
      <c r="X52" s="26" t="e">
        <f t="shared" si="34"/>
        <v>#REF!</v>
      </c>
      <c r="Y52" s="27" t="e">
        <f t="shared" si="35"/>
        <v>#REF!</v>
      </c>
    </row>
    <row r="53" spans="1:25" ht="16.5" customHeight="1">
      <c r="A53" s="16" t="s">
        <v>126</v>
      </c>
      <c r="B53" s="16" t="s">
        <v>127</v>
      </c>
      <c r="C53" s="25">
        <f t="shared" si="18"/>
        <v>132</v>
      </c>
      <c r="D53" s="25" t="e">
        <f t="shared" si="19"/>
        <v>#REF!</v>
      </c>
      <c r="E53" s="27" t="e">
        <f t="shared" si="20"/>
        <v>#REF!</v>
      </c>
      <c r="F53" s="25"/>
      <c r="G53" s="25">
        <f t="shared" si="21"/>
        <v>85</v>
      </c>
      <c r="H53" s="25" t="e">
        <f t="shared" si="22"/>
        <v>#REF!</v>
      </c>
      <c r="I53" s="27" t="e">
        <f t="shared" si="23"/>
        <v>#REF!</v>
      </c>
      <c r="J53" s="25"/>
      <c r="K53" s="25">
        <f t="shared" si="24"/>
        <v>102</v>
      </c>
      <c r="L53" s="25" t="e">
        <f t="shared" si="25"/>
        <v>#REF!</v>
      </c>
      <c r="M53" s="27" t="e">
        <f t="shared" si="26"/>
        <v>#REF!</v>
      </c>
      <c r="N53" s="27"/>
      <c r="O53" s="26" t="str">
        <f t="shared" si="27"/>
        <v>Central</v>
      </c>
      <c r="P53" s="26" t="e">
        <f t="shared" si="28"/>
        <v>#REF!</v>
      </c>
      <c r="Q53" s="27" t="e">
        <f t="shared" si="29"/>
        <v>#VALUE!</v>
      </c>
      <c r="R53" s="27"/>
      <c r="S53" s="26">
        <f t="shared" si="30"/>
        <v>141</v>
      </c>
      <c r="T53" s="26" t="e">
        <f t="shared" si="31"/>
        <v>#REF!</v>
      </c>
      <c r="U53" s="27" t="e">
        <f t="shared" si="32"/>
        <v>#REF!</v>
      </c>
      <c r="V53" s="27"/>
      <c r="W53" s="26">
        <f t="shared" si="33"/>
        <v>76</v>
      </c>
      <c r="X53" s="26" t="e">
        <f t="shared" si="34"/>
        <v>#REF!</v>
      </c>
      <c r="Y53" s="27" t="e">
        <f t="shared" si="35"/>
        <v>#REF!</v>
      </c>
    </row>
    <row r="54" spans="1:25" ht="16.5" customHeight="1">
      <c r="A54" s="16" t="s">
        <v>128</v>
      </c>
      <c r="B54" s="16" t="s">
        <v>129</v>
      </c>
      <c r="C54" s="25">
        <f t="shared" si="18"/>
        <v>127</v>
      </c>
      <c r="D54" s="25" t="e">
        <f t="shared" si="19"/>
        <v>#REF!</v>
      </c>
      <c r="E54" s="27" t="e">
        <f t="shared" si="20"/>
        <v>#REF!</v>
      </c>
      <c r="F54" s="25"/>
      <c r="G54" s="25">
        <f t="shared" si="21"/>
        <v>69</v>
      </c>
      <c r="H54" s="25" t="e">
        <f t="shared" si="22"/>
        <v>#REF!</v>
      </c>
      <c r="I54" s="27" t="e">
        <f t="shared" si="23"/>
        <v>#REF!</v>
      </c>
      <c r="J54" s="25"/>
      <c r="K54" s="25">
        <f t="shared" si="24"/>
        <v>49</v>
      </c>
      <c r="L54" s="25" t="e">
        <f t="shared" si="25"/>
        <v>#REF!</v>
      </c>
      <c r="M54" s="27" t="e">
        <f t="shared" si="26"/>
        <v>#REF!</v>
      </c>
      <c r="N54" s="27"/>
      <c r="O54" s="26" t="str">
        <f t="shared" si="27"/>
        <v>Central</v>
      </c>
      <c r="P54" s="26" t="e">
        <f t="shared" si="28"/>
        <v>#REF!</v>
      </c>
      <c r="Q54" s="27" t="e">
        <f t="shared" si="29"/>
        <v>#VALUE!</v>
      </c>
      <c r="R54" s="27"/>
      <c r="S54" s="26">
        <f t="shared" si="30"/>
        <v>121</v>
      </c>
      <c r="T54" s="26" t="e">
        <f t="shared" si="31"/>
        <v>#REF!</v>
      </c>
      <c r="U54" s="27" t="e">
        <f t="shared" si="32"/>
        <v>#REF!</v>
      </c>
      <c r="V54" s="27"/>
      <c r="W54" s="26">
        <f t="shared" si="33"/>
        <v>75</v>
      </c>
      <c r="X54" s="26" t="e">
        <f t="shared" si="34"/>
        <v>#REF!</v>
      </c>
      <c r="Y54" s="27" t="e">
        <f t="shared" si="35"/>
        <v>#REF!</v>
      </c>
    </row>
    <row r="55" spans="1:25" ht="16.5" customHeight="1">
      <c r="A55" s="16" t="s">
        <v>130</v>
      </c>
      <c r="B55" s="16" t="s">
        <v>131</v>
      </c>
      <c r="C55" s="25">
        <f t="shared" si="18"/>
        <v>719</v>
      </c>
      <c r="D55" s="25" t="e">
        <f t="shared" si="19"/>
        <v>#REF!</v>
      </c>
      <c r="E55" s="27" t="e">
        <f t="shared" si="20"/>
        <v>#REF!</v>
      </c>
      <c r="F55" s="25"/>
      <c r="G55" s="25">
        <f t="shared" si="21"/>
        <v>543</v>
      </c>
      <c r="H55" s="25" t="e">
        <f t="shared" si="22"/>
        <v>#REF!</v>
      </c>
      <c r="I55" s="27" t="e">
        <f t="shared" si="23"/>
        <v>#REF!</v>
      </c>
      <c r="J55" s="25"/>
      <c r="K55" s="25">
        <f t="shared" si="24"/>
        <v>1201</v>
      </c>
      <c r="L55" s="25" t="e">
        <f t="shared" si="25"/>
        <v>#REF!</v>
      </c>
      <c r="M55" s="27" t="e">
        <f t="shared" si="26"/>
        <v>#REF!</v>
      </c>
      <c r="N55" s="27"/>
      <c r="O55" s="26" t="str">
        <f t="shared" si="27"/>
        <v>Western</v>
      </c>
      <c r="P55" s="26" t="e">
        <f t="shared" si="28"/>
        <v>#REF!</v>
      </c>
      <c r="Q55" s="27" t="e">
        <f t="shared" si="29"/>
        <v>#VALUE!</v>
      </c>
      <c r="R55" s="27"/>
      <c r="S55" s="26">
        <f t="shared" si="30"/>
        <v>742</v>
      </c>
      <c r="T55" s="26" t="e">
        <f t="shared" si="31"/>
        <v>#REF!</v>
      </c>
      <c r="U55" s="27" t="e">
        <f t="shared" si="32"/>
        <v>#REF!</v>
      </c>
      <c r="V55" s="27"/>
      <c r="W55" s="26">
        <f t="shared" si="33"/>
        <v>519</v>
      </c>
      <c r="X55" s="26" t="e">
        <f t="shared" si="34"/>
        <v>#REF!</v>
      </c>
      <c r="Y55" s="27" t="e">
        <f t="shared" si="35"/>
        <v>#REF!</v>
      </c>
    </row>
    <row r="56" spans="1:25" ht="16.5" customHeight="1">
      <c r="A56" s="16" t="s">
        <v>132</v>
      </c>
      <c r="B56" s="16" t="s">
        <v>133</v>
      </c>
      <c r="C56" s="25">
        <f t="shared" si="18"/>
        <v>778</v>
      </c>
      <c r="D56" s="25" t="e">
        <f t="shared" si="19"/>
        <v>#REF!</v>
      </c>
      <c r="E56" s="27" t="e">
        <f t="shared" si="20"/>
        <v>#REF!</v>
      </c>
      <c r="F56" s="25"/>
      <c r="G56" s="25">
        <f t="shared" si="21"/>
        <v>520</v>
      </c>
      <c r="H56" s="25" t="e">
        <f t="shared" si="22"/>
        <v>#REF!</v>
      </c>
      <c r="I56" s="27" t="e">
        <f t="shared" si="23"/>
        <v>#REF!</v>
      </c>
      <c r="J56" s="25"/>
      <c r="K56" s="25">
        <f t="shared" si="24"/>
        <v>533</v>
      </c>
      <c r="L56" s="25" t="e">
        <f t="shared" si="25"/>
        <v>#REF!</v>
      </c>
      <c r="M56" s="27" t="e">
        <f t="shared" si="26"/>
        <v>#REF!</v>
      </c>
      <c r="N56" s="27"/>
      <c r="O56" s="26" t="str">
        <f t="shared" si="27"/>
        <v>Northern</v>
      </c>
      <c r="P56" s="26" t="e">
        <f t="shared" si="28"/>
        <v>#REF!</v>
      </c>
      <c r="Q56" s="27" t="e">
        <f t="shared" si="29"/>
        <v>#VALUE!</v>
      </c>
      <c r="R56" s="27"/>
      <c r="S56" s="26">
        <f t="shared" si="30"/>
        <v>785</v>
      </c>
      <c r="T56" s="26" t="e">
        <f t="shared" si="31"/>
        <v>#REF!</v>
      </c>
      <c r="U56" s="27" t="e">
        <f t="shared" si="32"/>
        <v>#REF!</v>
      </c>
      <c r="V56" s="27"/>
      <c r="W56" s="26">
        <f t="shared" si="33"/>
        <v>510</v>
      </c>
      <c r="X56" s="26" t="e">
        <f t="shared" si="34"/>
        <v>#REF!</v>
      </c>
      <c r="Y56" s="27" t="e">
        <f t="shared" si="35"/>
        <v>#REF!</v>
      </c>
    </row>
    <row r="57" spans="1:25" ht="16.5" customHeight="1">
      <c r="A57" s="16" t="s">
        <v>134</v>
      </c>
      <c r="B57" s="16" t="s">
        <v>135</v>
      </c>
      <c r="C57" s="25">
        <f t="shared" si="18"/>
        <v>335</v>
      </c>
      <c r="D57" s="25" t="e">
        <f t="shared" si="19"/>
        <v>#REF!</v>
      </c>
      <c r="E57" s="27" t="e">
        <f t="shared" si="20"/>
        <v>#REF!</v>
      </c>
      <c r="F57" s="25"/>
      <c r="G57" s="25">
        <f t="shared" si="21"/>
        <v>204</v>
      </c>
      <c r="H57" s="25" t="e">
        <f t="shared" si="22"/>
        <v>#REF!</v>
      </c>
      <c r="I57" s="27" t="e">
        <f t="shared" si="23"/>
        <v>#REF!</v>
      </c>
      <c r="J57" s="25"/>
      <c r="K57" s="25">
        <f t="shared" si="24"/>
        <v>310</v>
      </c>
      <c r="L57" s="25" t="e">
        <f t="shared" si="25"/>
        <v>#REF!</v>
      </c>
      <c r="M57" s="27" t="e">
        <f t="shared" si="26"/>
        <v>#REF!</v>
      </c>
      <c r="N57" s="27"/>
      <c r="O57" s="26" t="str">
        <f t="shared" si="27"/>
        <v>Northern</v>
      </c>
      <c r="P57" s="26" t="e">
        <f t="shared" si="28"/>
        <v>#REF!</v>
      </c>
      <c r="Q57" s="27" t="e">
        <f t="shared" si="29"/>
        <v>#VALUE!</v>
      </c>
      <c r="R57" s="27"/>
      <c r="S57" s="26">
        <f t="shared" si="30"/>
        <v>344</v>
      </c>
      <c r="T57" s="26" t="e">
        <f t="shared" si="31"/>
        <v>#REF!</v>
      </c>
      <c r="U57" s="27" t="e">
        <f t="shared" si="32"/>
        <v>#REF!</v>
      </c>
      <c r="V57" s="27"/>
      <c r="W57" s="26">
        <f t="shared" si="33"/>
        <v>194</v>
      </c>
      <c r="X57" s="26" t="e">
        <f t="shared" si="34"/>
        <v>#REF!</v>
      </c>
      <c r="Y57" s="27" t="e">
        <f t="shared" si="35"/>
        <v>#REF!</v>
      </c>
    </row>
    <row r="58" spans="1:25" ht="16.5" customHeight="1">
      <c r="A58" s="16" t="s">
        <v>136</v>
      </c>
      <c r="B58" s="16" t="s">
        <v>137</v>
      </c>
      <c r="C58" s="25">
        <f t="shared" si="18"/>
        <v>200</v>
      </c>
      <c r="D58" s="25" t="e">
        <f t="shared" si="19"/>
        <v>#REF!</v>
      </c>
      <c r="E58" s="27" t="e">
        <f t="shared" si="20"/>
        <v>#REF!</v>
      </c>
      <c r="F58" s="25"/>
      <c r="G58" s="25">
        <f t="shared" si="21"/>
        <v>126</v>
      </c>
      <c r="H58" s="25" t="e">
        <f t="shared" si="22"/>
        <v>#REF!</v>
      </c>
      <c r="I58" s="27" t="e">
        <f t="shared" si="23"/>
        <v>#REF!</v>
      </c>
      <c r="J58" s="25"/>
      <c r="K58" s="25">
        <f t="shared" si="24"/>
        <v>90</v>
      </c>
      <c r="L58" s="25" t="e">
        <f t="shared" si="25"/>
        <v>#REF!</v>
      </c>
      <c r="M58" s="27" t="e">
        <f t="shared" si="26"/>
        <v>#REF!</v>
      </c>
      <c r="N58" s="27"/>
      <c r="O58" s="26" t="str">
        <f t="shared" si="27"/>
        <v>Central</v>
      </c>
      <c r="P58" s="26" t="e">
        <f t="shared" si="28"/>
        <v>#REF!</v>
      </c>
      <c r="Q58" s="27" t="e">
        <f t="shared" si="29"/>
        <v>#VALUE!</v>
      </c>
      <c r="R58" s="27"/>
      <c r="S58" s="26">
        <f t="shared" si="30"/>
        <v>209</v>
      </c>
      <c r="T58" s="26" t="e">
        <f t="shared" si="31"/>
        <v>#REF!</v>
      </c>
      <c r="U58" s="27" t="e">
        <f t="shared" si="32"/>
        <v>#REF!</v>
      </c>
      <c r="V58" s="27"/>
      <c r="W58" s="26">
        <f t="shared" si="33"/>
        <v>117</v>
      </c>
      <c r="X58" s="26" t="e">
        <f t="shared" si="34"/>
        <v>#REF!</v>
      </c>
      <c r="Y58" s="27" t="e">
        <f t="shared" si="35"/>
        <v>#REF!</v>
      </c>
    </row>
    <row r="59" spans="1:25" ht="16.5" customHeight="1">
      <c r="A59" s="16" t="s">
        <v>140</v>
      </c>
      <c r="B59" s="16" t="s">
        <v>141</v>
      </c>
      <c r="C59" s="25">
        <f t="shared" si="18"/>
        <v>82</v>
      </c>
      <c r="D59" s="25" t="e">
        <f t="shared" si="19"/>
        <v>#REF!</v>
      </c>
      <c r="E59" s="27" t="e">
        <f t="shared" si="20"/>
        <v>#REF!</v>
      </c>
      <c r="F59" s="25"/>
      <c r="G59" s="25">
        <f t="shared" si="21"/>
        <v>53</v>
      </c>
      <c r="H59" s="25" t="e">
        <f t="shared" si="22"/>
        <v>#REF!</v>
      </c>
      <c r="I59" s="27" t="e">
        <f t="shared" si="23"/>
        <v>#REF!</v>
      </c>
      <c r="J59" s="25"/>
      <c r="K59" s="25">
        <f t="shared" si="24"/>
        <v>80</v>
      </c>
      <c r="L59" s="25" t="e">
        <f t="shared" si="25"/>
        <v>#REF!</v>
      </c>
      <c r="M59" s="27" t="e">
        <f t="shared" si="26"/>
        <v>#REF!</v>
      </c>
      <c r="N59" s="27"/>
      <c r="O59" s="26" t="str">
        <f t="shared" si="27"/>
        <v>Northern</v>
      </c>
      <c r="P59" s="26" t="e">
        <f t="shared" si="28"/>
        <v>#REF!</v>
      </c>
      <c r="Q59" s="27" t="e">
        <f t="shared" si="29"/>
        <v>#VALUE!</v>
      </c>
      <c r="R59" s="27"/>
      <c r="S59" s="26">
        <f t="shared" si="30"/>
        <v>91</v>
      </c>
      <c r="T59" s="26" t="e">
        <f t="shared" si="31"/>
        <v>#REF!</v>
      </c>
      <c r="U59" s="27" t="e">
        <f t="shared" si="32"/>
        <v>#REF!</v>
      </c>
      <c r="V59" s="27"/>
      <c r="W59" s="26">
        <f t="shared" si="33"/>
        <v>44</v>
      </c>
      <c r="X59" s="26" t="e">
        <f t="shared" si="34"/>
        <v>#REF!</v>
      </c>
      <c r="Y59" s="27" t="e">
        <f t="shared" si="35"/>
        <v>#REF!</v>
      </c>
    </row>
    <row r="60" spans="1:25" ht="16.5" customHeight="1">
      <c r="A60" s="16" t="s">
        <v>146</v>
      </c>
      <c r="B60" s="16" t="s">
        <v>147</v>
      </c>
      <c r="C60" s="25">
        <f t="shared" si="18"/>
        <v>54</v>
      </c>
      <c r="D60" s="25" t="e">
        <f t="shared" si="19"/>
        <v>#REF!</v>
      </c>
      <c r="E60" s="27" t="e">
        <f t="shared" si="20"/>
        <v>#REF!</v>
      </c>
      <c r="F60" s="25"/>
      <c r="G60" s="25">
        <f t="shared" si="21"/>
        <v>38</v>
      </c>
      <c r="H60" s="25" t="e">
        <f t="shared" si="22"/>
        <v>#REF!</v>
      </c>
      <c r="I60" s="27" t="e">
        <f t="shared" si="23"/>
        <v>#REF!</v>
      </c>
      <c r="J60" s="25"/>
      <c r="K60" s="25">
        <f t="shared" si="24"/>
        <v>55</v>
      </c>
      <c r="L60" s="25" t="e">
        <f t="shared" si="25"/>
        <v>#REF!</v>
      </c>
      <c r="M60" s="27" t="e">
        <f t="shared" si="26"/>
        <v>#REF!</v>
      </c>
      <c r="N60" s="27"/>
      <c r="O60" s="26" t="str">
        <f t="shared" si="27"/>
        <v>Eastern</v>
      </c>
      <c r="P60" s="26" t="e">
        <f t="shared" si="28"/>
        <v>#REF!</v>
      </c>
      <c r="Q60" s="27" t="e">
        <f t="shared" si="29"/>
        <v>#VALUE!</v>
      </c>
      <c r="R60" s="27"/>
      <c r="S60" s="26">
        <f t="shared" si="30"/>
        <v>60</v>
      </c>
      <c r="T60" s="26" t="e">
        <f t="shared" si="31"/>
        <v>#REF!</v>
      </c>
      <c r="U60" s="27" t="e">
        <f t="shared" si="32"/>
        <v>#REF!</v>
      </c>
      <c r="V60" s="27"/>
      <c r="W60" s="26">
        <f t="shared" si="33"/>
        <v>32</v>
      </c>
      <c r="X60" s="26" t="e">
        <f t="shared" si="34"/>
        <v>#REF!</v>
      </c>
      <c r="Y60" s="27" t="e">
        <f t="shared" si="35"/>
        <v>#REF!</v>
      </c>
    </row>
    <row r="61" spans="1:25" ht="16.5" customHeight="1">
      <c r="A61" s="16" t="s">
        <v>148</v>
      </c>
      <c r="B61" s="16" t="s">
        <v>149</v>
      </c>
      <c r="C61" s="25">
        <f t="shared" si="18"/>
        <v>497</v>
      </c>
      <c r="D61" s="25" t="e">
        <f t="shared" si="19"/>
        <v>#REF!</v>
      </c>
      <c r="E61" s="27" t="e">
        <f t="shared" si="20"/>
        <v>#REF!</v>
      </c>
      <c r="F61" s="25"/>
      <c r="G61" s="25">
        <f t="shared" si="21"/>
        <v>316</v>
      </c>
      <c r="H61" s="25" t="e">
        <f t="shared" si="22"/>
        <v>#REF!</v>
      </c>
      <c r="I61" s="27" t="e">
        <f t="shared" si="23"/>
        <v>#REF!</v>
      </c>
      <c r="J61" s="25"/>
      <c r="K61" s="25">
        <f t="shared" si="24"/>
        <v>208</v>
      </c>
      <c r="L61" s="25" t="e">
        <f t="shared" si="25"/>
        <v>#REF!</v>
      </c>
      <c r="M61" s="27" t="e">
        <f t="shared" si="26"/>
        <v>#REF!</v>
      </c>
      <c r="N61" s="27"/>
      <c r="O61" s="26" t="str">
        <f t="shared" si="27"/>
        <v>Piedmont</v>
      </c>
      <c r="P61" s="26" t="e">
        <f t="shared" si="28"/>
        <v>#REF!</v>
      </c>
      <c r="Q61" s="27" t="e">
        <f t="shared" si="29"/>
        <v>#VALUE!</v>
      </c>
      <c r="R61" s="27"/>
      <c r="S61" s="26">
        <f t="shared" si="30"/>
        <v>536</v>
      </c>
      <c r="T61" s="26" t="e">
        <f t="shared" si="31"/>
        <v>#REF!</v>
      </c>
      <c r="U61" s="27" t="e">
        <f t="shared" si="32"/>
        <v>#REF!</v>
      </c>
      <c r="V61" s="27"/>
      <c r="W61" s="26">
        <f t="shared" si="33"/>
        <v>276</v>
      </c>
      <c r="X61" s="26" t="e">
        <f t="shared" si="34"/>
        <v>#REF!</v>
      </c>
      <c r="Y61" s="27" t="e">
        <f t="shared" si="35"/>
        <v>#REF!</v>
      </c>
    </row>
    <row r="62" spans="1:25" ht="16.5" customHeight="1">
      <c r="A62" s="16" t="s">
        <v>150</v>
      </c>
      <c r="B62" s="16" t="s">
        <v>151</v>
      </c>
      <c r="C62" s="25">
        <f t="shared" si="18"/>
        <v>187</v>
      </c>
      <c r="D62" s="25" t="e">
        <f t="shared" si="19"/>
        <v>#REF!</v>
      </c>
      <c r="E62" s="27" t="e">
        <f t="shared" si="20"/>
        <v>#REF!</v>
      </c>
      <c r="F62" s="25"/>
      <c r="G62" s="25">
        <f t="shared" si="21"/>
        <v>144</v>
      </c>
      <c r="H62" s="25" t="e">
        <f t="shared" si="22"/>
        <v>#REF!</v>
      </c>
      <c r="I62" s="27" t="e">
        <f t="shared" si="23"/>
        <v>#REF!</v>
      </c>
      <c r="J62" s="25"/>
      <c r="K62" s="25">
        <f t="shared" si="24"/>
        <v>188</v>
      </c>
      <c r="L62" s="25" t="e">
        <f t="shared" si="25"/>
        <v>#REF!</v>
      </c>
      <c r="M62" s="27" t="e">
        <f t="shared" si="26"/>
        <v>#REF!</v>
      </c>
      <c r="N62" s="27"/>
      <c r="O62" s="26" t="str">
        <f t="shared" si="27"/>
        <v>Central</v>
      </c>
      <c r="P62" s="26" t="e">
        <f t="shared" si="28"/>
        <v>#REF!</v>
      </c>
      <c r="Q62" s="27" t="e">
        <f t="shared" si="29"/>
        <v>#VALUE!</v>
      </c>
      <c r="R62" s="27"/>
      <c r="S62" s="26">
        <f t="shared" si="30"/>
        <v>190</v>
      </c>
      <c r="T62" s="26" t="e">
        <f t="shared" si="31"/>
        <v>#REF!</v>
      </c>
      <c r="U62" s="27" t="e">
        <f t="shared" si="32"/>
        <v>#REF!</v>
      </c>
      <c r="V62" s="27"/>
      <c r="W62" s="26">
        <f t="shared" si="33"/>
        <v>141</v>
      </c>
      <c r="X62" s="26" t="e">
        <f t="shared" si="34"/>
        <v>#REF!</v>
      </c>
      <c r="Y62" s="27" t="e">
        <f t="shared" si="35"/>
        <v>#REF!</v>
      </c>
    </row>
    <row r="63" spans="1:25" ht="16.5" customHeight="1">
      <c r="A63" s="16" t="s">
        <v>152</v>
      </c>
      <c r="B63" s="16" t="s">
        <v>153</v>
      </c>
      <c r="C63" s="25">
        <f t="shared" si="18"/>
        <v>828</v>
      </c>
      <c r="D63" s="25" t="e">
        <f t="shared" si="19"/>
        <v>#REF!</v>
      </c>
      <c r="E63" s="27" t="e">
        <f t="shared" si="20"/>
        <v>#REF!</v>
      </c>
      <c r="F63" s="25"/>
      <c r="G63" s="25">
        <f t="shared" si="21"/>
        <v>593</v>
      </c>
      <c r="H63" s="25" t="e">
        <f t="shared" si="22"/>
        <v>#REF!</v>
      </c>
      <c r="I63" s="27" t="e">
        <f t="shared" si="23"/>
        <v>#REF!</v>
      </c>
      <c r="J63" s="25"/>
      <c r="K63" s="25">
        <f t="shared" si="24"/>
        <v>1074</v>
      </c>
      <c r="L63" s="25" t="e">
        <f t="shared" si="25"/>
        <v>#REF!</v>
      </c>
      <c r="M63" s="27" t="e">
        <f t="shared" si="26"/>
        <v>#REF!</v>
      </c>
      <c r="N63" s="27"/>
      <c r="O63" s="26" t="str">
        <f t="shared" si="27"/>
        <v>Western</v>
      </c>
      <c r="P63" s="26" t="e">
        <f t="shared" si="28"/>
        <v>#REF!</v>
      </c>
      <c r="Q63" s="27" t="e">
        <f t="shared" si="29"/>
        <v>#VALUE!</v>
      </c>
      <c r="R63" s="27"/>
      <c r="S63" s="26">
        <f t="shared" si="30"/>
        <v>891</v>
      </c>
      <c r="T63" s="26" t="e">
        <f t="shared" si="31"/>
        <v>#REF!</v>
      </c>
      <c r="U63" s="27" t="e">
        <f t="shared" si="32"/>
        <v>#REF!</v>
      </c>
      <c r="V63" s="27"/>
      <c r="W63" s="26">
        <f t="shared" si="33"/>
        <v>529</v>
      </c>
      <c r="X63" s="26" t="e">
        <f t="shared" si="34"/>
        <v>#REF!</v>
      </c>
      <c r="Y63" s="27" t="e">
        <f t="shared" si="35"/>
        <v>#REF!</v>
      </c>
    </row>
    <row r="64" spans="1:25" ht="16.5" customHeight="1">
      <c r="A64" s="16" t="s">
        <v>154</v>
      </c>
      <c r="B64" s="16" t="s">
        <v>155</v>
      </c>
      <c r="C64" s="25">
        <f t="shared" si="18"/>
        <v>101</v>
      </c>
      <c r="D64" s="25" t="e">
        <f t="shared" si="19"/>
        <v>#REF!</v>
      </c>
      <c r="E64" s="27" t="e">
        <f t="shared" si="20"/>
        <v>#REF!</v>
      </c>
      <c r="F64" s="25"/>
      <c r="G64" s="25">
        <f t="shared" si="21"/>
        <v>88</v>
      </c>
      <c r="H64" s="25" t="e">
        <f t="shared" si="22"/>
        <v>#REF!</v>
      </c>
      <c r="I64" s="27" t="e">
        <f t="shared" si="23"/>
        <v>#REF!</v>
      </c>
      <c r="J64" s="25"/>
      <c r="K64" s="25">
        <f t="shared" si="24"/>
        <v>110</v>
      </c>
      <c r="L64" s="25" t="e">
        <f t="shared" si="25"/>
        <v>#REF!</v>
      </c>
      <c r="M64" s="27" t="e">
        <f t="shared" si="26"/>
        <v>#REF!</v>
      </c>
      <c r="N64" s="27"/>
      <c r="O64" s="26" t="str">
        <f t="shared" si="27"/>
        <v>Piedmont</v>
      </c>
      <c r="P64" s="26" t="e">
        <f t="shared" si="28"/>
        <v>#REF!</v>
      </c>
      <c r="Q64" s="27" t="e">
        <f t="shared" si="29"/>
        <v>#VALUE!</v>
      </c>
      <c r="R64" s="27"/>
      <c r="S64" s="26">
        <f t="shared" si="30"/>
        <v>120</v>
      </c>
      <c r="T64" s="26" t="e">
        <f t="shared" si="31"/>
        <v>#REF!</v>
      </c>
      <c r="U64" s="27" t="e">
        <f t="shared" si="32"/>
        <v>#REF!</v>
      </c>
      <c r="V64" s="27"/>
      <c r="W64" s="26">
        <f t="shared" si="33"/>
        <v>69</v>
      </c>
      <c r="X64" s="26" t="e">
        <f t="shared" si="34"/>
        <v>#REF!</v>
      </c>
      <c r="Y64" s="27" t="e">
        <f t="shared" si="35"/>
        <v>#REF!</v>
      </c>
    </row>
    <row r="65" spans="1:25" ht="16.5" customHeight="1">
      <c r="A65" s="16" t="s">
        <v>156</v>
      </c>
      <c r="B65" s="16" t="s">
        <v>157</v>
      </c>
      <c r="C65" s="25">
        <f t="shared" si="18"/>
        <v>116</v>
      </c>
      <c r="D65" s="25" t="e">
        <f t="shared" si="19"/>
        <v>#REF!</v>
      </c>
      <c r="E65" s="27" t="e">
        <f t="shared" si="20"/>
        <v>#REF!</v>
      </c>
      <c r="F65" s="25"/>
      <c r="G65" s="25">
        <f t="shared" si="21"/>
        <v>80</v>
      </c>
      <c r="H65" s="25" t="e">
        <f t="shared" si="22"/>
        <v>#REF!</v>
      </c>
      <c r="I65" s="27" t="e">
        <f t="shared" si="23"/>
        <v>#REF!</v>
      </c>
      <c r="J65" s="25"/>
      <c r="K65" s="25">
        <f t="shared" si="24"/>
        <v>120</v>
      </c>
      <c r="L65" s="25" t="e">
        <f t="shared" si="25"/>
        <v>#REF!</v>
      </c>
      <c r="M65" s="27" t="e">
        <f t="shared" si="26"/>
        <v>#REF!</v>
      </c>
      <c r="N65" s="27"/>
      <c r="O65" s="26" t="str">
        <f t="shared" si="27"/>
        <v>Central</v>
      </c>
      <c r="P65" s="26" t="e">
        <f t="shared" si="28"/>
        <v>#REF!</v>
      </c>
      <c r="Q65" s="27" t="e">
        <f t="shared" si="29"/>
        <v>#VALUE!</v>
      </c>
      <c r="R65" s="27"/>
      <c r="S65" s="26">
        <f t="shared" si="30"/>
        <v>122</v>
      </c>
      <c r="T65" s="26" t="e">
        <f t="shared" si="31"/>
        <v>#REF!</v>
      </c>
      <c r="U65" s="27" t="e">
        <f t="shared" si="32"/>
        <v>#REF!</v>
      </c>
      <c r="V65" s="27"/>
      <c r="W65" s="26">
        <f t="shared" si="33"/>
        <v>74</v>
      </c>
      <c r="X65" s="26" t="e">
        <f t="shared" si="34"/>
        <v>#REF!</v>
      </c>
      <c r="Y65" s="27" t="e">
        <f t="shared" si="35"/>
        <v>#REF!</v>
      </c>
    </row>
    <row r="66" spans="1:25" ht="16.5" customHeight="1">
      <c r="A66" s="16" t="s">
        <v>162</v>
      </c>
      <c r="B66" s="16" t="s">
        <v>163</v>
      </c>
      <c r="C66" s="25">
        <f t="shared" si="18"/>
        <v>263</v>
      </c>
      <c r="D66" s="25" t="e">
        <f t="shared" si="19"/>
        <v>#REF!</v>
      </c>
      <c r="E66" s="27" t="e">
        <f t="shared" si="20"/>
        <v>#REF!</v>
      </c>
      <c r="F66" s="25"/>
      <c r="G66" s="25">
        <f t="shared" si="21"/>
        <v>165</v>
      </c>
      <c r="H66" s="25" t="e">
        <f t="shared" si="22"/>
        <v>#REF!</v>
      </c>
      <c r="I66" s="27" t="e">
        <f t="shared" si="23"/>
        <v>#REF!</v>
      </c>
      <c r="J66" s="25"/>
      <c r="K66" s="25">
        <f t="shared" si="24"/>
        <v>122</v>
      </c>
      <c r="L66" s="25" t="e">
        <f t="shared" si="25"/>
        <v>#REF!</v>
      </c>
      <c r="M66" s="27" t="e">
        <f t="shared" si="26"/>
        <v>#REF!</v>
      </c>
      <c r="N66" s="27"/>
      <c r="O66" s="26" t="str">
        <f t="shared" si="27"/>
        <v>Eastern</v>
      </c>
      <c r="P66" s="26" t="e">
        <f t="shared" si="28"/>
        <v>#REF!</v>
      </c>
      <c r="Q66" s="27" t="e">
        <f t="shared" si="29"/>
        <v>#VALUE!</v>
      </c>
      <c r="R66" s="27"/>
      <c r="S66" s="26">
        <f t="shared" si="30"/>
        <v>267</v>
      </c>
      <c r="T66" s="26" t="e">
        <f t="shared" si="31"/>
        <v>#REF!</v>
      </c>
      <c r="U66" s="27" t="e">
        <f t="shared" si="32"/>
        <v>#REF!</v>
      </c>
      <c r="V66" s="27"/>
      <c r="W66" s="26">
        <f t="shared" si="33"/>
        <v>161</v>
      </c>
      <c r="X66" s="26" t="e">
        <f t="shared" si="34"/>
        <v>#REF!</v>
      </c>
      <c r="Y66" s="27" t="e">
        <f t="shared" si="35"/>
        <v>#REF!</v>
      </c>
    </row>
    <row r="67" spans="1:25" ht="16.5" customHeight="1">
      <c r="A67" s="16" t="s">
        <v>164</v>
      </c>
      <c r="B67" s="16" t="s">
        <v>165</v>
      </c>
      <c r="C67" s="25">
        <f t="shared" si="18"/>
        <v>112</v>
      </c>
      <c r="D67" s="25" t="e">
        <f t="shared" si="19"/>
        <v>#REF!</v>
      </c>
      <c r="E67" s="27" t="e">
        <f t="shared" si="20"/>
        <v>#REF!</v>
      </c>
      <c r="F67" s="25"/>
      <c r="G67" s="25">
        <f t="shared" si="21"/>
        <v>70</v>
      </c>
      <c r="H67" s="25" t="e">
        <f t="shared" si="22"/>
        <v>#REF!</v>
      </c>
      <c r="I67" s="27" t="e">
        <f t="shared" si="23"/>
        <v>#REF!</v>
      </c>
      <c r="J67" s="25"/>
      <c r="K67" s="25">
        <f t="shared" si="24"/>
        <v>70</v>
      </c>
      <c r="L67" s="25" t="e">
        <f t="shared" si="25"/>
        <v>#REF!</v>
      </c>
      <c r="M67" s="27" t="e">
        <f t="shared" si="26"/>
        <v>#REF!</v>
      </c>
      <c r="N67" s="27"/>
      <c r="O67" s="26" t="str">
        <f t="shared" si="27"/>
        <v>Central</v>
      </c>
      <c r="P67" s="26" t="e">
        <f t="shared" si="28"/>
        <v>#REF!</v>
      </c>
      <c r="Q67" s="27" t="e">
        <f t="shared" si="29"/>
        <v>#VALUE!</v>
      </c>
      <c r="R67" s="27"/>
      <c r="S67" s="26">
        <f t="shared" si="30"/>
        <v>124</v>
      </c>
      <c r="T67" s="26" t="e">
        <f t="shared" si="31"/>
        <v>#REF!</v>
      </c>
      <c r="U67" s="27" t="e">
        <f t="shared" si="32"/>
        <v>#REF!</v>
      </c>
      <c r="V67" s="27"/>
      <c r="W67" s="26">
        <f t="shared" si="33"/>
        <v>58</v>
      </c>
      <c r="X67" s="26" t="e">
        <f t="shared" si="34"/>
        <v>#REF!</v>
      </c>
      <c r="Y67" s="27" t="e">
        <f t="shared" si="35"/>
        <v>#REF!</v>
      </c>
    </row>
    <row r="68" spans="1:25" ht="16.5" customHeight="1">
      <c r="A68" s="16" t="s">
        <v>168</v>
      </c>
      <c r="B68" s="16" t="s">
        <v>169</v>
      </c>
      <c r="C68" s="25">
        <f t="shared" ref="C68:C99" si="36">VLOOKUP(A68,TANFClient_Demo,7,FALSE)</f>
        <v>394</v>
      </c>
      <c r="D68" s="25" t="e">
        <f t="shared" ref="D68:D99" si="37">VLOOKUP(A68,Pop,14,FALSE)</f>
        <v>#REF!</v>
      </c>
      <c r="E68" s="27" t="e">
        <f t="shared" ref="E68:E99" si="38">+C68/D68</f>
        <v>#REF!</v>
      </c>
      <c r="F68" s="25"/>
      <c r="G68" s="25">
        <f t="shared" ref="G68:G99" si="39">VLOOKUP(A68,TANFClient_Demo,8,FALSE)</f>
        <v>259</v>
      </c>
      <c r="H68" s="25" t="e">
        <f t="shared" ref="H68:H99" si="40">VLOOKUP(A68,Pop,15,FALSE)</f>
        <v>#REF!</v>
      </c>
      <c r="I68" s="27" t="e">
        <f t="shared" ref="I68:I99" si="41">+G68/H68</f>
        <v>#REF!</v>
      </c>
      <c r="J68" s="25"/>
      <c r="K68" s="25">
        <f t="shared" ref="K68:K99" si="42">VLOOKUP(A68,TANFClient_Demo,9,FALSE)</f>
        <v>215</v>
      </c>
      <c r="L68" s="25" t="e">
        <f t="shared" ref="L68:L99" si="43">VLOOKUP(A68,Pop,16,FALSE)</f>
        <v>#REF!</v>
      </c>
      <c r="M68" s="27" t="e">
        <f t="shared" ref="M68:M99" si="44">+K68/L68</f>
        <v>#REF!</v>
      </c>
      <c r="N68" s="27"/>
      <c r="O68" s="26" t="str">
        <f t="shared" ref="O68:O99" si="45">VLOOKUP(A68,TANFClient_Demo,3,FALSE)</f>
        <v>Central</v>
      </c>
      <c r="P68" s="26" t="e">
        <f t="shared" ref="P68:P99" si="46">VLOOKUP(A68,Pop,8,FALSE)</f>
        <v>#REF!</v>
      </c>
      <c r="Q68" s="27" t="e">
        <f t="shared" ref="Q68:Q99" si="47">+O68/P68</f>
        <v>#VALUE!</v>
      </c>
      <c r="R68" s="27"/>
      <c r="S68" s="26">
        <f t="shared" ref="S68:S99" si="48">VLOOKUP(A68,TANFClient_Demo,4,FALSE)</f>
        <v>407</v>
      </c>
      <c r="T68" s="26" t="e">
        <f t="shared" ref="T68:T99" si="49">VLOOKUP(A68,Pop,9,FALSE)</f>
        <v>#REF!</v>
      </c>
      <c r="U68" s="27" t="e">
        <f t="shared" ref="U68:U99" si="50">+S68/T68</f>
        <v>#REF!</v>
      </c>
      <c r="V68" s="27"/>
      <c r="W68" s="26">
        <f t="shared" ref="W68:W99" si="51">VLOOKUP(A68,TANFClient_Demo,5,FALSE)</f>
        <v>245</v>
      </c>
      <c r="X68" s="26" t="e">
        <f t="shared" ref="X68:X99" si="52">VLOOKUP(A68,Pop,10,FALSE)</f>
        <v>#REF!</v>
      </c>
      <c r="Y68" s="27" t="e">
        <f t="shared" ref="Y68:Y99" si="53">+W68/X68</f>
        <v>#REF!</v>
      </c>
    </row>
    <row r="69" spans="1:25" ht="16.5" customHeight="1">
      <c r="A69" s="16" t="s">
        <v>170</v>
      </c>
      <c r="B69" s="16" t="s">
        <v>171</v>
      </c>
      <c r="C69" s="25">
        <f t="shared" si="36"/>
        <v>248</v>
      </c>
      <c r="D69" s="25" t="e">
        <f t="shared" si="37"/>
        <v>#REF!</v>
      </c>
      <c r="E69" s="27" t="e">
        <f t="shared" si="38"/>
        <v>#REF!</v>
      </c>
      <c r="F69" s="25"/>
      <c r="G69" s="25">
        <f t="shared" si="39"/>
        <v>160</v>
      </c>
      <c r="H69" s="25" t="e">
        <f t="shared" si="40"/>
        <v>#REF!</v>
      </c>
      <c r="I69" s="27" t="e">
        <f t="shared" si="41"/>
        <v>#REF!</v>
      </c>
      <c r="J69" s="25"/>
      <c r="K69" s="25">
        <f t="shared" si="42"/>
        <v>229</v>
      </c>
      <c r="L69" s="25" t="e">
        <f t="shared" si="43"/>
        <v>#REF!</v>
      </c>
      <c r="M69" s="27" t="e">
        <f t="shared" si="44"/>
        <v>#REF!</v>
      </c>
      <c r="N69" s="27"/>
      <c r="O69" s="26" t="str">
        <f t="shared" si="45"/>
        <v>Northern</v>
      </c>
      <c r="P69" s="26" t="e">
        <f t="shared" si="46"/>
        <v>#REF!</v>
      </c>
      <c r="Q69" s="27" t="e">
        <f t="shared" si="47"/>
        <v>#VALUE!</v>
      </c>
      <c r="R69" s="27"/>
      <c r="S69" s="26">
        <f t="shared" si="48"/>
        <v>265</v>
      </c>
      <c r="T69" s="26" t="e">
        <f t="shared" si="49"/>
        <v>#REF!</v>
      </c>
      <c r="U69" s="27" t="e">
        <f t="shared" si="50"/>
        <v>#REF!</v>
      </c>
      <c r="V69" s="27"/>
      <c r="W69" s="26">
        <f t="shared" si="51"/>
        <v>142</v>
      </c>
      <c r="X69" s="26" t="e">
        <f t="shared" si="52"/>
        <v>#REF!</v>
      </c>
      <c r="Y69" s="27" t="e">
        <f t="shared" si="53"/>
        <v>#REF!</v>
      </c>
    </row>
    <row r="70" spans="1:25" ht="16.5" customHeight="1">
      <c r="A70" s="16" t="s">
        <v>172</v>
      </c>
      <c r="B70" s="16" t="s">
        <v>173</v>
      </c>
      <c r="C70" s="25">
        <f t="shared" si="36"/>
        <v>188</v>
      </c>
      <c r="D70" s="25" t="e">
        <f t="shared" si="37"/>
        <v>#REF!</v>
      </c>
      <c r="E70" s="27" t="e">
        <f t="shared" si="38"/>
        <v>#REF!</v>
      </c>
      <c r="F70" s="25"/>
      <c r="G70" s="25">
        <f t="shared" si="39"/>
        <v>135</v>
      </c>
      <c r="H70" s="25" t="e">
        <f t="shared" si="40"/>
        <v>#REF!</v>
      </c>
      <c r="I70" s="27" t="e">
        <f t="shared" si="41"/>
        <v>#REF!</v>
      </c>
      <c r="J70" s="25"/>
      <c r="K70" s="25">
        <f t="shared" si="42"/>
        <v>272</v>
      </c>
      <c r="L70" s="25" t="e">
        <f t="shared" si="43"/>
        <v>#REF!</v>
      </c>
      <c r="M70" s="27" t="e">
        <f t="shared" si="44"/>
        <v>#REF!</v>
      </c>
      <c r="N70" s="27"/>
      <c r="O70" s="26" t="str">
        <f t="shared" si="45"/>
        <v>Northern</v>
      </c>
      <c r="P70" s="26" t="e">
        <f t="shared" si="46"/>
        <v>#REF!</v>
      </c>
      <c r="Q70" s="27" t="e">
        <f t="shared" si="47"/>
        <v>#VALUE!</v>
      </c>
      <c r="R70" s="27"/>
      <c r="S70" s="26">
        <f t="shared" si="48"/>
        <v>198</v>
      </c>
      <c r="T70" s="26" t="e">
        <f t="shared" si="49"/>
        <v>#REF!</v>
      </c>
      <c r="U70" s="27" t="e">
        <f t="shared" si="50"/>
        <v>#REF!</v>
      </c>
      <c r="V70" s="27"/>
      <c r="W70" s="26">
        <f t="shared" si="51"/>
        <v>125</v>
      </c>
      <c r="X70" s="26" t="e">
        <f t="shared" si="52"/>
        <v>#REF!</v>
      </c>
      <c r="Y70" s="27" t="e">
        <f t="shared" si="53"/>
        <v>#REF!</v>
      </c>
    </row>
    <row r="71" spans="1:25" ht="16.5" customHeight="1">
      <c r="A71" s="16" t="s">
        <v>174</v>
      </c>
      <c r="B71" s="16" t="s">
        <v>175</v>
      </c>
      <c r="C71" s="25">
        <f t="shared" si="36"/>
        <v>281</v>
      </c>
      <c r="D71" s="25" t="e">
        <f t="shared" si="37"/>
        <v>#REF!</v>
      </c>
      <c r="E71" s="27" t="e">
        <f t="shared" si="38"/>
        <v>#REF!</v>
      </c>
      <c r="F71" s="25"/>
      <c r="G71" s="25">
        <f t="shared" si="39"/>
        <v>227</v>
      </c>
      <c r="H71" s="25" t="e">
        <f t="shared" si="40"/>
        <v>#REF!</v>
      </c>
      <c r="I71" s="27" t="e">
        <f t="shared" si="41"/>
        <v>#REF!</v>
      </c>
      <c r="J71" s="25"/>
      <c r="K71" s="25">
        <f t="shared" si="42"/>
        <v>419</v>
      </c>
      <c r="L71" s="25" t="e">
        <f t="shared" si="43"/>
        <v>#REF!</v>
      </c>
      <c r="M71" s="27" t="e">
        <f t="shared" si="44"/>
        <v>#REF!</v>
      </c>
      <c r="N71" s="27"/>
      <c r="O71" s="26" t="str">
        <f t="shared" si="45"/>
        <v>Western</v>
      </c>
      <c r="P71" s="26" t="e">
        <f t="shared" si="46"/>
        <v>#REF!</v>
      </c>
      <c r="Q71" s="27" t="e">
        <f t="shared" si="47"/>
        <v>#VALUE!</v>
      </c>
      <c r="R71" s="27"/>
      <c r="S71" s="26">
        <f t="shared" si="48"/>
        <v>306</v>
      </c>
      <c r="T71" s="26" t="e">
        <f t="shared" si="49"/>
        <v>#REF!</v>
      </c>
      <c r="U71" s="27" t="e">
        <f t="shared" si="50"/>
        <v>#REF!</v>
      </c>
      <c r="V71" s="27"/>
      <c r="W71" s="26">
        <f t="shared" si="51"/>
        <v>202</v>
      </c>
      <c r="X71" s="26" t="e">
        <f t="shared" si="52"/>
        <v>#REF!</v>
      </c>
      <c r="Y71" s="27" t="e">
        <f t="shared" si="53"/>
        <v>#REF!</v>
      </c>
    </row>
    <row r="72" spans="1:25" ht="16.5" customHeight="1">
      <c r="A72" s="16" t="s">
        <v>178</v>
      </c>
      <c r="B72" s="16" t="s">
        <v>179</v>
      </c>
      <c r="C72" s="25">
        <f t="shared" si="36"/>
        <v>702</v>
      </c>
      <c r="D72" s="25" t="e">
        <f t="shared" si="37"/>
        <v>#REF!</v>
      </c>
      <c r="E72" s="27" t="e">
        <f t="shared" si="38"/>
        <v>#REF!</v>
      </c>
      <c r="F72" s="25"/>
      <c r="G72" s="25">
        <f t="shared" si="39"/>
        <v>435</v>
      </c>
      <c r="H72" s="25" t="e">
        <f t="shared" si="40"/>
        <v>#REF!</v>
      </c>
      <c r="I72" s="27" t="e">
        <f t="shared" si="41"/>
        <v>#REF!</v>
      </c>
      <c r="J72" s="25"/>
      <c r="K72" s="25">
        <f t="shared" si="42"/>
        <v>552</v>
      </c>
      <c r="L72" s="25" t="e">
        <f t="shared" si="43"/>
        <v>#REF!</v>
      </c>
      <c r="M72" s="27" t="e">
        <f t="shared" si="44"/>
        <v>#REF!</v>
      </c>
      <c r="N72" s="27"/>
      <c r="O72" s="26" t="str">
        <f t="shared" si="45"/>
        <v>Piedmont</v>
      </c>
      <c r="P72" s="26" t="e">
        <f t="shared" si="46"/>
        <v>#REF!</v>
      </c>
      <c r="Q72" s="27" t="e">
        <f t="shared" si="47"/>
        <v>#VALUE!</v>
      </c>
      <c r="R72" s="27"/>
      <c r="S72" s="26">
        <f t="shared" si="48"/>
        <v>736</v>
      </c>
      <c r="T72" s="26" t="e">
        <f t="shared" si="49"/>
        <v>#REF!</v>
      </c>
      <c r="U72" s="27" t="e">
        <f t="shared" si="50"/>
        <v>#REF!</v>
      </c>
      <c r="V72" s="27"/>
      <c r="W72" s="26">
        <f t="shared" si="51"/>
        <v>399</v>
      </c>
      <c r="X72" s="26" t="e">
        <f t="shared" si="52"/>
        <v>#REF!</v>
      </c>
      <c r="Y72" s="27" t="e">
        <f t="shared" si="53"/>
        <v>#REF!</v>
      </c>
    </row>
    <row r="73" spans="1:25" ht="16.5" customHeight="1">
      <c r="A73" s="16" t="s">
        <v>182</v>
      </c>
      <c r="B73" s="16" t="s">
        <v>183</v>
      </c>
      <c r="C73" s="25">
        <f t="shared" si="36"/>
        <v>105</v>
      </c>
      <c r="D73" s="25" t="e">
        <f t="shared" si="37"/>
        <v>#REF!</v>
      </c>
      <c r="E73" s="27" t="e">
        <f t="shared" si="38"/>
        <v>#REF!</v>
      </c>
      <c r="F73" s="25"/>
      <c r="G73" s="25">
        <f t="shared" si="39"/>
        <v>89</v>
      </c>
      <c r="H73" s="25" t="e">
        <f t="shared" si="40"/>
        <v>#REF!</v>
      </c>
      <c r="I73" s="27" t="e">
        <f t="shared" si="41"/>
        <v>#REF!</v>
      </c>
      <c r="J73" s="25"/>
      <c r="K73" s="25">
        <f t="shared" si="42"/>
        <v>132</v>
      </c>
      <c r="L73" s="25" t="e">
        <f t="shared" si="43"/>
        <v>#REF!</v>
      </c>
      <c r="M73" s="27" t="e">
        <f t="shared" si="44"/>
        <v>#REF!</v>
      </c>
      <c r="N73" s="27"/>
      <c r="O73" s="26" t="str">
        <f t="shared" si="45"/>
        <v>Central</v>
      </c>
      <c r="P73" s="26" t="e">
        <f t="shared" si="46"/>
        <v>#REF!</v>
      </c>
      <c r="Q73" s="27" t="e">
        <f t="shared" si="47"/>
        <v>#VALUE!</v>
      </c>
      <c r="R73" s="27"/>
      <c r="S73" s="26">
        <f t="shared" si="48"/>
        <v>128</v>
      </c>
      <c r="T73" s="26" t="e">
        <f t="shared" si="49"/>
        <v>#REF!</v>
      </c>
      <c r="U73" s="27" t="e">
        <f t="shared" si="50"/>
        <v>#REF!</v>
      </c>
      <c r="V73" s="27"/>
      <c r="W73" s="26">
        <f t="shared" si="51"/>
        <v>64</v>
      </c>
      <c r="X73" s="26" t="e">
        <f t="shared" si="52"/>
        <v>#REF!</v>
      </c>
      <c r="Y73" s="27" t="e">
        <f t="shared" si="53"/>
        <v>#REF!</v>
      </c>
    </row>
    <row r="74" spans="1:25" ht="16.5" customHeight="1">
      <c r="A74" s="16" t="s">
        <v>184</v>
      </c>
      <c r="B74" s="16" t="s">
        <v>185</v>
      </c>
      <c r="C74" s="25">
        <f t="shared" si="36"/>
        <v>417</v>
      </c>
      <c r="D74" s="25" t="e">
        <f t="shared" si="37"/>
        <v>#REF!</v>
      </c>
      <c r="E74" s="27" t="e">
        <f t="shared" si="38"/>
        <v>#REF!</v>
      </c>
      <c r="F74" s="25"/>
      <c r="G74" s="25">
        <f t="shared" si="39"/>
        <v>263</v>
      </c>
      <c r="H74" s="25" t="e">
        <f t="shared" si="40"/>
        <v>#REF!</v>
      </c>
      <c r="I74" s="27" t="e">
        <f t="shared" si="41"/>
        <v>#REF!</v>
      </c>
      <c r="J74" s="25"/>
      <c r="K74" s="25">
        <f t="shared" si="42"/>
        <v>189</v>
      </c>
      <c r="L74" s="25" t="e">
        <f t="shared" si="43"/>
        <v>#REF!</v>
      </c>
      <c r="M74" s="27" t="e">
        <f t="shared" si="44"/>
        <v>#REF!</v>
      </c>
      <c r="N74" s="27"/>
      <c r="O74" s="26" t="str">
        <f t="shared" si="45"/>
        <v>Central</v>
      </c>
      <c r="P74" s="26" t="e">
        <f t="shared" si="46"/>
        <v>#REF!</v>
      </c>
      <c r="Q74" s="27" t="e">
        <f t="shared" si="47"/>
        <v>#VALUE!</v>
      </c>
      <c r="R74" s="27"/>
      <c r="S74" s="26">
        <f t="shared" si="48"/>
        <v>430</v>
      </c>
      <c r="T74" s="26" t="e">
        <f t="shared" si="49"/>
        <v>#REF!</v>
      </c>
      <c r="U74" s="27" t="e">
        <f t="shared" si="50"/>
        <v>#REF!</v>
      </c>
      <c r="V74" s="27"/>
      <c r="W74" s="26">
        <f t="shared" si="51"/>
        <v>250</v>
      </c>
      <c r="X74" s="26" t="e">
        <f t="shared" si="52"/>
        <v>#REF!</v>
      </c>
      <c r="Y74" s="27" t="e">
        <f t="shared" si="53"/>
        <v>#REF!</v>
      </c>
    </row>
    <row r="75" spans="1:25" ht="16.5" customHeight="1">
      <c r="A75" s="16" t="s">
        <v>186</v>
      </c>
      <c r="B75" s="16" t="s">
        <v>187</v>
      </c>
      <c r="C75" s="25">
        <f t="shared" si="36"/>
        <v>276</v>
      </c>
      <c r="D75" s="25" t="e">
        <f t="shared" si="37"/>
        <v>#REF!</v>
      </c>
      <c r="E75" s="27" t="e">
        <f t="shared" si="38"/>
        <v>#REF!</v>
      </c>
      <c r="F75" s="25"/>
      <c r="G75" s="25">
        <f t="shared" si="39"/>
        <v>190</v>
      </c>
      <c r="H75" s="25" t="e">
        <f t="shared" si="40"/>
        <v>#REF!</v>
      </c>
      <c r="I75" s="27" t="e">
        <f t="shared" si="41"/>
        <v>#REF!</v>
      </c>
      <c r="J75" s="25"/>
      <c r="K75" s="25">
        <f t="shared" si="42"/>
        <v>192</v>
      </c>
      <c r="L75" s="25" t="e">
        <f t="shared" si="43"/>
        <v>#REF!</v>
      </c>
      <c r="M75" s="27" t="e">
        <f t="shared" si="44"/>
        <v>#REF!</v>
      </c>
      <c r="N75" s="27"/>
      <c r="O75" s="26" t="str">
        <f t="shared" si="45"/>
        <v>Eastern</v>
      </c>
      <c r="P75" s="26" t="e">
        <f t="shared" si="46"/>
        <v>#REF!</v>
      </c>
      <c r="Q75" s="27" t="e">
        <f t="shared" si="47"/>
        <v>#VALUE!</v>
      </c>
      <c r="R75" s="27"/>
      <c r="S75" s="26">
        <f t="shared" si="48"/>
        <v>297</v>
      </c>
      <c r="T75" s="26" t="e">
        <f t="shared" si="49"/>
        <v>#REF!</v>
      </c>
      <c r="U75" s="27" t="e">
        <f t="shared" si="50"/>
        <v>#REF!</v>
      </c>
      <c r="V75" s="27"/>
      <c r="W75" s="26">
        <f t="shared" si="51"/>
        <v>169</v>
      </c>
      <c r="X75" s="26" t="e">
        <f t="shared" si="52"/>
        <v>#REF!</v>
      </c>
      <c r="Y75" s="27" t="e">
        <f t="shared" si="53"/>
        <v>#REF!</v>
      </c>
    </row>
    <row r="76" spans="1:25" ht="16.5" customHeight="1">
      <c r="A76" s="16" t="s">
        <v>188</v>
      </c>
      <c r="B76" s="16" t="s">
        <v>189</v>
      </c>
      <c r="C76" s="25">
        <f t="shared" si="36"/>
        <v>3522</v>
      </c>
      <c r="D76" s="25" t="e">
        <f t="shared" si="37"/>
        <v>#REF!</v>
      </c>
      <c r="E76" s="27" t="e">
        <f t="shared" si="38"/>
        <v>#REF!</v>
      </c>
      <c r="F76" s="25"/>
      <c r="G76" s="25">
        <f t="shared" si="39"/>
        <v>2180</v>
      </c>
      <c r="H76" s="25" t="e">
        <f t="shared" si="40"/>
        <v>#REF!</v>
      </c>
      <c r="I76" s="27" t="e">
        <f t="shared" si="41"/>
        <v>#REF!</v>
      </c>
      <c r="J76" s="25"/>
      <c r="K76" s="25">
        <f t="shared" si="42"/>
        <v>1914</v>
      </c>
      <c r="L76" s="25" t="e">
        <f t="shared" si="43"/>
        <v>#REF!</v>
      </c>
      <c r="M76" s="27" t="e">
        <f t="shared" si="44"/>
        <v>#REF!</v>
      </c>
      <c r="N76" s="27"/>
      <c r="O76" s="26" t="str">
        <f t="shared" si="45"/>
        <v>Northern</v>
      </c>
      <c r="P76" s="26" t="e">
        <f t="shared" si="46"/>
        <v>#REF!</v>
      </c>
      <c r="Q76" s="27" t="e">
        <f t="shared" si="47"/>
        <v>#VALUE!</v>
      </c>
      <c r="R76" s="27"/>
      <c r="S76" s="26">
        <f t="shared" si="48"/>
        <v>3616</v>
      </c>
      <c r="T76" s="26" t="e">
        <f t="shared" si="49"/>
        <v>#REF!</v>
      </c>
      <c r="U76" s="27" t="e">
        <f t="shared" si="50"/>
        <v>#REF!</v>
      </c>
      <c r="V76" s="27"/>
      <c r="W76" s="26">
        <f t="shared" si="51"/>
        <v>2084</v>
      </c>
      <c r="X76" s="26" t="e">
        <f t="shared" si="52"/>
        <v>#REF!</v>
      </c>
      <c r="Y76" s="27" t="e">
        <f t="shared" si="53"/>
        <v>#REF!</v>
      </c>
    </row>
    <row r="77" spans="1:25" ht="16.5" customHeight="1">
      <c r="A77" s="16" t="s">
        <v>190</v>
      </c>
      <c r="B77" s="16" t="s">
        <v>191</v>
      </c>
      <c r="C77" s="25">
        <f t="shared" si="36"/>
        <v>480</v>
      </c>
      <c r="D77" s="25" t="e">
        <f t="shared" si="37"/>
        <v>#REF!</v>
      </c>
      <c r="E77" s="27" t="e">
        <f t="shared" si="38"/>
        <v>#REF!</v>
      </c>
      <c r="F77" s="25"/>
      <c r="G77" s="25">
        <f t="shared" si="39"/>
        <v>334</v>
      </c>
      <c r="H77" s="25" t="e">
        <f t="shared" si="40"/>
        <v>#REF!</v>
      </c>
      <c r="I77" s="27" t="e">
        <f t="shared" si="41"/>
        <v>#REF!</v>
      </c>
      <c r="J77" s="25"/>
      <c r="K77" s="25">
        <f t="shared" si="42"/>
        <v>627</v>
      </c>
      <c r="L77" s="25" t="e">
        <f t="shared" si="43"/>
        <v>#REF!</v>
      </c>
      <c r="M77" s="27" t="e">
        <f t="shared" si="44"/>
        <v>#REF!</v>
      </c>
      <c r="N77" s="27"/>
      <c r="O77" s="26" t="str">
        <f t="shared" si="45"/>
        <v>Western</v>
      </c>
      <c r="P77" s="26" t="e">
        <f t="shared" si="46"/>
        <v>#REF!</v>
      </c>
      <c r="Q77" s="27" t="e">
        <f t="shared" si="47"/>
        <v>#VALUE!</v>
      </c>
      <c r="R77" s="27"/>
      <c r="S77" s="26">
        <f t="shared" si="48"/>
        <v>524</v>
      </c>
      <c r="T77" s="26" t="e">
        <f t="shared" si="49"/>
        <v>#REF!</v>
      </c>
      <c r="U77" s="27" t="e">
        <f t="shared" si="50"/>
        <v>#REF!</v>
      </c>
      <c r="V77" s="27"/>
      <c r="W77" s="26">
        <f t="shared" si="51"/>
        <v>290</v>
      </c>
      <c r="X77" s="26" t="e">
        <f t="shared" si="52"/>
        <v>#REF!</v>
      </c>
      <c r="Y77" s="27" t="e">
        <f t="shared" si="53"/>
        <v>#REF!</v>
      </c>
    </row>
    <row r="78" spans="1:25" ht="16.5" customHeight="1">
      <c r="A78" s="16" t="s">
        <v>194</v>
      </c>
      <c r="B78" s="16" t="s">
        <v>195</v>
      </c>
      <c r="C78" s="25">
        <f t="shared" si="36"/>
        <v>29</v>
      </c>
      <c r="D78" s="25" t="e">
        <f t="shared" si="37"/>
        <v>#REF!</v>
      </c>
      <c r="E78" s="27" t="e">
        <f t="shared" si="38"/>
        <v>#REF!</v>
      </c>
      <c r="F78" s="25"/>
      <c r="G78" s="25">
        <f t="shared" si="39"/>
        <v>25</v>
      </c>
      <c r="H78" s="25" t="e">
        <f t="shared" si="40"/>
        <v>#REF!</v>
      </c>
      <c r="I78" s="27" t="e">
        <f t="shared" si="41"/>
        <v>#REF!</v>
      </c>
      <c r="J78" s="25"/>
      <c r="K78" s="25">
        <f t="shared" si="42"/>
        <v>41</v>
      </c>
      <c r="L78" s="25" t="e">
        <f t="shared" si="43"/>
        <v>#REF!</v>
      </c>
      <c r="M78" s="27" t="e">
        <f t="shared" si="44"/>
        <v>#REF!</v>
      </c>
      <c r="N78" s="27"/>
      <c r="O78" s="26" t="str">
        <f t="shared" si="45"/>
        <v>Northern</v>
      </c>
      <c r="P78" s="26" t="e">
        <f t="shared" si="46"/>
        <v>#REF!</v>
      </c>
      <c r="Q78" s="27" t="e">
        <f t="shared" si="47"/>
        <v>#VALUE!</v>
      </c>
      <c r="R78" s="27"/>
      <c r="S78" s="26">
        <f t="shared" si="48"/>
        <v>35</v>
      </c>
      <c r="T78" s="26" t="e">
        <f t="shared" si="49"/>
        <v>#REF!</v>
      </c>
      <c r="U78" s="27" t="e">
        <f t="shared" si="50"/>
        <v>#REF!</v>
      </c>
      <c r="V78" s="27"/>
      <c r="W78" s="26">
        <f t="shared" si="51"/>
        <v>19</v>
      </c>
      <c r="X78" s="26" t="e">
        <f t="shared" si="52"/>
        <v>#REF!</v>
      </c>
      <c r="Y78" s="27" t="e">
        <f t="shared" si="53"/>
        <v>#REF!</v>
      </c>
    </row>
    <row r="79" spans="1:25" ht="16.5" customHeight="1">
      <c r="A79" s="16" t="s">
        <v>198</v>
      </c>
      <c r="B79" s="16" t="s">
        <v>199</v>
      </c>
      <c r="C79" s="25">
        <f t="shared" si="36"/>
        <v>126</v>
      </c>
      <c r="D79" s="25" t="e">
        <f t="shared" si="37"/>
        <v>#REF!</v>
      </c>
      <c r="E79" s="27" t="e">
        <f t="shared" si="38"/>
        <v>#REF!</v>
      </c>
      <c r="F79" s="25"/>
      <c r="G79" s="25">
        <f t="shared" si="39"/>
        <v>90</v>
      </c>
      <c r="H79" s="25" t="e">
        <f t="shared" si="40"/>
        <v>#REF!</v>
      </c>
      <c r="I79" s="27" t="e">
        <f t="shared" si="41"/>
        <v>#REF!</v>
      </c>
      <c r="J79" s="25"/>
      <c r="K79" s="25">
        <f t="shared" si="42"/>
        <v>61</v>
      </c>
      <c r="L79" s="25" t="e">
        <f t="shared" si="43"/>
        <v>#REF!</v>
      </c>
      <c r="M79" s="27" t="e">
        <f t="shared" si="44"/>
        <v>#REF!</v>
      </c>
      <c r="N79" s="27"/>
      <c r="O79" s="26" t="str">
        <f t="shared" si="45"/>
        <v>Central</v>
      </c>
      <c r="P79" s="26" t="e">
        <f t="shared" si="46"/>
        <v>#REF!</v>
      </c>
      <c r="Q79" s="27" t="e">
        <f t="shared" si="47"/>
        <v>#VALUE!</v>
      </c>
      <c r="R79" s="27"/>
      <c r="S79" s="26">
        <f t="shared" si="48"/>
        <v>151</v>
      </c>
      <c r="T79" s="26" t="e">
        <f t="shared" si="49"/>
        <v>#REF!</v>
      </c>
      <c r="U79" s="27" t="e">
        <f t="shared" si="50"/>
        <v>#REF!</v>
      </c>
      <c r="V79" s="27"/>
      <c r="W79" s="26">
        <f t="shared" si="51"/>
        <v>64</v>
      </c>
      <c r="X79" s="26" t="e">
        <f t="shared" si="52"/>
        <v>#REF!</v>
      </c>
      <c r="Y79" s="27" t="e">
        <f t="shared" si="53"/>
        <v>#REF!</v>
      </c>
    </row>
    <row r="80" spans="1:25" ht="16.5" customHeight="1">
      <c r="A80" s="16" t="s">
        <v>202</v>
      </c>
      <c r="B80" s="16" t="s">
        <v>203</v>
      </c>
      <c r="C80" s="25">
        <f t="shared" si="36"/>
        <v>754</v>
      </c>
      <c r="D80" s="25" t="e">
        <f t="shared" si="37"/>
        <v>#REF!</v>
      </c>
      <c r="E80" s="27" t="e">
        <f t="shared" si="38"/>
        <v>#REF!</v>
      </c>
      <c r="F80" s="25"/>
      <c r="G80" s="25">
        <f t="shared" si="39"/>
        <v>527</v>
      </c>
      <c r="H80" s="25" t="e">
        <f t="shared" si="40"/>
        <v>#REF!</v>
      </c>
      <c r="I80" s="27" t="e">
        <f t="shared" si="41"/>
        <v>#REF!</v>
      </c>
      <c r="J80" s="25"/>
      <c r="K80" s="25">
        <f t="shared" si="42"/>
        <v>829</v>
      </c>
      <c r="L80" s="25" t="e">
        <f t="shared" si="43"/>
        <v>#REF!</v>
      </c>
      <c r="M80" s="27" t="e">
        <f t="shared" si="44"/>
        <v>#REF!</v>
      </c>
      <c r="N80" s="27"/>
      <c r="O80" s="26" t="str">
        <f t="shared" si="45"/>
        <v>Piedmont</v>
      </c>
      <c r="P80" s="26" t="e">
        <f t="shared" si="46"/>
        <v>#REF!</v>
      </c>
      <c r="Q80" s="27" t="e">
        <f t="shared" si="47"/>
        <v>#VALUE!</v>
      </c>
      <c r="R80" s="27"/>
      <c r="S80" s="26">
        <f t="shared" si="48"/>
        <v>846</v>
      </c>
      <c r="T80" s="26" t="e">
        <f t="shared" si="49"/>
        <v>#REF!</v>
      </c>
      <c r="U80" s="27" t="e">
        <f t="shared" si="50"/>
        <v>#REF!</v>
      </c>
      <c r="V80" s="27"/>
      <c r="W80" s="26">
        <f t="shared" si="51"/>
        <v>435</v>
      </c>
      <c r="X80" s="26" t="e">
        <f t="shared" si="52"/>
        <v>#REF!</v>
      </c>
      <c r="Y80" s="27" t="e">
        <f t="shared" si="53"/>
        <v>#REF!</v>
      </c>
    </row>
    <row r="81" spans="1:25" ht="16.5" customHeight="1">
      <c r="A81" s="16" t="s">
        <v>204</v>
      </c>
      <c r="B81" s="16" t="s">
        <v>205</v>
      </c>
      <c r="C81" s="25">
        <f t="shared" si="36"/>
        <v>238</v>
      </c>
      <c r="D81" s="25" t="e">
        <f t="shared" si="37"/>
        <v>#REF!</v>
      </c>
      <c r="E81" s="27" t="e">
        <f t="shared" si="38"/>
        <v>#REF!</v>
      </c>
      <c r="F81" s="25"/>
      <c r="G81" s="25">
        <f t="shared" si="39"/>
        <v>158</v>
      </c>
      <c r="H81" s="25" t="e">
        <f t="shared" si="40"/>
        <v>#REF!</v>
      </c>
      <c r="I81" s="27" t="e">
        <f t="shared" si="41"/>
        <v>#REF!</v>
      </c>
      <c r="J81" s="25"/>
      <c r="K81" s="25">
        <f t="shared" si="42"/>
        <v>318</v>
      </c>
      <c r="L81" s="25" t="e">
        <f t="shared" si="43"/>
        <v>#REF!</v>
      </c>
      <c r="M81" s="27" t="e">
        <f t="shared" si="44"/>
        <v>#REF!</v>
      </c>
      <c r="N81" s="27"/>
      <c r="O81" s="26" t="str">
        <f t="shared" si="45"/>
        <v>Piedmont</v>
      </c>
      <c r="P81" s="26" t="e">
        <f t="shared" si="46"/>
        <v>#REF!</v>
      </c>
      <c r="Q81" s="27" t="e">
        <f t="shared" si="47"/>
        <v>#VALUE!</v>
      </c>
      <c r="R81" s="27"/>
      <c r="S81" s="26">
        <f t="shared" si="48"/>
        <v>252</v>
      </c>
      <c r="T81" s="26" t="e">
        <f t="shared" si="49"/>
        <v>#REF!</v>
      </c>
      <c r="U81" s="27" t="e">
        <f t="shared" si="50"/>
        <v>#REF!</v>
      </c>
      <c r="V81" s="27"/>
      <c r="W81" s="26">
        <f t="shared" si="51"/>
        <v>144</v>
      </c>
      <c r="X81" s="26" t="e">
        <f t="shared" si="52"/>
        <v>#REF!</v>
      </c>
      <c r="Y81" s="27" t="e">
        <f t="shared" si="53"/>
        <v>#REF!</v>
      </c>
    </row>
    <row r="82" spans="1:25" ht="16.5" customHeight="1">
      <c r="A82" s="16" t="s">
        <v>206</v>
      </c>
      <c r="B82" s="16" t="s">
        <v>207</v>
      </c>
      <c r="C82" s="25">
        <f t="shared" si="36"/>
        <v>924</v>
      </c>
      <c r="D82" s="25" t="e">
        <f t="shared" si="37"/>
        <v>#REF!</v>
      </c>
      <c r="E82" s="27" t="e">
        <f t="shared" si="38"/>
        <v>#REF!</v>
      </c>
      <c r="F82" s="25"/>
      <c r="G82" s="25">
        <f t="shared" si="39"/>
        <v>712</v>
      </c>
      <c r="H82" s="25" t="e">
        <f t="shared" si="40"/>
        <v>#REF!</v>
      </c>
      <c r="I82" s="27" t="e">
        <f t="shared" si="41"/>
        <v>#REF!</v>
      </c>
      <c r="J82" s="25"/>
      <c r="K82" s="25">
        <f t="shared" si="42"/>
        <v>967</v>
      </c>
      <c r="L82" s="25" t="e">
        <f t="shared" si="43"/>
        <v>#REF!</v>
      </c>
      <c r="M82" s="27" t="e">
        <f t="shared" si="44"/>
        <v>#REF!</v>
      </c>
      <c r="N82" s="27"/>
      <c r="O82" s="26" t="str">
        <f t="shared" si="45"/>
        <v>Northern</v>
      </c>
      <c r="P82" s="26" t="e">
        <f t="shared" si="46"/>
        <v>#REF!</v>
      </c>
      <c r="Q82" s="27" t="e">
        <f t="shared" si="47"/>
        <v>#VALUE!</v>
      </c>
      <c r="R82" s="27"/>
      <c r="S82" s="26">
        <f t="shared" si="48"/>
        <v>999</v>
      </c>
      <c r="T82" s="26" t="e">
        <f t="shared" si="49"/>
        <v>#REF!</v>
      </c>
      <c r="U82" s="27" t="e">
        <f t="shared" si="50"/>
        <v>#REF!</v>
      </c>
      <c r="V82" s="27"/>
      <c r="W82" s="26">
        <f t="shared" si="51"/>
        <v>636</v>
      </c>
      <c r="X82" s="26" t="e">
        <f t="shared" si="52"/>
        <v>#REF!</v>
      </c>
      <c r="Y82" s="27" t="e">
        <f t="shared" si="53"/>
        <v>#REF!</v>
      </c>
    </row>
    <row r="83" spans="1:25" ht="16.5" customHeight="1">
      <c r="A83" s="16" t="s">
        <v>208</v>
      </c>
      <c r="B83" s="29" t="s">
        <v>209</v>
      </c>
      <c r="C83" s="25">
        <f t="shared" si="36"/>
        <v>612</v>
      </c>
      <c r="D83" s="25" t="e">
        <f t="shared" si="37"/>
        <v>#REF!</v>
      </c>
      <c r="E83" s="27" t="e">
        <f t="shared" si="38"/>
        <v>#REF!</v>
      </c>
      <c r="F83" s="25"/>
      <c r="G83" s="25">
        <f t="shared" si="39"/>
        <v>438</v>
      </c>
      <c r="H83" s="25" t="e">
        <f t="shared" si="40"/>
        <v>#REF!</v>
      </c>
      <c r="I83" s="27" t="e">
        <f t="shared" si="41"/>
        <v>#REF!</v>
      </c>
      <c r="J83" s="25"/>
      <c r="K83" s="25">
        <f t="shared" si="42"/>
        <v>916</v>
      </c>
      <c r="L83" s="25" t="e">
        <f t="shared" si="43"/>
        <v>#REF!</v>
      </c>
      <c r="M83" s="27" t="e">
        <f t="shared" si="44"/>
        <v>#REF!</v>
      </c>
      <c r="N83" s="27"/>
      <c r="O83" s="26" t="str">
        <f t="shared" si="45"/>
        <v>Western</v>
      </c>
      <c r="P83" s="26" t="e">
        <f t="shared" si="46"/>
        <v>#REF!</v>
      </c>
      <c r="Q83" s="27" t="e">
        <f t="shared" si="47"/>
        <v>#VALUE!</v>
      </c>
      <c r="R83" s="27"/>
      <c r="S83" s="26">
        <f t="shared" si="48"/>
        <v>627</v>
      </c>
      <c r="T83" s="26" t="e">
        <f t="shared" si="49"/>
        <v>#REF!</v>
      </c>
      <c r="U83" s="27" t="e">
        <f t="shared" si="50"/>
        <v>#REF!</v>
      </c>
      <c r="V83" s="27"/>
      <c r="W83" s="26">
        <f t="shared" si="51"/>
        <v>421</v>
      </c>
      <c r="X83" s="26" t="e">
        <f t="shared" si="52"/>
        <v>#REF!</v>
      </c>
      <c r="Y83" s="27" t="e">
        <f t="shared" si="53"/>
        <v>#REF!</v>
      </c>
    </row>
    <row r="84" spans="1:25" ht="16.5" customHeight="1">
      <c r="A84" s="16" t="s">
        <v>210</v>
      </c>
      <c r="B84" s="16" t="s">
        <v>211</v>
      </c>
      <c r="C84" s="25">
        <f t="shared" si="36"/>
        <v>447</v>
      </c>
      <c r="D84" s="25" t="e">
        <f t="shared" si="37"/>
        <v>#REF!</v>
      </c>
      <c r="E84" s="27" t="e">
        <f t="shared" si="38"/>
        <v>#REF!</v>
      </c>
      <c r="F84" s="25"/>
      <c r="G84" s="25">
        <f t="shared" si="39"/>
        <v>321</v>
      </c>
      <c r="H84" s="25" t="e">
        <f t="shared" si="40"/>
        <v>#REF!</v>
      </c>
      <c r="I84" s="27" t="e">
        <f t="shared" si="41"/>
        <v>#REF!</v>
      </c>
      <c r="J84" s="25"/>
      <c r="K84" s="25">
        <f t="shared" si="42"/>
        <v>689</v>
      </c>
      <c r="L84" s="25" t="e">
        <f t="shared" si="43"/>
        <v>#REF!</v>
      </c>
      <c r="M84" s="27" t="e">
        <f t="shared" si="44"/>
        <v>#REF!</v>
      </c>
      <c r="N84" s="27"/>
      <c r="O84" s="26" t="str">
        <f t="shared" si="45"/>
        <v>Western</v>
      </c>
      <c r="P84" s="26" t="e">
        <f t="shared" si="46"/>
        <v>#REF!</v>
      </c>
      <c r="Q84" s="27" t="e">
        <f t="shared" si="47"/>
        <v>#VALUE!</v>
      </c>
      <c r="R84" s="27"/>
      <c r="S84" s="26">
        <f t="shared" si="48"/>
        <v>463</v>
      </c>
      <c r="T84" s="26" t="e">
        <f t="shared" si="49"/>
        <v>#REF!</v>
      </c>
      <c r="U84" s="27" t="e">
        <f t="shared" si="50"/>
        <v>#REF!</v>
      </c>
      <c r="V84" s="27"/>
      <c r="W84" s="26">
        <f t="shared" si="51"/>
        <v>304</v>
      </c>
      <c r="X84" s="26" t="e">
        <f t="shared" si="52"/>
        <v>#REF!</v>
      </c>
      <c r="Y84" s="27" t="e">
        <f t="shared" si="53"/>
        <v>#REF!</v>
      </c>
    </row>
    <row r="85" spans="1:25" ht="16.5" customHeight="1">
      <c r="A85" s="16" t="s">
        <v>212</v>
      </c>
      <c r="B85" s="16" t="s">
        <v>213</v>
      </c>
      <c r="C85" s="25">
        <f t="shared" si="36"/>
        <v>176</v>
      </c>
      <c r="D85" s="25" t="e">
        <f t="shared" si="37"/>
        <v>#REF!</v>
      </c>
      <c r="E85" s="27" t="e">
        <f t="shared" si="38"/>
        <v>#REF!</v>
      </c>
      <c r="F85" s="25"/>
      <c r="G85" s="25">
        <f t="shared" si="39"/>
        <v>121</v>
      </c>
      <c r="H85" s="25" t="e">
        <f t="shared" si="40"/>
        <v>#REF!</v>
      </c>
      <c r="I85" s="27" t="e">
        <f t="shared" si="41"/>
        <v>#REF!</v>
      </c>
      <c r="J85" s="25"/>
      <c r="K85" s="25">
        <f t="shared" si="42"/>
        <v>229</v>
      </c>
      <c r="L85" s="25" t="e">
        <f t="shared" si="43"/>
        <v>#REF!</v>
      </c>
      <c r="M85" s="27" t="e">
        <f t="shared" si="44"/>
        <v>#REF!</v>
      </c>
      <c r="N85" s="27"/>
      <c r="O85" s="26" t="str">
        <f t="shared" si="45"/>
        <v>Northern</v>
      </c>
      <c r="P85" s="26" t="e">
        <f t="shared" si="46"/>
        <v>#REF!</v>
      </c>
      <c r="Q85" s="27" t="e">
        <f t="shared" si="47"/>
        <v>#VALUE!</v>
      </c>
      <c r="R85" s="27"/>
      <c r="S85" s="26">
        <f t="shared" si="48"/>
        <v>200</v>
      </c>
      <c r="T85" s="26" t="e">
        <f t="shared" si="49"/>
        <v>#REF!</v>
      </c>
      <c r="U85" s="27" t="e">
        <f t="shared" si="50"/>
        <v>#REF!</v>
      </c>
      <c r="V85" s="27"/>
      <c r="W85" s="26">
        <f t="shared" si="51"/>
        <v>97</v>
      </c>
      <c r="X85" s="26" t="e">
        <f t="shared" si="52"/>
        <v>#REF!</v>
      </c>
      <c r="Y85" s="27" t="e">
        <f t="shared" si="53"/>
        <v>#REF!</v>
      </c>
    </row>
    <row r="86" spans="1:25" ht="16.5" customHeight="1">
      <c r="A86" s="16" t="s">
        <v>214</v>
      </c>
      <c r="B86" s="16" t="s">
        <v>215</v>
      </c>
      <c r="C86" s="25">
        <f t="shared" si="36"/>
        <v>573</v>
      </c>
      <c r="D86" s="25" t="e">
        <f t="shared" si="37"/>
        <v>#REF!</v>
      </c>
      <c r="E86" s="27" t="e">
        <f t="shared" si="38"/>
        <v>#REF!</v>
      </c>
      <c r="F86" s="25"/>
      <c r="G86" s="25">
        <f t="shared" si="39"/>
        <v>403</v>
      </c>
      <c r="H86" s="25" t="e">
        <f t="shared" si="40"/>
        <v>#REF!</v>
      </c>
      <c r="I86" s="27" t="e">
        <f t="shared" si="41"/>
        <v>#REF!</v>
      </c>
      <c r="J86" s="25"/>
      <c r="K86" s="25">
        <f t="shared" si="42"/>
        <v>866</v>
      </c>
      <c r="L86" s="25" t="e">
        <f t="shared" si="43"/>
        <v>#REF!</v>
      </c>
      <c r="M86" s="27" t="e">
        <f t="shared" si="44"/>
        <v>#REF!</v>
      </c>
      <c r="N86" s="27"/>
      <c r="O86" s="26" t="str">
        <f t="shared" si="45"/>
        <v>Western</v>
      </c>
      <c r="P86" s="26" t="e">
        <f t="shared" si="46"/>
        <v>#REF!</v>
      </c>
      <c r="Q86" s="27" t="e">
        <f t="shared" si="47"/>
        <v>#VALUE!</v>
      </c>
      <c r="R86" s="27"/>
      <c r="S86" s="26">
        <f t="shared" si="48"/>
        <v>584</v>
      </c>
      <c r="T86" s="26" t="e">
        <f t="shared" si="49"/>
        <v>#REF!</v>
      </c>
      <c r="U86" s="27" t="e">
        <f t="shared" si="50"/>
        <v>#REF!</v>
      </c>
      <c r="V86" s="27"/>
      <c r="W86" s="26">
        <f t="shared" si="51"/>
        <v>392</v>
      </c>
      <c r="X86" s="26" t="e">
        <f t="shared" si="52"/>
        <v>#REF!</v>
      </c>
      <c r="Y86" s="27" t="e">
        <f t="shared" si="53"/>
        <v>#REF!</v>
      </c>
    </row>
    <row r="87" spans="1:25" ht="16.5" customHeight="1">
      <c r="A87" s="16" t="s">
        <v>216</v>
      </c>
      <c r="B87" s="16" t="s">
        <v>217</v>
      </c>
      <c r="C87" s="25">
        <f t="shared" si="36"/>
        <v>294</v>
      </c>
      <c r="D87" s="25" t="e">
        <f t="shared" si="37"/>
        <v>#REF!</v>
      </c>
      <c r="E87" s="27" t="e">
        <f t="shared" si="38"/>
        <v>#REF!</v>
      </c>
      <c r="F87" s="25"/>
      <c r="G87" s="25">
        <f t="shared" si="39"/>
        <v>169</v>
      </c>
      <c r="H87" s="25" t="e">
        <f t="shared" si="40"/>
        <v>#REF!</v>
      </c>
      <c r="I87" s="27" t="e">
        <f t="shared" si="41"/>
        <v>#REF!</v>
      </c>
      <c r="J87" s="25"/>
      <c r="K87" s="25">
        <f t="shared" si="42"/>
        <v>111</v>
      </c>
      <c r="L87" s="25" t="e">
        <f t="shared" si="43"/>
        <v>#REF!</v>
      </c>
      <c r="M87" s="27" t="e">
        <f t="shared" si="44"/>
        <v>#REF!</v>
      </c>
      <c r="N87" s="27"/>
      <c r="O87" s="26" t="str">
        <f t="shared" si="45"/>
        <v>Eastern</v>
      </c>
      <c r="P87" s="26" t="e">
        <f t="shared" si="46"/>
        <v>#REF!</v>
      </c>
      <c r="Q87" s="27" t="e">
        <f t="shared" si="47"/>
        <v>#VALUE!</v>
      </c>
      <c r="R87" s="27"/>
      <c r="S87" s="26">
        <f t="shared" si="48"/>
        <v>285</v>
      </c>
      <c r="T87" s="26" t="e">
        <f t="shared" si="49"/>
        <v>#REF!</v>
      </c>
      <c r="U87" s="27" t="e">
        <f t="shared" si="50"/>
        <v>#REF!</v>
      </c>
      <c r="V87" s="27"/>
      <c r="W87" s="26">
        <f t="shared" si="51"/>
        <v>175</v>
      </c>
      <c r="X87" s="26" t="e">
        <f t="shared" si="52"/>
        <v>#REF!</v>
      </c>
      <c r="Y87" s="27" t="e">
        <f t="shared" si="53"/>
        <v>#REF!</v>
      </c>
    </row>
    <row r="88" spans="1:25" ht="16.5" customHeight="1">
      <c r="A88" s="16" t="s">
        <v>218</v>
      </c>
      <c r="B88" s="16" t="s">
        <v>219</v>
      </c>
      <c r="C88" s="25">
        <f t="shared" si="36"/>
        <v>1213</v>
      </c>
      <c r="D88" s="25" t="e">
        <f t="shared" si="37"/>
        <v>#REF!</v>
      </c>
      <c r="E88" s="27" t="e">
        <f t="shared" si="38"/>
        <v>#REF!</v>
      </c>
      <c r="F88" s="25"/>
      <c r="G88" s="25">
        <f t="shared" si="39"/>
        <v>806</v>
      </c>
      <c r="H88" s="25" t="e">
        <f t="shared" si="40"/>
        <v>#REF!</v>
      </c>
      <c r="I88" s="27" t="e">
        <f t="shared" si="41"/>
        <v>#REF!</v>
      </c>
      <c r="J88" s="25"/>
      <c r="K88" s="25">
        <f t="shared" si="42"/>
        <v>1020</v>
      </c>
      <c r="L88" s="25" t="e">
        <f t="shared" si="43"/>
        <v>#REF!</v>
      </c>
      <c r="M88" s="27" t="e">
        <f t="shared" si="44"/>
        <v>#REF!</v>
      </c>
      <c r="N88" s="27"/>
      <c r="O88" s="26" t="str">
        <f t="shared" si="45"/>
        <v>Northern</v>
      </c>
      <c r="P88" s="26" t="e">
        <f t="shared" si="46"/>
        <v>#REF!</v>
      </c>
      <c r="Q88" s="27" t="e">
        <f t="shared" si="47"/>
        <v>#VALUE!</v>
      </c>
      <c r="R88" s="27"/>
      <c r="S88" s="26">
        <f t="shared" si="48"/>
        <v>1298</v>
      </c>
      <c r="T88" s="26" t="e">
        <f t="shared" si="49"/>
        <v>#REF!</v>
      </c>
      <c r="U88" s="27" t="e">
        <f t="shared" si="50"/>
        <v>#REF!</v>
      </c>
      <c r="V88" s="27"/>
      <c r="W88" s="26">
        <f t="shared" si="51"/>
        <v>721</v>
      </c>
      <c r="X88" s="26" t="e">
        <f t="shared" si="52"/>
        <v>#REF!</v>
      </c>
      <c r="Y88" s="27" t="e">
        <f t="shared" si="53"/>
        <v>#REF!</v>
      </c>
    </row>
    <row r="89" spans="1:25" ht="16.5" customHeight="1">
      <c r="A89" s="16" t="s">
        <v>220</v>
      </c>
      <c r="B89" s="16" t="s">
        <v>221</v>
      </c>
      <c r="C89" s="25">
        <f t="shared" si="36"/>
        <v>986</v>
      </c>
      <c r="D89" s="25" t="e">
        <f t="shared" si="37"/>
        <v>#REF!</v>
      </c>
      <c r="E89" s="27" t="e">
        <f t="shared" si="38"/>
        <v>#REF!</v>
      </c>
      <c r="F89" s="25"/>
      <c r="G89" s="25">
        <f t="shared" si="39"/>
        <v>594</v>
      </c>
      <c r="H89" s="25" t="e">
        <f t="shared" si="40"/>
        <v>#REF!</v>
      </c>
      <c r="I89" s="27" t="e">
        <f t="shared" si="41"/>
        <v>#REF!</v>
      </c>
      <c r="J89" s="25"/>
      <c r="K89" s="25">
        <f t="shared" si="42"/>
        <v>604</v>
      </c>
      <c r="L89" s="25" t="e">
        <f t="shared" si="43"/>
        <v>#REF!</v>
      </c>
      <c r="M89" s="27" t="e">
        <f t="shared" si="44"/>
        <v>#REF!</v>
      </c>
      <c r="N89" s="27"/>
      <c r="O89" s="26" t="str">
        <f t="shared" si="45"/>
        <v>Northern</v>
      </c>
      <c r="P89" s="26" t="e">
        <f t="shared" si="46"/>
        <v>#REF!</v>
      </c>
      <c r="Q89" s="27" t="e">
        <f t="shared" si="47"/>
        <v>#VALUE!</v>
      </c>
      <c r="R89" s="27"/>
      <c r="S89" s="26">
        <f t="shared" si="48"/>
        <v>1005</v>
      </c>
      <c r="T89" s="26" t="e">
        <f t="shared" si="49"/>
        <v>#REF!</v>
      </c>
      <c r="U89" s="27" t="e">
        <f t="shared" si="50"/>
        <v>#REF!</v>
      </c>
      <c r="V89" s="27"/>
      <c r="W89" s="26">
        <f t="shared" si="51"/>
        <v>574</v>
      </c>
      <c r="X89" s="26" t="e">
        <f t="shared" si="52"/>
        <v>#REF!</v>
      </c>
      <c r="Y89" s="27" t="e">
        <f t="shared" si="53"/>
        <v>#REF!</v>
      </c>
    </row>
    <row r="90" spans="1:25" ht="16.5" customHeight="1">
      <c r="A90" s="16" t="s">
        <v>224</v>
      </c>
      <c r="B90" s="16" t="s">
        <v>225</v>
      </c>
      <c r="C90" s="25">
        <f t="shared" si="36"/>
        <v>126</v>
      </c>
      <c r="D90" s="25" t="e">
        <f t="shared" si="37"/>
        <v>#REF!</v>
      </c>
      <c r="E90" s="27" t="e">
        <f t="shared" si="38"/>
        <v>#REF!</v>
      </c>
      <c r="F90" s="25"/>
      <c r="G90" s="25">
        <f t="shared" si="39"/>
        <v>69</v>
      </c>
      <c r="H90" s="25" t="e">
        <f t="shared" si="40"/>
        <v>#REF!</v>
      </c>
      <c r="I90" s="27" t="e">
        <f t="shared" si="41"/>
        <v>#REF!</v>
      </c>
      <c r="J90" s="25"/>
      <c r="K90" s="25">
        <f t="shared" si="42"/>
        <v>66</v>
      </c>
      <c r="L90" s="25" t="e">
        <f t="shared" si="43"/>
        <v>#REF!</v>
      </c>
      <c r="M90" s="27" t="e">
        <f t="shared" si="44"/>
        <v>#REF!</v>
      </c>
      <c r="N90" s="27"/>
      <c r="O90" s="26" t="str">
        <f t="shared" si="45"/>
        <v>Eastern</v>
      </c>
      <c r="P90" s="26" t="e">
        <f t="shared" si="46"/>
        <v>#REF!</v>
      </c>
      <c r="Q90" s="27" t="e">
        <f t="shared" si="47"/>
        <v>#VALUE!</v>
      </c>
      <c r="R90" s="27"/>
      <c r="S90" s="26">
        <f t="shared" si="48"/>
        <v>117</v>
      </c>
      <c r="T90" s="26" t="e">
        <f t="shared" si="49"/>
        <v>#REF!</v>
      </c>
      <c r="U90" s="27" t="e">
        <f t="shared" si="50"/>
        <v>#REF!</v>
      </c>
      <c r="V90" s="27"/>
      <c r="W90" s="26">
        <f t="shared" si="51"/>
        <v>78</v>
      </c>
      <c r="X90" s="26" t="e">
        <f t="shared" si="52"/>
        <v>#REF!</v>
      </c>
      <c r="Y90" s="27" t="e">
        <f t="shared" si="53"/>
        <v>#REF!</v>
      </c>
    </row>
    <row r="91" spans="1:25" ht="16.5" customHeight="1">
      <c r="A91" s="16" t="s">
        <v>226</v>
      </c>
      <c r="B91" s="16" t="s">
        <v>227</v>
      </c>
      <c r="C91" s="25">
        <f t="shared" si="36"/>
        <v>258</v>
      </c>
      <c r="D91" s="25" t="e">
        <f t="shared" si="37"/>
        <v>#REF!</v>
      </c>
      <c r="E91" s="27" t="e">
        <f t="shared" si="38"/>
        <v>#REF!</v>
      </c>
      <c r="F91" s="25"/>
      <c r="G91" s="25">
        <f t="shared" si="39"/>
        <v>146</v>
      </c>
      <c r="H91" s="25" t="e">
        <f t="shared" si="40"/>
        <v>#REF!</v>
      </c>
      <c r="I91" s="27" t="e">
        <f t="shared" si="41"/>
        <v>#REF!</v>
      </c>
      <c r="J91" s="25"/>
      <c r="K91" s="25">
        <f t="shared" si="42"/>
        <v>85</v>
      </c>
      <c r="L91" s="25" t="e">
        <f t="shared" si="43"/>
        <v>#REF!</v>
      </c>
      <c r="M91" s="27" t="e">
        <f t="shared" si="44"/>
        <v>#REF!</v>
      </c>
      <c r="N91" s="27"/>
      <c r="O91" s="26" t="str">
        <f t="shared" si="45"/>
        <v>Eastern</v>
      </c>
      <c r="P91" s="26" t="e">
        <f t="shared" si="46"/>
        <v>#REF!</v>
      </c>
      <c r="Q91" s="27" t="e">
        <f t="shared" si="47"/>
        <v>#VALUE!</v>
      </c>
      <c r="R91" s="27"/>
      <c r="S91" s="26">
        <f t="shared" si="48"/>
        <v>265</v>
      </c>
      <c r="T91" s="26" t="e">
        <f t="shared" si="49"/>
        <v>#REF!</v>
      </c>
      <c r="U91" s="27" t="e">
        <f t="shared" si="50"/>
        <v>#REF!</v>
      </c>
      <c r="V91" s="27"/>
      <c r="W91" s="26">
        <f t="shared" si="51"/>
        <v>139</v>
      </c>
      <c r="X91" s="26" t="e">
        <f t="shared" si="52"/>
        <v>#REF!</v>
      </c>
      <c r="Y91" s="27" t="e">
        <f t="shared" si="53"/>
        <v>#REF!</v>
      </c>
    </row>
    <row r="92" spans="1:25" ht="16.5" customHeight="1">
      <c r="A92" s="16" t="s">
        <v>228</v>
      </c>
      <c r="B92" s="16" t="s">
        <v>229</v>
      </c>
      <c r="C92" s="25">
        <f t="shared" si="36"/>
        <v>679</v>
      </c>
      <c r="D92" s="25" t="e">
        <f t="shared" si="37"/>
        <v>#REF!</v>
      </c>
      <c r="E92" s="27" t="e">
        <f t="shared" si="38"/>
        <v>#REF!</v>
      </c>
      <c r="F92" s="25"/>
      <c r="G92" s="25">
        <f t="shared" si="39"/>
        <v>504</v>
      </c>
      <c r="H92" s="25" t="e">
        <f t="shared" si="40"/>
        <v>#REF!</v>
      </c>
      <c r="I92" s="27" t="e">
        <f t="shared" si="41"/>
        <v>#REF!</v>
      </c>
      <c r="J92" s="25"/>
      <c r="K92" s="25">
        <f t="shared" si="42"/>
        <v>1009</v>
      </c>
      <c r="L92" s="25" t="e">
        <f t="shared" si="43"/>
        <v>#REF!</v>
      </c>
      <c r="M92" s="27" t="e">
        <f t="shared" si="44"/>
        <v>#REF!</v>
      </c>
      <c r="N92" s="27"/>
      <c r="O92" s="26" t="str">
        <f t="shared" si="45"/>
        <v>Western</v>
      </c>
      <c r="P92" s="26" t="e">
        <f t="shared" si="46"/>
        <v>#REF!</v>
      </c>
      <c r="Q92" s="27" t="e">
        <f t="shared" si="47"/>
        <v>#VALUE!</v>
      </c>
      <c r="R92" s="27"/>
      <c r="S92" s="26">
        <f t="shared" si="48"/>
        <v>702</v>
      </c>
      <c r="T92" s="26" t="e">
        <f t="shared" si="49"/>
        <v>#REF!</v>
      </c>
      <c r="U92" s="27" t="e">
        <f t="shared" si="50"/>
        <v>#REF!</v>
      </c>
      <c r="V92" s="27"/>
      <c r="W92" s="26">
        <f t="shared" si="51"/>
        <v>481</v>
      </c>
      <c r="X92" s="26" t="e">
        <f t="shared" si="52"/>
        <v>#REF!</v>
      </c>
      <c r="Y92" s="27" t="e">
        <f t="shared" si="53"/>
        <v>#REF!</v>
      </c>
    </row>
    <row r="93" spans="1:25" ht="16.5" customHeight="1">
      <c r="A93" s="16" t="s">
        <v>232</v>
      </c>
      <c r="B93" s="16" t="s">
        <v>233</v>
      </c>
      <c r="C93" s="25">
        <f t="shared" si="36"/>
        <v>375</v>
      </c>
      <c r="D93" s="25" t="e">
        <f t="shared" si="37"/>
        <v>#REF!</v>
      </c>
      <c r="E93" s="27" t="e">
        <f t="shared" si="38"/>
        <v>#REF!</v>
      </c>
      <c r="F93" s="25"/>
      <c r="G93" s="25">
        <f t="shared" si="39"/>
        <v>257</v>
      </c>
      <c r="H93" s="25" t="e">
        <f t="shared" si="40"/>
        <v>#REF!</v>
      </c>
      <c r="I93" s="27" t="e">
        <f t="shared" si="41"/>
        <v>#REF!</v>
      </c>
      <c r="J93" s="25"/>
      <c r="K93" s="25">
        <f t="shared" si="42"/>
        <v>461</v>
      </c>
      <c r="L93" s="25" t="e">
        <f t="shared" si="43"/>
        <v>#REF!</v>
      </c>
      <c r="M93" s="27" t="e">
        <f t="shared" si="44"/>
        <v>#REF!</v>
      </c>
      <c r="N93" s="27"/>
      <c r="O93" s="26" t="str">
        <f t="shared" si="45"/>
        <v>Northern</v>
      </c>
      <c r="P93" s="26" t="e">
        <f t="shared" si="46"/>
        <v>#REF!</v>
      </c>
      <c r="Q93" s="27" t="e">
        <f t="shared" si="47"/>
        <v>#VALUE!</v>
      </c>
      <c r="R93" s="27"/>
      <c r="S93" s="26">
        <f t="shared" si="48"/>
        <v>406</v>
      </c>
      <c r="T93" s="26" t="e">
        <f t="shared" si="49"/>
        <v>#REF!</v>
      </c>
      <c r="U93" s="27" t="e">
        <f t="shared" si="50"/>
        <v>#REF!</v>
      </c>
      <c r="V93" s="27"/>
      <c r="W93" s="26">
        <f t="shared" si="51"/>
        <v>226</v>
      </c>
      <c r="X93" s="26" t="e">
        <f t="shared" si="52"/>
        <v>#REF!</v>
      </c>
      <c r="Y93" s="27" t="e">
        <f t="shared" si="53"/>
        <v>#REF!</v>
      </c>
    </row>
    <row r="94" spans="1:25" ht="16.5" customHeight="1">
      <c r="A94" s="16" t="s">
        <v>234</v>
      </c>
      <c r="B94" s="16" t="s">
        <v>235</v>
      </c>
      <c r="C94" s="25">
        <f t="shared" si="36"/>
        <v>574</v>
      </c>
      <c r="D94" s="25" t="e">
        <f t="shared" si="37"/>
        <v>#REF!</v>
      </c>
      <c r="E94" s="27" t="e">
        <f t="shared" si="38"/>
        <v>#REF!</v>
      </c>
      <c r="F94" s="25"/>
      <c r="G94" s="25">
        <f t="shared" si="39"/>
        <v>406</v>
      </c>
      <c r="H94" s="25" t="e">
        <f t="shared" si="40"/>
        <v>#REF!</v>
      </c>
      <c r="I94" s="27" t="e">
        <f t="shared" si="41"/>
        <v>#REF!</v>
      </c>
      <c r="J94" s="25"/>
      <c r="K94" s="25">
        <f t="shared" si="42"/>
        <v>905</v>
      </c>
      <c r="L94" s="25" t="e">
        <f t="shared" si="43"/>
        <v>#REF!</v>
      </c>
      <c r="M94" s="27" t="e">
        <f t="shared" si="44"/>
        <v>#REF!</v>
      </c>
      <c r="N94" s="27"/>
      <c r="O94" s="26" t="str">
        <f t="shared" si="45"/>
        <v>Western</v>
      </c>
      <c r="P94" s="26" t="e">
        <f t="shared" si="46"/>
        <v>#REF!</v>
      </c>
      <c r="Q94" s="27" t="e">
        <f t="shared" si="47"/>
        <v>#VALUE!</v>
      </c>
      <c r="R94" s="27"/>
      <c r="S94" s="26">
        <f t="shared" si="48"/>
        <v>610</v>
      </c>
      <c r="T94" s="26" t="e">
        <f t="shared" si="49"/>
        <v>#REF!</v>
      </c>
      <c r="U94" s="27" t="e">
        <f t="shared" si="50"/>
        <v>#REF!</v>
      </c>
      <c r="V94" s="27"/>
      <c r="W94" s="26">
        <f t="shared" si="51"/>
        <v>370</v>
      </c>
      <c r="X94" s="26" t="e">
        <f t="shared" si="52"/>
        <v>#REF!</v>
      </c>
      <c r="Y94" s="27" t="e">
        <f t="shared" si="53"/>
        <v>#REF!</v>
      </c>
    </row>
    <row r="95" spans="1:25" ht="16.5" customHeight="1">
      <c r="A95" s="16" t="s">
        <v>236</v>
      </c>
      <c r="B95" s="16" t="s">
        <v>237</v>
      </c>
      <c r="C95" s="25">
        <f t="shared" si="36"/>
        <v>199</v>
      </c>
      <c r="D95" s="25" t="e">
        <f t="shared" si="37"/>
        <v>#REF!</v>
      </c>
      <c r="E95" s="27" t="e">
        <f t="shared" si="38"/>
        <v>#REF!</v>
      </c>
      <c r="F95" s="25"/>
      <c r="G95" s="25">
        <f t="shared" si="39"/>
        <v>146</v>
      </c>
      <c r="H95" s="25" t="e">
        <f t="shared" si="40"/>
        <v>#REF!</v>
      </c>
      <c r="I95" s="27" t="e">
        <f t="shared" si="41"/>
        <v>#REF!</v>
      </c>
      <c r="J95" s="25"/>
      <c r="K95" s="25">
        <f t="shared" si="42"/>
        <v>120</v>
      </c>
      <c r="L95" s="25" t="e">
        <f t="shared" si="43"/>
        <v>#REF!</v>
      </c>
      <c r="M95" s="27" t="e">
        <f t="shared" si="44"/>
        <v>#REF!</v>
      </c>
      <c r="N95" s="27"/>
      <c r="O95" s="26" t="str">
        <f t="shared" si="45"/>
        <v>Central</v>
      </c>
      <c r="P95" s="26" t="e">
        <f t="shared" si="46"/>
        <v>#REF!</v>
      </c>
      <c r="Q95" s="27" t="e">
        <f t="shared" si="47"/>
        <v>#VALUE!</v>
      </c>
      <c r="R95" s="27"/>
      <c r="S95" s="26">
        <f t="shared" si="48"/>
        <v>223</v>
      </c>
      <c r="T95" s="26" t="e">
        <f t="shared" si="49"/>
        <v>#REF!</v>
      </c>
      <c r="U95" s="27" t="e">
        <f t="shared" si="50"/>
        <v>#REF!</v>
      </c>
      <c r="V95" s="27"/>
      <c r="W95" s="26">
        <f t="shared" si="51"/>
        <v>122</v>
      </c>
      <c r="X95" s="26" t="e">
        <f t="shared" si="52"/>
        <v>#REF!</v>
      </c>
      <c r="Y95" s="27" t="e">
        <f t="shared" si="53"/>
        <v>#REF!</v>
      </c>
    </row>
    <row r="96" spans="1:25" ht="16.5" customHeight="1">
      <c r="A96" s="16" t="s">
        <v>242</v>
      </c>
      <c r="B96" s="16" t="s">
        <v>243</v>
      </c>
      <c r="C96" s="25">
        <f t="shared" si="36"/>
        <v>1040</v>
      </c>
      <c r="D96" s="25" t="e">
        <f t="shared" si="37"/>
        <v>#REF!</v>
      </c>
      <c r="E96" s="27" t="e">
        <f t="shared" si="38"/>
        <v>#REF!</v>
      </c>
      <c r="F96" s="25"/>
      <c r="G96" s="25">
        <f t="shared" si="39"/>
        <v>775</v>
      </c>
      <c r="H96" s="25" t="e">
        <f t="shared" si="40"/>
        <v>#REF!</v>
      </c>
      <c r="I96" s="27" t="e">
        <f t="shared" si="41"/>
        <v>#REF!</v>
      </c>
      <c r="J96" s="25"/>
      <c r="K96" s="25">
        <f t="shared" si="42"/>
        <v>1610</v>
      </c>
      <c r="L96" s="25" t="e">
        <f t="shared" si="43"/>
        <v>#REF!</v>
      </c>
      <c r="M96" s="27" t="e">
        <f t="shared" si="44"/>
        <v>#REF!</v>
      </c>
      <c r="N96" s="27"/>
      <c r="O96" s="26" t="str">
        <f t="shared" si="45"/>
        <v>Western</v>
      </c>
      <c r="P96" s="26" t="e">
        <f t="shared" si="46"/>
        <v>#REF!</v>
      </c>
      <c r="Q96" s="27" t="e">
        <f t="shared" si="47"/>
        <v>#VALUE!</v>
      </c>
      <c r="R96" s="27"/>
      <c r="S96" s="26">
        <f t="shared" si="48"/>
        <v>1101</v>
      </c>
      <c r="T96" s="26" t="e">
        <f t="shared" si="49"/>
        <v>#REF!</v>
      </c>
      <c r="U96" s="27" t="e">
        <f t="shared" si="50"/>
        <v>#REF!</v>
      </c>
      <c r="V96" s="27"/>
      <c r="W96" s="26">
        <f t="shared" si="51"/>
        <v>711</v>
      </c>
      <c r="X96" s="26" t="e">
        <f t="shared" si="52"/>
        <v>#REF!</v>
      </c>
      <c r="Y96" s="27" t="e">
        <f t="shared" si="53"/>
        <v>#REF!</v>
      </c>
    </row>
    <row r="97" spans="1:25" ht="16.5" customHeight="1">
      <c r="A97" s="16" t="s">
        <v>244</v>
      </c>
      <c r="B97" s="16" t="s">
        <v>245</v>
      </c>
      <c r="C97" s="25">
        <f t="shared" si="36"/>
        <v>311</v>
      </c>
      <c r="D97" s="25" t="e">
        <f t="shared" si="37"/>
        <v>#REF!</v>
      </c>
      <c r="E97" s="27" t="e">
        <f t="shared" si="38"/>
        <v>#REF!</v>
      </c>
      <c r="F97" s="25"/>
      <c r="G97" s="25">
        <f t="shared" si="39"/>
        <v>214</v>
      </c>
      <c r="H97" s="25" t="e">
        <f t="shared" si="40"/>
        <v>#REF!</v>
      </c>
      <c r="I97" s="27" t="e">
        <f t="shared" si="41"/>
        <v>#REF!</v>
      </c>
      <c r="J97" s="25"/>
      <c r="K97" s="25">
        <f t="shared" si="42"/>
        <v>430</v>
      </c>
      <c r="L97" s="25" t="e">
        <f t="shared" si="43"/>
        <v>#REF!</v>
      </c>
      <c r="M97" s="27" t="e">
        <f t="shared" si="44"/>
        <v>#REF!</v>
      </c>
      <c r="N97" s="27"/>
      <c r="O97" s="26" t="str">
        <f t="shared" si="45"/>
        <v>Western</v>
      </c>
      <c r="P97" s="26" t="e">
        <f t="shared" si="46"/>
        <v>#REF!</v>
      </c>
      <c r="Q97" s="27" t="e">
        <f t="shared" si="47"/>
        <v>#VALUE!</v>
      </c>
      <c r="R97" s="27"/>
      <c r="S97" s="26">
        <f t="shared" si="48"/>
        <v>331</v>
      </c>
      <c r="T97" s="26" t="e">
        <f t="shared" si="49"/>
        <v>#REF!</v>
      </c>
      <c r="U97" s="27" t="e">
        <f t="shared" si="50"/>
        <v>#REF!</v>
      </c>
      <c r="V97" s="27"/>
      <c r="W97" s="26">
        <f t="shared" si="51"/>
        <v>194</v>
      </c>
      <c r="X97" s="26" t="e">
        <f t="shared" si="52"/>
        <v>#REF!</v>
      </c>
      <c r="Y97" s="27" t="e">
        <f t="shared" si="53"/>
        <v>#REF!</v>
      </c>
    </row>
    <row r="98" spans="1:25" ht="16.5" customHeight="1">
      <c r="A98" s="16" t="s">
        <v>246</v>
      </c>
      <c r="B98" s="16" t="s">
        <v>310</v>
      </c>
      <c r="C98" s="25">
        <f t="shared" si="36"/>
        <v>385</v>
      </c>
      <c r="D98" s="25" t="e">
        <f t="shared" si="37"/>
        <v>#REF!</v>
      </c>
      <c r="E98" s="27" t="e">
        <f t="shared" si="38"/>
        <v>#REF!</v>
      </c>
      <c r="F98" s="25"/>
      <c r="G98" s="25">
        <f t="shared" si="39"/>
        <v>254</v>
      </c>
      <c r="H98" s="25" t="e">
        <f t="shared" si="40"/>
        <v>#REF!</v>
      </c>
      <c r="I98" s="27" t="e">
        <f t="shared" si="41"/>
        <v>#REF!</v>
      </c>
      <c r="J98" s="25"/>
      <c r="K98" s="25">
        <f t="shared" si="42"/>
        <v>284</v>
      </c>
      <c r="L98" s="25" t="e">
        <f t="shared" si="43"/>
        <v>#REF!</v>
      </c>
      <c r="M98" s="27" t="e">
        <f t="shared" si="44"/>
        <v>#REF!</v>
      </c>
      <c r="N98" s="27"/>
      <c r="O98" s="26" t="str">
        <f t="shared" si="45"/>
        <v>Eastern</v>
      </c>
      <c r="P98" s="26" t="e">
        <f t="shared" si="46"/>
        <v>#REF!</v>
      </c>
      <c r="Q98" s="27" t="e">
        <f t="shared" si="47"/>
        <v>#VALUE!</v>
      </c>
      <c r="R98" s="27"/>
      <c r="S98" s="26">
        <f t="shared" si="48"/>
        <v>397</v>
      </c>
      <c r="T98" s="26" t="e">
        <f t="shared" si="49"/>
        <v>#REF!</v>
      </c>
      <c r="U98" s="27" t="e">
        <f t="shared" si="50"/>
        <v>#REF!</v>
      </c>
      <c r="V98" s="27"/>
      <c r="W98" s="26">
        <f t="shared" si="51"/>
        <v>242</v>
      </c>
      <c r="X98" s="26" t="e">
        <f t="shared" si="52"/>
        <v>#REF!</v>
      </c>
      <c r="Y98" s="27" t="e">
        <f t="shared" si="53"/>
        <v>#REF!</v>
      </c>
    </row>
    <row r="99" spans="1:25" ht="16.5" customHeight="1">
      <c r="A99" s="16" t="s">
        <v>14</v>
      </c>
      <c r="B99" s="16" t="s">
        <v>15</v>
      </c>
      <c r="C99" s="25">
        <f t="shared" si="36"/>
        <v>1330</v>
      </c>
      <c r="D99" s="25" t="e">
        <f t="shared" si="37"/>
        <v>#REF!</v>
      </c>
      <c r="E99" s="27" t="e">
        <f t="shared" si="38"/>
        <v>#REF!</v>
      </c>
      <c r="F99" s="25"/>
      <c r="G99" s="25">
        <f t="shared" si="39"/>
        <v>791</v>
      </c>
      <c r="H99" s="25" t="e">
        <f t="shared" si="40"/>
        <v>#REF!</v>
      </c>
      <c r="I99" s="27" t="e">
        <f t="shared" si="41"/>
        <v>#REF!</v>
      </c>
      <c r="J99" s="25"/>
      <c r="K99" s="25">
        <f t="shared" si="42"/>
        <v>492</v>
      </c>
      <c r="L99" s="25" t="e">
        <f t="shared" si="43"/>
        <v>#REF!</v>
      </c>
      <c r="M99" s="27" t="e">
        <f t="shared" si="44"/>
        <v>#REF!</v>
      </c>
      <c r="N99" s="27"/>
      <c r="O99" s="26" t="str">
        <f t="shared" si="45"/>
        <v>Northern</v>
      </c>
      <c r="P99" s="26" t="e">
        <f t="shared" si="46"/>
        <v>#REF!</v>
      </c>
      <c r="Q99" s="27" t="e">
        <f t="shared" si="47"/>
        <v>#VALUE!</v>
      </c>
      <c r="R99" s="27"/>
      <c r="S99" s="26">
        <f t="shared" si="48"/>
        <v>1289</v>
      </c>
      <c r="T99" s="26" t="e">
        <f t="shared" si="49"/>
        <v>#REF!</v>
      </c>
      <c r="U99" s="27" t="e">
        <f t="shared" si="50"/>
        <v>#REF!</v>
      </c>
      <c r="V99" s="27"/>
      <c r="W99" s="26">
        <f t="shared" si="51"/>
        <v>829</v>
      </c>
      <c r="X99" s="26" t="e">
        <f t="shared" si="52"/>
        <v>#REF!</v>
      </c>
      <c r="Y99" s="27" t="e">
        <f t="shared" si="53"/>
        <v>#REF!</v>
      </c>
    </row>
    <row r="100" spans="1:25" ht="16.5" customHeight="1">
      <c r="A100" s="16" t="s">
        <v>34</v>
      </c>
      <c r="B100" s="16" t="s">
        <v>35</v>
      </c>
      <c r="C100" s="25">
        <f t="shared" ref="C100:C123" si="54">VLOOKUP(A100,TANFClient_Demo,7,FALSE)</f>
        <v>731</v>
      </c>
      <c r="D100" s="25" t="e">
        <f t="shared" ref="D100:D123" si="55">VLOOKUP(A100,Pop,14,FALSE)</f>
        <v>#REF!</v>
      </c>
      <c r="E100" s="27" t="e">
        <f t="shared" ref="E100:E123" si="56">+C100/D100</f>
        <v>#REF!</v>
      </c>
      <c r="F100" s="25"/>
      <c r="G100" s="25">
        <f t="shared" ref="G100:G123" si="57">VLOOKUP(A100,TANFClient_Demo,8,FALSE)</f>
        <v>494</v>
      </c>
      <c r="H100" s="25" t="e">
        <f t="shared" ref="H100:H123" si="58">VLOOKUP(A100,Pop,15,FALSE)</f>
        <v>#REF!</v>
      </c>
      <c r="I100" s="27" t="e">
        <f t="shared" ref="I100:I123" si="59">+G100/H100</f>
        <v>#REF!</v>
      </c>
      <c r="J100" s="25"/>
      <c r="K100" s="25">
        <f t="shared" ref="K100:K123" si="60">VLOOKUP(A100,TANFClient_Demo,9,FALSE)</f>
        <v>948</v>
      </c>
      <c r="L100" s="25" t="e">
        <f t="shared" ref="L100:L123" si="61">VLOOKUP(A100,Pop,16,FALSE)</f>
        <v>#REF!</v>
      </c>
      <c r="M100" s="27" t="e">
        <f t="shared" ref="M100:M123" si="62">+K100/L100</f>
        <v>#REF!</v>
      </c>
      <c r="N100" s="27"/>
      <c r="O100" s="26" t="str">
        <f t="shared" ref="O100:O123" si="63">VLOOKUP(A100,TANFClient_Demo,3,FALSE)</f>
        <v>Western</v>
      </c>
      <c r="P100" s="26" t="e">
        <f t="shared" ref="P100:P123" si="64">VLOOKUP(A100,Pop,8,FALSE)</f>
        <v>#REF!</v>
      </c>
      <c r="Q100" s="27" t="e">
        <f t="shared" ref="Q100:Q123" si="65">+O100/P100</f>
        <v>#VALUE!</v>
      </c>
      <c r="R100" s="27"/>
      <c r="S100" s="26">
        <f t="shared" ref="S100:S123" si="66">VLOOKUP(A100,TANFClient_Demo,4,FALSE)</f>
        <v>747</v>
      </c>
      <c r="T100" s="26" t="e">
        <f t="shared" ref="T100:T123" si="67">VLOOKUP(A100,Pop,9,FALSE)</f>
        <v>#REF!</v>
      </c>
      <c r="U100" s="27" t="e">
        <f t="shared" ref="U100:U123" si="68">+S100/T100</f>
        <v>#REF!</v>
      </c>
      <c r="V100" s="27"/>
      <c r="W100" s="26">
        <f t="shared" ref="W100:W123" si="69">VLOOKUP(A100,TANFClient_Demo,5,FALSE)</f>
        <v>476</v>
      </c>
      <c r="X100" s="26" t="e">
        <f t="shared" ref="X100:X123" si="70">VLOOKUP(A100,Pop,10,FALSE)</f>
        <v>#REF!</v>
      </c>
      <c r="Y100" s="27" t="e">
        <f t="shared" ref="Y100:Y123" si="71">+W100/X100</f>
        <v>#REF!</v>
      </c>
    </row>
    <row r="101" spans="1:25" ht="16.5" customHeight="1">
      <c r="A101" s="16" t="s">
        <v>52</v>
      </c>
      <c r="B101" s="16" t="s">
        <v>53</v>
      </c>
      <c r="C101" s="25">
        <f t="shared" si="54"/>
        <v>800</v>
      </c>
      <c r="D101" s="25" t="e">
        <f t="shared" si="55"/>
        <v>#REF!</v>
      </c>
      <c r="E101" s="27" t="e">
        <f t="shared" si="56"/>
        <v>#REF!</v>
      </c>
      <c r="F101" s="25"/>
      <c r="G101" s="25">
        <f t="shared" si="57"/>
        <v>529</v>
      </c>
      <c r="H101" s="25" t="e">
        <f t="shared" si="58"/>
        <v>#REF!</v>
      </c>
      <c r="I101" s="27" t="e">
        <f t="shared" si="59"/>
        <v>#REF!</v>
      </c>
      <c r="J101" s="25"/>
      <c r="K101" s="25">
        <f t="shared" si="60"/>
        <v>273</v>
      </c>
      <c r="L101" s="25" t="e">
        <f t="shared" si="61"/>
        <v>#REF!</v>
      </c>
      <c r="M101" s="27" t="e">
        <f t="shared" si="62"/>
        <v>#REF!</v>
      </c>
      <c r="N101" s="27"/>
      <c r="O101" s="26" t="str">
        <f t="shared" si="63"/>
        <v>Piedmont</v>
      </c>
      <c r="P101" s="26" t="e">
        <f t="shared" si="64"/>
        <v>#REF!</v>
      </c>
      <c r="Q101" s="27" t="e">
        <f t="shared" si="65"/>
        <v>#VALUE!</v>
      </c>
      <c r="R101" s="27"/>
      <c r="S101" s="26">
        <f t="shared" si="66"/>
        <v>816</v>
      </c>
      <c r="T101" s="26" t="e">
        <f t="shared" si="67"/>
        <v>#REF!</v>
      </c>
      <c r="U101" s="27" t="e">
        <f t="shared" si="68"/>
        <v>#REF!</v>
      </c>
      <c r="V101" s="27"/>
      <c r="W101" s="26">
        <f t="shared" si="69"/>
        <v>511</v>
      </c>
      <c r="X101" s="26" t="e">
        <f t="shared" si="70"/>
        <v>#REF!</v>
      </c>
      <c r="Y101" s="27" t="e">
        <f t="shared" si="71"/>
        <v>#REF!</v>
      </c>
    </row>
    <row r="102" spans="1:25" ht="16.5" customHeight="1">
      <c r="A102" s="16" t="s">
        <v>54</v>
      </c>
      <c r="B102" s="16" t="s">
        <v>55</v>
      </c>
      <c r="C102" s="25">
        <f t="shared" si="54"/>
        <v>2848</v>
      </c>
      <c r="D102" s="25" t="e">
        <f t="shared" si="55"/>
        <v>#REF!</v>
      </c>
      <c r="E102" s="27" t="e">
        <f t="shared" si="56"/>
        <v>#REF!</v>
      </c>
      <c r="F102" s="25"/>
      <c r="G102" s="25">
        <f t="shared" si="57"/>
        <v>1726</v>
      </c>
      <c r="H102" s="25" t="e">
        <f t="shared" si="58"/>
        <v>#REF!</v>
      </c>
      <c r="I102" s="27" t="e">
        <f t="shared" si="59"/>
        <v>#REF!</v>
      </c>
      <c r="J102" s="25"/>
      <c r="K102" s="25">
        <f t="shared" si="60"/>
        <v>887</v>
      </c>
      <c r="L102" s="25" t="e">
        <f t="shared" si="61"/>
        <v>#REF!</v>
      </c>
      <c r="M102" s="27" t="e">
        <f t="shared" si="62"/>
        <v>#REF!</v>
      </c>
      <c r="N102" s="27"/>
      <c r="O102" s="26" t="str">
        <f t="shared" si="63"/>
        <v>Eastern</v>
      </c>
      <c r="P102" s="26" t="e">
        <f t="shared" si="64"/>
        <v>#REF!</v>
      </c>
      <c r="Q102" s="27" t="e">
        <f t="shared" si="65"/>
        <v>#VALUE!</v>
      </c>
      <c r="R102" s="27"/>
      <c r="S102" s="26">
        <f t="shared" si="66"/>
        <v>2984</v>
      </c>
      <c r="T102" s="26" t="e">
        <f t="shared" si="67"/>
        <v>#REF!</v>
      </c>
      <c r="U102" s="27" t="e">
        <f t="shared" si="68"/>
        <v>#REF!</v>
      </c>
      <c r="V102" s="27"/>
      <c r="W102" s="26">
        <f t="shared" si="69"/>
        <v>1589</v>
      </c>
      <c r="X102" s="26" t="e">
        <f t="shared" si="70"/>
        <v>#REF!</v>
      </c>
      <c r="Y102" s="27" t="e">
        <f t="shared" si="71"/>
        <v>#REF!</v>
      </c>
    </row>
    <row r="103" spans="1:25" ht="16.5" customHeight="1">
      <c r="A103" s="16" t="s">
        <v>66</v>
      </c>
      <c r="B103" s="16" t="s">
        <v>67</v>
      </c>
      <c r="C103" s="25">
        <f t="shared" si="54"/>
        <v>1432</v>
      </c>
      <c r="D103" s="25" t="e">
        <f t="shared" si="55"/>
        <v>#REF!</v>
      </c>
      <c r="E103" s="27" t="e">
        <f t="shared" si="56"/>
        <v>#REF!</v>
      </c>
      <c r="F103" s="25"/>
      <c r="G103" s="25">
        <f t="shared" si="57"/>
        <v>840</v>
      </c>
      <c r="H103" s="25" t="e">
        <f t="shared" si="58"/>
        <v>#REF!</v>
      </c>
      <c r="I103" s="27" t="e">
        <f t="shared" si="59"/>
        <v>#REF!</v>
      </c>
      <c r="J103" s="25"/>
      <c r="K103" s="25">
        <f t="shared" si="60"/>
        <v>397</v>
      </c>
      <c r="L103" s="25" t="e">
        <f t="shared" si="61"/>
        <v>#REF!</v>
      </c>
      <c r="M103" s="27" t="e">
        <f t="shared" si="62"/>
        <v>#REF!</v>
      </c>
      <c r="N103" s="27"/>
      <c r="O103" s="26" t="str">
        <f t="shared" si="63"/>
        <v>Piedmont</v>
      </c>
      <c r="P103" s="26" t="e">
        <f t="shared" si="64"/>
        <v>#REF!</v>
      </c>
      <c r="Q103" s="27" t="e">
        <f t="shared" si="65"/>
        <v>#VALUE!</v>
      </c>
      <c r="R103" s="27"/>
      <c r="S103" s="26">
        <f t="shared" si="66"/>
        <v>1478</v>
      </c>
      <c r="T103" s="26" t="e">
        <f t="shared" si="67"/>
        <v>#REF!</v>
      </c>
      <c r="U103" s="27" t="e">
        <f t="shared" si="68"/>
        <v>#REF!</v>
      </c>
      <c r="V103" s="27"/>
      <c r="W103" s="26">
        <f t="shared" si="69"/>
        <v>789</v>
      </c>
      <c r="X103" s="26" t="e">
        <f t="shared" si="70"/>
        <v>#REF!</v>
      </c>
      <c r="Y103" s="27" t="e">
        <f t="shared" si="71"/>
        <v>#REF!</v>
      </c>
    </row>
    <row r="104" spans="1:25" ht="16.5" customHeight="1">
      <c r="A104" s="16" t="s">
        <v>82</v>
      </c>
      <c r="B104" s="16" t="s">
        <v>311</v>
      </c>
      <c r="C104" s="25">
        <f t="shared" si="54"/>
        <v>301</v>
      </c>
      <c r="D104" s="25" t="e">
        <f t="shared" si="55"/>
        <v>#REF!</v>
      </c>
      <c r="E104" s="27" t="e">
        <f t="shared" si="56"/>
        <v>#REF!</v>
      </c>
      <c r="F104" s="25"/>
      <c r="G104" s="25">
        <f t="shared" si="57"/>
        <v>192</v>
      </c>
      <c r="H104" s="25" t="e">
        <f t="shared" si="58"/>
        <v>#REF!</v>
      </c>
      <c r="I104" s="27" t="e">
        <f t="shared" si="59"/>
        <v>#REF!</v>
      </c>
      <c r="J104" s="25"/>
      <c r="K104" s="25">
        <f t="shared" si="60"/>
        <v>31</v>
      </c>
      <c r="L104" s="25" t="e">
        <f t="shared" si="61"/>
        <v>#REF!</v>
      </c>
      <c r="M104" s="27" t="e">
        <f t="shared" si="62"/>
        <v>#REF!</v>
      </c>
      <c r="N104" s="27"/>
      <c r="O104" s="26" t="str">
        <f t="shared" si="63"/>
        <v>Eastern</v>
      </c>
      <c r="P104" s="26" t="e">
        <f t="shared" si="64"/>
        <v>#REF!</v>
      </c>
      <c r="Q104" s="27" t="e">
        <f t="shared" si="65"/>
        <v>#VALUE!</v>
      </c>
      <c r="R104" s="27"/>
      <c r="S104" s="26">
        <f t="shared" si="66"/>
        <v>328</v>
      </c>
      <c r="T104" s="26" t="e">
        <f t="shared" si="67"/>
        <v>#REF!</v>
      </c>
      <c r="U104" s="27" t="e">
        <f t="shared" si="68"/>
        <v>#REF!</v>
      </c>
      <c r="V104" s="27"/>
      <c r="W104" s="26">
        <f t="shared" si="69"/>
        <v>164</v>
      </c>
      <c r="X104" s="26" t="e">
        <f t="shared" si="70"/>
        <v>#REF!</v>
      </c>
      <c r="Y104" s="27" t="e">
        <f t="shared" si="71"/>
        <v>#REF!</v>
      </c>
    </row>
    <row r="105" spans="1:25" ht="16.5" customHeight="1">
      <c r="A105" s="16" t="s">
        <v>88</v>
      </c>
      <c r="B105" s="16" t="s">
        <v>89</v>
      </c>
      <c r="C105" s="25">
        <f t="shared" si="54"/>
        <v>586</v>
      </c>
      <c r="D105" s="25" t="e">
        <f t="shared" si="55"/>
        <v>#REF!</v>
      </c>
      <c r="E105" s="27" t="e">
        <f t="shared" si="56"/>
        <v>#REF!</v>
      </c>
      <c r="F105" s="25"/>
      <c r="G105" s="25">
        <f t="shared" si="57"/>
        <v>394</v>
      </c>
      <c r="H105" s="25" t="e">
        <f t="shared" si="58"/>
        <v>#REF!</v>
      </c>
      <c r="I105" s="27" t="e">
        <f t="shared" si="59"/>
        <v>#REF!</v>
      </c>
      <c r="J105" s="25"/>
      <c r="K105" s="25">
        <f t="shared" si="60"/>
        <v>275</v>
      </c>
      <c r="L105" s="25" t="e">
        <f t="shared" si="61"/>
        <v>#REF!</v>
      </c>
      <c r="M105" s="27" t="e">
        <f t="shared" si="62"/>
        <v>#REF!</v>
      </c>
      <c r="N105" s="27"/>
      <c r="O105" s="26" t="str">
        <f t="shared" si="63"/>
        <v>Northern</v>
      </c>
      <c r="P105" s="26" t="e">
        <f t="shared" si="64"/>
        <v>#REF!</v>
      </c>
      <c r="Q105" s="27" t="e">
        <f t="shared" si="65"/>
        <v>#VALUE!</v>
      </c>
      <c r="R105" s="27"/>
      <c r="S105" s="26">
        <f t="shared" si="66"/>
        <v>597</v>
      </c>
      <c r="T105" s="26" t="e">
        <f t="shared" si="67"/>
        <v>#REF!</v>
      </c>
      <c r="U105" s="27" t="e">
        <f t="shared" si="68"/>
        <v>#REF!</v>
      </c>
      <c r="V105" s="27"/>
      <c r="W105" s="26">
        <f t="shared" si="69"/>
        <v>382</v>
      </c>
      <c r="X105" s="26" t="e">
        <f t="shared" si="70"/>
        <v>#REF!</v>
      </c>
      <c r="Y105" s="27" t="e">
        <f t="shared" si="71"/>
        <v>#REF!</v>
      </c>
    </row>
    <row r="106" spans="1:25" ht="16.5" customHeight="1">
      <c r="A106" s="16" t="s">
        <v>90</v>
      </c>
      <c r="B106" s="16" t="s">
        <v>91</v>
      </c>
      <c r="C106" s="25">
        <f t="shared" si="54"/>
        <v>172</v>
      </c>
      <c r="D106" s="25" t="e">
        <f t="shared" si="55"/>
        <v>#REF!</v>
      </c>
      <c r="E106" s="27" t="e">
        <f t="shared" si="56"/>
        <v>#REF!</v>
      </c>
      <c r="F106" s="25"/>
      <c r="G106" s="25">
        <f t="shared" si="57"/>
        <v>108</v>
      </c>
      <c r="H106" s="25" t="e">
        <f t="shared" si="58"/>
        <v>#REF!</v>
      </c>
      <c r="I106" s="27" t="e">
        <f t="shared" si="59"/>
        <v>#REF!</v>
      </c>
      <c r="J106" s="25"/>
      <c r="K106" s="25">
        <f t="shared" si="60"/>
        <v>203</v>
      </c>
      <c r="L106" s="25" t="e">
        <f t="shared" si="61"/>
        <v>#REF!</v>
      </c>
      <c r="M106" s="27" t="e">
        <f t="shared" si="62"/>
        <v>#REF!</v>
      </c>
      <c r="N106" s="27"/>
      <c r="O106" s="26" t="str">
        <f t="shared" si="63"/>
        <v>Western</v>
      </c>
      <c r="P106" s="26" t="e">
        <f t="shared" si="64"/>
        <v>#REF!</v>
      </c>
      <c r="Q106" s="27" t="e">
        <f t="shared" si="65"/>
        <v>#VALUE!</v>
      </c>
      <c r="R106" s="27"/>
      <c r="S106" s="26">
        <f t="shared" si="66"/>
        <v>179</v>
      </c>
      <c r="T106" s="26" t="e">
        <f t="shared" si="67"/>
        <v>#REF!</v>
      </c>
      <c r="U106" s="27" t="e">
        <f t="shared" si="68"/>
        <v>#REF!</v>
      </c>
      <c r="V106" s="27"/>
      <c r="W106" s="26">
        <f t="shared" si="69"/>
        <v>101</v>
      </c>
      <c r="X106" s="26" t="e">
        <f t="shared" si="70"/>
        <v>#REF!</v>
      </c>
      <c r="Y106" s="27" t="e">
        <f t="shared" si="71"/>
        <v>#REF!</v>
      </c>
    </row>
    <row r="107" spans="1:25" ht="16.5" customHeight="1">
      <c r="A107" s="16" t="s">
        <v>106</v>
      </c>
      <c r="B107" s="16" t="s">
        <v>107</v>
      </c>
      <c r="C107" s="25">
        <f t="shared" si="54"/>
        <v>3544</v>
      </c>
      <c r="D107" s="25" t="e">
        <f t="shared" si="55"/>
        <v>#REF!</v>
      </c>
      <c r="E107" s="27" t="e">
        <f t="shared" si="56"/>
        <v>#REF!</v>
      </c>
      <c r="F107" s="25"/>
      <c r="G107" s="25">
        <f t="shared" si="57"/>
        <v>2112</v>
      </c>
      <c r="H107" s="25" t="e">
        <f t="shared" si="58"/>
        <v>#REF!</v>
      </c>
      <c r="I107" s="27" t="e">
        <f t="shared" si="59"/>
        <v>#REF!</v>
      </c>
      <c r="J107" s="25"/>
      <c r="K107" s="25">
        <f t="shared" si="60"/>
        <v>821</v>
      </c>
      <c r="L107" s="25" t="e">
        <f t="shared" si="61"/>
        <v>#REF!</v>
      </c>
      <c r="M107" s="27" t="e">
        <f t="shared" si="62"/>
        <v>#REF!</v>
      </c>
      <c r="N107" s="27"/>
      <c r="O107" s="26" t="str">
        <f t="shared" si="63"/>
        <v>Eastern</v>
      </c>
      <c r="P107" s="26" t="e">
        <f t="shared" si="64"/>
        <v>#REF!</v>
      </c>
      <c r="Q107" s="27" t="e">
        <f t="shared" si="65"/>
        <v>#VALUE!</v>
      </c>
      <c r="R107" s="27"/>
      <c r="S107" s="26">
        <f t="shared" si="66"/>
        <v>3637</v>
      </c>
      <c r="T107" s="26" t="e">
        <f t="shared" si="67"/>
        <v>#REF!</v>
      </c>
      <c r="U107" s="27" t="e">
        <f t="shared" si="68"/>
        <v>#REF!</v>
      </c>
      <c r="V107" s="27"/>
      <c r="W107" s="26">
        <f t="shared" si="69"/>
        <v>2015</v>
      </c>
      <c r="X107" s="26" t="e">
        <f t="shared" si="70"/>
        <v>#REF!</v>
      </c>
      <c r="Y107" s="27" t="e">
        <f t="shared" si="71"/>
        <v>#REF!</v>
      </c>
    </row>
    <row r="108" spans="1:25" ht="16.5" customHeight="1">
      <c r="A108" s="16" t="s">
        <v>116</v>
      </c>
      <c r="B108" s="16" t="s">
        <v>117</v>
      </c>
      <c r="C108" s="25">
        <f t="shared" si="54"/>
        <v>967</v>
      </c>
      <c r="D108" s="25" t="e">
        <f t="shared" si="55"/>
        <v>#REF!</v>
      </c>
      <c r="E108" s="27" t="e">
        <f t="shared" si="56"/>
        <v>#REF!</v>
      </c>
      <c r="F108" s="25"/>
      <c r="G108" s="25">
        <f t="shared" si="57"/>
        <v>587</v>
      </c>
      <c r="H108" s="25" t="e">
        <f t="shared" si="58"/>
        <v>#REF!</v>
      </c>
      <c r="I108" s="27" t="e">
        <f t="shared" si="59"/>
        <v>#REF!</v>
      </c>
      <c r="J108" s="25"/>
      <c r="K108" s="25">
        <f t="shared" si="60"/>
        <v>420</v>
      </c>
      <c r="L108" s="25" t="e">
        <f t="shared" si="61"/>
        <v>#REF!</v>
      </c>
      <c r="M108" s="27" t="e">
        <f t="shared" si="62"/>
        <v>#REF!</v>
      </c>
      <c r="N108" s="27"/>
      <c r="O108" s="26" t="str">
        <f t="shared" si="63"/>
        <v>Central</v>
      </c>
      <c r="P108" s="26" t="e">
        <f t="shared" si="64"/>
        <v>#REF!</v>
      </c>
      <c r="Q108" s="27" t="e">
        <f t="shared" si="65"/>
        <v>#VALUE!</v>
      </c>
      <c r="R108" s="27"/>
      <c r="S108" s="26">
        <f t="shared" si="66"/>
        <v>1002</v>
      </c>
      <c r="T108" s="26" t="e">
        <f t="shared" si="67"/>
        <v>#REF!</v>
      </c>
      <c r="U108" s="27" t="e">
        <f t="shared" si="68"/>
        <v>#REF!</v>
      </c>
      <c r="V108" s="27"/>
      <c r="W108" s="26">
        <f t="shared" si="69"/>
        <v>552</v>
      </c>
      <c r="X108" s="26" t="e">
        <f t="shared" si="70"/>
        <v>#REF!</v>
      </c>
      <c r="Y108" s="27" t="e">
        <f t="shared" si="71"/>
        <v>#REF!</v>
      </c>
    </row>
    <row r="109" spans="1:25" ht="16.5" customHeight="1">
      <c r="A109" s="16" t="s">
        <v>138</v>
      </c>
      <c r="B109" s="16" t="s">
        <v>139</v>
      </c>
      <c r="C109" s="25">
        <f t="shared" si="54"/>
        <v>1671</v>
      </c>
      <c r="D109" s="25" t="e">
        <f t="shared" si="55"/>
        <v>#REF!</v>
      </c>
      <c r="E109" s="27" t="e">
        <f t="shared" si="56"/>
        <v>#REF!</v>
      </c>
      <c r="F109" s="25"/>
      <c r="G109" s="25">
        <f t="shared" si="57"/>
        <v>957</v>
      </c>
      <c r="H109" s="25" t="e">
        <f t="shared" si="58"/>
        <v>#REF!</v>
      </c>
      <c r="I109" s="27" t="e">
        <f t="shared" si="59"/>
        <v>#REF!</v>
      </c>
      <c r="J109" s="25"/>
      <c r="K109" s="25">
        <f t="shared" si="60"/>
        <v>533</v>
      </c>
      <c r="L109" s="25" t="e">
        <f t="shared" si="61"/>
        <v>#REF!</v>
      </c>
      <c r="M109" s="27" t="e">
        <f t="shared" si="62"/>
        <v>#REF!</v>
      </c>
      <c r="N109" s="27"/>
      <c r="O109" s="26" t="str">
        <f t="shared" si="63"/>
        <v>Piedmont</v>
      </c>
      <c r="P109" s="26" t="e">
        <f t="shared" si="64"/>
        <v>#REF!</v>
      </c>
      <c r="Q109" s="27" t="e">
        <f t="shared" si="65"/>
        <v>#VALUE!</v>
      </c>
      <c r="R109" s="27"/>
      <c r="S109" s="26">
        <f t="shared" si="66"/>
        <v>1701</v>
      </c>
      <c r="T109" s="26" t="e">
        <f t="shared" si="67"/>
        <v>#REF!</v>
      </c>
      <c r="U109" s="27" t="e">
        <f t="shared" si="68"/>
        <v>#REF!</v>
      </c>
      <c r="V109" s="27"/>
      <c r="W109" s="26">
        <f t="shared" si="69"/>
        <v>924</v>
      </c>
      <c r="X109" s="26" t="e">
        <f t="shared" si="70"/>
        <v>#REF!</v>
      </c>
      <c r="Y109" s="27" t="e">
        <f t="shared" si="71"/>
        <v>#REF!</v>
      </c>
    </row>
    <row r="110" spans="1:25" ht="16.5" customHeight="1">
      <c r="A110" s="16" t="s">
        <v>142</v>
      </c>
      <c r="B110" s="16" t="s">
        <v>143</v>
      </c>
      <c r="C110" s="25">
        <f t="shared" si="54"/>
        <v>580</v>
      </c>
      <c r="D110" s="25" t="e">
        <f t="shared" si="55"/>
        <v>#REF!</v>
      </c>
      <c r="E110" s="27" t="e">
        <f t="shared" si="56"/>
        <v>#REF!</v>
      </c>
      <c r="F110" s="25"/>
      <c r="G110" s="25">
        <f t="shared" si="57"/>
        <v>331</v>
      </c>
      <c r="H110" s="25" t="e">
        <f t="shared" si="58"/>
        <v>#REF!</v>
      </c>
      <c r="I110" s="27" t="e">
        <f t="shared" si="59"/>
        <v>#REF!</v>
      </c>
      <c r="J110" s="25"/>
      <c r="K110" s="25">
        <f t="shared" si="60"/>
        <v>379</v>
      </c>
      <c r="L110" s="25" t="e">
        <f t="shared" si="61"/>
        <v>#REF!</v>
      </c>
      <c r="M110" s="27" t="e">
        <f t="shared" si="62"/>
        <v>#REF!</v>
      </c>
      <c r="N110" s="27"/>
      <c r="O110" s="26" t="str">
        <f t="shared" si="63"/>
        <v>Northern</v>
      </c>
      <c r="P110" s="26" t="e">
        <f t="shared" si="64"/>
        <v>#REF!</v>
      </c>
      <c r="Q110" s="27" t="e">
        <f t="shared" si="65"/>
        <v>#VALUE!</v>
      </c>
      <c r="R110" s="27"/>
      <c r="S110" s="26">
        <f t="shared" si="66"/>
        <v>589</v>
      </c>
      <c r="T110" s="26" t="e">
        <f t="shared" si="67"/>
        <v>#REF!</v>
      </c>
      <c r="U110" s="27" t="e">
        <f t="shared" si="68"/>
        <v>#REF!</v>
      </c>
      <c r="V110" s="27"/>
      <c r="W110" s="26">
        <f t="shared" si="69"/>
        <v>322</v>
      </c>
      <c r="X110" s="26" t="e">
        <f t="shared" si="70"/>
        <v>#REF!</v>
      </c>
      <c r="Y110" s="27" t="e">
        <f t="shared" si="71"/>
        <v>#REF!</v>
      </c>
    </row>
    <row r="111" spans="1:25" ht="16.5" customHeight="1">
      <c r="A111" s="16" t="s">
        <v>144</v>
      </c>
      <c r="B111" s="16" t="s">
        <v>145</v>
      </c>
      <c r="C111" s="25">
        <f t="shared" si="54"/>
        <v>145</v>
      </c>
      <c r="D111" s="25" t="e">
        <f t="shared" si="55"/>
        <v>#REF!</v>
      </c>
      <c r="E111" s="27" t="e">
        <f t="shared" si="56"/>
        <v>#REF!</v>
      </c>
      <c r="F111" s="25"/>
      <c r="G111" s="25">
        <f t="shared" si="57"/>
        <v>93</v>
      </c>
      <c r="H111" s="25" t="e">
        <f t="shared" si="58"/>
        <v>#REF!</v>
      </c>
      <c r="I111" s="27" t="e">
        <f t="shared" si="59"/>
        <v>#REF!</v>
      </c>
      <c r="J111" s="25"/>
      <c r="K111" s="25">
        <f t="shared" si="60"/>
        <v>93</v>
      </c>
      <c r="L111" s="25" t="e">
        <f t="shared" si="61"/>
        <v>#REF!</v>
      </c>
      <c r="M111" s="27" t="e">
        <f t="shared" si="62"/>
        <v>#REF!</v>
      </c>
      <c r="N111" s="27"/>
      <c r="O111" s="26" t="str">
        <f t="shared" si="63"/>
        <v>Northern</v>
      </c>
      <c r="P111" s="26" t="e">
        <f t="shared" si="64"/>
        <v>#REF!</v>
      </c>
      <c r="Q111" s="27" t="e">
        <f t="shared" si="65"/>
        <v>#VALUE!</v>
      </c>
      <c r="R111" s="27"/>
      <c r="S111" s="26">
        <f t="shared" si="66"/>
        <v>147</v>
      </c>
      <c r="T111" s="26" t="e">
        <f t="shared" si="67"/>
        <v>#REF!</v>
      </c>
      <c r="U111" s="27" t="e">
        <f t="shared" si="68"/>
        <v>#REF!</v>
      </c>
      <c r="V111" s="27"/>
      <c r="W111" s="26">
        <f t="shared" si="69"/>
        <v>91</v>
      </c>
      <c r="X111" s="26" t="e">
        <f t="shared" si="70"/>
        <v>#REF!</v>
      </c>
      <c r="Y111" s="27" t="e">
        <f t="shared" si="71"/>
        <v>#REF!</v>
      </c>
    </row>
    <row r="112" spans="1:25" ht="16.5" customHeight="1">
      <c r="A112" s="16" t="s">
        <v>158</v>
      </c>
      <c r="B112" s="16" t="s">
        <v>159</v>
      </c>
      <c r="C112" s="25">
        <f t="shared" si="54"/>
        <v>5072</v>
      </c>
      <c r="D112" s="25" t="e">
        <f t="shared" si="55"/>
        <v>#REF!</v>
      </c>
      <c r="E112" s="27" t="e">
        <f t="shared" si="56"/>
        <v>#REF!</v>
      </c>
      <c r="F112" s="25"/>
      <c r="G112" s="25">
        <f t="shared" si="57"/>
        <v>2979</v>
      </c>
      <c r="H112" s="25" t="e">
        <f t="shared" si="58"/>
        <v>#REF!</v>
      </c>
      <c r="I112" s="27" t="e">
        <f t="shared" si="59"/>
        <v>#REF!</v>
      </c>
      <c r="J112" s="25"/>
      <c r="K112" s="25">
        <f t="shared" si="60"/>
        <v>970</v>
      </c>
      <c r="L112" s="25" t="e">
        <f t="shared" si="61"/>
        <v>#REF!</v>
      </c>
      <c r="M112" s="27" t="e">
        <f t="shared" si="62"/>
        <v>#REF!</v>
      </c>
      <c r="N112" s="27"/>
      <c r="O112" s="26" t="str">
        <f t="shared" si="63"/>
        <v>Eastern</v>
      </c>
      <c r="P112" s="26" t="e">
        <f t="shared" si="64"/>
        <v>#REF!</v>
      </c>
      <c r="Q112" s="27" t="e">
        <f t="shared" si="65"/>
        <v>#VALUE!</v>
      </c>
      <c r="R112" s="27"/>
      <c r="S112" s="26">
        <f t="shared" si="66"/>
        <v>5215</v>
      </c>
      <c r="T112" s="26" t="e">
        <f t="shared" si="67"/>
        <v>#REF!</v>
      </c>
      <c r="U112" s="27" t="e">
        <f t="shared" si="68"/>
        <v>#REF!</v>
      </c>
      <c r="V112" s="27"/>
      <c r="W112" s="26">
        <f t="shared" si="69"/>
        <v>2829</v>
      </c>
      <c r="X112" s="26" t="e">
        <f t="shared" si="70"/>
        <v>#REF!</v>
      </c>
      <c r="Y112" s="27" t="e">
        <f t="shared" si="71"/>
        <v>#REF!</v>
      </c>
    </row>
    <row r="113" spans="1:25" ht="16.5" customHeight="1">
      <c r="A113" s="16" t="s">
        <v>160</v>
      </c>
      <c r="B113" s="16" t="s">
        <v>161</v>
      </c>
      <c r="C113" s="25">
        <f t="shared" si="54"/>
        <v>6178</v>
      </c>
      <c r="D113" s="25" t="e">
        <f t="shared" si="55"/>
        <v>#REF!</v>
      </c>
      <c r="E113" s="27" t="e">
        <f t="shared" si="56"/>
        <v>#REF!</v>
      </c>
      <c r="F113" s="25"/>
      <c r="G113" s="25">
        <f t="shared" si="57"/>
        <v>3497</v>
      </c>
      <c r="H113" s="25" t="e">
        <f t="shared" si="58"/>
        <v>#REF!</v>
      </c>
      <c r="I113" s="27" t="e">
        <f t="shared" si="59"/>
        <v>#REF!</v>
      </c>
      <c r="J113" s="25"/>
      <c r="K113" s="25">
        <f t="shared" si="60"/>
        <v>954</v>
      </c>
      <c r="L113" s="25" t="e">
        <f t="shared" si="61"/>
        <v>#REF!</v>
      </c>
      <c r="M113" s="27" t="e">
        <f t="shared" si="62"/>
        <v>#REF!</v>
      </c>
      <c r="N113" s="27"/>
      <c r="O113" s="26" t="str">
        <f t="shared" si="63"/>
        <v>Eastern</v>
      </c>
      <c r="P113" s="26" t="e">
        <f t="shared" si="64"/>
        <v>#REF!</v>
      </c>
      <c r="Q113" s="27" t="e">
        <f t="shared" si="65"/>
        <v>#VALUE!</v>
      </c>
      <c r="R113" s="27"/>
      <c r="S113" s="26">
        <f t="shared" si="66"/>
        <v>6254</v>
      </c>
      <c r="T113" s="26" t="e">
        <f t="shared" si="67"/>
        <v>#REF!</v>
      </c>
      <c r="U113" s="27" t="e">
        <f t="shared" si="68"/>
        <v>#REF!</v>
      </c>
      <c r="V113" s="27"/>
      <c r="W113" s="26">
        <f t="shared" si="69"/>
        <v>3416</v>
      </c>
      <c r="X113" s="26" t="e">
        <f t="shared" si="70"/>
        <v>#REF!</v>
      </c>
      <c r="Y113" s="27" t="e">
        <f t="shared" si="71"/>
        <v>#REF!</v>
      </c>
    </row>
    <row r="114" spans="1:25" ht="16.5" customHeight="1">
      <c r="A114" s="16" t="s">
        <v>166</v>
      </c>
      <c r="B114" s="16" t="s">
        <v>167</v>
      </c>
      <c r="C114" s="25">
        <f t="shared" si="54"/>
        <v>157</v>
      </c>
      <c r="D114" s="25" t="e">
        <f t="shared" si="55"/>
        <v>#REF!</v>
      </c>
      <c r="E114" s="27" t="e">
        <f t="shared" si="56"/>
        <v>#REF!</v>
      </c>
      <c r="F114" s="25"/>
      <c r="G114" s="25">
        <f t="shared" si="57"/>
        <v>102</v>
      </c>
      <c r="H114" s="25" t="e">
        <f t="shared" si="58"/>
        <v>#REF!</v>
      </c>
      <c r="I114" s="27" t="e">
        <f t="shared" si="59"/>
        <v>#REF!</v>
      </c>
      <c r="J114" s="25"/>
      <c r="K114" s="25">
        <f t="shared" si="60"/>
        <v>210</v>
      </c>
      <c r="L114" s="25" t="e">
        <f t="shared" si="61"/>
        <v>#REF!</v>
      </c>
      <c r="M114" s="27" t="e">
        <f t="shared" si="62"/>
        <v>#REF!</v>
      </c>
      <c r="N114" s="27"/>
      <c r="O114" s="26" t="str">
        <f t="shared" si="63"/>
        <v>Western</v>
      </c>
      <c r="P114" s="26" t="e">
        <f t="shared" si="64"/>
        <v>#REF!</v>
      </c>
      <c r="Q114" s="27" t="e">
        <f t="shared" si="65"/>
        <v>#VALUE!</v>
      </c>
      <c r="R114" s="27"/>
      <c r="S114" s="26">
        <f t="shared" si="66"/>
        <v>161</v>
      </c>
      <c r="T114" s="26" t="e">
        <f t="shared" si="67"/>
        <v>#REF!</v>
      </c>
      <c r="U114" s="27" t="e">
        <f t="shared" si="68"/>
        <v>#REF!</v>
      </c>
      <c r="V114" s="27"/>
      <c r="W114" s="26">
        <f t="shared" si="69"/>
        <v>97</v>
      </c>
      <c r="X114" s="26" t="e">
        <f t="shared" si="70"/>
        <v>#REF!</v>
      </c>
      <c r="Y114" s="27" t="e">
        <f t="shared" si="71"/>
        <v>#REF!</v>
      </c>
    </row>
    <row r="115" spans="1:25" ht="16.5" customHeight="1">
      <c r="A115" s="16" t="s">
        <v>176</v>
      </c>
      <c r="B115" s="16" t="s">
        <v>177</v>
      </c>
      <c r="C115" s="25">
        <f t="shared" si="54"/>
        <v>1531</v>
      </c>
      <c r="D115" s="25" t="e">
        <f t="shared" si="55"/>
        <v>#REF!</v>
      </c>
      <c r="E115" s="27" t="e">
        <f t="shared" si="56"/>
        <v>#REF!</v>
      </c>
      <c r="F115" s="25"/>
      <c r="G115" s="25">
        <f t="shared" si="57"/>
        <v>886</v>
      </c>
      <c r="H115" s="25" t="e">
        <f t="shared" si="58"/>
        <v>#REF!</v>
      </c>
      <c r="I115" s="27" t="e">
        <f t="shared" si="59"/>
        <v>#REF!</v>
      </c>
      <c r="J115" s="25"/>
      <c r="K115" s="25">
        <f t="shared" si="60"/>
        <v>90</v>
      </c>
      <c r="L115" s="25" t="e">
        <f t="shared" si="61"/>
        <v>#REF!</v>
      </c>
      <c r="M115" s="27" t="e">
        <f t="shared" si="62"/>
        <v>#REF!</v>
      </c>
      <c r="N115" s="27"/>
      <c r="O115" s="26" t="str">
        <f t="shared" si="63"/>
        <v>Central</v>
      </c>
      <c r="P115" s="26" t="e">
        <f t="shared" si="64"/>
        <v>#REF!</v>
      </c>
      <c r="Q115" s="27" t="e">
        <f t="shared" si="65"/>
        <v>#VALUE!</v>
      </c>
      <c r="R115" s="27"/>
      <c r="S115" s="26">
        <f t="shared" si="66"/>
        <v>1507</v>
      </c>
      <c r="T115" s="26" t="e">
        <f t="shared" si="67"/>
        <v>#REF!</v>
      </c>
      <c r="U115" s="27" t="e">
        <f t="shared" si="68"/>
        <v>#REF!</v>
      </c>
      <c r="V115" s="27"/>
      <c r="W115" s="26">
        <f t="shared" si="69"/>
        <v>909</v>
      </c>
      <c r="X115" s="26" t="e">
        <f t="shared" si="70"/>
        <v>#REF!</v>
      </c>
      <c r="Y115" s="27" t="e">
        <f t="shared" si="71"/>
        <v>#REF!</v>
      </c>
    </row>
    <row r="116" spans="1:25" ht="16.5" customHeight="1">
      <c r="A116" s="16" t="s">
        <v>180</v>
      </c>
      <c r="B116" s="16" t="s">
        <v>181</v>
      </c>
      <c r="C116" s="25">
        <f t="shared" si="54"/>
        <v>3184</v>
      </c>
      <c r="D116" s="25" t="e">
        <f t="shared" si="55"/>
        <v>#REF!</v>
      </c>
      <c r="E116" s="27" t="e">
        <f t="shared" si="56"/>
        <v>#REF!</v>
      </c>
      <c r="F116" s="25"/>
      <c r="G116" s="25">
        <f t="shared" si="57"/>
        <v>1857</v>
      </c>
      <c r="H116" s="25" t="e">
        <f t="shared" si="58"/>
        <v>#REF!</v>
      </c>
      <c r="I116" s="27" t="e">
        <f t="shared" si="59"/>
        <v>#REF!</v>
      </c>
      <c r="J116" s="25"/>
      <c r="K116" s="25">
        <f t="shared" si="60"/>
        <v>522</v>
      </c>
      <c r="L116" s="25" t="e">
        <f t="shared" si="61"/>
        <v>#REF!</v>
      </c>
      <c r="M116" s="27" t="e">
        <f t="shared" si="62"/>
        <v>#REF!</v>
      </c>
      <c r="N116" s="27"/>
      <c r="O116" s="26" t="str">
        <f t="shared" si="63"/>
        <v>Eastern</v>
      </c>
      <c r="P116" s="26" t="e">
        <f t="shared" si="64"/>
        <v>#REF!</v>
      </c>
      <c r="Q116" s="27" t="e">
        <f t="shared" si="65"/>
        <v>#VALUE!</v>
      </c>
      <c r="R116" s="27"/>
      <c r="S116" s="26">
        <f t="shared" si="66"/>
        <v>3340</v>
      </c>
      <c r="T116" s="26" t="e">
        <f t="shared" si="67"/>
        <v>#REF!</v>
      </c>
      <c r="U116" s="27" t="e">
        <f t="shared" si="68"/>
        <v>#REF!</v>
      </c>
      <c r="V116" s="27"/>
      <c r="W116" s="26">
        <f t="shared" si="69"/>
        <v>1699</v>
      </c>
      <c r="X116" s="26" t="e">
        <f t="shared" si="70"/>
        <v>#REF!</v>
      </c>
      <c r="Y116" s="27" t="e">
        <f t="shared" si="71"/>
        <v>#REF!</v>
      </c>
    </row>
    <row r="117" spans="1:25" ht="16.5" customHeight="1">
      <c r="A117" s="16" t="s">
        <v>192</v>
      </c>
      <c r="B117" s="16" t="s">
        <v>193</v>
      </c>
      <c r="C117" s="25">
        <f t="shared" si="54"/>
        <v>243</v>
      </c>
      <c r="D117" s="25" t="e">
        <f t="shared" si="55"/>
        <v>#REF!</v>
      </c>
      <c r="E117" s="27" t="e">
        <f t="shared" si="56"/>
        <v>#REF!</v>
      </c>
      <c r="F117" s="25"/>
      <c r="G117" s="25">
        <f t="shared" si="57"/>
        <v>184</v>
      </c>
      <c r="H117" s="25" t="e">
        <f t="shared" si="58"/>
        <v>#REF!</v>
      </c>
      <c r="I117" s="27" t="e">
        <f t="shared" si="59"/>
        <v>#REF!</v>
      </c>
      <c r="J117" s="25"/>
      <c r="K117" s="25">
        <f t="shared" si="60"/>
        <v>275</v>
      </c>
      <c r="L117" s="25" t="e">
        <f t="shared" si="61"/>
        <v>#REF!</v>
      </c>
      <c r="M117" s="27" t="e">
        <f t="shared" si="62"/>
        <v>#REF!</v>
      </c>
      <c r="N117" s="27"/>
      <c r="O117" s="26" t="str">
        <f t="shared" si="63"/>
        <v>Western</v>
      </c>
      <c r="P117" s="26" t="e">
        <f t="shared" si="64"/>
        <v>#REF!</v>
      </c>
      <c r="Q117" s="27" t="e">
        <f t="shared" si="65"/>
        <v>#VALUE!</v>
      </c>
      <c r="R117" s="27"/>
      <c r="S117" s="26">
        <f t="shared" si="66"/>
        <v>261</v>
      </c>
      <c r="T117" s="26" t="e">
        <f t="shared" si="67"/>
        <v>#REF!</v>
      </c>
      <c r="U117" s="27" t="e">
        <f t="shared" si="68"/>
        <v>#REF!</v>
      </c>
      <c r="V117" s="27"/>
      <c r="W117" s="26">
        <f t="shared" si="69"/>
        <v>166</v>
      </c>
      <c r="X117" s="26" t="e">
        <f t="shared" si="70"/>
        <v>#REF!</v>
      </c>
      <c r="Y117" s="27" t="e">
        <f t="shared" si="71"/>
        <v>#REF!</v>
      </c>
    </row>
    <row r="118" spans="1:25" ht="16.5" customHeight="1">
      <c r="A118" s="16" t="s">
        <v>196</v>
      </c>
      <c r="B118" s="16" t="s">
        <v>312</v>
      </c>
      <c r="C118" s="25">
        <f t="shared" si="54"/>
        <v>7256</v>
      </c>
      <c r="D118" s="25" t="e">
        <f t="shared" si="55"/>
        <v>#REF!</v>
      </c>
      <c r="E118" s="27" t="e">
        <f t="shared" si="56"/>
        <v>#REF!</v>
      </c>
      <c r="F118" s="25"/>
      <c r="G118" s="25">
        <f t="shared" si="57"/>
        <v>4105</v>
      </c>
      <c r="H118" s="25" t="e">
        <f t="shared" si="58"/>
        <v>#REF!</v>
      </c>
      <c r="I118" s="27" t="e">
        <f t="shared" si="59"/>
        <v>#REF!</v>
      </c>
      <c r="J118" s="25"/>
      <c r="K118" s="25">
        <f t="shared" si="60"/>
        <v>549</v>
      </c>
      <c r="L118" s="25" t="e">
        <f t="shared" si="61"/>
        <v>#REF!</v>
      </c>
      <c r="M118" s="27" t="e">
        <f t="shared" si="62"/>
        <v>#REF!</v>
      </c>
      <c r="N118" s="27"/>
      <c r="O118" s="26" t="str">
        <f t="shared" si="63"/>
        <v>Central</v>
      </c>
      <c r="P118" s="26" t="e">
        <f t="shared" si="64"/>
        <v>#REF!</v>
      </c>
      <c r="Q118" s="27" t="e">
        <f t="shared" si="65"/>
        <v>#VALUE!</v>
      </c>
      <c r="R118" s="27"/>
      <c r="S118" s="26">
        <f t="shared" si="66"/>
        <v>7286</v>
      </c>
      <c r="T118" s="26" t="e">
        <f t="shared" si="67"/>
        <v>#REF!</v>
      </c>
      <c r="U118" s="27" t="e">
        <f t="shared" si="68"/>
        <v>#REF!</v>
      </c>
      <c r="V118" s="27"/>
      <c r="W118" s="26">
        <f t="shared" si="69"/>
        <v>4066</v>
      </c>
      <c r="X118" s="26" t="e">
        <f t="shared" si="70"/>
        <v>#REF!</v>
      </c>
      <c r="Y118" s="27" t="e">
        <f t="shared" si="71"/>
        <v>#REF!</v>
      </c>
    </row>
    <row r="119" spans="1:25" ht="16.5" customHeight="1">
      <c r="A119" s="16" t="s">
        <v>200</v>
      </c>
      <c r="B119" s="16" t="s">
        <v>313</v>
      </c>
      <c r="C119" s="25">
        <f t="shared" si="54"/>
        <v>3447</v>
      </c>
      <c r="D119" s="25" t="e">
        <f t="shared" si="55"/>
        <v>#REF!</v>
      </c>
      <c r="E119" s="27" t="e">
        <f t="shared" si="56"/>
        <v>#REF!</v>
      </c>
      <c r="F119" s="25"/>
      <c r="G119" s="25">
        <f t="shared" si="57"/>
        <v>2211</v>
      </c>
      <c r="H119" s="25" t="e">
        <f t="shared" si="58"/>
        <v>#REF!</v>
      </c>
      <c r="I119" s="27" t="e">
        <f t="shared" si="59"/>
        <v>#REF!</v>
      </c>
      <c r="J119" s="25"/>
      <c r="K119" s="25">
        <f t="shared" si="60"/>
        <v>1972</v>
      </c>
      <c r="L119" s="25" t="e">
        <f t="shared" si="61"/>
        <v>#REF!</v>
      </c>
      <c r="M119" s="27" t="e">
        <f t="shared" si="62"/>
        <v>#REF!</v>
      </c>
      <c r="N119" s="27"/>
      <c r="O119" s="26" t="str">
        <f t="shared" si="63"/>
        <v>Piedmont</v>
      </c>
      <c r="P119" s="26" t="e">
        <f t="shared" si="64"/>
        <v>#REF!</v>
      </c>
      <c r="Q119" s="27" t="e">
        <f t="shared" si="65"/>
        <v>#VALUE!</v>
      </c>
      <c r="R119" s="27"/>
      <c r="S119" s="26">
        <f t="shared" si="66"/>
        <v>3540</v>
      </c>
      <c r="T119" s="26" t="e">
        <f t="shared" si="67"/>
        <v>#REF!</v>
      </c>
      <c r="U119" s="27" t="e">
        <f t="shared" si="68"/>
        <v>#REF!</v>
      </c>
      <c r="V119" s="27"/>
      <c r="W119" s="26">
        <f t="shared" si="69"/>
        <v>2110</v>
      </c>
      <c r="X119" s="26" t="e">
        <f t="shared" si="70"/>
        <v>#REF!</v>
      </c>
      <c r="Y119" s="27" t="e">
        <f t="shared" si="71"/>
        <v>#REF!</v>
      </c>
    </row>
    <row r="120" spans="1:25" ht="16.5" customHeight="1">
      <c r="A120" s="16" t="s">
        <v>222</v>
      </c>
      <c r="B120" s="16" t="s">
        <v>223</v>
      </c>
      <c r="C120" s="25">
        <f t="shared" si="54"/>
        <v>1273</v>
      </c>
      <c r="D120" s="25" t="e">
        <f t="shared" si="55"/>
        <v>#REF!</v>
      </c>
      <c r="E120" s="27" t="e">
        <f t="shared" si="56"/>
        <v>#REF!</v>
      </c>
      <c r="F120" s="25"/>
      <c r="G120" s="25">
        <f t="shared" si="57"/>
        <v>746</v>
      </c>
      <c r="H120" s="25" t="e">
        <f t="shared" si="58"/>
        <v>#REF!</v>
      </c>
      <c r="I120" s="27" t="e">
        <f t="shared" si="59"/>
        <v>#REF!</v>
      </c>
      <c r="J120" s="25"/>
      <c r="K120" s="25">
        <f t="shared" si="60"/>
        <v>291</v>
      </c>
      <c r="L120" s="25" t="e">
        <f t="shared" si="61"/>
        <v>#REF!</v>
      </c>
      <c r="M120" s="27" t="e">
        <f t="shared" si="62"/>
        <v>#REF!</v>
      </c>
      <c r="N120" s="27"/>
      <c r="O120" s="26" t="str">
        <f t="shared" si="63"/>
        <v>Eastern</v>
      </c>
      <c r="P120" s="26" t="e">
        <f t="shared" si="64"/>
        <v>#REF!</v>
      </c>
      <c r="Q120" s="27" t="e">
        <f t="shared" si="65"/>
        <v>#VALUE!</v>
      </c>
      <c r="R120" s="27"/>
      <c r="S120" s="26">
        <f t="shared" si="66"/>
        <v>1337</v>
      </c>
      <c r="T120" s="26" t="e">
        <f t="shared" si="67"/>
        <v>#REF!</v>
      </c>
      <c r="U120" s="27" t="e">
        <f t="shared" si="68"/>
        <v>#REF!</v>
      </c>
      <c r="V120" s="27"/>
      <c r="W120" s="26">
        <f t="shared" si="69"/>
        <v>681</v>
      </c>
      <c r="X120" s="26" t="e">
        <f t="shared" si="70"/>
        <v>#REF!</v>
      </c>
      <c r="Y120" s="27" t="e">
        <f t="shared" si="71"/>
        <v>#REF!</v>
      </c>
    </row>
    <row r="121" spans="1:25" ht="16.5" customHeight="1">
      <c r="A121" s="16" t="s">
        <v>230</v>
      </c>
      <c r="B121" s="16" t="s">
        <v>231</v>
      </c>
      <c r="C121" s="25">
        <f t="shared" si="54"/>
        <v>3019</v>
      </c>
      <c r="D121" s="25" t="e">
        <f t="shared" si="55"/>
        <v>#REF!</v>
      </c>
      <c r="E121" s="27" t="e">
        <f t="shared" si="56"/>
        <v>#REF!</v>
      </c>
      <c r="F121" s="25"/>
      <c r="G121" s="25">
        <f t="shared" si="57"/>
        <v>1819</v>
      </c>
      <c r="H121" s="25" t="e">
        <f t="shared" si="58"/>
        <v>#REF!</v>
      </c>
      <c r="I121" s="27" t="e">
        <f t="shared" si="59"/>
        <v>#REF!</v>
      </c>
      <c r="J121" s="25"/>
      <c r="K121" s="25">
        <f t="shared" si="60"/>
        <v>1182</v>
      </c>
      <c r="L121" s="25" t="e">
        <f t="shared" si="61"/>
        <v>#REF!</v>
      </c>
      <c r="M121" s="27" t="e">
        <f t="shared" si="62"/>
        <v>#REF!</v>
      </c>
      <c r="N121" s="27"/>
      <c r="O121" s="26" t="str">
        <f t="shared" si="63"/>
        <v>Eastern</v>
      </c>
      <c r="P121" s="26" t="e">
        <f t="shared" si="64"/>
        <v>#REF!</v>
      </c>
      <c r="Q121" s="27" t="e">
        <f t="shared" si="65"/>
        <v>#VALUE!</v>
      </c>
      <c r="R121" s="27"/>
      <c r="S121" s="26">
        <f t="shared" si="66"/>
        <v>3141</v>
      </c>
      <c r="T121" s="26" t="e">
        <f t="shared" si="67"/>
        <v>#REF!</v>
      </c>
      <c r="U121" s="27" t="e">
        <f t="shared" si="68"/>
        <v>#REF!</v>
      </c>
      <c r="V121" s="27"/>
      <c r="W121" s="26">
        <f t="shared" si="69"/>
        <v>1694</v>
      </c>
      <c r="X121" s="26" t="e">
        <f t="shared" si="70"/>
        <v>#REF!</v>
      </c>
      <c r="Y121" s="27" t="e">
        <f t="shared" si="71"/>
        <v>#REF!</v>
      </c>
    </row>
    <row r="122" spans="1:25" ht="16.5" customHeight="1">
      <c r="A122" s="16" t="s">
        <v>238</v>
      </c>
      <c r="B122" s="16" t="s">
        <v>239</v>
      </c>
      <c r="C122" s="25">
        <f t="shared" si="54"/>
        <v>148</v>
      </c>
      <c r="D122" s="25" t="e">
        <f t="shared" si="55"/>
        <v>#REF!</v>
      </c>
      <c r="E122" s="27" t="e">
        <f t="shared" si="56"/>
        <v>#REF!</v>
      </c>
      <c r="F122" s="25"/>
      <c r="G122" s="25">
        <f t="shared" si="57"/>
        <v>72</v>
      </c>
      <c r="H122" s="25" t="e">
        <f t="shared" si="58"/>
        <v>#REF!</v>
      </c>
      <c r="I122" s="27" t="e">
        <f t="shared" si="59"/>
        <v>#REF!</v>
      </c>
      <c r="J122" s="25"/>
      <c r="K122" s="25">
        <f t="shared" si="60"/>
        <v>69</v>
      </c>
      <c r="L122" s="25" t="e">
        <f t="shared" si="61"/>
        <v>#REF!</v>
      </c>
      <c r="M122" s="27" t="e">
        <f t="shared" si="62"/>
        <v>#REF!</v>
      </c>
      <c r="N122" s="27"/>
      <c r="O122" s="26" t="str">
        <f t="shared" si="63"/>
        <v>Eastern</v>
      </c>
      <c r="P122" s="26" t="e">
        <f t="shared" si="64"/>
        <v>#REF!</v>
      </c>
      <c r="Q122" s="27" t="e">
        <f t="shared" si="65"/>
        <v>#VALUE!</v>
      </c>
      <c r="R122" s="27"/>
      <c r="S122" s="26">
        <f t="shared" si="66"/>
        <v>143</v>
      </c>
      <c r="T122" s="26" t="e">
        <f t="shared" si="67"/>
        <v>#REF!</v>
      </c>
      <c r="U122" s="27" t="e">
        <f t="shared" si="68"/>
        <v>#REF!</v>
      </c>
      <c r="V122" s="27"/>
      <c r="W122" s="26">
        <f t="shared" si="69"/>
        <v>77</v>
      </c>
      <c r="X122" s="26" t="e">
        <f t="shared" si="70"/>
        <v>#REF!</v>
      </c>
      <c r="Y122" s="27" t="e">
        <f t="shared" si="71"/>
        <v>#REF!</v>
      </c>
    </row>
    <row r="123" spans="1:25" ht="16.5" customHeight="1">
      <c r="A123" s="16" t="s">
        <v>240</v>
      </c>
      <c r="B123" s="16" t="s">
        <v>241</v>
      </c>
      <c r="C123" s="25">
        <f t="shared" si="54"/>
        <v>373</v>
      </c>
      <c r="D123" s="25" t="e">
        <f t="shared" si="55"/>
        <v>#REF!</v>
      </c>
      <c r="E123" s="27" t="e">
        <f t="shared" si="56"/>
        <v>#REF!</v>
      </c>
      <c r="F123" s="25"/>
      <c r="G123" s="25">
        <f t="shared" si="57"/>
        <v>232</v>
      </c>
      <c r="H123" s="25" t="e">
        <f t="shared" si="58"/>
        <v>#REF!</v>
      </c>
      <c r="I123" s="27" t="e">
        <f t="shared" si="59"/>
        <v>#REF!</v>
      </c>
      <c r="J123" s="25"/>
      <c r="K123" s="25">
        <f t="shared" si="60"/>
        <v>369</v>
      </c>
      <c r="L123" s="25" t="e">
        <f t="shared" si="61"/>
        <v>#REF!</v>
      </c>
      <c r="M123" s="27" t="e">
        <f t="shared" si="62"/>
        <v>#REF!</v>
      </c>
      <c r="N123" s="27"/>
      <c r="O123" s="26" t="str">
        <f t="shared" si="63"/>
        <v>Northern</v>
      </c>
      <c r="P123" s="26" t="e">
        <f t="shared" si="64"/>
        <v>#REF!</v>
      </c>
      <c r="Q123" s="27" t="e">
        <f t="shared" si="65"/>
        <v>#VALUE!</v>
      </c>
      <c r="R123" s="27"/>
      <c r="S123" s="26">
        <f t="shared" si="66"/>
        <v>381</v>
      </c>
      <c r="T123" s="26" t="e">
        <f t="shared" si="67"/>
        <v>#REF!</v>
      </c>
      <c r="U123" s="27" t="e">
        <f t="shared" si="68"/>
        <v>#REF!</v>
      </c>
      <c r="V123" s="27"/>
      <c r="W123" s="26">
        <f t="shared" si="69"/>
        <v>223</v>
      </c>
      <c r="X123" s="26" t="e">
        <f t="shared" si="70"/>
        <v>#REF!</v>
      </c>
      <c r="Y123" s="27" t="e">
        <f t="shared" si="71"/>
        <v>#REF!</v>
      </c>
    </row>
    <row r="124" spans="1:25">
      <c r="C124" s="28"/>
      <c r="D124" s="28"/>
      <c r="E124" s="28"/>
      <c r="F124" s="28"/>
      <c r="G124" s="28"/>
      <c r="H124" s="28"/>
      <c r="I124" s="28"/>
      <c r="J124" s="28"/>
      <c r="K124" s="28"/>
      <c r="L124" s="28"/>
    </row>
    <row r="125" spans="1:25">
      <c r="C125" s="28"/>
      <c r="D125" s="28"/>
      <c r="E125" s="28"/>
      <c r="F125" s="28"/>
      <c r="G125" s="28"/>
      <c r="H125" s="28"/>
      <c r="I125" s="28"/>
      <c r="J125" s="28"/>
      <c r="K125" s="28"/>
      <c r="L125" s="28"/>
    </row>
    <row r="126" spans="1:25" ht="12.75" customHeight="1">
      <c r="A126" s="1935" t="s">
        <v>575</v>
      </c>
      <c r="B126" s="1935"/>
      <c r="C126" s="1936"/>
      <c r="D126" s="19"/>
      <c r="E126" s="19"/>
      <c r="F126" s="19"/>
      <c r="G126" s="19"/>
      <c r="H126" s="19"/>
      <c r="I126" s="19"/>
      <c r="J126" s="19"/>
      <c r="K126" s="19"/>
      <c r="L126" s="19"/>
    </row>
    <row r="127" spans="1:25">
      <c r="A127" s="18" t="s">
        <v>576</v>
      </c>
    </row>
  </sheetData>
  <autoFilter ref="A3:Y127"/>
  <mergeCells count="9">
    <mergeCell ref="O2:Q2"/>
    <mergeCell ref="O1:Y1"/>
    <mergeCell ref="S2:U2"/>
    <mergeCell ref="W2:Y2"/>
    <mergeCell ref="A126:C126"/>
    <mergeCell ref="C2:E2"/>
    <mergeCell ref="C1:M1"/>
    <mergeCell ref="G2:I2"/>
    <mergeCell ref="K2:M2"/>
  </mergeCells>
  <conditionalFormatting sqref="Q4:R123 E4:E123">
    <cfRule type="cellIs" dxfId="1" priority="20" stopIfTrue="1" operator="greaterThan">
      <formula>"&gt;1"</formula>
    </cfRule>
  </conditionalFormatting>
  <conditionalFormatting sqref="Y4:Y123 M4:N123 U4:V123 Q4:R123 I4:I123 E4:E123">
    <cfRule type="cellIs" dxfId="0" priority="19" stopIfTrue="1" operator="greaterThan">
      <formula>1</formula>
    </cfRule>
  </conditionalFormatting>
  <pageMargins left="0.75" right="0.75" top="1" bottom="1" header="0.5" footer="0.5"/>
  <pageSetup orientation="portrait" r:id="rId1"/>
</worksheet>
</file>

<file path=xl/worksheets/sheet43.xml><?xml version="1.0" encoding="utf-8"?>
<worksheet xmlns="http://schemas.openxmlformats.org/spreadsheetml/2006/main" xmlns:r="http://schemas.openxmlformats.org/officeDocument/2006/relationships">
  <dimension ref="A1:F125"/>
  <sheetViews>
    <sheetView zoomScaleNormal="106" zoomScaleSheetLayoutView="116" workbookViewId="0">
      <pane ySplit="1" topLeftCell="A2" activePane="bottomLeft" state="frozen"/>
      <selection pane="bottomLeft" activeCell="C2" sqref="C2"/>
    </sheetView>
  </sheetViews>
  <sheetFormatPr defaultRowHeight="12.75"/>
  <cols>
    <col min="1" max="1" width="12.25" style="18" customWidth="1"/>
    <col min="2" max="2" width="21.5" style="18" customWidth="1"/>
    <col min="3" max="3" width="17" style="18" customWidth="1"/>
    <col min="4" max="4" width="18.25" style="18" customWidth="1"/>
    <col min="5" max="5" width="19.625" style="18" customWidth="1"/>
    <col min="6" max="6" width="9.25" style="18" customWidth="1"/>
    <col min="7" max="16384" width="9" style="18"/>
  </cols>
  <sheetData>
    <row r="1" spans="1:6" s="15" customFormat="1" ht="71.25" customHeight="1">
      <c r="A1" s="13" t="s">
        <v>305</v>
      </c>
      <c r="B1" s="13" t="s">
        <v>306</v>
      </c>
      <c r="C1" s="13" t="s">
        <v>571</v>
      </c>
      <c r="D1" s="13" t="s">
        <v>572</v>
      </c>
      <c r="E1" s="13" t="s">
        <v>573</v>
      </c>
      <c r="F1" s="14" t="s">
        <v>574</v>
      </c>
    </row>
    <row r="2" spans="1:6" ht="16.5" customHeight="1">
      <c r="A2" s="16" t="s">
        <v>10</v>
      </c>
      <c r="B2" s="16" t="s">
        <v>11</v>
      </c>
      <c r="C2" s="17">
        <v>3</v>
      </c>
      <c r="D2" s="17">
        <v>4</v>
      </c>
      <c r="E2" s="17">
        <v>248</v>
      </c>
      <c r="F2" s="18">
        <f>ROUND(E2/12,0)</f>
        <v>21</v>
      </c>
    </row>
    <row r="3" spans="1:6" ht="16.5" customHeight="1">
      <c r="A3" s="16" t="s">
        <v>12</v>
      </c>
      <c r="B3" s="16" t="s">
        <v>13</v>
      </c>
      <c r="C3" s="17">
        <v>7</v>
      </c>
      <c r="D3" s="17">
        <v>4</v>
      </c>
      <c r="E3" s="17">
        <v>729</v>
      </c>
      <c r="F3" s="18">
        <f t="shared" ref="F3:F66" si="0">ROUND(E3/12,0)</f>
        <v>61</v>
      </c>
    </row>
    <row r="4" spans="1:6" ht="16.5" customHeight="1">
      <c r="A4" s="16" t="s">
        <v>16</v>
      </c>
      <c r="B4" s="16" t="s">
        <v>297</v>
      </c>
      <c r="C4" s="17">
        <v>3</v>
      </c>
      <c r="D4" s="17">
        <v>0</v>
      </c>
      <c r="E4" s="17">
        <v>123</v>
      </c>
      <c r="F4" s="18">
        <f t="shared" si="0"/>
        <v>10</v>
      </c>
    </row>
    <row r="5" spans="1:6" ht="16.5" customHeight="1">
      <c r="A5" s="16" t="s">
        <v>18</v>
      </c>
      <c r="B5" s="16" t="s">
        <v>19</v>
      </c>
      <c r="C5" s="17">
        <v>1</v>
      </c>
      <c r="D5" s="17">
        <v>0</v>
      </c>
      <c r="E5" s="17">
        <v>41</v>
      </c>
      <c r="F5" s="18">
        <f t="shared" si="0"/>
        <v>3</v>
      </c>
    </row>
    <row r="6" spans="1:6" ht="16.5" customHeight="1">
      <c r="A6" s="16" t="s">
        <v>20</v>
      </c>
      <c r="B6" s="16" t="s">
        <v>21</v>
      </c>
      <c r="C6" s="17">
        <v>0</v>
      </c>
      <c r="D6" s="17">
        <v>0</v>
      </c>
      <c r="E6" s="17">
        <v>132</v>
      </c>
      <c r="F6" s="18">
        <f t="shared" si="0"/>
        <v>11</v>
      </c>
    </row>
    <row r="7" spans="1:6" ht="16.5" customHeight="1">
      <c r="A7" s="16" t="s">
        <v>22</v>
      </c>
      <c r="B7" s="16" t="s">
        <v>23</v>
      </c>
      <c r="C7" s="17">
        <v>0</v>
      </c>
      <c r="D7" s="17">
        <v>0</v>
      </c>
      <c r="E7" s="17">
        <v>12</v>
      </c>
      <c r="F7" s="18">
        <f t="shared" si="0"/>
        <v>1</v>
      </c>
    </row>
    <row r="8" spans="1:6" ht="16.5" customHeight="1">
      <c r="A8" s="16" t="s">
        <v>24</v>
      </c>
      <c r="B8" s="16" t="s">
        <v>25</v>
      </c>
      <c r="C8" s="17">
        <v>13</v>
      </c>
      <c r="D8" s="17">
        <v>3</v>
      </c>
      <c r="E8" s="17">
        <v>1283</v>
      </c>
      <c r="F8" s="18">
        <f t="shared" si="0"/>
        <v>107</v>
      </c>
    </row>
    <row r="9" spans="1:6" ht="16.5" customHeight="1">
      <c r="A9" s="16" t="s">
        <v>26</v>
      </c>
      <c r="B9" s="16" t="s">
        <v>298</v>
      </c>
      <c r="C9" s="17">
        <v>11</v>
      </c>
      <c r="D9" s="17">
        <v>0</v>
      </c>
      <c r="E9" s="17">
        <v>1681</v>
      </c>
      <c r="F9" s="18">
        <f t="shared" si="0"/>
        <v>140</v>
      </c>
    </row>
    <row r="10" spans="1:6" ht="16.5" customHeight="1">
      <c r="A10" s="16" t="s">
        <v>27</v>
      </c>
      <c r="B10" s="16" t="s">
        <v>28</v>
      </c>
      <c r="C10" s="17">
        <v>0</v>
      </c>
      <c r="D10" s="17">
        <v>0</v>
      </c>
      <c r="E10" s="17">
        <v>24</v>
      </c>
      <c r="F10" s="18">
        <f t="shared" si="0"/>
        <v>2</v>
      </c>
    </row>
    <row r="11" spans="1:6" ht="16.5" customHeight="1">
      <c r="A11" s="16" t="s">
        <v>29</v>
      </c>
      <c r="B11" s="16" t="s">
        <v>307</v>
      </c>
      <c r="C11" s="17">
        <v>5</v>
      </c>
      <c r="D11" s="17">
        <v>0</v>
      </c>
      <c r="E11" s="17">
        <v>589</v>
      </c>
      <c r="F11" s="18">
        <f t="shared" si="0"/>
        <v>49</v>
      </c>
    </row>
    <row r="12" spans="1:6" ht="16.5" customHeight="1">
      <c r="A12" s="16" t="s">
        <v>30</v>
      </c>
      <c r="B12" s="16" t="s">
        <v>31</v>
      </c>
      <c r="C12" s="17">
        <v>3</v>
      </c>
      <c r="D12" s="17">
        <v>0</v>
      </c>
      <c r="E12" s="17">
        <v>89</v>
      </c>
      <c r="F12" s="18">
        <f t="shared" si="0"/>
        <v>7</v>
      </c>
    </row>
    <row r="13" spans="1:6" ht="16.5" customHeight="1">
      <c r="A13" s="16" t="s">
        <v>32</v>
      </c>
      <c r="B13" s="16" t="s">
        <v>33</v>
      </c>
      <c r="C13" s="17">
        <v>1</v>
      </c>
      <c r="D13" s="17">
        <v>0</v>
      </c>
      <c r="E13" s="17">
        <v>91</v>
      </c>
      <c r="F13" s="18">
        <f t="shared" si="0"/>
        <v>8</v>
      </c>
    </row>
    <row r="14" spans="1:6" ht="16.5" customHeight="1">
      <c r="A14" s="16" t="s">
        <v>36</v>
      </c>
      <c r="B14" s="16" t="s">
        <v>37</v>
      </c>
      <c r="C14" s="17">
        <v>0</v>
      </c>
      <c r="D14" s="17">
        <v>1</v>
      </c>
      <c r="E14" s="17">
        <v>17</v>
      </c>
      <c r="F14" s="18">
        <f t="shared" si="0"/>
        <v>1</v>
      </c>
    </row>
    <row r="15" spans="1:6" ht="16.5" customHeight="1">
      <c r="A15" s="16" t="s">
        <v>38</v>
      </c>
      <c r="B15" s="16" t="s">
        <v>39</v>
      </c>
      <c r="C15" s="17">
        <v>4</v>
      </c>
      <c r="D15" s="17">
        <v>3</v>
      </c>
      <c r="E15" s="17">
        <v>566</v>
      </c>
      <c r="F15" s="18">
        <f t="shared" si="0"/>
        <v>47</v>
      </c>
    </row>
    <row r="16" spans="1:6" ht="16.5" customHeight="1">
      <c r="A16" s="16" t="s">
        <v>40</v>
      </c>
      <c r="B16" s="16" t="s">
        <v>41</v>
      </c>
      <c r="C16" s="17">
        <v>3</v>
      </c>
      <c r="D16" s="17">
        <v>0</v>
      </c>
      <c r="E16" s="17">
        <v>113</v>
      </c>
      <c r="F16" s="18">
        <f t="shared" si="0"/>
        <v>9</v>
      </c>
    </row>
    <row r="17" spans="1:6" ht="16.5" customHeight="1">
      <c r="A17" s="16" t="s">
        <v>42</v>
      </c>
      <c r="B17" s="16" t="s">
        <v>43</v>
      </c>
      <c r="C17" s="17">
        <v>8</v>
      </c>
      <c r="D17" s="17">
        <v>2</v>
      </c>
      <c r="E17" s="17">
        <v>716</v>
      </c>
      <c r="F17" s="18">
        <f t="shared" si="0"/>
        <v>60</v>
      </c>
    </row>
    <row r="18" spans="1:6" ht="16.5" customHeight="1">
      <c r="A18" s="16" t="s">
        <v>44</v>
      </c>
      <c r="B18" s="16" t="s">
        <v>45</v>
      </c>
      <c r="C18" s="17">
        <v>1</v>
      </c>
      <c r="D18" s="17">
        <v>0</v>
      </c>
      <c r="E18" s="17">
        <v>86</v>
      </c>
      <c r="F18" s="18">
        <f t="shared" si="0"/>
        <v>7</v>
      </c>
    </row>
    <row r="19" spans="1:6" ht="16.5" customHeight="1">
      <c r="A19" s="16" t="s">
        <v>46</v>
      </c>
      <c r="B19" s="16" t="s">
        <v>47</v>
      </c>
      <c r="C19" s="17">
        <v>1</v>
      </c>
      <c r="D19" s="17">
        <v>0</v>
      </c>
      <c r="E19" s="17">
        <v>152</v>
      </c>
      <c r="F19" s="18">
        <f t="shared" si="0"/>
        <v>13</v>
      </c>
    </row>
    <row r="20" spans="1:6" ht="16.5" customHeight="1">
      <c r="A20" s="16" t="s">
        <v>48</v>
      </c>
      <c r="B20" s="16" t="s">
        <v>269</v>
      </c>
      <c r="C20" s="17">
        <v>1</v>
      </c>
      <c r="D20" s="17">
        <v>0</v>
      </c>
      <c r="E20" s="17">
        <v>24</v>
      </c>
      <c r="F20" s="18">
        <f t="shared" si="0"/>
        <v>2</v>
      </c>
    </row>
    <row r="21" spans="1:6" ht="16.5" customHeight="1">
      <c r="A21" s="16" t="s">
        <v>50</v>
      </c>
      <c r="B21" s="16" t="s">
        <v>51</v>
      </c>
      <c r="C21" s="17">
        <v>0</v>
      </c>
      <c r="D21" s="17">
        <v>0</v>
      </c>
      <c r="E21" s="17">
        <v>132</v>
      </c>
      <c r="F21" s="18">
        <f t="shared" si="0"/>
        <v>11</v>
      </c>
    </row>
    <row r="22" spans="1:6" ht="16.5" customHeight="1">
      <c r="A22" s="16" t="s">
        <v>56</v>
      </c>
      <c r="B22" s="16" t="s">
        <v>295</v>
      </c>
      <c r="C22" s="17">
        <v>18</v>
      </c>
      <c r="D22" s="17">
        <v>4</v>
      </c>
      <c r="E22" s="17">
        <v>1819</v>
      </c>
      <c r="F22" s="18">
        <f t="shared" si="0"/>
        <v>152</v>
      </c>
    </row>
    <row r="23" spans="1:6" ht="16.5" customHeight="1">
      <c r="A23" s="16" t="s">
        <v>58</v>
      </c>
      <c r="B23" s="16" t="s">
        <v>59</v>
      </c>
      <c r="C23" s="17">
        <v>0</v>
      </c>
      <c r="D23" s="17">
        <v>0</v>
      </c>
      <c r="E23" s="17">
        <v>52</v>
      </c>
      <c r="F23" s="18">
        <f t="shared" si="0"/>
        <v>4</v>
      </c>
    </row>
    <row r="24" spans="1:6" ht="16.5" customHeight="1">
      <c r="A24" s="16" t="s">
        <v>60</v>
      </c>
      <c r="B24" s="16" t="s">
        <v>61</v>
      </c>
      <c r="C24" s="17">
        <v>0</v>
      </c>
      <c r="D24" s="17">
        <v>0</v>
      </c>
      <c r="E24" s="17">
        <v>24</v>
      </c>
      <c r="F24" s="18">
        <f t="shared" si="0"/>
        <v>2</v>
      </c>
    </row>
    <row r="25" spans="1:6" ht="16.5" customHeight="1">
      <c r="A25" s="16" t="s">
        <v>62</v>
      </c>
      <c r="B25" s="16" t="s">
        <v>63</v>
      </c>
      <c r="C25" s="17">
        <v>6</v>
      </c>
      <c r="D25" s="17">
        <v>1</v>
      </c>
      <c r="E25" s="17">
        <v>362</v>
      </c>
      <c r="F25" s="18">
        <f t="shared" si="0"/>
        <v>30</v>
      </c>
    </row>
    <row r="26" spans="1:6" ht="16.5" customHeight="1">
      <c r="A26" s="16" t="s">
        <v>64</v>
      </c>
      <c r="B26" s="16" t="s">
        <v>65</v>
      </c>
      <c r="C26" s="17">
        <v>2</v>
      </c>
      <c r="D26" s="17">
        <v>0</v>
      </c>
      <c r="E26" s="17">
        <v>76</v>
      </c>
      <c r="F26" s="18">
        <f t="shared" si="0"/>
        <v>6</v>
      </c>
    </row>
    <row r="27" spans="1:6" ht="16.5" customHeight="1">
      <c r="A27" s="16" t="s">
        <v>68</v>
      </c>
      <c r="B27" s="16" t="s">
        <v>69</v>
      </c>
      <c r="C27" s="17">
        <v>28</v>
      </c>
      <c r="D27" s="17">
        <v>0</v>
      </c>
      <c r="E27" s="17">
        <v>592</v>
      </c>
      <c r="F27" s="18">
        <f t="shared" si="0"/>
        <v>49</v>
      </c>
    </row>
    <row r="28" spans="1:6" ht="16.5" customHeight="1">
      <c r="A28" s="16" t="s">
        <v>70</v>
      </c>
      <c r="B28" s="16" t="s">
        <v>71</v>
      </c>
      <c r="C28" s="17">
        <v>0</v>
      </c>
      <c r="D28" s="17">
        <v>0</v>
      </c>
      <c r="E28" s="17">
        <v>129</v>
      </c>
      <c r="F28" s="18">
        <f t="shared" si="0"/>
        <v>11</v>
      </c>
    </row>
    <row r="29" spans="1:6" ht="16.5" customHeight="1">
      <c r="A29" s="16" t="s">
        <v>72</v>
      </c>
      <c r="B29" s="16" t="s">
        <v>73</v>
      </c>
      <c r="C29" s="17">
        <v>0</v>
      </c>
      <c r="D29" s="17">
        <v>1</v>
      </c>
      <c r="E29" s="17">
        <v>38</v>
      </c>
      <c r="F29" s="18">
        <f t="shared" si="0"/>
        <v>3</v>
      </c>
    </row>
    <row r="30" spans="1:6" ht="16.5" customHeight="1">
      <c r="A30" s="16" t="s">
        <v>74</v>
      </c>
      <c r="B30" s="16" t="s">
        <v>302</v>
      </c>
      <c r="C30" s="17">
        <v>24</v>
      </c>
      <c r="D30" s="17">
        <v>21</v>
      </c>
      <c r="E30" s="17">
        <v>5651</v>
      </c>
      <c r="F30" s="18">
        <f t="shared" si="0"/>
        <v>471</v>
      </c>
    </row>
    <row r="31" spans="1:6" ht="16.5" customHeight="1">
      <c r="A31" s="16" t="s">
        <v>76</v>
      </c>
      <c r="B31" s="16" t="s">
        <v>77</v>
      </c>
      <c r="C31" s="17">
        <v>3</v>
      </c>
      <c r="D31" s="17">
        <v>6</v>
      </c>
      <c r="E31" s="17">
        <v>294</v>
      </c>
      <c r="F31" s="18">
        <f t="shared" si="0"/>
        <v>25</v>
      </c>
    </row>
    <row r="32" spans="1:6" ht="16.5" customHeight="1">
      <c r="A32" s="16" t="s">
        <v>78</v>
      </c>
      <c r="B32" s="16" t="s">
        <v>79</v>
      </c>
      <c r="C32" s="17">
        <v>0</v>
      </c>
      <c r="D32" s="17">
        <v>0</v>
      </c>
      <c r="E32" s="17">
        <v>12</v>
      </c>
      <c r="F32" s="18">
        <f t="shared" si="0"/>
        <v>1</v>
      </c>
    </row>
    <row r="33" spans="1:6" ht="16.5" customHeight="1">
      <c r="A33" s="16" t="s">
        <v>80</v>
      </c>
      <c r="B33" s="16" t="s">
        <v>81</v>
      </c>
      <c r="C33" s="17">
        <v>4</v>
      </c>
      <c r="D33" s="17">
        <v>0</v>
      </c>
      <c r="E33" s="17">
        <v>102</v>
      </c>
      <c r="F33" s="18">
        <f t="shared" si="0"/>
        <v>9</v>
      </c>
    </row>
    <row r="34" spans="1:6" ht="16.5" customHeight="1">
      <c r="A34" s="16" t="s">
        <v>84</v>
      </c>
      <c r="B34" s="16" t="s">
        <v>308</v>
      </c>
      <c r="C34" s="17">
        <v>3</v>
      </c>
      <c r="D34" s="17">
        <v>1</v>
      </c>
      <c r="E34" s="17">
        <v>432</v>
      </c>
      <c r="F34" s="18">
        <f t="shared" si="0"/>
        <v>36</v>
      </c>
    </row>
    <row r="35" spans="1:6" ht="16.5" customHeight="1">
      <c r="A35" s="16" t="s">
        <v>86</v>
      </c>
      <c r="B35" s="16" t="s">
        <v>87</v>
      </c>
      <c r="C35" s="17">
        <v>11</v>
      </c>
      <c r="D35" s="17">
        <v>10</v>
      </c>
      <c r="E35" s="17">
        <v>479</v>
      </c>
      <c r="F35" s="18">
        <f t="shared" si="0"/>
        <v>40</v>
      </c>
    </row>
    <row r="36" spans="1:6" ht="16.5" customHeight="1">
      <c r="A36" s="16" t="s">
        <v>92</v>
      </c>
      <c r="B36" s="16" t="s">
        <v>93</v>
      </c>
      <c r="C36" s="17">
        <v>3</v>
      </c>
      <c r="D36" s="17">
        <v>0</v>
      </c>
      <c r="E36" s="17">
        <v>213</v>
      </c>
      <c r="F36" s="18">
        <f t="shared" si="0"/>
        <v>18</v>
      </c>
    </row>
    <row r="37" spans="1:6" ht="16.5" customHeight="1">
      <c r="A37" s="16" t="s">
        <v>94</v>
      </c>
      <c r="B37" s="16" t="s">
        <v>95</v>
      </c>
      <c r="C37" s="17">
        <v>2</v>
      </c>
      <c r="D37" s="17">
        <v>2</v>
      </c>
      <c r="E37" s="17">
        <v>270</v>
      </c>
      <c r="F37" s="18">
        <f t="shared" si="0"/>
        <v>23</v>
      </c>
    </row>
    <row r="38" spans="1:6" ht="16.5" customHeight="1">
      <c r="A38" s="16" t="s">
        <v>96</v>
      </c>
      <c r="B38" s="16" t="s">
        <v>97</v>
      </c>
      <c r="C38" s="17">
        <v>1</v>
      </c>
      <c r="D38" s="17">
        <v>2</v>
      </c>
      <c r="E38" s="17">
        <v>133</v>
      </c>
      <c r="F38" s="18">
        <f t="shared" si="0"/>
        <v>11</v>
      </c>
    </row>
    <row r="39" spans="1:6" ht="16.5" customHeight="1">
      <c r="A39" s="16" t="s">
        <v>98</v>
      </c>
      <c r="B39" s="16" t="s">
        <v>99</v>
      </c>
      <c r="C39" s="17">
        <v>1</v>
      </c>
      <c r="D39" s="17">
        <v>2</v>
      </c>
      <c r="E39" s="17">
        <v>126</v>
      </c>
      <c r="F39" s="18">
        <f t="shared" si="0"/>
        <v>11</v>
      </c>
    </row>
    <row r="40" spans="1:6" ht="16.5" customHeight="1">
      <c r="A40" s="16" t="s">
        <v>100</v>
      </c>
      <c r="B40" s="16" t="s">
        <v>101</v>
      </c>
      <c r="C40" s="17">
        <v>0</v>
      </c>
      <c r="D40" s="17">
        <v>0</v>
      </c>
      <c r="E40" s="17">
        <v>60</v>
      </c>
      <c r="F40" s="18">
        <f t="shared" si="0"/>
        <v>5</v>
      </c>
    </row>
    <row r="41" spans="1:6" ht="16.5" customHeight="1">
      <c r="A41" s="16" t="s">
        <v>102</v>
      </c>
      <c r="B41" s="16" t="s">
        <v>103</v>
      </c>
      <c r="C41" s="17">
        <v>2</v>
      </c>
      <c r="D41" s="17">
        <v>0</v>
      </c>
      <c r="E41" s="17">
        <v>60</v>
      </c>
      <c r="F41" s="18">
        <f t="shared" si="0"/>
        <v>5</v>
      </c>
    </row>
    <row r="42" spans="1:6" ht="16.5" customHeight="1">
      <c r="A42" s="16" t="s">
        <v>104</v>
      </c>
      <c r="B42" s="16" t="s">
        <v>309</v>
      </c>
      <c r="C42" s="17">
        <v>0</v>
      </c>
      <c r="D42" s="17">
        <v>1</v>
      </c>
      <c r="E42" s="17">
        <v>223</v>
      </c>
      <c r="F42" s="18">
        <f t="shared" si="0"/>
        <v>19</v>
      </c>
    </row>
    <row r="43" spans="1:6" ht="16.5" customHeight="1">
      <c r="A43" s="16" t="s">
        <v>108</v>
      </c>
      <c r="B43" s="16" t="s">
        <v>109</v>
      </c>
      <c r="C43" s="17">
        <v>3</v>
      </c>
      <c r="D43" s="17">
        <v>0</v>
      </c>
      <c r="E43" s="17">
        <v>264</v>
      </c>
      <c r="F43" s="18">
        <f t="shared" si="0"/>
        <v>22</v>
      </c>
    </row>
    <row r="44" spans="1:6" ht="16.5" customHeight="1">
      <c r="A44" s="16" t="s">
        <v>110</v>
      </c>
      <c r="B44" s="16" t="s">
        <v>111</v>
      </c>
      <c r="C44" s="17">
        <v>7</v>
      </c>
      <c r="D44" s="17">
        <v>1</v>
      </c>
      <c r="E44" s="17">
        <v>1349</v>
      </c>
      <c r="F44" s="18">
        <f t="shared" si="0"/>
        <v>112</v>
      </c>
    </row>
    <row r="45" spans="1:6" ht="16.5" customHeight="1">
      <c r="A45" s="16" t="s">
        <v>112</v>
      </c>
      <c r="B45" s="16" t="s">
        <v>300</v>
      </c>
      <c r="C45" s="17">
        <v>1</v>
      </c>
      <c r="D45" s="17">
        <v>0</v>
      </c>
      <c r="E45" s="17">
        <v>496</v>
      </c>
      <c r="F45" s="18">
        <f t="shared" si="0"/>
        <v>41</v>
      </c>
    </row>
    <row r="46" spans="1:6" ht="16.5" customHeight="1">
      <c r="A46" s="16" t="s">
        <v>114</v>
      </c>
      <c r="B46" s="16" t="s">
        <v>115</v>
      </c>
      <c r="C46" s="17">
        <v>0</v>
      </c>
      <c r="D46" s="17">
        <v>0</v>
      </c>
      <c r="E46" s="17">
        <v>12</v>
      </c>
      <c r="F46" s="18">
        <f t="shared" si="0"/>
        <v>1</v>
      </c>
    </row>
    <row r="47" spans="1:6" ht="16.5" customHeight="1">
      <c r="A47" s="16" t="s">
        <v>118</v>
      </c>
      <c r="B47" s="16" t="s">
        <v>119</v>
      </c>
      <c r="C47" s="17">
        <v>2</v>
      </c>
      <c r="D47" s="17">
        <v>1</v>
      </c>
      <c r="E47" s="17">
        <v>73</v>
      </c>
      <c r="F47" s="18">
        <f t="shared" si="0"/>
        <v>6</v>
      </c>
    </row>
    <row r="48" spans="1:6" ht="16.5" customHeight="1">
      <c r="A48" s="16" t="s">
        <v>120</v>
      </c>
      <c r="B48" s="16" t="s">
        <v>121</v>
      </c>
      <c r="C48" s="17">
        <v>4</v>
      </c>
      <c r="D48" s="17">
        <v>3</v>
      </c>
      <c r="E48" s="17">
        <v>394</v>
      </c>
      <c r="F48" s="18">
        <f t="shared" si="0"/>
        <v>33</v>
      </c>
    </row>
    <row r="49" spans="1:6" ht="16.5" customHeight="1">
      <c r="A49" s="16" t="s">
        <v>122</v>
      </c>
      <c r="B49" s="16" t="s">
        <v>271</v>
      </c>
      <c r="C49" s="17">
        <v>3</v>
      </c>
      <c r="D49" s="17">
        <v>0</v>
      </c>
      <c r="E49" s="17">
        <v>66</v>
      </c>
      <c r="F49" s="18">
        <f t="shared" si="0"/>
        <v>6</v>
      </c>
    </row>
    <row r="50" spans="1:6" ht="16.5" customHeight="1">
      <c r="A50" s="16" t="s">
        <v>124</v>
      </c>
      <c r="B50" s="16" t="s">
        <v>125</v>
      </c>
      <c r="C50" s="17">
        <v>6</v>
      </c>
      <c r="D50" s="17">
        <v>0</v>
      </c>
      <c r="E50" s="17">
        <v>61</v>
      </c>
      <c r="F50" s="18">
        <f t="shared" si="0"/>
        <v>5</v>
      </c>
    </row>
    <row r="51" spans="1:6" ht="16.5" customHeight="1">
      <c r="A51" s="16" t="s">
        <v>126</v>
      </c>
      <c r="B51" s="16" t="s">
        <v>127</v>
      </c>
      <c r="C51" s="17">
        <v>1</v>
      </c>
      <c r="D51" s="17">
        <v>0</v>
      </c>
      <c r="E51" s="17">
        <v>76</v>
      </c>
      <c r="F51" s="18">
        <f t="shared" si="0"/>
        <v>6</v>
      </c>
    </row>
    <row r="52" spans="1:6" ht="16.5" customHeight="1">
      <c r="A52" s="16" t="s">
        <v>128</v>
      </c>
      <c r="B52" s="16" t="s">
        <v>129</v>
      </c>
      <c r="C52" s="17">
        <v>0</v>
      </c>
      <c r="D52" s="17">
        <v>1</v>
      </c>
      <c r="E52" s="17">
        <v>36</v>
      </c>
      <c r="F52" s="18">
        <f t="shared" si="0"/>
        <v>3</v>
      </c>
    </row>
    <row r="53" spans="1:6" ht="16.5" customHeight="1">
      <c r="A53" s="16" t="s">
        <v>130</v>
      </c>
      <c r="B53" s="16" t="s">
        <v>131</v>
      </c>
      <c r="C53" s="17">
        <v>5</v>
      </c>
      <c r="D53" s="17">
        <v>0</v>
      </c>
      <c r="E53" s="17">
        <v>713</v>
      </c>
      <c r="F53" s="18">
        <f t="shared" si="0"/>
        <v>59</v>
      </c>
    </row>
    <row r="54" spans="1:6" ht="16.5" customHeight="1">
      <c r="A54" s="16" t="s">
        <v>132</v>
      </c>
      <c r="B54" s="16" t="s">
        <v>133</v>
      </c>
      <c r="C54" s="17">
        <v>21</v>
      </c>
      <c r="D54" s="17">
        <v>6</v>
      </c>
      <c r="E54" s="17">
        <v>486</v>
      </c>
      <c r="F54" s="18">
        <f t="shared" si="0"/>
        <v>41</v>
      </c>
    </row>
    <row r="55" spans="1:6" ht="16.5" customHeight="1">
      <c r="A55" s="16" t="s">
        <v>134</v>
      </c>
      <c r="B55" s="16" t="s">
        <v>135</v>
      </c>
      <c r="C55" s="17">
        <v>11</v>
      </c>
      <c r="D55" s="17">
        <v>0</v>
      </c>
      <c r="E55" s="17">
        <v>171</v>
      </c>
      <c r="F55" s="18">
        <f t="shared" si="0"/>
        <v>14</v>
      </c>
    </row>
    <row r="56" spans="1:6" ht="16.5" customHeight="1">
      <c r="A56" s="16" t="s">
        <v>136</v>
      </c>
      <c r="B56" s="16" t="s">
        <v>137</v>
      </c>
      <c r="C56" s="17">
        <v>1</v>
      </c>
      <c r="D56" s="17">
        <v>0</v>
      </c>
      <c r="E56" s="17">
        <v>30</v>
      </c>
      <c r="F56" s="18">
        <f t="shared" si="0"/>
        <v>3</v>
      </c>
    </row>
    <row r="57" spans="1:6" ht="16.5" customHeight="1">
      <c r="A57" s="16" t="s">
        <v>140</v>
      </c>
      <c r="B57" s="16" t="s">
        <v>141</v>
      </c>
      <c r="C57" s="17">
        <v>2</v>
      </c>
      <c r="D57" s="17">
        <v>0</v>
      </c>
      <c r="E57" s="17">
        <v>65</v>
      </c>
      <c r="F57" s="18">
        <f t="shared" si="0"/>
        <v>5</v>
      </c>
    </row>
    <row r="58" spans="1:6" ht="16.5" customHeight="1">
      <c r="A58" s="16" t="s">
        <v>146</v>
      </c>
      <c r="B58" s="16" t="s">
        <v>147</v>
      </c>
      <c r="C58" s="17">
        <v>0</v>
      </c>
      <c r="D58" s="17">
        <v>0</v>
      </c>
      <c r="E58" s="17">
        <v>84</v>
      </c>
      <c r="F58" s="18">
        <f t="shared" si="0"/>
        <v>7</v>
      </c>
    </row>
    <row r="59" spans="1:6" ht="16.5" customHeight="1">
      <c r="A59" s="16" t="s">
        <v>148</v>
      </c>
      <c r="B59" s="16" t="s">
        <v>149</v>
      </c>
      <c r="C59" s="17">
        <v>2</v>
      </c>
      <c r="D59" s="17">
        <v>3</v>
      </c>
      <c r="E59" s="17">
        <v>228</v>
      </c>
      <c r="F59" s="18">
        <f t="shared" si="0"/>
        <v>19</v>
      </c>
    </row>
    <row r="60" spans="1:6" ht="16.5" customHeight="1">
      <c r="A60" s="16" t="s">
        <v>150</v>
      </c>
      <c r="B60" s="16" t="s">
        <v>151</v>
      </c>
      <c r="C60" s="17">
        <v>1</v>
      </c>
      <c r="D60" s="17">
        <v>0</v>
      </c>
      <c r="E60" s="17">
        <v>74</v>
      </c>
      <c r="F60" s="18">
        <f t="shared" si="0"/>
        <v>6</v>
      </c>
    </row>
    <row r="61" spans="1:6" ht="16.5" customHeight="1">
      <c r="A61" s="16" t="s">
        <v>152</v>
      </c>
      <c r="B61" s="16" t="s">
        <v>153</v>
      </c>
      <c r="C61" s="17">
        <v>1</v>
      </c>
      <c r="D61" s="17">
        <v>2</v>
      </c>
      <c r="E61" s="17">
        <v>374</v>
      </c>
      <c r="F61" s="18">
        <f t="shared" si="0"/>
        <v>31</v>
      </c>
    </row>
    <row r="62" spans="1:6" ht="16.5" customHeight="1">
      <c r="A62" s="16" t="s">
        <v>154</v>
      </c>
      <c r="B62" s="16" t="s">
        <v>155</v>
      </c>
      <c r="C62" s="17">
        <v>0</v>
      </c>
      <c r="D62" s="17">
        <v>0</v>
      </c>
      <c r="E62" s="17">
        <v>0</v>
      </c>
      <c r="F62" s="18">
        <f t="shared" si="0"/>
        <v>0</v>
      </c>
    </row>
    <row r="63" spans="1:6" ht="16.5" customHeight="1">
      <c r="A63" s="16" t="s">
        <v>156</v>
      </c>
      <c r="B63" s="16" t="s">
        <v>157</v>
      </c>
      <c r="C63" s="17">
        <v>1</v>
      </c>
      <c r="D63" s="17">
        <v>0</v>
      </c>
      <c r="E63" s="17">
        <v>63</v>
      </c>
      <c r="F63" s="18">
        <f t="shared" si="0"/>
        <v>5</v>
      </c>
    </row>
    <row r="64" spans="1:6" ht="16.5" customHeight="1">
      <c r="A64" s="16" t="s">
        <v>162</v>
      </c>
      <c r="B64" s="16" t="s">
        <v>163</v>
      </c>
      <c r="C64" s="17">
        <v>0</v>
      </c>
      <c r="D64" s="17">
        <v>0</v>
      </c>
      <c r="E64" s="17">
        <v>24</v>
      </c>
      <c r="F64" s="18">
        <f t="shared" si="0"/>
        <v>2</v>
      </c>
    </row>
    <row r="65" spans="1:6" ht="16.5" customHeight="1">
      <c r="A65" s="16" t="s">
        <v>164</v>
      </c>
      <c r="B65" s="16" t="s">
        <v>165</v>
      </c>
      <c r="C65" s="17">
        <v>0</v>
      </c>
      <c r="D65" s="17">
        <v>0</v>
      </c>
      <c r="E65" s="17">
        <v>48</v>
      </c>
      <c r="F65" s="18">
        <f t="shared" si="0"/>
        <v>4</v>
      </c>
    </row>
    <row r="66" spans="1:6" ht="16.5" customHeight="1">
      <c r="A66" s="16" t="s">
        <v>168</v>
      </c>
      <c r="B66" s="16" t="s">
        <v>169</v>
      </c>
      <c r="C66" s="17">
        <v>1</v>
      </c>
      <c r="D66" s="17">
        <v>0</v>
      </c>
      <c r="E66" s="17">
        <v>89</v>
      </c>
      <c r="F66" s="18">
        <f t="shared" si="0"/>
        <v>7</v>
      </c>
    </row>
    <row r="67" spans="1:6" ht="16.5" customHeight="1">
      <c r="A67" s="16" t="s">
        <v>170</v>
      </c>
      <c r="B67" s="16" t="s">
        <v>171</v>
      </c>
      <c r="C67" s="17">
        <v>1</v>
      </c>
      <c r="D67" s="17">
        <v>1</v>
      </c>
      <c r="E67" s="17">
        <v>132</v>
      </c>
      <c r="F67" s="18">
        <f t="shared" ref="F67:F121" si="1">ROUND(E67/12,0)</f>
        <v>11</v>
      </c>
    </row>
    <row r="68" spans="1:6" ht="16.5" customHeight="1">
      <c r="A68" s="16" t="s">
        <v>172</v>
      </c>
      <c r="B68" s="16" t="s">
        <v>173</v>
      </c>
      <c r="C68" s="17">
        <v>3</v>
      </c>
      <c r="D68" s="17">
        <v>1</v>
      </c>
      <c r="E68" s="17">
        <v>170</v>
      </c>
      <c r="F68" s="18">
        <f t="shared" si="1"/>
        <v>14</v>
      </c>
    </row>
    <row r="69" spans="1:6" ht="16.5" customHeight="1">
      <c r="A69" s="16" t="s">
        <v>174</v>
      </c>
      <c r="B69" s="16" t="s">
        <v>175</v>
      </c>
      <c r="C69" s="17">
        <v>2</v>
      </c>
      <c r="D69" s="17">
        <v>1</v>
      </c>
      <c r="E69" s="17">
        <v>28</v>
      </c>
      <c r="F69" s="18">
        <f t="shared" si="1"/>
        <v>2</v>
      </c>
    </row>
    <row r="70" spans="1:6" ht="16.5" customHeight="1">
      <c r="A70" s="16" t="s">
        <v>178</v>
      </c>
      <c r="B70" s="16" t="s">
        <v>179</v>
      </c>
      <c r="C70" s="17">
        <v>2</v>
      </c>
      <c r="D70" s="17">
        <v>0</v>
      </c>
      <c r="E70" s="17">
        <v>256</v>
      </c>
      <c r="F70" s="18">
        <f t="shared" si="1"/>
        <v>21</v>
      </c>
    </row>
    <row r="71" spans="1:6" ht="16.5" customHeight="1">
      <c r="A71" s="16" t="s">
        <v>182</v>
      </c>
      <c r="B71" s="16" t="s">
        <v>183</v>
      </c>
      <c r="C71" s="17">
        <v>1</v>
      </c>
      <c r="D71" s="17">
        <v>1</v>
      </c>
      <c r="E71" s="17">
        <v>42</v>
      </c>
      <c r="F71" s="18">
        <f t="shared" si="1"/>
        <v>4</v>
      </c>
    </row>
    <row r="72" spans="1:6" ht="16.5" customHeight="1">
      <c r="A72" s="16" t="s">
        <v>184</v>
      </c>
      <c r="B72" s="16" t="s">
        <v>185</v>
      </c>
      <c r="C72" s="17">
        <v>4</v>
      </c>
      <c r="D72" s="17">
        <v>1</v>
      </c>
      <c r="E72" s="17">
        <v>220</v>
      </c>
      <c r="F72" s="18">
        <f t="shared" si="1"/>
        <v>18</v>
      </c>
    </row>
    <row r="73" spans="1:6" ht="16.5" customHeight="1">
      <c r="A73" s="16" t="s">
        <v>186</v>
      </c>
      <c r="B73" s="16" t="s">
        <v>187</v>
      </c>
      <c r="C73" s="17">
        <v>3</v>
      </c>
      <c r="D73" s="17">
        <v>3</v>
      </c>
      <c r="E73" s="17">
        <v>98</v>
      </c>
      <c r="F73" s="18">
        <f t="shared" si="1"/>
        <v>8</v>
      </c>
    </row>
    <row r="74" spans="1:6" ht="16.5" customHeight="1">
      <c r="A74" s="16" t="s">
        <v>188</v>
      </c>
      <c r="B74" s="16" t="s">
        <v>189</v>
      </c>
      <c r="C74" s="17">
        <v>11</v>
      </c>
      <c r="D74" s="17">
        <v>3</v>
      </c>
      <c r="E74" s="17">
        <v>1021</v>
      </c>
      <c r="F74" s="18">
        <f t="shared" si="1"/>
        <v>85</v>
      </c>
    </row>
    <row r="75" spans="1:6" ht="16.5" customHeight="1">
      <c r="A75" s="16" t="s">
        <v>190</v>
      </c>
      <c r="B75" s="16" t="s">
        <v>191</v>
      </c>
      <c r="C75" s="17">
        <v>4</v>
      </c>
      <c r="D75" s="17">
        <v>0</v>
      </c>
      <c r="E75" s="17">
        <v>261</v>
      </c>
      <c r="F75" s="18">
        <f t="shared" si="1"/>
        <v>22</v>
      </c>
    </row>
    <row r="76" spans="1:6" ht="16.5" customHeight="1">
      <c r="A76" s="16" t="s">
        <v>194</v>
      </c>
      <c r="B76" s="16" t="s">
        <v>195</v>
      </c>
      <c r="C76" s="17">
        <v>1</v>
      </c>
      <c r="D76" s="17">
        <v>0</v>
      </c>
      <c r="E76" s="17">
        <v>83</v>
      </c>
      <c r="F76" s="18">
        <f t="shared" si="1"/>
        <v>7</v>
      </c>
    </row>
    <row r="77" spans="1:6" ht="16.5" customHeight="1">
      <c r="A77" s="16" t="s">
        <v>198</v>
      </c>
      <c r="B77" s="16" t="s">
        <v>199</v>
      </c>
      <c r="C77" s="17">
        <v>0</v>
      </c>
      <c r="D77" s="17">
        <v>0</v>
      </c>
      <c r="E77" s="17">
        <v>36</v>
      </c>
      <c r="F77" s="18">
        <f t="shared" si="1"/>
        <v>3</v>
      </c>
    </row>
    <row r="78" spans="1:6" ht="16.5" customHeight="1">
      <c r="A78" s="16" t="s">
        <v>202</v>
      </c>
      <c r="B78" s="16" t="s">
        <v>203</v>
      </c>
      <c r="C78" s="17">
        <v>7</v>
      </c>
      <c r="D78" s="17">
        <v>2</v>
      </c>
      <c r="E78" s="17">
        <v>767</v>
      </c>
      <c r="F78" s="18">
        <f t="shared" si="1"/>
        <v>64</v>
      </c>
    </row>
    <row r="79" spans="1:6" ht="16.5" customHeight="1">
      <c r="A79" s="16" t="s">
        <v>204</v>
      </c>
      <c r="B79" s="16" t="s">
        <v>205</v>
      </c>
      <c r="C79" s="17">
        <v>3</v>
      </c>
      <c r="D79" s="17">
        <v>2</v>
      </c>
      <c r="E79" s="17">
        <v>157</v>
      </c>
      <c r="F79" s="18">
        <f t="shared" si="1"/>
        <v>13</v>
      </c>
    </row>
    <row r="80" spans="1:6" ht="16.5" customHeight="1">
      <c r="A80" s="16" t="s">
        <v>206</v>
      </c>
      <c r="B80" s="16" t="s">
        <v>207</v>
      </c>
      <c r="C80" s="17">
        <v>26</v>
      </c>
      <c r="D80" s="17">
        <v>3</v>
      </c>
      <c r="E80" s="17">
        <v>1347</v>
      </c>
      <c r="F80" s="18">
        <f t="shared" si="1"/>
        <v>112</v>
      </c>
    </row>
    <row r="81" spans="1:6" ht="16.5" customHeight="1">
      <c r="A81" s="16" t="s">
        <v>208</v>
      </c>
      <c r="B81" s="16" t="s">
        <v>209</v>
      </c>
      <c r="C81" s="17">
        <v>2</v>
      </c>
      <c r="D81" s="17">
        <v>0</v>
      </c>
      <c r="E81" s="17">
        <v>53</v>
      </c>
      <c r="F81" s="18">
        <f t="shared" si="1"/>
        <v>4</v>
      </c>
    </row>
    <row r="82" spans="1:6" ht="16.5" customHeight="1">
      <c r="A82" s="16" t="s">
        <v>210</v>
      </c>
      <c r="B82" s="16" t="s">
        <v>211</v>
      </c>
      <c r="C82" s="17">
        <v>4</v>
      </c>
      <c r="D82" s="17">
        <v>1</v>
      </c>
      <c r="E82" s="17">
        <v>345</v>
      </c>
      <c r="F82" s="18">
        <f t="shared" si="1"/>
        <v>29</v>
      </c>
    </row>
    <row r="83" spans="1:6" ht="16.5" customHeight="1">
      <c r="A83" s="16" t="s">
        <v>212</v>
      </c>
      <c r="B83" s="16" t="s">
        <v>213</v>
      </c>
      <c r="C83" s="17">
        <v>4</v>
      </c>
      <c r="D83" s="17">
        <v>0</v>
      </c>
      <c r="E83" s="17">
        <v>243</v>
      </c>
      <c r="F83" s="18">
        <f t="shared" si="1"/>
        <v>20</v>
      </c>
    </row>
    <row r="84" spans="1:6" ht="16.5" customHeight="1">
      <c r="A84" s="16" t="s">
        <v>214</v>
      </c>
      <c r="B84" s="16" t="s">
        <v>215</v>
      </c>
      <c r="C84" s="17">
        <v>0</v>
      </c>
      <c r="D84" s="17">
        <v>2</v>
      </c>
      <c r="E84" s="17">
        <v>193</v>
      </c>
      <c r="F84" s="18">
        <f t="shared" si="1"/>
        <v>16</v>
      </c>
    </row>
    <row r="85" spans="1:6" ht="16.5" customHeight="1">
      <c r="A85" s="16" t="s">
        <v>216</v>
      </c>
      <c r="B85" s="16" t="s">
        <v>217</v>
      </c>
      <c r="C85" s="17">
        <v>0</v>
      </c>
      <c r="D85" s="17">
        <v>0</v>
      </c>
      <c r="E85" s="17">
        <v>24</v>
      </c>
      <c r="F85" s="18">
        <f t="shared" si="1"/>
        <v>2</v>
      </c>
    </row>
    <row r="86" spans="1:6" ht="16.5" customHeight="1">
      <c r="A86" s="16" t="s">
        <v>218</v>
      </c>
      <c r="B86" s="16" t="s">
        <v>219</v>
      </c>
      <c r="C86" s="17">
        <v>7</v>
      </c>
      <c r="D86" s="17">
        <v>1</v>
      </c>
      <c r="E86" s="17">
        <v>728</v>
      </c>
      <c r="F86" s="18">
        <f t="shared" si="1"/>
        <v>61</v>
      </c>
    </row>
    <row r="87" spans="1:6" ht="16.5" customHeight="1">
      <c r="A87" s="16" t="s">
        <v>220</v>
      </c>
      <c r="B87" s="16" t="s">
        <v>221</v>
      </c>
      <c r="C87" s="17">
        <v>9</v>
      </c>
      <c r="D87" s="17">
        <v>1</v>
      </c>
      <c r="E87" s="17">
        <v>1167</v>
      </c>
      <c r="F87" s="18">
        <f t="shared" si="1"/>
        <v>97</v>
      </c>
    </row>
    <row r="88" spans="1:6" ht="16.5" customHeight="1">
      <c r="A88" s="16" t="s">
        <v>224</v>
      </c>
      <c r="B88" s="16" t="s">
        <v>225</v>
      </c>
      <c r="C88" s="17">
        <v>0</v>
      </c>
      <c r="D88" s="17">
        <v>0</v>
      </c>
      <c r="E88" s="17">
        <v>36</v>
      </c>
      <c r="F88" s="18">
        <f t="shared" si="1"/>
        <v>3</v>
      </c>
    </row>
    <row r="89" spans="1:6" ht="16.5" customHeight="1">
      <c r="A89" s="16" t="s">
        <v>226</v>
      </c>
      <c r="B89" s="16" t="s">
        <v>227</v>
      </c>
      <c r="C89" s="17">
        <v>0</v>
      </c>
      <c r="D89" s="17">
        <v>0</v>
      </c>
      <c r="E89" s="17">
        <v>60</v>
      </c>
      <c r="F89" s="18">
        <f t="shared" si="1"/>
        <v>5</v>
      </c>
    </row>
    <row r="90" spans="1:6" ht="16.5" customHeight="1">
      <c r="A90" s="16" t="s">
        <v>228</v>
      </c>
      <c r="B90" s="16" t="s">
        <v>229</v>
      </c>
      <c r="C90" s="17">
        <v>7</v>
      </c>
      <c r="D90" s="17">
        <v>3</v>
      </c>
      <c r="E90" s="17">
        <v>766</v>
      </c>
      <c r="F90" s="18">
        <f t="shared" si="1"/>
        <v>64</v>
      </c>
    </row>
    <row r="91" spans="1:6" ht="16.5" customHeight="1">
      <c r="A91" s="16" t="s">
        <v>232</v>
      </c>
      <c r="B91" s="16" t="s">
        <v>233</v>
      </c>
      <c r="C91" s="17">
        <v>3</v>
      </c>
      <c r="D91" s="17">
        <v>1</v>
      </c>
      <c r="E91" s="17">
        <v>557</v>
      </c>
      <c r="F91" s="18">
        <f t="shared" si="1"/>
        <v>46</v>
      </c>
    </row>
    <row r="92" spans="1:6" ht="16.5" customHeight="1">
      <c r="A92" s="16" t="s">
        <v>234</v>
      </c>
      <c r="B92" s="16" t="s">
        <v>235</v>
      </c>
      <c r="C92" s="17">
        <v>3</v>
      </c>
      <c r="D92" s="17">
        <v>0</v>
      </c>
      <c r="E92" s="17">
        <v>282</v>
      </c>
      <c r="F92" s="18">
        <f t="shared" si="1"/>
        <v>24</v>
      </c>
    </row>
    <row r="93" spans="1:6" ht="16.5" customHeight="1">
      <c r="A93" s="16" t="s">
        <v>236</v>
      </c>
      <c r="B93" s="16" t="s">
        <v>237</v>
      </c>
      <c r="C93" s="17">
        <v>1</v>
      </c>
      <c r="D93" s="17">
        <v>2</v>
      </c>
      <c r="E93" s="17">
        <v>97</v>
      </c>
      <c r="F93" s="18">
        <f t="shared" si="1"/>
        <v>8</v>
      </c>
    </row>
    <row r="94" spans="1:6" ht="16.5" customHeight="1">
      <c r="A94" s="16" t="s">
        <v>242</v>
      </c>
      <c r="B94" s="16" t="s">
        <v>243</v>
      </c>
      <c r="C94" s="17">
        <v>10</v>
      </c>
      <c r="D94" s="17">
        <v>7</v>
      </c>
      <c r="E94" s="17">
        <v>892</v>
      </c>
      <c r="F94" s="18">
        <f t="shared" si="1"/>
        <v>74</v>
      </c>
    </row>
    <row r="95" spans="1:6" ht="16.5" customHeight="1">
      <c r="A95" s="16" t="s">
        <v>244</v>
      </c>
      <c r="B95" s="16" t="s">
        <v>245</v>
      </c>
      <c r="C95" s="17">
        <v>1</v>
      </c>
      <c r="D95" s="17">
        <v>0</v>
      </c>
      <c r="E95" s="17">
        <v>151</v>
      </c>
      <c r="F95" s="18">
        <f t="shared" si="1"/>
        <v>13</v>
      </c>
    </row>
    <row r="96" spans="1:6" ht="16.5" customHeight="1">
      <c r="A96" s="16" t="s">
        <v>246</v>
      </c>
      <c r="B96" s="16" t="s">
        <v>310</v>
      </c>
      <c r="C96" s="17">
        <v>5</v>
      </c>
      <c r="D96" s="17">
        <v>2</v>
      </c>
      <c r="E96" s="17">
        <v>207</v>
      </c>
      <c r="F96" s="18">
        <f t="shared" si="1"/>
        <v>17</v>
      </c>
    </row>
    <row r="97" spans="1:6" ht="16.5" customHeight="1">
      <c r="A97" s="16" t="s">
        <v>14</v>
      </c>
      <c r="B97" s="16" t="s">
        <v>15</v>
      </c>
      <c r="C97" s="17">
        <v>21</v>
      </c>
      <c r="D97" s="17">
        <v>1</v>
      </c>
      <c r="E97" s="17">
        <v>1630</v>
      </c>
      <c r="F97" s="18">
        <f t="shared" si="1"/>
        <v>136</v>
      </c>
    </row>
    <row r="98" spans="1:6" ht="16.5" customHeight="1">
      <c r="A98" s="16" t="s">
        <v>34</v>
      </c>
      <c r="B98" s="16" t="s">
        <v>35</v>
      </c>
      <c r="C98" s="17">
        <v>0</v>
      </c>
      <c r="D98" s="17">
        <v>0</v>
      </c>
      <c r="E98" s="17">
        <v>251</v>
      </c>
      <c r="F98" s="18">
        <f t="shared" si="1"/>
        <v>21</v>
      </c>
    </row>
    <row r="99" spans="1:6" ht="16.5" customHeight="1">
      <c r="A99" s="16" t="s">
        <v>52</v>
      </c>
      <c r="B99" s="16" t="s">
        <v>53</v>
      </c>
      <c r="C99" s="17">
        <v>14</v>
      </c>
      <c r="D99" s="17">
        <v>0</v>
      </c>
      <c r="E99" s="17">
        <v>789</v>
      </c>
      <c r="F99" s="18">
        <f t="shared" si="1"/>
        <v>66</v>
      </c>
    </row>
    <row r="100" spans="1:6" ht="16.5" customHeight="1">
      <c r="A100" s="16" t="s">
        <v>54</v>
      </c>
      <c r="B100" s="16" t="s">
        <v>55</v>
      </c>
      <c r="C100" s="17">
        <v>5</v>
      </c>
      <c r="D100" s="17">
        <v>3</v>
      </c>
      <c r="E100" s="17">
        <v>1198</v>
      </c>
      <c r="F100" s="18">
        <f t="shared" si="1"/>
        <v>100</v>
      </c>
    </row>
    <row r="101" spans="1:6" ht="16.5" customHeight="1">
      <c r="A101" s="16" t="s">
        <v>66</v>
      </c>
      <c r="B101" s="16" t="s">
        <v>67</v>
      </c>
      <c r="C101" s="17">
        <v>1</v>
      </c>
      <c r="D101" s="17">
        <v>1</v>
      </c>
      <c r="E101" s="17">
        <v>521</v>
      </c>
      <c r="F101" s="18">
        <f t="shared" si="1"/>
        <v>43</v>
      </c>
    </row>
    <row r="102" spans="1:6" ht="16.5" customHeight="1">
      <c r="A102" s="16" t="s">
        <v>82</v>
      </c>
      <c r="B102" s="16" t="s">
        <v>311</v>
      </c>
      <c r="C102" s="17">
        <v>0</v>
      </c>
      <c r="D102" s="17">
        <v>0</v>
      </c>
      <c r="E102" s="17">
        <v>24</v>
      </c>
      <c r="F102" s="18">
        <f t="shared" si="1"/>
        <v>2</v>
      </c>
    </row>
    <row r="103" spans="1:6" ht="16.5" customHeight="1">
      <c r="A103" s="16" t="s">
        <v>88</v>
      </c>
      <c r="B103" s="16" t="s">
        <v>89</v>
      </c>
      <c r="C103" s="17">
        <v>5</v>
      </c>
      <c r="D103" s="17">
        <v>0</v>
      </c>
      <c r="E103" s="17">
        <v>528</v>
      </c>
      <c r="F103" s="18">
        <f t="shared" si="1"/>
        <v>44</v>
      </c>
    </row>
    <row r="104" spans="1:6" ht="16.5" customHeight="1">
      <c r="A104" s="16" t="s">
        <v>90</v>
      </c>
      <c r="B104" s="16" t="s">
        <v>91</v>
      </c>
      <c r="C104" s="17">
        <v>2</v>
      </c>
      <c r="D104" s="17">
        <v>0</v>
      </c>
      <c r="E104" s="17">
        <v>132</v>
      </c>
      <c r="F104" s="18">
        <f t="shared" si="1"/>
        <v>11</v>
      </c>
    </row>
    <row r="105" spans="1:6" ht="16.5" customHeight="1">
      <c r="A105" s="16" t="s">
        <v>106</v>
      </c>
      <c r="B105" s="16" t="s">
        <v>107</v>
      </c>
      <c r="C105" s="17">
        <v>12</v>
      </c>
      <c r="D105" s="17">
        <v>4</v>
      </c>
      <c r="E105" s="17">
        <v>1594</v>
      </c>
      <c r="F105" s="18">
        <f t="shared" si="1"/>
        <v>133</v>
      </c>
    </row>
    <row r="106" spans="1:6" ht="16.5" customHeight="1">
      <c r="A106" s="16" t="s">
        <v>116</v>
      </c>
      <c r="B106" s="16" t="s">
        <v>117</v>
      </c>
      <c r="C106" s="17">
        <v>2</v>
      </c>
      <c r="D106" s="17">
        <v>1</v>
      </c>
      <c r="E106" s="17">
        <v>195</v>
      </c>
      <c r="F106" s="18">
        <f t="shared" si="1"/>
        <v>16</v>
      </c>
    </row>
    <row r="107" spans="1:6" ht="16.5" customHeight="1">
      <c r="A107" s="16" t="s">
        <v>138</v>
      </c>
      <c r="B107" s="16" t="s">
        <v>139</v>
      </c>
      <c r="C107" s="17">
        <v>18</v>
      </c>
      <c r="D107" s="17">
        <v>3</v>
      </c>
      <c r="E107" s="17">
        <v>1411</v>
      </c>
      <c r="F107" s="18">
        <f t="shared" si="1"/>
        <v>118</v>
      </c>
    </row>
    <row r="108" spans="1:6" ht="16.5" customHeight="1">
      <c r="A108" s="16" t="s">
        <v>142</v>
      </c>
      <c r="B108" s="16" t="s">
        <v>143</v>
      </c>
      <c r="C108" s="17">
        <v>4</v>
      </c>
      <c r="D108" s="17">
        <v>0</v>
      </c>
      <c r="E108" s="17">
        <v>194</v>
      </c>
      <c r="F108" s="18">
        <f t="shared" si="1"/>
        <v>16</v>
      </c>
    </row>
    <row r="109" spans="1:6" ht="16.5" customHeight="1">
      <c r="A109" s="16" t="s">
        <v>144</v>
      </c>
      <c r="B109" s="16" t="s">
        <v>145</v>
      </c>
      <c r="C109" s="17">
        <v>0</v>
      </c>
      <c r="D109" s="17">
        <v>0</v>
      </c>
      <c r="E109" s="17">
        <v>48</v>
      </c>
      <c r="F109" s="18">
        <f t="shared" si="1"/>
        <v>4</v>
      </c>
    </row>
    <row r="110" spans="1:6" ht="16.5" customHeight="1">
      <c r="A110" s="16" t="s">
        <v>158</v>
      </c>
      <c r="B110" s="16" t="s">
        <v>159</v>
      </c>
      <c r="C110" s="17">
        <v>16</v>
      </c>
      <c r="D110" s="17">
        <v>6</v>
      </c>
      <c r="E110" s="17">
        <v>3092</v>
      </c>
      <c r="F110" s="18">
        <f t="shared" si="1"/>
        <v>258</v>
      </c>
    </row>
    <row r="111" spans="1:6" ht="16.5" customHeight="1">
      <c r="A111" s="16" t="s">
        <v>160</v>
      </c>
      <c r="B111" s="16" t="s">
        <v>161</v>
      </c>
      <c r="C111" s="17">
        <v>11</v>
      </c>
      <c r="D111" s="17">
        <v>5</v>
      </c>
      <c r="E111" s="17">
        <v>2057</v>
      </c>
      <c r="F111" s="18">
        <f t="shared" si="1"/>
        <v>171</v>
      </c>
    </row>
    <row r="112" spans="1:6" ht="16.5" customHeight="1">
      <c r="A112" s="16" t="s">
        <v>166</v>
      </c>
      <c r="B112" s="16" t="s">
        <v>167</v>
      </c>
      <c r="C112" s="17">
        <v>0</v>
      </c>
      <c r="D112" s="17">
        <v>0</v>
      </c>
      <c r="E112" s="17">
        <v>144</v>
      </c>
      <c r="F112" s="18">
        <f t="shared" si="1"/>
        <v>12</v>
      </c>
    </row>
    <row r="113" spans="1:6" ht="16.5" customHeight="1">
      <c r="A113" s="16" t="s">
        <v>176</v>
      </c>
      <c r="B113" s="16" t="s">
        <v>177</v>
      </c>
      <c r="C113" s="17">
        <v>10</v>
      </c>
      <c r="D113" s="17">
        <v>4</v>
      </c>
      <c r="E113" s="17">
        <v>890</v>
      </c>
      <c r="F113" s="18">
        <f t="shared" si="1"/>
        <v>74</v>
      </c>
    </row>
    <row r="114" spans="1:6" ht="16.5" customHeight="1">
      <c r="A114" s="16" t="s">
        <v>180</v>
      </c>
      <c r="B114" s="16" t="s">
        <v>181</v>
      </c>
      <c r="C114" s="17">
        <v>9</v>
      </c>
      <c r="D114" s="17">
        <v>11</v>
      </c>
      <c r="E114" s="17">
        <v>1142</v>
      </c>
      <c r="F114" s="18">
        <f t="shared" si="1"/>
        <v>95</v>
      </c>
    </row>
    <row r="115" spans="1:6" ht="16.5" customHeight="1">
      <c r="A115" s="16" t="s">
        <v>192</v>
      </c>
      <c r="B115" s="16" t="s">
        <v>193</v>
      </c>
      <c r="C115" s="17">
        <v>4</v>
      </c>
      <c r="D115" s="17">
        <v>0</v>
      </c>
      <c r="E115" s="17">
        <v>228</v>
      </c>
      <c r="F115" s="18">
        <f t="shared" si="1"/>
        <v>19</v>
      </c>
    </row>
    <row r="116" spans="1:6" ht="16.5" customHeight="1">
      <c r="A116" s="16" t="s">
        <v>196</v>
      </c>
      <c r="B116" s="16" t="s">
        <v>312</v>
      </c>
      <c r="C116" s="17">
        <v>34</v>
      </c>
      <c r="D116" s="17">
        <v>6</v>
      </c>
      <c r="E116" s="17">
        <v>5651</v>
      </c>
      <c r="F116" s="18">
        <f t="shared" si="1"/>
        <v>471</v>
      </c>
    </row>
    <row r="117" spans="1:6" ht="16.5" customHeight="1">
      <c r="A117" s="16" t="s">
        <v>200</v>
      </c>
      <c r="B117" s="16" t="s">
        <v>313</v>
      </c>
      <c r="C117" s="17">
        <v>43</v>
      </c>
      <c r="D117" s="17">
        <v>4</v>
      </c>
      <c r="E117" s="17">
        <v>3253</v>
      </c>
      <c r="F117" s="18">
        <f t="shared" si="1"/>
        <v>271</v>
      </c>
    </row>
    <row r="118" spans="1:6" ht="16.5" customHeight="1">
      <c r="A118" s="16" t="s">
        <v>222</v>
      </c>
      <c r="B118" s="16" t="s">
        <v>223</v>
      </c>
      <c r="C118" s="17">
        <v>4</v>
      </c>
      <c r="D118" s="17">
        <v>3</v>
      </c>
      <c r="E118" s="17">
        <v>368</v>
      </c>
      <c r="F118" s="18">
        <f t="shared" si="1"/>
        <v>31</v>
      </c>
    </row>
    <row r="119" spans="1:6" ht="16.5" customHeight="1">
      <c r="A119" s="16" t="s">
        <v>230</v>
      </c>
      <c r="B119" s="16" t="s">
        <v>231</v>
      </c>
      <c r="C119" s="17">
        <v>15</v>
      </c>
      <c r="D119" s="17">
        <v>2</v>
      </c>
      <c r="E119" s="17">
        <v>2399</v>
      </c>
      <c r="F119" s="18">
        <f t="shared" si="1"/>
        <v>200</v>
      </c>
    </row>
    <row r="120" spans="1:6" ht="16.5" customHeight="1">
      <c r="A120" s="16" t="s">
        <v>238</v>
      </c>
      <c r="B120" s="16" t="s">
        <v>239</v>
      </c>
      <c r="C120" s="17">
        <v>1</v>
      </c>
      <c r="D120" s="17">
        <v>0</v>
      </c>
      <c r="E120" s="17">
        <v>80</v>
      </c>
      <c r="F120" s="18">
        <f t="shared" si="1"/>
        <v>7</v>
      </c>
    </row>
    <row r="121" spans="1:6" ht="16.5" customHeight="1">
      <c r="A121" s="16" t="s">
        <v>240</v>
      </c>
      <c r="B121" s="16" t="s">
        <v>241</v>
      </c>
      <c r="C121" s="17">
        <v>5</v>
      </c>
      <c r="D121" s="17">
        <v>3</v>
      </c>
      <c r="E121" s="17">
        <v>492</v>
      </c>
      <c r="F121" s="18">
        <f t="shared" si="1"/>
        <v>41</v>
      </c>
    </row>
    <row r="122" spans="1:6">
      <c r="C122" s="18">
        <f>SUM(C2:C121)</f>
        <v>606</v>
      </c>
      <c r="D122" s="18">
        <f>SUM(D2:D121)</f>
        <v>180</v>
      </c>
      <c r="E122" s="18">
        <f>SUM(E2:E121)</f>
        <v>62001</v>
      </c>
      <c r="F122" s="18">
        <f>SUM(F2:F121)</f>
        <v>5166</v>
      </c>
    </row>
    <row r="123" spans="1:6">
      <c r="C123" s="18">
        <f>+C122/12</f>
        <v>50.5</v>
      </c>
      <c r="D123" s="18">
        <f>+D122/12</f>
        <v>15</v>
      </c>
      <c r="E123" s="18">
        <f>+E122/12</f>
        <v>5166.75</v>
      </c>
    </row>
    <row r="124" spans="1:6" ht="12.75" customHeight="1">
      <c r="A124" s="1935" t="s">
        <v>575</v>
      </c>
      <c r="B124" s="1935"/>
      <c r="C124" s="1936"/>
    </row>
    <row r="125" spans="1:6">
      <c r="A125" s="18" t="s">
        <v>576</v>
      </c>
    </row>
  </sheetData>
  <mergeCells count="1">
    <mergeCell ref="A124:C124"/>
  </mergeCells>
  <pageMargins left="0.75" right="0.75" top="1" bottom="1" header="0.5" footer="0.5"/>
  <pageSetup orientation="portrait" r:id="rId1"/>
</worksheet>
</file>

<file path=xl/worksheets/sheet44.xml><?xml version="1.0" encoding="utf-8"?>
<worksheet xmlns="http://schemas.openxmlformats.org/spreadsheetml/2006/main" xmlns:r="http://schemas.openxmlformats.org/officeDocument/2006/relationships">
  <dimension ref="B1:X125"/>
  <sheetViews>
    <sheetView topLeftCell="B1" zoomScaleNormal="132" zoomScaleSheetLayoutView="132" workbookViewId="0">
      <pane xSplit="2" ySplit="4" topLeftCell="D5" activePane="bottomRight" state="frozen"/>
      <selection activeCell="B1" sqref="B1"/>
      <selection pane="topRight" activeCell="D1" sqref="D1"/>
      <selection pane="bottomLeft" activeCell="B5" sqref="B5"/>
      <selection pane="bottomRight" activeCell="D5" sqref="D5"/>
    </sheetView>
  </sheetViews>
  <sheetFormatPr defaultRowHeight="15.75"/>
  <cols>
    <col min="1" max="2" width="9" style="5"/>
    <col min="3" max="3" width="20.75" style="5" customWidth="1"/>
    <col min="4" max="4" width="13.125" style="5" customWidth="1"/>
    <col min="5" max="5" width="10.75" style="5" bestFit="1" customWidth="1"/>
    <col min="6" max="6" width="7.875" style="5" bestFit="1" customWidth="1"/>
    <col min="7" max="7" width="6.875" style="5" bestFit="1" customWidth="1"/>
    <col min="8" max="8" width="11.25" style="5" customWidth="1"/>
    <col min="9" max="9" width="7.125" style="5" bestFit="1" customWidth="1"/>
    <col min="10" max="10" width="12.625" style="5" bestFit="1" customWidth="1"/>
    <col min="11" max="11" width="6.75" style="5" customWidth="1"/>
    <col min="12" max="12" width="6.875" style="5" bestFit="1" customWidth="1"/>
    <col min="13" max="13" width="19.25" style="5" bestFit="1" customWidth="1"/>
    <col min="14" max="14" width="6.875" style="5" bestFit="1" customWidth="1"/>
    <col min="15" max="15" width="9" style="5" customWidth="1"/>
    <col min="16" max="16" width="8.625" style="5" customWidth="1"/>
    <col min="17" max="17" width="11.875" style="5" bestFit="1" customWidth="1"/>
    <col min="18" max="18" width="18.125" style="5" customWidth="1"/>
    <col min="19" max="19" width="15.625" style="5" bestFit="1" customWidth="1"/>
    <col min="20" max="20" width="18.375" style="5" customWidth="1"/>
    <col min="21" max="21" width="17.625" style="5" customWidth="1"/>
    <col min="22" max="22" width="17.5" style="5" customWidth="1"/>
    <col min="23" max="23" width="16.625" style="5" customWidth="1"/>
    <col min="24" max="24" width="10.875" style="5" bestFit="1" customWidth="1"/>
    <col min="25" max="16384" width="9" style="5"/>
  </cols>
  <sheetData>
    <row r="1" spans="2:24">
      <c r="B1" s="5">
        <v>1</v>
      </c>
      <c r="C1" s="5">
        <f>+B1+1</f>
        <v>2</v>
      </c>
      <c r="D1" s="5">
        <f t="shared" ref="D1:O1" si="0">+C1+1</f>
        <v>3</v>
      </c>
      <c r="E1" s="5">
        <f t="shared" si="0"/>
        <v>4</v>
      </c>
      <c r="F1" s="5">
        <f t="shared" si="0"/>
        <v>5</v>
      </c>
      <c r="G1" s="5">
        <f t="shared" si="0"/>
        <v>6</v>
      </c>
      <c r="H1" s="5">
        <f t="shared" si="0"/>
        <v>7</v>
      </c>
      <c r="I1" s="5">
        <f t="shared" si="0"/>
        <v>8</v>
      </c>
      <c r="J1" s="5">
        <f t="shared" si="0"/>
        <v>9</v>
      </c>
      <c r="K1" s="5">
        <f t="shared" si="0"/>
        <v>10</v>
      </c>
      <c r="L1" s="5">
        <f t="shared" si="0"/>
        <v>11</v>
      </c>
      <c r="M1" s="5">
        <f t="shared" si="0"/>
        <v>12</v>
      </c>
      <c r="N1" s="5">
        <f t="shared" si="0"/>
        <v>13</v>
      </c>
      <c r="O1" s="5">
        <f t="shared" si="0"/>
        <v>14</v>
      </c>
    </row>
    <row r="2" spans="2:24">
      <c r="B2" s="5" t="s">
        <v>549</v>
      </c>
    </row>
    <row r="3" spans="2:24">
      <c r="B3" s="5" t="s">
        <v>550</v>
      </c>
    </row>
    <row r="4" spans="2:24" s="6" customFormat="1" ht="58.5" customHeight="1">
      <c r="B4" s="6" t="s">
        <v>4</v>
      </c>
      <c r="C4" s="7" t="s">
        <v>551</v>
      </c>
      <c r="D4" s="7" t="s">
        <v>552</v>
      </c>
      <c r="E4" s="7" t="s">
        <v>454</v>
      </c>
      <c r="F4" s="7" t="s">
        <v>553</v>
      </c>
      <c r="G4" s="7" t="s">
        <v>554</v>
      </c>
      <c r="H4" s="7" t="s">
        <v>555</v>
      </c>
      <c r="I4" s="7" t="s">
        <v>556</v>
      </c>
      <c r="J4" s="7" t="s">
        <v>557</v>
      </c>
      <c r="K4" s="7" t="s">
        <v>547</v>
      </c>
      <c r="L4" s="7" t="s">
        <v>450</v>
      </c>
      <c r="M4" s="7" t="s">
        <v>558</v>
      </c>
      <c r="N4" s="7" t="s">
        <v>2</v>
      </c>
      <c r="O4" s="7" t="s">
        <v>567</v>
      </c>
      <c r="P4" s="7" t="s">
        <v>452</v>
      </c>
      <c r="Q4" s="7" t="s">
        <v>559</v>
      </c>
      <c r="R4" s="7" t="s">
        <v>560</v>
      </c>
      <c r="S4" s="7" t="s">
        <v>561</v>
      </c>
      <c r="T4" s="7" t="s">
        <v>562</v>
      </c>
      <c r="U4" s="7" t="s">
        <v>563</v>
      </c>
      <c r="V4" s="7" t="s">
        <v>564</v>
      </c>
      <c r="W4" s="7" t="s">
        <v>565</v>
      </c>
      <c r="X4" s="7" t="s">
        <v>566</v>
      </c>
    </row>
    <row r="5" spans="2:24">
      <c r="B5" s="5" t="s">
        <v>10</v>
      </c>
      <c r="C5" s="8" t="s">
        <v>11</v>
      </c>
      <c r="D5" s="8" t="s">
        <v>264</v>
      </c>
      <c r="E5" s="9">
        <v>337</v>
      </c>
      <c r="F5" s="9">
        <v>163</v>
      </c>
      <c r="G5" s="9">
        <v>172</v>
      </c>
      <c r="H5" s="9">
        <v>2</v>
      </c>
      <c r="I5" s="9">
        <v>48</v>
      </c>
      <c r="J5" s="9">
        <v>2</v>
      </c>
      <c r="K5" s="9">
        <v>0</v>
      </c>
      <c r="L5" s="9">
        <v>117</v>
      </c>
      <c r="M5" s="9">
        <v>0</v>
      </c>
      <c r="N5" s="9">
        <v>207</v>
      </c>
      <c r="O5" s="9">
        <f>+M5+K5+J5</f>
        <v>2</v>
      </c>
      <c r="P5" s="9"/>
      <c r="Q5" s="9">
        <v>13</v>
      </c>
      <c r="R5" s="9">
        <v>18</v>
      </c>
      <c r="S5" s="9">
        <v>37</v>
      </c>
      <c r="T5" s="9">
        <v>88</v>
      </c>
      <c r="U5" s="9">
        <v>73</v>
      </c>
      <c r="V5" s="9">
        <v>55</v>
      </c>
      <c r="W5" s="9">
        <v>29</v>
      </c>
      <c r="X5" s="9">
        <v>37</v>
      </c>
    </row>
    <row r="6" spans="2:24">
      <c r="B6" s="5" t="s">
        <v>12</v>
      </c>
      <c r="C6" s="8" t="s">
        <v>13</v>
      </c>
      <c r="D6" s="8" t="s">
        <v>265</v>
      </c>
      <c r="E6" s="9">
        <v>740</v>
      </c>
      <c r="F6" s="9">
        <v>336</v>
      </c>
      <c r="G6" s="9">
        <v>360</v>
      </c>
      <c r="H6" s="9">
        <v>44</v>
      </c>
      <c r="I6" s="9">
        <v>72</v>
      </c>
      <c r="J6" s="9">
        <v>0</v>
      </c>
      <c r="K6" s="9">
        <v>3</v>
      </c>
      <c r="L6" s="9">
        <v>173</v>
      </c>
      <c r="M6" s="9">
        <v>3</v>
      </c>
      <c r="N6" s="9">
        <v>458</v>
      </c>
      <c r="O6" s="9">
        <f t="shared" ref="O6:O69" si="1">+M6+K6+J6</f>
        <v>6</v>
      </c>
      <c r="P6" s="9"/>
      <c r="Q6" s="9">
        <v>135</v>
      </c>
      <c r="R6" s="9">
        <v>26</v>
      </c>
      <c r="S6" s="9">
        <v>100</v>
      </c>
      <c r="T6" s="9">
        <v>128</v>
      </c>
      <c r="U6" s="9">
        <v>104</v>
      </c>
      <c r="V6" s="9">
        <v>113</v>
      </c>
      <c r="W6" s="9">
        <v>57</v>
      </c>
      <c r="X6" s="9">
        <v>212</v>
      </c>
    </row>
    <row r="7" spans="2:24">
      <c r="B7" s="5" t="s">
        <v>14</v>
      </c>
      <c r="C7" s="8" t="s">
        <v>15</v>
      </c>
      <c r="D7" s="8" t="s">
        <v>267</v>
      </c>
      <c r="E7" s="9">
        <v>1541</v>
      </c>
      <c r="F7" s="9">
        <v>803</v>
      </c>
      <c r="G7" s="9">
        <v>721</v>
      </c>
      <c r="H7" s="9">
        <v>17</v>
      </c>
      <c r="I7" s="9">
        <v>480</v>
      </c>
      <c r="J7" s="9">
        <v>4</v>
      </c>
      <c r="K7" s="9">
        <v>30</v>
      </c>
      <c r="L7" s="9">
        <v>836</v>
      </c>
      <c r="M7" s="9">
        <v>3</v>
      </c>
      <c r="N7" s="9">
        <v>642</v>
      </c>
      <c r="O7" s="9">
        <f t="shared" si="1"/>
        <v>37</v>
      </c>
      <c r="P7" s="9"/>
      <c r="Q7" s="9">
        <v>85</v>
      </c>
      <c r="R7" s="9">
        <v>139</v>
      </c>
      <c r="S7" s="9">
        <v>273</v>
      </c>
      <c r="T7" s="9">
        <v>382</v>
      </c>
      <c r="U7" s="9">
        <v>277</v>
      </c>
      <c r="V7" s="9">
        <v>203</v>
      </c>
      <c r="W7" s="9">
        <v>89</v>
      </c>
      <c r="X7" s="9">
        <v>178</v>
      </c>
    </row>
    <row r="8" spans="2:24">
      <c r="B8" s="5" t="s">
        <v>16</v>
      </c>
      <c r="C8" s="1" t="s">
        <v>297</v>
      </c>
      <c r="D8" s="8" t="s">
        <v>265</v>
      </c>
      <c r="E8" s="10">
        <v>523</v>
      </c>
      <c r="F8" s="10">
        <v>251</v>
      </c>
      <c r="G8" s="10">
        <v>269</v>
      </c>
      <c r="H8" s="10">
        <v>3</v>
      </c>
      <c r="I8" s="10">
        <v>5</v>
      </c>
      <c r="J8" s="10">
        <v>0</v>
      </c>
      <c r="K8" s="10">
        <v>0</v>
      </c>
      <c r="L8" s="10">
        <v>65</v>
      </c>
      <c r="M8" s="10">
        <v>1</v>
      </c>
      <c r="N8" s="10">
        <v>468</v>
      </c>
      <c r="O8" s="9">
        <f t="shared" si="1"/>
        <v>1</v>
      </c>
      <c r="P8" s="10">
        <v>0</v>
      </c>
      <c r="Q8" s="10">
        <v>21</v>
      </c>
      <c r="R8" s="10">
        <v>24</v>
      </c>
      <c r="S8" s="10">
        <v>57</v>
      </c>
      <c r="T8" s="10">
        <v>84</v>
      </c>
      <c r="U8" s="10">
        <v>65</v>
      </c>
      <c r="V8" s="10">
        <v>71</v>
      </c>
      <c r="W8" s="10">
        <v>35</v>
      </c>
      <c r="X8" s="10">
        <v>187</v>
      </c>
    </row>
    <row r="9" spans="2:24">
      <c r="B9" s="5" t="s">
        <v>18</v>
      </c>
      <c r="C9" s="8" t="s">
        <v>19</v>
      </c>
      <c r="D9" s="8" t="s">
        <v>266</v>
      </c>
      <c r="E9" s="9">
        <v>158</v>
      </c>
      <c r="F9" s="9">
        <v>79</v>
      </c>
      <c r="G9" s="9">
        <v>78</v>
      </c>
      <c r="H9" s="9">
        <v>1</v>
      </c>
      <c r="I9" s="9">
        <v>2</v>
      </c>
      <c r="J9" s="9">
        <v>0</v>
      </c>
      <c r="K9" s="9">
        <v>0</v>
      </c>
      <c r="L9" s="9">
        <v>40</v>
      </c>
      <c r="M9" s="9">
        <v>0</v>
      </c>
      <c r="N9" s="9">
        <v>114</v>
      </c>
      <c r="O9" s="9">
        <f t="shared" si="1"/>
        <v>0</v>
      </c>
      <c r="P9" s="9"/>
      <c r="Q9" s="9">
        <v>5</v>
      </c>
      <c r="R9" s="9">
        <v>10</v>
      </c>
      <c r="S9" s="9">
        <v>25</v>
      </c>
      <c r="T9" s="9">
        <v>28</v>
      </c>
      <c r="U9" s="9">
        <v>32</v>
      </c>
      <c r="V9" s="9">
        <v>24</v>
      </c>
      <c r="W9" s="9">
        <v>10</v>
      </c>
      <c r="X9" s="9">
        <v>29</v>
      </c>
    </row>
    <row r="10" spans="2:24">
      <c r="B10" s="5" t="s">
        <v>20</v>
      </c>
      <c r="C10" s="8" t="s">
        <v>21</v>
      </c>
      <c r="D10" s="8" t="s">
        <v>265</v>
      </c>
      <c r="E10" s="9">
        <v>205</v>
      </c>
      <c r="F10" s="9">
        <v>95</v>
      </c>
      <c r="G10" s="9">
        <v>109</v>
      </c>
      <c r="H10" s="9">
        <v>1</v>
      </c>
      <c r="I10" s="9">
        <v>4</v>
      </c>
      <c r="J10" s="9">
        <v>3</v>
      </c>
      <c r="K10" s="9">
        <v>1</v>
      </c>
      <c r="L10" s="9">
        <v>54</v>
      </c>
      <c r="M10" s="9">
        <v>0</v>
      </c>
      <c r="N10" s="9">
        <v>161</v>
      </c>
      <c r="O10" s="9">
        <f t="shared" si="1"/>
        <v>4</v>
      </c>
      <c r="P10" s="9"/>
      <c r="Q10" s="9">
        <v>3</v>
      </c>
      <c r="R10" s="9">
        <v>13</v>
      </c>
      <c r="S10" s="9">
        <v>51</v>
      </c>
      <c r="T10" s="9">
        <v>44</v>
      </c>
      <c r="U10" s="9">
        <v>29</v>
      </c>
      <c r="V10" s="9">
        <v>32</v>
      </c>
      <c r="W10" s="9">
        <v>7</v>
      </c>
      <c r="X10" s="9">
        <v>29</v>
      </c>
    </row>
    <row r="11" spans="2:24">
      <c r="B11" s="5" t="s">
        <v>22</v>
      </c>
      <c r="C11" s="8" t="s">
        <v>23</v>
      </c>
      <c r="D11" s="8" t="s">
        <v>265</v>
      </c>
      <c r="E11" s="9">
        <v>254</v>
      </c>
      <c r="F11" s="9">
        <v>119</v>
      </c>
      <c r="G11" s="9">
        <v>128</v>
      </c>
      <c r="H11" s="9">
        <v>7</v>
      </c>
      <c r="I11" s="9">
        <v>2</v>
      </c>
      <c r="J11" s="9">
        <v>0</v>
      </c>
      <c r="K11" s="9">
        <v>0</v>
      </c>
      <c r="L11" s="9">
        <v>91</v>
      </c>
      <c r="M11" s="9">
        <v>0</v>
      </c>
      <c r="N11" s="9">
        <v>171</v>
      </c>
      <c r="O11" s="9">
        <f t="shared" si="1"/>
        <v>0</v>
      </c>
      <c r="P11" s="9"/>
      <c r="Q11" s="9">
        <v>21</v>
      </c>
      <c r="R11" s="9">
        <v>18</v>
      </c>
      <c r="S11" s="9">
        <v>43</v>
      </c>
      <c r="T11" s="9">
        <v>31</v>
      </c>
      <c r="U11" s="9">
        <v>49</v>
      </c>
      <c r="V11" s="9">
        <v>43</v>
      </c>
      <c r="W11" s="9">
        <v>26</v>
      </c>
      <c r="X11" s="9">
        <v>44</v>
      </c>
    </row>
    <row r="12" spans="2:24">
      <c r="B12" s="5" t="s">
        <v>24</v>
      </c>
      <c r="C12" s="8" t="s">
        <v>25</v>
      </c>
      <c r="D12" s="8" t="s">
        <v>267</v>
      </c>
      <c r="E12" s="9">
        <v>1234</v>
      </c>
      <c r="F12" s="9">
        <v>588</v>
      </c>
      <c r="G12" s="9">
        <v>628</v>
      </c>
      <c r="H12" s="9">
        <v>18</v>
      </c>
      <c r="I12" s="9">
        <v>577</v>
      </c>
      <c r="J12" s="9">
        <v>1</v>
      </c>
      <c r="K12" s="9">
        <v>78</v>
      </c>
      <c r="L12" s="9">
        <v>332</v>
      </c>
      <c r="M12" s="9">
        <v>0</v>
      </c>
      <c r="N12" s="9">
        <v>781</v>
      </c>
      <c r="O12" s="9">
        <f t="shared" si="1"/>
        <v>79</v>
      </c>
      <c r="P12" s="9"/>
      <c r="Q12" s="9">
        <v>72</v>
      </c>
      <c r="R12" s="9">
        <v>79</v>
      </c>
      <c r="S12" s="9">
        <v>183</v>
      </c>
      <c r="T12" s="9">
        <v>277</v>
      </c>
      <c r="U12" s="9">
        <v>234</v>
      </c>
      <c r="V12" s="9">
        <v>198</v>
      </c>
      <c r="W12" s="9">
        <v>76</v>
      </c>
      <c r="X12" s="9">
        <v>187</v>
      </c>
    </row>
    <row r="13" spans="2:24" ht="31.5">
      <c r="B13" s="5" t="s">
        <v>26</v>
      </c>
      <c r="C13" s="1" t="s">
        <v>298</v>
      </c>
      <c r="D13" s="8" t="s">
        <v>265</v>
      </c>
      <c r="E13" s="10">
        <v>3155</v>
      </c>
      <c r="F13" s="10">
        <v>1547</v>
      </c>
      <c r="G13" s="10">
        <v>1513</v>
      </c>
      <c r="H13" s="10">
        <v>95</v>
      </c>
      <c r="I13" s="10">
        <v>133</v>
      </c>
      <c r="J13" s="10">
        <v>8</v>
      </c>
      <c r="K13" s="10">
        <v>9</v>
      </c>
      <c r="L13" s="10">
        <v>419</v>
      </c>
      <c r="M13" s="10">
        <v>6</v>
      </c>
      <c r="N13" s="10">
        <v>2691</v>
      </c>
      <c r="O13" s="9">
        <f t="shared" si="1"/>
        <v>23</v>
      </c>
      <c r="P13" s="10">
        <v>0</v>
      </c>
      <c r="Q13" s="10">
        <v>190</v>
      </c>
      <c r="R13" s="10">
        <v>135</v>
      </c>
      <c r="S13" s="10">
        <v>336</v>
      </c>
      <c r="T13" s="10">
        <v>532</v>
      </c>
      <c r="U13" s="10">
        <v>485</v>
      </c>
      <c r="V13" s="10">
        <v>368</v>
      </c>
      <c r="W13" s="10">
        <v>144</v>
      </c>
      <c r="X13" s="10">
        <v>1155</v>
      </c>
    </row>
    <row r="14" spans="2:24">
      <c r="B14" s="5" t="s">
        <v>27</v>
      </c>
      <c r="C14" s="8" t="s">
        <v>28</v>
      </c>
      <c r="D14" s="8" t="s">
        <v>265</v>
      </c>
      <c r="E14" s="9">
        <v>23</v>
      </c>
      <c r="F14" s="9">
        <v>12</v>
      </c>
      <c r="G14" s="9">
        <v>11</v>
      </c>
      <c r="H14" s="9">
        <v>0</v>
      </c>
      <c r="I14" s="9">
        <v>0</v>
      </c>
      <c r="J14" s="9">
        <v>0</v>
      </c>
      <c r="K14" s="9">
        <v>0</v>
      </c>
      <c r="L14" s="9">
        <v>2</v>
      </c>
      <c r="M14" s="9">
        <v>0</v>
      </c>
      <c r="N14" s="9">
        <v>23</v>
      </c>
      <c r="O14" s="9">
        <f t="shared" si="1"/>
        <v>0</v>
      </c>
      <c r="P14" s="9"/>
      <c r="Q14" s="9">
        <v>0</v>
      </c>
      <c r="R14" s="9">
        <v>1</v>
      </c>
      <c r="S14" s="9">
        <v>5</v>
      </c>
      <c r="T14" s="9">
        <v>6</v>
      </c>
      <c r="U14" s="9">
        <v>4</v>
      </c>
      <c r="V14" s="9">
        <v>3</v>
      </c>
      <c r="W14" s="9">
        <v>1</v>
      </c>
      <c r="X14" s="9">
        <v>3</v>
      </c>
    </row>
    <row r="15" spans="2:24">
      <c r="B15" s="5" t="s">
        <v>29</v>
      </c>
      <c r="C15" s="1" t="s">
        <v>299</v>
      </c>
      <c r="D15" s="8" t="s">
        <v>265</v>
      </c>
      <c r="E15" s="10">
        <v>1072</v>
      </c>
      <c r="F15" s="10">
        <v>517</v>
      </c>
      <c r="G15" s="10">
        <v>552</v>
      </c>
      <c r="H15" s="10">
        <v>3</v>
      </c>
      <c r="I15" s="10">
        <v>13</v>
      </c>
      <c r="J15" s="10">
        <v>0</v>
      </c>
      <c r="K15" s="10">
        <v>6</v>
      </c>
      <c r="L15" s="10">
        <v>105</v>
      </c>
      <c r="M15" s="10">
        <v>1</v>
      </c>
      <c r="N15" s="10">
        <v>987</v>
      </c>
      <c r="O15" s="9">
        <f t="shared" si="1"/>
        <v>7</v>
      </c>
      <c r="P15" s="10">
        <v>0</v>
      </c>
      <c r="Q15" s="10">
        <v>17</v>
      </c>
      <c r="R15" s="10">
        <v>86</v>
      </c>
      <c r="S15" s="10">
        <v>196</v>
      </c>
      <c r="T15" s="10">
        <v>231</v>
      </c>
      <c r="U15" s="10">
        <v>174</v>
      </c>
      <c r="V15" s="10">
        <v>202</v>
      </c>
      <c r="W15" s="10">
        <v>97</v>
      </c>
      <c r="X15" s="10">
        <v>86</v>
      </c>
    </row>
    <row r="16" spans="2:24">
      <c r="B16" s="5" t="s">
        <v>30</v>
      </c>
      <c r="C16" s="8" t="s">
        <v>31</v>
      </c>
      <c r="D16" s="8" t="s">
        <v>268</v>
      </c>
      <c r="E16" s="9">
        <v>103</v>
      </c>
      <c r="F16" s="9">
        <v>52</v>
      </c>
      <c r="G16" s="9">
        <v>51</v>
      </c>
      <c r="H16" s="9">
        <v>0</v>
      </c>
      <c r="I16" s="9">
        <v>0</v>
      </c>
      <c r="J16" s="9">
        <v>0</v>
      </c>
      <c r="K16" s="9">
        <v>0</v>
      </c>
      <c r="L16" s="9">
        <v>17</v>
      </c>
      <c r="M16" s="9">
        <v>1</v>
      </c>
      <c r="N16" s="9">
        <v>91</v>
      </c>
      <c r="O16" s="9">
        <f t="shared" si="1"/>
        <v>1</v>
      </c>
      <c r="P16" s="9"/>
      <c r="Q16" s="9">
        <v>2</v>
      </c>
      <c r="R16" s="9">
        <v>6</v>
      </c>
      <c r="S16" s="9">
        <v>13</v>
      </c>
      <c r="T16" s="9">
        <v>31</v>
      </c>
      <c r="U16" s="9">
        <v>19</v>
      </c>
      <c r="V16" s="9">
        <v>27</v>
      </c>
      <c r="W16" s="9">
        <v>2</v>
      </c>
      <c r="X16" s="9">
        <v>5</v>
      </c>
    </row>
    <row r="17" spans="2:24">
      <c r="B17" s="5" t="s">
        <v>32</v>
      </c>
      <c r="C17" s="8" t="s">
        <v>33</v>
      </c>
      <c r="D17" s="8" t="s">
        <v>265</v>
      </c>
      <c r="E17" s="9">
        <v>91</v>
      </c>
      <c r="F17" s="9">
        <v>47</v>
      </c>
      <c r="G17" s="9">
        <v>44</v>
      </c>
      <c r="H17" s="9">
        <v>0</v>
      </c>
      <c r="I17" s="9">
        <v>3</v>
      </c>
      <c r="J17" s="9">
        <v>0</v>
      </c>
      <c r="K17" s="9">
        <v>0</v>
      </c>
      <c r="L17" s="9">
        <v>5</v>
      </c>
      <c r="M17" s="9">
        <v>0</v>
      </c>
      <c r="N17" s="9">
        <v>86</v>
      </c>
      <c r="O17" s="9">
        <f t="shared" si="1"/>
        <v>0</v>
      </c>
      <c r="P17" s="9"/>
      <c r="Q17" s="9">
        <v>2</v>
      </c>
      <c r="R17" s="9">
        <v>8</v>
      </c>
      <c r="S17" s="9">
        <v>15</v>
      </c>
      <c r="T17" s="9">
        <v>15</v>
      </c>
      <c r="U17" s="9">
        <v>22</v>
      </c>
      <c r="V17" s="9">
        <v>14</v>
      </c>
      <c r="W17" s="9">
        <v>4</v>
      </c>
      <c r="X17" s="9">
        <v>13</v>
      </c>
    </row>
    <row r="18" spans="2:24">
      <c r="B18" s="5" t="s">
        <v>34</v>
      </c>
      <c r="C18" s="8" t="s">
        <v>35</v>
      </c>
      <c r="D18" s="8" t="s">
        <v>268</v>
      </c>
      <c r="E18" s="9">
        <v>488</v>
      </c>
      <c r="F18" s="9">
        <v>239</v>
      </c>
      <c r="G18" s="9">
        <v>236</v>
      </c>
      <c r="H18" s="9">
        <v>13</v>
      </c>
      <c r="I18" s="9">
        <v>7</v>
      </c>
      <c r="J18" s="9">
        <v>0</v>
      </c>
      <c r="K18" s="9">
        <v>0</v>
      </c>
      <c r="L18" s="9">
        <v>31</v>
      </c>
      <c r="M18" s="9">
        <v>0</v>
      </c>
      <c r="N18" s="9">
        <v>367</v>
      </c>
      <c r="O18" s="9">
        <f t="shared" si="1"/>
        <v>0</v>
      </c>
      <c r="P18" s="9"/>
      <c r="Q18" s="9">
        <v>104</v>
      </c>
      <c r="R18" s="9">
        <v>46</v>
      </c>
      <c r="S18" s="9">
        <v>104</v>
      </c>
      <c r="T18" s="9">
        <v>109</v>
      </c>
      <c r="U18" s="9">
        <v>77</v>
      </c>
      <c r="V18" s="9">
        <v>53</v>
      </c>
      <c r="W18" s="9">
        <v>15</v>
      </c>
      <c r="X18" s="9">
        <v>84</v>
      </c>
    </row>
    <row r="19" spans="2:24">
      <c r="B19" s="5" t="s">
        <v>36</v>
      </c>
      <c r="C19" s="8" t="s">
        <v>37</v>
      </c>
      <c r="D19" s="8" t="s">
        <v>264</v>
      </c>
      <c r="E19" s="9">
        <v>58</v>
      </c>
      <c r="F19" s="9">
        <v>25</v>
      </c>
      <c r="G19" s="9">
        <v>32</v>
      </c>
      <c r="H19" s="9">
        <v>1</v>
      </c>
      <c r="I19" s="9">
        <v>0</v>
      </c>
      <c r="J19" s="9">
        <v>0</v>
      </c>
      <c r="K19" s="9">
        <v>0</v>
      </c>
      <c r="L19" s="9">
        <v>30</v>
      </c>
      <c r="M19" s="9">
        <v>1</v>
      </c>
      <c r="N19" s="9">
        <v>28</v>
      </c>
      <c r="O19" s="9">
        <f t="shared" si="1"/>
        <v>1</v>
      </c>
      <c r="P19" s="9"/>
      <c r="Q19" s="9">
        <v>2</v>
      </c>
      <c r="R19" s="9">
        <v>6</v>
      </c>
      <c r="S19" s="9">
        <v>6</v>
      </c>
      <c r="T19" s="9">
        <v>14</v>
      </c>
      <c r="U19" s="9">
        <v>8</v>
      </c>
      <c r="V19" s="9">
        <v>10</v>
      </c>
      <c r="W19" s="9">
        <v>4</v>
      </c>
      <c r="X19" s="9">
        <v>10</v>
      </c>
    </row>
    <row r="20" spans="2:24">
      <c r="B20" s="5" t="s">
        <v>38</v>
      </c>
      <c r="C20" s="8" t="s">
        <v>39</v>
      </c>
      <c r="D20" s="8" t="s">
        <v>268</v>
      </c>
      <c r="E20" s="9">
        <v>406</v>
      </c>
      <c r="F20" s="9">
        <v>187</v>
      </c>
      <c r="G20" s="9">
        <v>218</v>
      </c>
      <c r="H20" s="9">
        <v>1</v>
      </c>
      <c r="I20" s="9">
        <v>2</v>
      </c>
      <c r="J20" s="9">
        <v>0</v>
      </c>
      <c r="K20" s="9">
        <v>0</v>
      </c>
      <c r="L20" s="9">
        <v>2</v>
      </c>
      <c r="M20" s="9">
        <v>0</v>
      </c>
      <c r="N20" s="9">
        <v>403</v>
      </c>
      <c r="O20" s="9">
        <f t="shared" si="1"/>
        <v>0</v>
      </c>
      <c r="P20" s="9"/>
      <c r="Q20" s="9">
        <v>1</v>
      </c>
      <c r="R20" s="9">
        <v>43</v>
      </c>
      <c r="S20" s="9">
        <v>73</v>
      </c>
      <c r="T20" s="9">
        <v>111</v>
      </c>
      <c r="U20" s="9">
        <v>93</v>
      </c>
      <c r="V20" s="9">
        <v>44</v>
      </c>
      <c r="W20" s="9">
        <v>23</v>
      </c>
      <c r="X20" s="9">
        <v>19</v>
      </c>
    </row>
    <row r="21" spans="2:24">
      <c r="B21" s="5" t="s">
        <v>40</v>
      </c>
      <c r="C21" s="8" t="s">
        <v>41</v>
      </c>
      <c r="D21" s="8" t="s">
        <v>266</v>
      </c>
      <c r="E21" s="9">
        <v>194</v>
      </c>
      <c r="F21" s="9">
        <v>82</v>
      </c>
      <c r="G21" s="9">
        <v>110</v>
      </c>
      <c r="H21" s="9">
        <v>2</v>
      </c>
      <c r="I21" s="9">
        <v>11</v>
      </c>
      <c r="J21" s="9">
        <v>0</v>
      </c>
      <c r="K21" s="9">
        <v>1</v>
      </c>
      <c r="L21" s="9">
        <v>56</v>
      </c>
      <c r="M21" s="9">
        <v>1</v>
      </c>
      <c r="N21" s="9">
        <v>139</v>
      </c>
      <c r="O21" s="9">
        <f t="shared" si="1"/>
        <v>2</v>
      </c>
      <c r="P21" s="9"/>
      <c r="Q21" s="9">
        <v>5</v>
      </c>
      <c r="R21" s="9">
        <v>8</v>
      </c>
      <c r="S21" s="9">
        <v>29</v>
      </c>
      <c r="T21" s="9">
        <v>40</v>
      </c>
      <c r="U21" s="9">
        <v>39</v>
      </c>
      <c r="V21" s="9">
        <v>40</v>
      </c>
      <c r="W21" s="9">
        <v>17</v>
      </c>
      <c r="X21" s="9">
        <v>21</v>
      </c>
    </row>
    <row r="22" spans="2:24">
      <c r="B22" s="5" t="s">
        <v>42</v>
      </c>
      <c r="C22" s="8" t="s">
        <v>43</v>
      </c>
      <c r="D22" s="8" t="s">
        <v>265</v>
      </c>
      <c r="E22" s="9">
        <v>1302</v>
      </c>
      <c r="F22" s="9">
        <v>625</v>
      </c>
      <c r="G22" s="9">
        <v>645</v>
      </c>
      <c r="H22" s="9">
        <v>32</v>
      </c>
      <c r="I22" s="9">
        <v>31</v>
      </c>
      <c r="J22" s="9">
        <v>1</v>
      </c>
      <c r="K22" s="9">
        <v>1</v>
      </c>
      <c r="L22" s="9">
        <v>279</v>
      </c>
      <c r="M22" s="9">
        <v>2</v>
      </c>
      <c r="N22" s="9">
        <v>1065</v>
      </c>
      <c r="O22" s="9">
        <f t="shared" si="1"/>
        <v>4</v>
      </c>
      <c r="P22" s="9"/>
      <c r="Q22" s="9">
        <v>44</v>
      </c>
      <c r="R22" s="9">
        <v>65</v>
      </c>
      <c r="S22" s="9">
        <v>190</v>
      </c>
      <c r="T22" s="9">
        <v>276</v>
      </c>
      <c r="U22" s="9">
        <v>247</v>
      </c>
      <c r="V22" s="9">
        <v>213</v>
      </c>
      <c r="W22" s="9">
        <v>97</v>
      </c>
      <c r="X22" s="9">
        <v>214</v>
      </c>
    </row>
    <row r="23" spans="2:24">
      <c r="B23" s="5" t="s">
        <v>44</v>
      </c>
      <c r="C23" s="8" t="s">
        <v>45</v>
      </c>
      <c r="D23" s="8" t="s">
        <v>266</v>
      </c>
      <c r="E23" s="9">
        <v>342</v>
      </c>
      <c r="F23" s="9">
        <v>157</v>
      </c>
      <c r="G23" s="9">
        <v>170</v>
      </c>
      <c r="H23" s="9">
        <v>15</v>
      </c>
      <c r="I23" s="9">
        <v>10</v>
      </c>
      <c r="J23" s="9">
        <v>0</v>
      </c>
      <c r="K23" s="9">
        <v>1</v>
      </c>
      <c r="L23" s="9">
        <v>86</v>
      </c>
      <c r="M23" s="9">
        <v>0</v>
      </c>
      <c r="N23" s="9">
        <v>237</v>
      </c>
      <c r="O23" s="9">
        <f t="shared" si="1"/>
        <v>1</v>
      </c>
      <c r="P23" s="9"/>
      <c r="Q23" s="9">
        <v>27</v>
      </c>
      <c r="R23" s="9">
        <v>16</v>
      </c>
      <c r="S23" s="9">
        <v>35</v>
      </c>
      <c r="T23" s="9">
        <v>53</v>
      </c>
      <c r="U23" s="9">
        <v>57</v>
      </c>
      <c r="V23" s="9">
        <v>53</v>
      </c>
      <c r="W23" s="9">
        <v>17</v>
      </c>
      <c r="X23" s="9">
        <v>111</v>
      </c>
    </row>
    <row r="24" spans="2:24">
      <c r="B24" s="5" t="s">
        <v>46</v>
      </c>
      <c r="C24" s="8" t="s">
        <v>47</v>
      </c>
      <c r="D24" s="8" t="s">
        <v>268</v>
      </c>
      <c r="E24" s="9">
        <v>423</v>
      </c>
      <c r="F24" s="9">
        <v>205</v>
      </c>
      <c r="G24" s="9">
        <v>215</v>
      </c>
      <c r="H24" s="9">
        <v>3</v>
      </c>
      <c r="I24" s="9">
        <v>30</v>
      </c>
      <c r="J24" s="9">
        <v>1</v>
      </c>
      <c r="K24" s="9">
        <v>0</v>
      </c>
      <c r="L24" s="9">
        <v>3</v>
      </c>
      <c r="M24" s="9">
        <v>0</v>
      </c>
      <c r="N24" s="9">
        <v>414</v>
      </c>
      <c r="O24" s="9">
        <f t="shared" si="1"/>
        <v>1</v>
      </c>
      <c r="P24" s="9"/>
      <c r="Q24" s="9">
        <v>6</v>
      </c>
      <c r="R24" s="9">
        <v>25</v>
      </c>
      <c r="S24" s="9">
        <v>80</v>
      </c>
      <c r="T24" s="9">
        <v>83</v>
      </c>
      <c r="U24" s="9">
        <v>88</v>
      </c>
      <c r="V24" s="9">
        <v>72</v>
      </c>
      <c r="W24" s="9">
        <v>46</v>
      </c>
      <c r="X24" s="9">
        <v>29</v>
      </c>
    </row>
    <row r="25" spans="2:24">
      <c r="B25" s="5" t="s">
        <v>48</v>
      </c>
      <c r="C25" s="8" t="s">
        <v>269</v>
      </c>
      <c r="D25" s="8" t="s">
        <v>266</v>
      </c>
      <c r="E25" s="9">
        <v>43</v>
      </c>
      <c r="F25" s="9">
        <v>21</v>
      </c>
      <c r="G25" s="9">
        <v>19</v>
      </c>
      <c r="H25" s="9">
        <v>3</v>
      </c>
      <c r="I25" s="9">
        <v>0</v>
      </c>
      <c r="J25" s="9">
        <v>6</v>
      </c>
      <c r="K25" s="9">
        <v>0</v>
      </c>
      <c r="L25" s="9">
        <v>9</v>
      </c>
      <c r="M25" s="9">
        <v>0</v>
      </c>
      <c r="N25" s="9">
        <v>24</v>
      </c>
      <c r="O25" s="9">
        <f t="shared" si="1"/>
        <v>6</v>
      </c>
      <c r="P25" s="9"/>
      <c r="Q25" s="9">
        <v>6</v>
      </c>
      <c r="R25" s="9">
        <v>1</v>
      </c>
      <c r="S25" s="9">
        <v>2</v>
      </c>
      <c r="T25" s="9">
        <v>9</v>
      </c>
      <c r="U25" s="9">
        <v>8</v>
      </c>
      <c r="V25" s="9">
        <v>7</v>
      </c>
      <c r="W25" s="9">
        <v>6</v>
      </c>
      <c r="X25" s="9">
        <v>10</v>
      </c>
    </row>
    <row r="26" spans="2:24">
      <c r="B26" s="5" t="s">
        <v>50</v>
      </c>
      <c r="C26" s="8" t="s">
        <v>51</v>
      </c>
      <c r="D26" s="8" t="s">
        <v>265</v>
      </c>
      <c r="E26" s="9">
        <v>139</v>
      </c>
      <c r="F26" s="9">
        <v>63</v>
      </c>
      <c r="G26" s="9">
        <v>76</v>
      </c>
      <c r="H26" s="9">
        <v>0</v>
      </c>
      <c r="I26" s="9">
        <v>0</v>
      </c>
      <c r="J26" s="9">
        <v>0</v>
      </c>
      <c r="K26" s="9">
        <v>0</v>
      </c>
      <c r="L26" s="9">
        <v>48</v>
      </c>
      <c r="M26" s="9">
        <v>0</v>
      </c>
      <c r="N26" s="9">
        <v>101</v>
      </c>
      <c r="O26" s="9">
        <f t="shared" si="1"/>
        <v>0</v>
      </c>
      <c r="P26" s="9"/>
      <c r="Q26" s="9">
        <v>2</v>
      </c>
      <c r="R26" s="9">
        <v>9</v>
      </c>
      <c r="S26" s="9">
        <v>21</v>
      </c>
      <c r="T26" s="9">
        <v>35</v>
      </c>
      <c r="U26" s="9">
        <v>26</v>
      </c>
      <c r="V26" s="9">
        <v>26</v>
      </c>
      <c r="W26" s="9">
        <v>4</v>
      </c>
      <c r="X26" s="9">
        <v>18</v>
      </c>
    </row>
    <row r="27" spans="2:24">
      <c r="B27" s="5" t="s">
        <v>52</v>
      </c>
      <c r="C27" s="8" t="s">
        <v>53</v>
      </c>
      <c r="D27" s="8" t="s">
        <v>265</v>
      </c>
      <c r="E27" s="9">
        <v>987</v>
      </c>
      <c r="F27" s="9">
        <v>475</v>
      </c>
      <c r="G27" s="9">
        <v>477</v>
      </c>
      <c r="H27" s="9">
        <v>35</v>
      </c>
      <c r="I27" s="9">
        <v>66</v>
      </c>
      <c r="J27" s="9">
        <v>1</v>
      </c>
      <c r="K27" s="9">
        <v>20</v>
      </c>
      <c r="L27" s="9">
        <v>609</v>
      </c>
      <c r="M27" s="9">
        <v>0</v>
      </c>
      <c r="N27" s="9">
        <v>386</v>
      </c>
      <c r="O27" s="9">
        <f t="shared" si="1"/>
        <v>21</v>
      </c>
      <c r="P27" s="9"/>
      <c r="Q27" s="9">
        <v>57</v>
      </c>
      <c r="R27" s="9">
        <v>47</v>
      </c>
      <c r="S27" s="9">
        <v>164</v>
      </c>
      <c r="T27" s="9">
        <v>187</v>
      </c>
      <c r="U27" s="9">
        <v>127</v>
      </c>
      <c r="V27" s="9">
        <v>121</v>
      </c>
      <c r="W27" s="9">
        <v>56</v>
      </c>
      <c r="X27" s="9">
        <v>285</v>
      </c>
    </row>
    <row r="28" spans="2:24">
      <c r="B28" s="5" t="s">
        <v>54</v>
      </c>
      <c r="C28" s="8" t="s">
        <v>55</v>
      </c>
      <c r="D28" s="8" t="s">
        <v>264</v>
      </c>
      <c r="E28" s="9">
        <v>2358</v>
      </c>
      <c r="F28" s="9">
        <v>1143</v>
      </c>
      <c r="G28" s="9">
        <v>1172</v>
      </c>
      <c r="H28" s="9">
        <v>43</v>
      </c>
      <c r="I28" s="9">
        <v>113</v>
      </c>
      <c r="J28" s="9">
        <v>4</v>
      </c>
      <c r="K28" s="9">
        <v>39</v>
      </c>
      <c r="L28" s="9">
        <v>927</v>
      </c>
      <c r="M28" s="9">
        <v>5</v>
      </c>
      <c r="N28" s="9">
        <v>1354</v>
      </c>
      <c r="O28" s="9">
        <f t="shared" si="1"/>
        <v>48</v>
      </c>
      <c r="P28" s="9"/>
      <c r="Q28" s="9">
        <v>78</v>
      </c>
      <c r="R28" s="9">
        <v>135</v>
      </c>
      <c r="S28" s="9">
        <v>386</v>
      </c>
      <c r="T28" s="9">
        <v>496</v>
      </c>
      <c r="U28" s="9">
        <v>416</v>
      </c>
      <c r="V28" s="9">
        <v>420</v>
      </c>
      <c r="W28" s="9">
        <v>216</v>
      </c>
      <c r="X28" s="9">
        <v>289</v>
      </c>
    </row>
    <row r="29" spans="2:24" ht="31.5">
      <c r="B29" s="5" t="s">
        <v>56</v>
      </c>
      <c r="C29" s="1" t="s">
        <v>295</v>
      </c>
      <c r="D29" s="8" t="s">
        <v>266</v>
      </c>
      <c r="E29" s="10">
        <v>3302</v>
      </c>
      <c r="F29" s="10">
        <v>1677</v>
      </c>
      <c r="G29" s="10">
        <v>1567</v>
      </c>
      <c r="H29" s="10">
        <v>58</v>
      </c>
      <c r="I29" s="10">
        <v>259</v>
      </c>
      <c r="J29" s="10">
        <v>4</v>
      </c>
      <c r="K29" s="10">
        <v>46</v>
      </c>
      <c r="L29" s="10">
        <v>1057</v>
      </c>
      <c r="M29" s="10">
        <v>10</v>
      </c>
      <c r="N29" s="10">
        <v>2175</v>
      </c>
      <c r="O29" s="9">
        <f t="shared" si="1"/>
        <v>60</v>
      </c>
      <c r="P29" s="10">
        <v>0</v>
      </c>
      <c r="Q29" s="10">
        <v>142</v>
      </c>
      <c r="R29" s="10">
        <v>159</v>
      </c>
      <c r="S29" s="10">
        <v>350</v>
      </c>
      <c r="T29" s="10">
        <v>561</v>
      </c>
      <c r="U29" s="10">
        <v>592</v>
      </c>
      <c r="V29" s="10">
        <v>511</v>
      </c>
      <c r="W29" s="10">
        <v>282</v>
      </c>
      <c r="X29" s="10">
        <v>847</v>
      </c>
    </row>
    <row r="30" spans="2:24">
      <c r="B30" s="5" t="s">
        <v>58</v>
      </c>
      <c r="C30" s="8" t="s">
        <v>59</v>
      </c>
      <c r="D30" s="8" t="s">
        <v>267</v>
      </c>
      <c r="E30" s="9">
        <v>83</v>
      </c>
      <c r="F30" s="9">
        <v>47</v>
      </c>
      <c r="G30" s="9">
        <v>33</v>
      </c>
      <c r="H30" s="9">
        <v>3</v>
      </c>
      <c r="I30" s="9">
        <v>6</v>
      </c>
      <c r="J30" s="9">
        <v>3</v>
      </c>
      <c r="K30" s="9">
        <v>1</v>
      </c>
      <c r="L30" s="9">
        <v>13</v>
      </c>
      <c r="M30" s="9">
        <v>0</v>
      </c>
      <c r="N30" s="9">
        <v>58</v>
      </c>
      <c r="O30" s="9">
        <f t="shared" si="1"/>
        <v>4</v>
      </c>
      <c r="P30" s="9"/>
      <c r="Q30" s="9">
        <v>18</v>
      </c>
      <c r="R30" s="9">
        <v>6</v>
      </c>
      <c r="S30" s="9">
        <v>6</v>
      </c>
      <c r="T30" s="9">
        <v>12</v>
      </c>
      <c r="U30" s="9">
        <v>12</v>
      </c>
      <c r="V30" s="9">
        <v>20</v>
      </c>
      <c r="W30" s="9">
        <v>11</v>
      </c>
      <c r="X30" s="9">
        <v>16</v>
      </c>
    </row>
    <row r="31" spans="2:24">
      <c r="B31" s="5" t="s">
        <v>60</v>
      </c>
      <c r="C31" s="8" t="s">
        <v>61</v>
      </c>
      <c r="D31" s="8" t="s">
        <v>265</v>
      </c>
      <c r="E31" s="9">
        <v>17</v>
      </c>
      <c r="F31" s="9">
        <v>10</v>
      </c>
      <c r="G31" s="9">
        <v>7</v>
      </c>
      <c r="H31" s="9">
        <v>0</v>
      </c>
      <c r="I31" s="9">
        <v>1</v>
      </c>
      <c r="J31" s="9">
        <v>0</v>
      </c>
      <c r="K31" s="9">
        <v>0</v>
      </c>
      <c r="L31" s="9">
        <v>0</v>
      </c>
      <c r="M31" s="9">
        <v>0</v>
      </c>
      <c r="N31" s="9">
        <v>17</v>
      </c>
      <c r="O31" s="9">
        <f t="shared" si="1"/>
        <v>0</v>
      </c>
      <c r="P31" s="9"/>
      <c r="Q31" s="9">
        <v>0</v>
      </c>
      <c r="R31" s="9">
        <v>1</v>
      </c>
      <c r="S31" s="9">
        <v>0</v>
      </c>
      <c r="T31" s="9">
        <v>2</v>
      </c>
      <c r="U31" s="9">
        <v>5</v>
      </c>
      <c r="V31" s="9">
        <v>5</v>
      </c>
      <c r="W31" s="9">
        <v>1</v>
      </c>
      <c r="X31" s="9">
        <v>3</v>
      </c>
    </row>
    <row r="32" spans="2:24">
      <c r="B32" s="5" t="s">
        <v>62</v>
      </c>
      <c r="C32" s="8" t="s">
        <v>63</v>
      </c>
      <c r="D32" s="8" t="s">
        <v>267</v>
      </c>
      <c r="E32" s="9">
        <v>672</v>
      </c>
      <c r="F32" s="9">
        <v>302</v>
      </c>
      <c r="G32" s="9">
        <v>355</v>
      </c>
      <c r="H32" s="9">
        <v>15</v>
      </c>
      <c r="I32" s="9">
        <v>54</v>
      </c>
      <c r="J32" s="9">
        <v>0</v>
      </c>
      <c r="K32" s="9">
        <v>0</v>
      </c>
      <c r="L32" s="9">
        <v>91</v>
      </c>
      <c r="M32" s="9">
        <v>3</v>
      </c>
      <c r="N32" s="9">
        <v>348</v>
      </c>
      <c r="O32" s="9">
        <f t="shared" si="1"/>
        <v>3</v>
      </c>
      <c r="P32" s="9"/>
      <c r="Q32" s="9">
        <v>234</v>
      </c>
      <c r="R32" s="9">
        <v>48</v>
      </c>
      <c r="S32" s="9">
        <v>79</v>
      </c>
      <c r="T32" s="9">
        <v>112</v>
      </c>
      <c r="U32" s="9">
        <v>85</v>
      </c>
      <c r="V32" s="9">
        <v>93</v>
      </c>
      <c r="W32" s="9">
        <v>34</v>
      </c>
      <c r="X32" s="9">
        <v>221</v>
      </c>
    </row>
    <row r="33" spans="2:24">
      <c r="B33" s="5" t="s">
        <v>64</v>
      </c>
      <c r="C33" s="8" t="s">
        <v>65</v>
      </c>
      <c r="D33" s="8" t="s">
        <v>266</v>
      </c>
      <c r="E33" s="9">
        <v>175</v>
      </c>
      <c r="F33" s="9">
        <v>79</v>
      </c>
      <c r="G33" s="9">
        <v>95</v>
      </c>
      <c r="H33" s="9">
        <v>1</v>
      </c>
      <c r="I33" s="9">
        <v>5</v>
      </c>
      <c r="J33" s="9">
        <v>0</v>
      </c>
      <c r="K33" s="9">
        <v>0</v>
      </c>
      <c r="L33" s="9">
        <v>78</v>
      </c>
      <c r="M33" s="9">
        <v>1</v>
      </c>
      <c r="N33" s="9">
        <v>94</v>
      </c>
      <c r="O33" s="9">
        <f t="shared" si="1"/>
        <v>1</v>
      </c>
      <c r="P33" s="9"/>
      <c r="Q33" s="9">
        <v>6</v>
      </c>
      <c r="R33" s="9">
        <v>11</v>
      </c>
      <c r="S33" s="9">
        <v>38</v>
      </c>
      <c r="T33" s="9">
        <v>46</v>
      </c>
      <c r="U33" s="9">
        <v>34</v>
      </c>
      <c r="V33" s="9">
        <v>29</v>
      </c>
      <c r="W33" s="9">
        <v>9</v>
      </c>
      <c r="X33" s="9">
        <v>8</v>
      </c>
    </row>
    <row r="34" spans="2:24">
      <c r="B34" s="5" t="s">
        <v>66</v>
      </c>
      <c r="C34" s="8" t="s">
        <v>67</v>
      </c>
      <c r="D34" s="8" t="s">
        <v>265</v>
      </c>
      <c r="E34" s="9">
        <v>649</v>
      </c>
      <c r="F34" s="9">
        <v>319</v>
      </c>
      <c r="G34" s="9">
        <v>324</v>
      </c>
      <c r="H34" s="9">
        <v>6</v>
      </c>
      <c r="I34" s="9">
        <v>12</v>
      </c>
      <c r="J34" s="9">
        <v>2</v>
      </c>
      <c r="K34" s="9">
        <v>3</v>
      </c>
      <c r="L34" s="9">
        <v>415</v>
      </c>
      <c r="M34" s="9">
        <v>4</v>
      </c>
      <c r="N34" s="9">
        <v>217</v>
      </c>
      <c r="O34" s="9">
        <f t="shared" si="1"/>
        <v>9</v>
      </c>
      <c r="P34" s="9"/>
      <c r="Q34" s="9">
        <v>20</v>
      </c>
      <c r="R34" s="9">
        <v>64</v>
      </c>
      <c r="S34" s="9">
        <v>135</v>
      </c>
      <c r="T34" s="9">
        <v>143</v>
      </c>
      <c r="U34" s="9">
        <v>121</v>
      </c>
      <c r="V34" s="9">
        <v>97</v>
      </c>
      <c r="W34" s="9">
        <v>32</v>
      </c>
      <c r="X34" s="9">
        <v>57</v>
      </c>
    </row>
    <row r="35" spans="2:24">
      <c r="B35" s="5" t="s">
        <v>68</v>
      </c>
      <c r="C35" s="8" t="s">
        <v>69</v>
      </c>
      <c r="D35" s="8" t="s">
        <v>268</v>
      </c>
      <c r="E35" s="9">
        <v>228</v>
      </c>
      <c r="F35" s="9">
        <v>107</v>
      </c>
      <c r="G35" s="9">
        <v>119</v>
      </c>
      <c r="H35" s="9">
        <v>2</v>
      </c>
      <c r="I35" s="9">
        <v>3</v>
      </c>
      <c r="J35" s="9">
        <v>0</v>
      </c>
      <c r="K35" s="9">
        <v>0</v>
      </c>
      <c r="L35" s="9">
        <v>2</v>
      </c>
      <c r="M35" s="9">
        <v>0</v>
      </c>
      <c r="N35" s="9">
        <v>226</v>
      </c>
      <c r="O35" s="9">
        <f t="shared" si="1"/>
        <v>0</v>
      </c>
      <c r="P35" s="9"/>
      <c r="Q35" s="9">
        <v>1</v>
      </c>
      <c r="R35" s="9">
        <v>18</v>
      </c>
      <c r="S35" s="9">
        <v>52</v>
      </c>
      <c r="T35" s="9">
        <v>62</v>
      </c>
      <c r="U35" s="9">
        <v>48</v>
      </c>
      <c r="V35" s="9">
        <v>32</v>
      </c>
      <c r="W35" s="9">
        <v>11</v>
      </c>
      <c r="X35" s="9">
        <v>5</v>
      </c>
    </row>
    <row r="36" spans="2:24">
      <c r="B36" s="5" t="s">
        <v>70</v>
      </c>
      <c r="C36" s="8" t="s">
        <v>71</v>
      </c>
      <c r="D36" s="8" t="s">
        <v>264</v>
      </c>
      <c r="E36" s="9">
        <v>164</v>
      </c>
      <c r="F36" s="9">
        <v>71</v>
      </c>
      <c r="G36" s="9">
        <v>91</v>
      </c>
      <c r="H36" s="9">
        <v>2</v>
      </c>
      <c r="I36" s="9">
        <v>6</v>
      </c>
      <c r="J36" s="9">
        <v>0</v>
      </c>
      <c r="K36" s="9">
        <v>0</v>
      </c>
      <c r="L36" s="9">
        <v>49</v>
      </c>
      <c r="M36" s="9">
        <v>0</v>
      </c>
      <c r="N36" s="9">
        <v>115</v>
      </c>
      <c r="O36" s="9">
        <f t="shared" si="1"/>
        <v>0</v>
      </c>
      <c r="P36" s="9"/>
      <c r="Q36" s="9">
        <v>6</v>
      </c>
      <c r="R36" s="9">
        <v>9</v>
      </c>
      <c r="S36" s="9">
        <v>23</v>
      </c>
      <c r="T36" s="9">
        <v>22</v>
      </c>
      <c r="U36" s="9">
        <v>41</v>
      </c>
      <c r="V36" s="9">
        <v>31</v>
      </c>
      <c r="W36" s="9">
        <v>18</v>
      </c>
      <c r="X36" s="9">
        <v>20</v>
      </c>
    </row>
    <row r="37" spans="2:24">
      <c r="B37" s="5" t="s">
        <v>72</v>
      </c>
      <c r="C37" s="8" t="s">
        <v>73</v>
      </c>
      <c r="D37" s="8" t="s">
        <v>266</v>
      </c>
      <c r="E37" s="9">
        <v>126</v>
      </c>
      <c r="F37" s="9">
        <v>64</v>
      </c>
      <c r="G37" s="9">
        <v>58</v>
      </c>
      <c r="H37" s="9">
        <v>4</v>
      </c>
      <c r="I37" s="9">
        <v>2</v>
      </c>
      <c r="J37" s="9">
        <v>0</v>
      </c>
      <c r="K37" s="9">
        <v>0</v>
      </c>
      <c r="L37" s="9">
        <v>47</v>
      </c>
      <c r="M37" s="9">
        <v>0</v>
      </c>
      <c r="N37" s="9">
        <v>66</v>
      </c>
      <c r="O37" s="9">
        <f t="shared" si="1"/>
        <v>0</v>
      </c>
      <c r="P37" s="9"/>
      <c r="Q37" s="9">
        <v>15</v>
      </c>
      <c r="R37" s="9">
        <v>7</v>
      </c>
      <c r="S37" s="9">
        <v>21</v>
      </c>
      <c r="T37" s="9">
        <v>21</v>
      </c>
      <c r="U37" s="9">
        <v>14</v>
      </c>
      <c r="V37" s="9">
        <v>25</v>
      </c>
      <c r="W37" s="9">
        <v>6</v>
      </c>
      <c r="X37" s="9">
        <v>32</v>
      </c>
    </row>
    <row r="38" spans="2:24" ht="31.5">
      <c r="B38" s="5" t="s">
        <v>74</v>
      </c>
      <c r="C38" s="1" t="s">
        <v>296</v>
      </c>
      <c r="D38" s="8" t="s">
        <v>267</v>
      </c>
      <c r="E38" s="10">
        <v>7614</v>
      </c>
      <c r="F38" s="10">
        <v>3598</v>
      </c>
      <c r="G38" s="10">
        <v>3823</v>
      </c>
      <c r="H38" s="10">
        <v>193</v>
      </c>
      <c r="I38" s="10">
        <v>2484</v>
      </c>
      <c r="J38" s="10">
        <v>24</v>
      </c>
      <c r="K38" s="10">
        <v>456</v>
      </c>
      <c r="L38" s="10">
        <v>1979</v>
      </c>
      <c r="M38" s="10">
        <v>21</v>
      </c>
      <c r="N38" s="10">
        <v>5069</v>
      </c>
      <c r="O38" s="9">
        <f t="shared" si="1"/>
        <v>501</v>
      </c>
      <c r="P38" s="10">
        <v>0</v>
      </c>
      <c r="Q38" s="10">
        <v>427</v>
      </c>
      <c r="R38" s="10">
        <v>337</v>
      </c>
      <c r="S38" s="10">
        <v>940</v>
      </c>
      <c r="T38" s="10">
        <v>1622</v>
      </c>
      <c r="U38" s="10">
        <v>1449</v>
      </c>
      <c r="V38" s="10">
        <v>1363</v>
      </c>
      <c r="W38" s="10">
        <v>635</v>
      </c>
      <c r="X38" s="10">
        <v>1268</v>
      </c>
    </row>
    <row r="39" spans="2:24">
      <c r="B39" s="5" t="s">
        <v>76</v>
      </c>
      <c r="C39" s="8" t="s">
        <v>77</v>
      </c>
      <c r="D39" s="8" t="s">
        <v>267</v>
      </c>
      <c r="E39" s="9">
        <v>633</v>
      </c>
      <c r="F39" s="9">
        <v>332</v>
      </c>
      <c r="G39" s="9">
        <v>288</v>
      </c>
      <c r="H39" s="9">
        <v>13</v>
      </c>
      <c r="I39" s="9">
        <v>38</v>
      </c>
      <c r="J39" s="9">
        <v>2</v>
      </c>
      <c r="K39" s="9">
        <v>3</v>
      </c>
      <c r="L39" s="9">
        <v>154</v>
      </c>
      <c r="M39" s="9">
        <v>0</v>
      </c>
      <c r="N39" s="9">
        <v>448</v>
      </c>
      <c r="O39" s="9">
        <f t="shared" si="1"/>
        <v>5</v>
      </c>
      <c r="P39" s="9"/>
      <c r="Q39" s="9">
        <v>60</v>
      </c>
      <c r="R39" s="9">
        <v>28</v>
      </c>
      <c r="S39" s="9">
        <v>72</v>
      </c>
      <c r="T39" s="9">
        <v>124</v>
      </c>
      <c r="U39" s="9">
        <v>127</v>
      </c>
      <c r="V39" s="9">
        <v>94</v>
      </c>
      <c r="W39" s="9">
        <v>43</v>
      </c>
      <c r="X39" s="9">
        <v>145</v>
      </c>
    </row>
    <row r="40" spans="2:24">
      <c r="B40" s="5" t="s">
        <v>78</v>
      </c>
      <c r="C40" s="8" t="s">
        <v>79</v>
      </c>
      <c r="D40" s="8" t="s">
        <v>268</v>
      </c>
      <c r="E40" s="9">
        <v>126</v>
      </c>
      <c r="F40" s="9">
        <v>66</v>
      </c>
      <c r="G40" s="9">
        <v>58</v>
      </c>
      <c r="H40" s="9">
        <v>2</v>
      </c>
      <c r="I40" s="9">
        <v>8</v>
      </c>
      <c r="J40" s="9">
        <v>0</v>
      </c>
      <c r="K40" s="9">
        <v>2</v>
      </c>
      <c r="L40" s="9">
        <v>4</v>
      </c>
      <c r="M40" s="9">
        <v>0</v>
      </c>
      <c r="N40" s="9">
        <v>120</v>
      </c>
      <c r="O40" s="9">
        <f t="shared" si="1"/>
        <v>2</v>
      </c>
      <c r="P40" s="9"/>
      <c r="Q40" s="9">
        <v>3</v>
      </c>
      <c r="R40" s="9">
        <v>10</v>
      </c>
      <c r="S40" s="9">
        <v>22</v>
      </c>
      <c r="T40" s="9">
        <v>24</v>
      </c>
      <c r="U40" s="9">
        <v>24</v>
      </c>
      <c r="V40" s="9">
        <v>18</v>
      </c>
      <c r="W40" s="9">
        <v>10</v>
      </c>
      <c r="X40" s="9">
        <v>18</v>
      </c>
    </row>
    <row r="41" spans="2:24">
      <c r="B41" s="5" t="s">
        <v>80</v>
      </c>
      <c r="C41" s="8" t="s">
        <v>81</v>
      </c>
      <c r="D41" s="8" t="s">
        <v>266</v>
      </c>
      <c r="E41" s="9">
        <v>201</v>
      </c>
      <c r="F41" s="9">
        <v>93</v>
      </c>
      <c r="G41" s="9">
        <v>106</v>
      </c>
      <c r="H41" s="9">
        <v>2</v>
      </c>
      <c r="I41" s="9">
        <v>5</v>
      </c>
      <c r="J41" s="9">
        <v>0</v>
      </c>
      <c r="K41" s="9">
        <v>0</v>
      </c>
      <c r="L41" s="9">
        <v>37</v>
      </c>
      <c r="M41" s="9">
        <v>0</v>
      </c>
      <c r="N41" s="9">
        <v>143</v>
      </c>
      <c r="O41" s="9">
        <f t="shared" si="1"/>
        <v>0</v>
      </c>
      <c r="P41" s="9"/>
      <c r="Q41" s="9">
        <v>21</v>
      </c>
      <c r="R41" s="9">
        <v>3</v>
      </c>
      <c r="S41" s="9">
        <v>21</v>
      </c>
      <c r="T41" s="9">
        <v>46</v>
      </c>
      <c r="U41" s="9">
        <v>46</v>
      </c>
      <c r="V41" s="9">
        <v>34</v>
      </c>
      <c r="W41" s="9">
        <v>7</v>
      </c>
      <c r="X41" s="9">
        <v>44</v>
      </c>
    </row>
    <row r="42" spans="2:24">
      <c r="B42" s="5" t="s">
        <v>82</v>
      </c>
      <c r="C42" s="8" t="s">
        <v>83</v>
      </c>
      <c r="D42" s="8" t="s">
        <v>264</v>
      </c>
      <c r="E42" s="9">
        <v>137</v>
      </c>
      <c r="F42" s="9">
        <v>62</v>
      </c>
      <c r="G42" s="9">
        <v>75</v>
      </c>
      <c r="H42" s="9">
        <v>0</v>
      </c>
      <c r="I42" s="9">
        <v>0</v>
      </c>
      <c r="J42" s="9">
        <v>0</v>
      </c>
      <c r="K42" s="9">
        <v>0</v>
      </c>
      <c r="L42" s="9">
        <v>107</v>
      </c>
      <c r="M42" s="9">
        <v>0</v>
      </c>
      <c r="N42" s="9">
        <v>28</v>
      </c>
      <c r="O42" s="9">
        <f t="shared" si="1"/>
        <v>0</v>
      </c>
      <c r="P42" s="9"/>
      <c r="Q42" s="9">
        <v>3</v>
      </c>
      <c r="R42" s="9">
        <v>8</v>
      </c>
      <c r="S42" s="9">
        <v>22</v>
      </c>
      <c r="T42" s="9">
        <v>27</v>
      </c>
      <c r="U42" s="9">
        <v>12</v>
      </c>
      <c r="V42" s="9">
        <v>21</v>
      </c>
      <c r="W42" s="9">
        <v>10</v>
      </c>
      <c r="X42" s="9">
        <v>37</v>
      </c>
    </row>
    <row r="43" spans="2:24">
      <c r="B43" s="5" t="s">
        <v>84</v>
      </c>
      <c r="C43" s="8" t="s">
        <v>85</v>
      </c>
      <c r="D43" s="8" t="s">
        <v>265</v>
      </c>
      <c r="E43" s="9">
        <v>1377</v>
      </c>
      <c r="F43" s="9">
        <v>663</v>
      </c>
      <c r="G43" s="9">
        <v>689</v>
      </c>
      <c r="H43" s="9">
        <v>25</v>
      </c>
      <c r="I43" s="9">
        <v>72</v>
      </c>
      <c r="J43" s="9">
        <v>0</v>
      </c>
      <c r="K43" s="9">
        <v>0</v>
      </c>
      <c r="L43" s="9">
        <v>137</v>
      </c>
      <c r="M43" s="9">
        <v>2</v>
      </c>
      <c r="N43" s="9">
        <v>1204</v>
      </c>
      <c r="O43" s="9">
        <f t="shared" si="1"/>
        <v>2</v>
      </c>
      <c r="P43" s="9"/>
      <c r="Q43" s="9">
        <v>103</v>
      </c>
      <c r="R43" s="9">
        <v>130</v>
      </c>
      <c r="S43" s="9">
        <v>255</v>
      </c>
      <c r="T43" s="9">
        <v>297</v>
      </c>
      <c r="U43" s="9">
        <v>244</v>
      </c>
      <c r="V43" s="9">
        <v>230</v>
      </c>
      <c r="W43" s="9">
        <v>85</v>
      </c>
      <c r="X43" s="9">
        <v>136</v>
      </c>
    </row>
    <row r="44" spans="2:24">
      <c r="B44" s="5" t="s">
        <v>86</v>
      </c>
      <c r="C44" s="8" t="s">
        <v>87</v>
      </c>
      <c r="D44" s="8" t="s">
        <v>267</v>
      </c>
      <c r="E44" s="9">
        <v>1263</v>
      </c>
      <c r="F44" s="9">
        <v>587</v>
      </c>
      <c r="G44" s="9">
        <v>653</v>
      </c>
      <c r="H44" s="9">
        <v>23</v>
      </c>
      <c r="I44" s="9">
        <v>127</v>
      </c>
      <c r="J44" s="9">
        <v>5</v>
      </c>
      <c r="K44" s="9">
        <v>2</v>
      </c>
      <c r="L44" s="9">
        <v>78</v>
      </c>
      <c r="M44" s="9">
        <v>0</v>
      </c>
      <c r="N44" s="9">
        <v>845</v>
      </c>
      <c r="O44" s="9">
        <f t="shared" si="1"/>
        <v>7</v>
      </c>
      <c r="P44" s="9"/>
      <c r="Q44" s="9">
        <v>370</v>
      </c>
      <c r="R44" s="9">
        <v>87</v>
      </c>
      <c r="S44" s="9">
        <v>185</v>
      </c>
      <c r="T44" s="9">
        <v>257</v>
      </c>
      <c r="U44" s="9">
        <v>248</v>
      </c>
      <c r="V44" s="9">
        <v>206</v>
      </c>
      <c r="W44" s="9">
        <v>104</v>
      </c>
      <c r="X44" s="9">
        <v>176</v>
      </c>
    </row>
    <row r="45" spans="2:24">
      <c r="B45" s="5" t="s">
        <v>88</v>
      </c>
      <c r="C45" s="8" t="s">
        <v>89</v>
      </c>
      <c r="D45" s="8" t="s">
        <v>267</v>
      </c>
      <c r="E45" s="9">
        <v>362</v>
      </c>
      <c r="F45" s="9">
        <v>178</v>
      </c>
      <c r="G45" s="9">
        <v>183</v>
      </c>
      <c r="H45" s="9">
        <v>1</v>
      </c>
      <c r="I45" s="9">
        <v>30</v>
      </c>
      <c r="J45" s="9">
        <v>0</v>
      </c>
      <c r="K45" s="9">
        <v>1</v>
      </c>
      <c r="L45" s="9">
        <v>160</v>
      </c>
      <c r="M45" s="9">
        <v>6</v>
      </c>
      <c r="N45" s="9">
        <v>187</v>
      </c>
      <c r="O45" s="9">
        <f t="shared" si="1"/>
        <v>7</v>
      </c>
      <c r="P45" s="9"/>
      <c r="Q45" s="9">
        <v>23</v>
      </c>
      <c r="R45" s="9">
        <v>43</v>
      </c>
      <c r="S45" s="9">
        <v>89</v>
      </c>
      <c r="T45" s="9">
        <v>81</v>
      </c>
      <c r="U45" s="9">
        <v>58</v>
      </c>
      <c r="V45" s="9">
        <v>43</v>
      </c>
      <c r="W45" s="9">
        <v>10</v>
      </c>
      <c r="X45" s="9">
        <v>38</v>
      </c>
    </row>
    <row r="46" spans="2:24">
      <c r="B46" s="5" t="s">
        <v>90</v>
      </c>
      <c r="C46" s="8" t="s">
        <v>91</v>
      </c>
      <c r="D46" s="8" t="s">
        <v>268</v>
      </c>
      <c r="E46" s="9">
        <v>87</v>
      </c>
      <c r="F46" s="9">
        <v>50</v>
      </c>
      <c r="G46" s="9">
        <v>37</v>
      </c>
      <c r="H46" s="9">
        <v>0</v>
      </c>
      <c r="I46" s="9">
        <v>19</v>
      </c>
      <c r="J46" s="9">
        <v>0</v>
      </c>
      <c r="K46" s="9">
        <v>0</v>
      </c>
      <c r="L46" s="9">
        <v>18</v>
      </c>
      <c r="M46" s="9">
        <v>0</v>
      </c>
      <c r="N46" s="9">
        <v>79</v>
      </c>
      <c r="O46" s="9">
        <f t="shared" si="1"/>
        <v>0</v>
      </c>
      <c r="P46" s="9"/>
      <c r="Q46" s="9">
        <v>5</v>
      </c>
      <c r="R46" s="9">
        <v>9</v>
      </c>
      <c r="S46" s="9">
        <v>20</v>
      </c>
      <c r="T46" s="9">
        <v>21</v>
      </c>
      <c r="U46" s="9">
        <v>20</v>
      </c>
      <c r="V46" s="9">
        <v>9</v>
      </c>
      <c r="W46" s="9">
        <v>1</v>
      </c>
      <c r="X46" s="9">
        <v>7</v>
      </c>
    </row>
    <row r="47" spans="2:24">
      <c r="B47" s="5" t="s">
        <v>92</v>
      </c>
      <c r="C47" s="8" t="s">
        <v>93</v>
      </c>
      <c r="D47" s="8" t="s">
        <v>268</v>
      </c>
      <c r="E47" s="9">
        <v>463</v>
      </c>
      <c r="F47" s="9">
        <v>220</v>
      </c>
      <c r="G47" s="9">
        <v>240</v>
      </c>
      <c r="H47" s="9">
        <v>3</v>
      </c>
      <c r="I47" s="9">
        <v>4</v>
      </c>
      <c r="J47" s="9">
        <v>0</v>
      </c>
      <c r="K47" s="9">
        <v>0</v>
      </c>
      <c r="L47" s="9">
        <v>10</v>
      </c>
      <c r="M47" s="9">
        <v>0</v>
      </c>
      <c r="N47" s="9">
        <v>447</v>
      </c>
      <c r="O47" s="9">
        <f t="shared" si="1"/>
        <v>0</v>
      </c>
      <c r="P47" s="9"/>
      <c r="Q47" s="9">
        <v>7</v>
      </c>
      <c r="R47" s="9">
        <v>29</v>
      </c>
      <c r="S47" s="9">
        <v>75</v>
      </c>
      <c r="T47" s="9">
        <v>129</v>
      </c>
      <c r="U47" s="9">
        <v>81</v>
      </c>
      <c r="V47" s="9">
        <v>57</v>
      </c>
      <c r="W47" s="9">
        <v>18</v>
      </c>
      <c r="X47" s="9">
        <v>74</v>
      </c>
    </row>
    <row r="48" spans="2:24">
      <c r="B48" s="5" t="s">
        <v>94</v>
      </c>
      <c r="C48" s="8" t="s">
        <v>95</v>
      </c>
      <c r="D48" s="8" t="s">
        <v>264</v>
      </c>
      <c r="E48" s="9">
        <v>545</v>
      </c>
      <c r="F48" s="9">
        <v>258</v>
      </c>
      <c r="G48" s="9">
        <v>280</v>
      </c>
      <c r="H48" s="9">
        <v>7</v>
      </c>
      <c r="I48" s="9">
        <v>16</v>
      </c>
      <c r="J48" s="9">
        <v>0</v>
      </c>
      <c r="K48" s="9">
        <v>4</v>
      </c>
      <c r="L48" s="9">
        <v>60</v>
      </c>
      <c r="M48" s="9">
        <v>2</v>
      </c>
      <c r="N48" s="9">
        <v>430</v>
      </c>
      <c r="O48" s="9">
        <f t="shared" si="1"/>
        <v>6</v>
      </c>
      <c r="P48" s="9"/>
      <c r="Q48" s="9">
        <v>63</v>
      </c>
      <c r="R48" s="9">
        <v>24</v>
      </c>
      <c r="S48" s="9">
        <v>80</v>
      </c>
      <c r="T48" s="9">
        <v>121</v>
      </c>
      <c r="U48" s="9">
        <v>99</v>
      </c>
      <c r="V48" s="9">
        <v>102</v>
      </c>
      <c r="W48" s="9">
        <v>50</v>
      </c>
      <c r="X48" s="9">
        <v>69</v>
      </c>
    </row>
    <row r="49" spans="2:24">
      <c r="B49" s="5" t="s">
        <v>96</v>
      </c>
      <c r="C49" s="8" t="s">
        <v>97</v>
      </c>
      <c r="D49" s="8" t="s">
        <v>266</v>
      </c>
      <c r="E49" s="9">
        <v>89</v>
      </c>
      <c r="F49" s="9">
        <v>46</v>
      </c>
      <c r="G49" s="9">
        <v>42</v>
      </c>
      <c r="H49" s="9">
        <v>1</v>
      </c>
      <c r="I49" s="9">
        <v>2</v>
      </c>
      <c r="J49" s="9">
        <v>0</v>
      </c>
      <c r="K49" s="9">
        <v>1</v>
      </c>
      <c r="L49" s="9">
        <v>36</v>
      </c>
      <c r="M49" s="9">
        <v>0</v>
      </c>
      <c r="N49" s="9">
        <v>44</v>
      </c>
      <c r="O49" s="9">
        <f t="shared" si="1"/>
        <v>1</v>
      </c>
      <c r="P49" s="9"/>
      <c r="Q49" s="9">
        <v>13</v>
      </c>
      <c r="R49" s="9">
        <v>5</v>
      </c>
      <c r="S49" s="9">
        <v>12</v>
      </c>
      <c r="T49" s="9">
        <v>19</v>
      </c>
      <c r="U49" s="9">
        <v>10</v>
      </c>
      <c r="V49" s="9">
        <v>12</v>
      </c>
      <c r="W49" s="9">
        <v>4</v>
      </c>
      <c r="X49" s="9">
        <v>27</v>
      </c>
    </row>
    <row r="50" spans="2:24">
      <c r="B50" s="5" t="s">
        <v>98</v>
      </c>
      <c r="C50" s="8" t="s">
        <v>99</v>
      </c>
      <c r="D50" s="8" t="s">
        <v>268</v>
      </c>
      <c r="E50" s="9">
        <v>330</v>
      </c>
      <c r="F50" s="9">
        <v>156</v>
      </c>
      <c r="G50" s="9">
        <v>174</v>
      </c>
      <c r="H50" s="9">
        <v>0</v>
      </c>
      <c r="I50" s="9">
        <v>27</v>
      </c>
      <c r="J50" s="9">
        <v>0</v>
      </c>
      <c r="K50" s="9">
        <v>0</v>
      </c>
      <c r="L50" s="9">
        <v>14</v>
      </c>
      <c r="M50" s="9">
        <v>0</v>
      </c>
      <c r="N50" s="9">
        <v>318</v>
      </c>
      <c r="O50" s="9">
        <f t="shared" si="1"/>
        <v>0</v>
      </c>
      <c r="P50" s="9"/>
      <c r="Q50" s="9">
        <v>4</v>
      </c>
      <c r="R50" s="9">
        <v>22</v>
      </c>
      <c r="S50" s="9">
        <v>47</v>
      </c>
      <c r="T50" s="9">
        <v>80</v>
      </c>
      <c r="U50" s="9">
        <v>68</v>
      </c>
      <c r="V50" s="9">
        <v>66</v>
      </c>
      <c r="W50" s="9">
        <v>21</v>
      </c>
      <c r="X50" s="9">
        <v>26</v>
      </c>
    </row>
    <row r="51" spans="2:24">
      <c r="B51" s="5" t="s">
        <v>100</v>
      </c>
      <c r="C51" s="8" t="s">
        <v>101</v>
      </c>
      <c r="D51" s="8" t="s">
        <v>267</v>
      </c>
      <c r="E51" s="9">
        <v>208</v>
      </c>
      <c r="F51" s="9">
        <v>101</v>
      </c>
      <c r="G51" s="9">
        <v>106</v>
      </c>
      <c r="H51" s="9">
        <v>1</v>
      </c>
      <c r="I51" s="9">
        <v>4</v>
      </c>
      <c r="J51" s="9">
        <v>0</v>
      </c>
      <c r="K51" s="9">
        <v>1</v>
      </c>
      <c r="L51" s="9">
        <v>24</v>
      </c>
      <c r="M51" s="9">
        <v>0</v>
      </c>
      <c r="N51" s="9">
        <v>167</v>
      </c>
      <c r="O51" s="9">
        <f t="shared" si="1"/>
        <v>1</v>
      </c>
      <c r="P51" s="9"/>
      <c r="Q51" s="9">
        <v>23</v>
      </c>
      <c r="R51" s="9">
        <v>9</v>
      </c>
      <c r="S51" s="9">
        <v>27</v>
      </c>
      <c r="T51" s="9">
        <v>58</v>
      </c>
      <c r="U51" s="9">
        <v>34</v>
      </c>
      <c r="V51" s="9">
        <v>21</v>
      </c>
      <c r="W51" s="9">
        <v>8</v>
      </c>
      <c r="X51" s="9">
        <v>51</v>
      </c>
    </row>
    <row r="52" spans="2:24">
      <c r="B52" s="5" t="s">
        <v>102</v>
      </c>
      <c r="C52" s="1" t="s">
        <v>282</v>
      </c>
      <c r="D52" s="8" t="s">
        <v>264</v>
      </c>
      <c r="E52" s="10">
        <v>205</v>
      </c>
      <c r="F52" s="10">
        <v>101</v>
      </c>
      <c r="G52" s="10">
        <v>99</v>
      </c>
      <c r="H52" s="10">
        <v>5</v>
      </c>
      <c r="I52" s="10">
        <v>3</v>
      </c>
      <c r="J52" s="10">
        <v>0</v>
      </c>
      <c r="K52" s="10">
        <v>0</v>
      </c>
      <c r="L52" s="10">
        <v>153</v>
      </c>
      <c r="M52" s="10">
        <v>0</v>
      </c>
      <c r="N52" s="10">
        <v>42</v>
      </c>
      <c r="O52" s="9">
        <f t="shared" si="1"/>
        <v>0</v>
      </c>
      <c r="P52" s="10">
        <v>0</v>
      </c>
      <c r="Q52" s="10">
        <v>17</v>
      </c>
      <c r="R52" s="10">
        <v>19</v>
      </c>
      <c r="S52" s="10">
        <v>30</v>
      </c>
      <c r="T52" s="10">
        <v>41</v>
      </c>
      <c r="U52" s="10">
        <v>37</v>
      </c>
      <c r="V52" s="10">
        <v>36</v>
      </c>
      <c r="W52" s="10">
        <v>20</v>
      </c>
      <c r="X52" s="10">
        <v>22</v>
      </c>
    </row>
    <row r="53" spans="2:24">
      <c r="B53" s="5" t="s">
        <v>104</v>
      </c>
      <c r="C53" s="8" t="s">
        <v>105</v>
      </c>
      <c r="D53" s="8" t="s">
        <v>265</v>
      </c>
      <c r="E53" s="9">
        <v>344</v>
      </c>
      <c r="F53" s="9">
        <v>176</v>
      </c>
      <c r="G53" s="9">
        <v>166</v>
      </c>
      <c r="H53" s="9">
        <v>2</v>
      </c>
      <c r="I53" s="9">
        <v>5</v>
      </c>
      <c r="J53" s="9">
        <v>1</v>
      </c>
      <c r="K53" s="9">
        <v>0</v>
      </c>
      <c r="L53" s="9">
        <v>171</v>
      </c>
      <c r="M53" s="9">
        <v>0</v>
      </c>
      <c r="N53" s="9">
        <v>179</v>
      </c>
      <c r="O53" s="9">
        <f t="shared" si="1"/>
        <v>1</v>
      </c>
      <c r="P53" s="9"/>
      <c r="Q53" s="9">
        <v>11</v>
      </c>
      <c r="R53" s="9">
        <v>17</v>
      </c>
      <c r="S53" s="9">
        <v>59</v>
      </c>
      <c r="T53" s="9">
        <v>87</v>
      </c>
      <c r="U53" s="9">
        <v>82</v>
      </c>
      <c r="V53" s="9">
        <v>69</v>
      </c>
      <c r="W53" s="9">
        <v>11</v>
      </c>
      <c r="X53" s="9">
        <v>19</v>
      </c>
    </row>
    <row r="54" spans="2:24">
      <c r="B54" s="5" t="s">
        <v>106</v>
      </c>
      <c r="C54" s="8" t="s">
        <v>107</v>
      </c>
      <c r="D54" s="8" t="s">
        <v>264</v>
      </c>
      <c r="E54" s="9">
        <v>1587</v>
      </c>
      <c r="F54" s="9">
        <v>804</v>
      </c>
      <c r="G54" s="9">
        <v>756</v>
      </c>
      <c r="H54" s="9">
        <v>27</v>
      </c>
      <c r="I54" s="9">
        <v>56</v>
      </c>
      <c r="J54" s="9">
        <v>4</v>
      </c>
      <c r="K54" s="9">
        <v>8</v>
      </c>
      <c r="L54" s="9">
        <v>931</v>
      </c>
      <c r="M54" s="9">
        <v>1</v>
      </c>
      <c r="N54" s="9">
        <v>603</v>
      </c>
      <c r="O54" s="9">
        <f t="shared" si="1"/>
        <v>13</v>
      </c>
      <c r="P54" s="9"/>
      <c r="Q54" s="9">
        <v>120</v>
      </c>
      <c r="R54" s="9">
        <v>105</v>
      </c>
      <c r="S54" s="9">
        <v>254</v>
      </c>
      <c r="T54" s="9">
        <v>341</v>
      </c>
      <c r="U54" s="9">
        <v>271</v>
      </c>
      <c r="V54" s="9">
        <v>260</v>
      </c>
      <c r="W54" s="9">
        <v>95</v>
      </c>
      <c r="X54" s="9">
        <v>261</v>
      </c>
    </row>
    <row r="55" spans="2:24">
      <c r="B55" s="5" t="s">
        <v>108</v>
      </c>
      <c r="C55" s="8" t="s">
        <v>109</v>
      </c>
      <c r="D55" s="8" t="s">
        <v>266</v>
      </c>
      <c r="E55" s="9">
        <v>745</v>
      </c>
      <c r="F55" s="9">
        <v>349</v>
      </c>
      <c r="G55" s="9">
        <v>384</v>
      </c>
      <c r="H55" s="9">
        <v>12</v>
      </c>
      <c r="I55" s="9">
        <v>34</v>
      </c>
      <c r="J55" s="9">
        <v>1</v>
      </c>
      <c r="K55" s="9">
        <v>9</v>
      </c>
      <c r="L55" s="9">
        <v>153</v>
      </c>
      <c r="M55" s="9">
        <v>0</v>
      </c>
      <c r="N55" s="9">
        <v>586</v>
      </c>
      <c r="O55" s="9">
        <f t="shared" si="1"/>
        <v>10</v>
      </c>
      <c r="P55" s="9"/>
      <c r="Q55" s="9">
        <v>41</v>
      </c>
      <c r="R55" s="9">
        <v>38</v>
      </c>
      <c r="S55" s="9">
        <v>103</v>
      </c>
      <c r="T55" s="9">
        <v>151</v>
      </c>
      <c r="U55" s="9">
        <v>128</v>
      </c>
      <c r="V55" s="9">
        <v>122</v>
      </c>
      <c r="W55" s="9">
        <v>73</v>
      </c>
      <c r="X55" s="9">
        <v>130</v>
      </c>
    </row>
    <row r="56" spans="2:24">
      <c r="B56" s="5" t="s">
        <v>110</v>
      </c>
      <c r="C56" s="8" t="s">
        <v>111</v>
      </c>
      <c r="D56" s="8" t="s">
        <v>266</v>
      </c>
      <c r="E56" s="9">
        <v>2289</v>
      </c>
      <c r="F56" s="9">
        <v>1115</v>
      </c>
      <c r="G56" s="9">
        <v>1111</v>
      </c>
      <c r="H56" s="9">
        <v>63</v>
      </c>
      <c r="I56" s="9">
        <v>143</v>
      </c>
      <c r="J56" s="9">
        <v>11</v>
      </c>
      <c r="K56" s="9">
        <v>48</v>
      </c>
      <c r="L56" s="9">
        <v>1081</v>
      </c>
      <c r="M56" s="9">
        <v>5</v>
      </c>
      <c r="N56" s="9">
        <v>1101</v>
      </c>
      <c r="O56" s="9">
        <f t="shared" si="1"/>
        <v>64</v>
      </c>
      <c r="P56" s="9"/>
      <c r="Q56" s="9">
        <v>154</v>
      </c>
      <c r="R56" s="9">
        <v>127</v>
      </c>
      <c r="S56" s="9">
        <v>330</v>
      </c>
      <c r="T56" s="9">
        <v>440</v>
      </c>
      <c r="U56" s="9">
        <v>426</v>
      </c>
      <c r="V56" s="9">
        <v>345</v>
      </c>
      <c r="W56" s="9">
        <v>142</v>
      </c>
      <c r="X56" s="9">
        <v>479</v>
      </c>
    </row>
    <row r="57" spans="2:24">
      <c r="B57" s="5" t="s">
        <v>112</v>
      </c>
      <c r="C57" s="1" t="s">
        <v>300</v>
      </c>
      <c r="D57" s="8" t="s">
        <v>265</v>
      </c>
      <c r="E57" s="10">
        <v>1263</v>
      </c>
      <c r="F57" s="10">
        <v>603</v>
      </c>
      <c r="G57" s="10">
        <v>608</v>
      </c>
      <c r="H57" s="10">
        <v>52</v>
      </c>
      <c r="I57" s="10">
        <v>58</v>
      </c>
      <c r="J57" s="10">
        <v>0</v>
      </c>
      <c r="K57" s="10">
        <v>3</v>
      </c>
      <c r="L57" s="10">
        <v>336</v>
      </c>
      <c r="M57" s="10">
        <v>23</v>
      </c>
      <c r="N57" s="10">
        <v>737</v>
      </c>
      <c r="O57" s="9">
        <f t="shared" si="1"/>
        <v>26</v>
      </c>
      <c r="P57" s="10">
        <v>0</v>
      </c>
      <c r="Q57" s="10">
        <v>174</v>
      </c>
      <c r="R57" s="10">
        <v>109</v>
      </c>
      <c r="S57" s="10">
        <v>211</v>
      </c>
      <c r="T57" s="10">
        <v>258</v>
      </c>
      <c r="U57" s="10">
        <v>204</v>
      </c>
      <c r="V57" s="10">
        <v>167</v>
      </c>
      <c r="W57" s="10">
        <v>62</v>
      </c>
      <c r="X57" s="10">
        <v>252</v>
      </c>
    </row>
    <row r="58" spans="2:24">
      <c r="B58" s="5" t="s">
        <v>114</v>
      </c>
      <c r="C58" s="8" t="s">
        <v>115</v>
      </c>
      <c r="D58" s="8" t="s">
        <v>265</v>
      </c>
      <c r="E58" s="9">
        <v>49</v>
      </c>
      <c r="F58" s="9">
        <v>12</v>
      </c>
      <c r="G58" s="9">
        <v>34</v>
      </c>
      <c r="H58" s="9">
        <v>3</v>
      </c>
      <c r="I58" s="9">
        <v>1</v>
      </c>
      <c r="J58" s="9">
        <v>0</v>
      </c>
      <c r="K58" s="9">
        <v>0</v>
      </c>
      <c r="L58" s="9">
        <v>0</v>
      </c>
      <c r="M58" s="9">
        <v>0</v>
      </c>
      <c r="N58" s="9">
        <v>46</v>
      </c>
      <c r="O58" s="9">
        <f t="shared" si="1"/>
        <v>0</v>
      </c>
      <c r="P58" s="9"/>
      <c r="Q58" s="9">
        <v>3</v>
      </c>
      <c r="R58" s="9">
        <v>5</v>
      </c>
      <c r="S58" s="9">
        <v>2</v>
      </c>
      <c r="T58" s="9">
        <v>12</v>
      </c>
      <c r="U58" s="9">
        <v>4</v>
      </c>
      <c r="V58" s="9">
        <v>2</v>
      </c>
      <c r="W58" s="9">
        <v>2</v>
      </c>
      <c r="X58" s="9">
        <v>22</v>
      </c>
    </row>
    <row r="59" spans="2:24">
      <c r="B59" s="5" t="s">
        <v>116</v>
      </c>
      <c r="C59" s="8" t="s">
        <v>117</v>
      </c>
      <c r="D59" s="8" t="s">
        <v>266</v>
      </c>
      <c r="E59" s="9">
        <v>538</v>
      </c>
      <c r="F59" s="9">
        <v>243</v>
      </c>
      <c r="G59" s="9">
        <v>288</v>
      </c>
      <c r="H59" s="9">
        <v>7</v>
      </c>
      <c r="I59" s="9">
        <v>27</v>
      </c>
      <c r="J59" s="9">
        <v>2</v>
      </c>
      <c r="K59" s="9">
        <v>9</v>
      </c>
      <c r="L59" s="9">
        <v>240</v>
      </c>
      <c r="M59" s="9">
        <v>4</v>
      </c>
      <c r="N59" s="9">
        <v>261</v>
      </c>
      <c r="O59" s="9">
        <f t="shared" si="1"/>
        <v>15</v>
      </c>
      <c r="P59" s="9"/>
      <c r="Q59" s="9">
        <v>58</v>
      </c>
      <c r="R59" s="9">
        <v>36</v>
      </c>
      <c r="S59" s="9">
        <v>92</v>
      </c>
      <c r="T59" s="9">
        <v>122</v>
      </c>
      <c r="U59" s="9">
        <v>83</v>
      </c>
      <c r="V59" s="9">
        <v>65</v>
      </c>
      <c r="W59" s="9">
        <v>26</v>
      </c>
      <c r="X59" s="9">
        <v>114</v>
      </c>
    </row>
    <row r="60" spans="2:24">
      <c r="B60" s="5" t="s">
        <v>118</v>
      </c>
      <c r="C60" s="8" t="s">
        <v>119</v>
      </c>
      <c r="D60" s="8" t="s">
        <v>264</v>
      </c>
      <c r="E60" s="9">
        <v>285</v>
      </c>
      <c r="F60" s="9">
        <v>141</v>
      </c>
      <c r="G60" s="9">
        <v>144</v>
      </c>
      <c r="H60" s="9">
        <v>0</v>
      </c>
      <c r="I60" s="9">
        <v>13</v>
      </c>
      <c r="J60" s="9">
        <v>0</v>
      </c>
      <c r="K60" s="9">
        <v>0</v>
      </c>
      <c r="L60" s="9">
        <v>105</v>
      </c>
      <c r="M60" s="9">
        <v>0</v>
      </c>
      <c r="N60" s="9">
        <v>187</v>
      </c>
      <c r="O60" s="9">
        <f t="shared" si="1"/>
        <v>0</v>
      </c>
      <c r="P60" s="9"/>
      <c r="Q60" s="9">
        <v>2</v>
      </c>
      <c r="R60" s="9">
        <v>24</v>
      </c>
      <c r="S60" s="9">
        <v>53</v>
      </c>
      <c r="T60" s="9">
        <v>61</v>
      </c>
      <c r="U60" s="9">
        <v>50</v>
      </c>
      <c r="V60" s="9">
        <v>44</v>
      </c>
      <c r="W60" s="9">
        <v>20</v>
      </c>
      <c r="X60" s="9">
        <v>33</v>
      </c>
    </row>
    <row r="61" spans="2:24">
      <c r="B61" s="5" t="s">
        <v>120</v>
      </c>
      <c r="C61" s="8" t="s">
        <v>121</v>
      </c>
      <c r="D61" s="8" t="s">
        <v>264</v>
      </c>
      <c r="E61" s="9">
        <v>596</v>
      </c>
      <c r="F61" s="9">
        <v>334</v>
      </c>
      <c r="G61" s="9">
        <v>259</v>
      </c>
      <c r="H61" s="9">
        <v>3</v>
      </c>
      <c r="I61" s="9">
        <v>44</v>
      </c>
      <c r="J61" s="9">
        <v>0</v>
      </c>
      <c r="K61" s="9">
        <v>3</v>
      </c>
      <c r="L61" s="9">
        <v>200</v>
      </c>
      <c r="M61" s="9">
        <v>2</v>
      </c>
      <c r="N61" s="9">
        <v>411</v>
      </c>
      <c r="O61" s="9">
        <f t="shared" si="1"/>
        <v>5</v>
      </c>
      <c r="P61" s="9"/>
      <c r="Q61" s="9">
        <v>36</v>
      </c>
      <c r="R61" s="9">
        <v>43</v>
      </c>
      <c r="S61" s="9">
        <v>136</v>
      </c>
      <c r="T61" s="9">
        <v>134</v>
      </c>
      <c r="U61" s="9">
        <v>124</v>
      </c>
      <c r="V61" s="9">
        <v>88</v>
      </c>
      <c r="W61" s="9">
        <v>37</v>
      </c>
      <c r="X61" s="9">
        <v>34</v>
      </c>
    </row>
    <row r="62" spans="2:24">
      <c r="B62" s="5" t="s">
        <v>122</v>
      </c>
      <c r="C62" s="8" t="s">
        <v>123</v>
      </c>
      <c r="D62" s="8" t="s">
        <v>266</v>
      </c>
      <c r="E62" s="9">
        <v>83</v>
      </c>
      <c r="F62" s="9">
        <v>34</v>
      </c>
      <c r="G62" s="9">
        <v>48</v>
      </c>
      <c r="H62" s="9">
        <v>1</v>
      </c>
      <c r="I62" s="9">
        <v>3</v>
      </c>
      <c r="J62" s="9">
        <v>0</v>
      </c>
      <c r="K62" s="9">
        <v>0</v>
      </c>
      <c r="L62" s="9">
        <v>32</v>
      </c>
      <c r="M62" s="9">
        <v>1</v>
      </c>
      <c r="N62" s="9">
        <v>50</v>
      </c>
      <c r="O62" s="9">
        <f t="shared" si="1"/>
        <v>1</v>
      </c>
      <c r="P62" s="9"/>
      <c r="Q62" s="9">
        <v>4</v>
      </c>
      <c r="R62" s="9">
        <v>4</v>
      </c>
      <c r="S62" s="9">
        <v>19</v>
      </c>
      <c r="T62" s="9">
        <v>20</v>
      </c>
      <c r="U62" s="9">
        <v>13</v>
      </c>
      <c r="V62" s="9">
        <v>12</v>
      </c>
      <c r="W62" s="9">
        <v>5</v>
      </c>
      <c r="X62" s="9">
        <v>10</v>
      </c>
    </row>
    <row r="63" spans="2:24">
      <c r="B63" s="5" t="s">
        <v>124</v>
      </c>
      <c r="C63" s="8" t="s">
        <v>125</v>
      </c>
      <c r="D63" s="8" t="s">
        <v>267</v>
      </c>
      <c r="E63" s="9">
        <v>155</v>
      </c>
      <c r="F63" s="9">
        <v>80</v>
      </c>
      <c r="G63" s="9">
        <v>74</v>
      </c>
      <c r="H63" s="9">
        <v>1</v>
      </c>
      <c r="I63" s="9">
        <v>4</v>
      </c>
      <c r="J63" s="9">
        <v>0</v>
      </c>
      <c r="K63" s="9">
        <v>2</v>
      </c>
      <c r="L63" s="9">
        <v>43</v>
      </c>
      <c r="M63" s="9">
        <v>0</v>
      </c>
      <c r="N63" s="9">
        <v>103</v>
      </c>
      <c r="O63" s="9">
        <f t="shared" si="1"/>
        <v>2</v>
      </c>
      <c r="P63" s="9"/>
      <c r="Q63" s="9">
        <v>14</v>
      </c>
      <c r="R63" s="9">
        <v>7</v>
      </c>
      <c r="S63" s="9">
        <v>23</v>
      </c>
      <c r="T63" s="9">
        <v>35</v>
      </c>
      <c r="U63" s="9">
        <v>29</v>
      </c>
      <c r="V63" s="9">
        <v>19</v>
      </c>
      <c r="W63" s="9">
        <v>8</v>
      </c>
      <c r="X63" s="9">
        <v>34</v>
      </c>
    </row>
    <row r="64" spans="2:24">
      <c r="B64" s="5" t="s">
        <v>126</v>
      </c>
      <c r="C64" s="8" t="s">
        <v>127</v>
      </c>
      <c r="D64" s="8" t="s">
        <v>266</v>
      </c>
      <c r="E64" s="9">
        <v>100</v>
      </c>
      <c r="F64" s="9">
        <v>57</v>
      </c>
      <c r="G64" s="9">
        <v>43</v>
      </c>
      <c r="H64" s="9">
        <v>0</v>
      </c>
      <c r="I64" s="9">
        <v>1</v>
      </c>
      <c r="J64" s="9">
        <v>0</v>
      </c>
      <c r="K64" s="9">
        <v>0</v>
      </c>
      <c r="L64" s="9">
        <v>17</v>
      </c>
      <c r="M64" s="9">
        <v>0</v>
      </c>
      <c r="N64" s="9">
        <v>74</v>
      </c>
      <c r="O64" s="9">
        <f t="shared" si="1"/>
        <v>0</v>
      </c>
      <c r="P64" s="9"/>
      <c r="Q64" s="9">
        <v>13</v>
      </c>
      <c r="R64" s="9">
        <v>7</v>
      </c>
      <c r="S64" s="9">
        <v>15</v>
      </c>
      <c r="T64" s="9">
        <v>16</v>
      </c>
      <c r="U64" s="9">
        <v>14</v>
      </c>
      <c r="V64" s="9">
        <v>12</v>
      </c>
      <c r="W64" s="9">
        <v>2</v>
      </c>
      <c r="X64" s="9">
        <v>34</v>
      </c>
    </row>
    <row r="65" spans="2:24">
      <c r="B65" s="5" t="s">
        <v>128</v>
      </c>
      <c r="C65" s="8" t="s">
        <v>129</v>
      </c>
      <c r="D65" s="8" t="s">
        <v>266</v>
      </c>
      <c r="E65" s="9">
        <v>75</v>
      </c>
      <c r="F65" s="9">
        <v>51</v>
      </c>
      <c r="G65" s="9">
        <v>23</v>
      </c>
      <c r="H65" s="9">
        <v>1</v>
      </c>
      <c r="I65" s="9">
        <v>0</v>
      </c>
      <c r="J65" s="9">
        <v>0</v>
      </c>
      <c r="K65" s="9">
        <v>0</v>
      </c>
      <c r="L65" s="9">
        <v>38</v>
      </c>
      <c r="M65" s="9">
        <v>0</v>
      </c>
      <c r="N65" s="9">
        <v>37</v>
      </c>
      <c r="O65" s="9">
        <f t="shared" si="1"/>
        <v>0</v>
      </c>
      <c r="P65" s="9"/>
      <c r="Q65" s="9">
        <v>2</v>
      </c>
      <c r="R65" s="9">
        <v>3</v>
      </c>
      <c r="S65" s="9">
        <v>5</v>
      </c>
      <c r="T65" s="9">
        <v>9</v>
      </c>
      <c r="U65" s="9">
        <v>12</v>
      </c>
      <c r="V65" s="9">
        <v>7</v>
      </c>
      <c r="W65" s="9">
        <v>1</v>
      </c>
      <c r="X65" s="9">
        <v>38</v>
      </c>
    </row>
    <row r="66" spans="2:24">
      <c r="B66" s="5" t="s">
        <v>130</v>
      </c>
      <c r="C66" s="8" t="s">
        <v>131</v>
      </c>
      <c r="D66" s="8" t="s">
        <v>268</v>
      </c>
      <c r="E66" s="9">
        <v>645</v>
      </c>
      <c r="F66" s="9">
        <v>331</v>
      </c>
      <c r="G66" s="9">
        <v>311</v>
      </c>
      <c r="H66" s="9">
        <v>3</v>
      </c>
      <c r="I66" s="9">
        <v>12</v>
      </c>
      <c r="J66" s="9">
        <v>0</v>
      </c>
      <c r="K66" s="9">
        <v>0</v>
      </c>
      <c r="L66" s="9">
        <v>9</v>
      </c>
      <c r="M66" s="9">
        <v>5</v>
      </c>
      <c r="N66" s="9">
        <v>619</v>
      </c>
      <c r="O66" s="9">
        <f t="shared" si="1"/>
        <v>5</v>
      </c>
      <c r="P66" s="9"/>
      <c r="Q66" s="9">
        <v>14</v>
      </c>
      <c r="R66" s="9">
        <v>68</v>
      </c>
      <c r="S66" s="9">
        <v>152</v>
      </c>
      <c r="T66" s="9">
        <v>143</v>
      </c>
      <c r="U66" s="9">
        <v>117</v>
      </c>
      <c r="V66" s="9">
        <v>92</v>
      </c>
      <c r="W66" s="9">
        <v>37</v>
      </c>
      <c r="X66" s="9">
        <v>36</v>
      </c>
    </row>
    <row r="67" spans="2:24">
      <c r="B67" s="5" t="s">
        <v>132</v>
      </c>
      <c r="C67" s="8" t="s">
        <v>133</v>
      </c>
      <c r="D67" s="8" t="s">
        <v>267</v>
      </c>
      <c r="E67" s="9">
        <v>2983</v>
      </c>
      <c r="F67" s="9">
        <v>1451</v>
      </c>
      <c r="G67" s="9">
        <v>1465</v>
      </c>
      <c r="H67" s="9">
        <v>67</v>
      </c>
      <c r="I67" s="9">
        <v>502</v>
      </c>
      <c r="J67" s="9">
        <v>0</v>
      </c>
      <c r="K67" s="9">
        <v>38</v>
      </c>
      <c r="L67" s="9">
        <v>104</v>
      </c>
      <c r="M67" s="9">
        <v>0</v>
      </c>
      <c r="N67" s="9">
        <v>305</v>
      </c>
      <c r="O67" s="9">
        <f t="shared" si="1"/>
        <v>38</v>
      </c>
      <c r="P67" s="9"/>
      <c r="Q67" s="9">
        <v>2557</v>
      </c>
      <c r="R67" s="9">
        <v>118</v>
      </c>
      <c r="S67" s="9">
        <v>277</v>
      </c>
      <c r="T67" s="9">
        <v>552</v>
      </c>
      <c r="U67" s="9">
        <v>615</v>
      </c>
      <c r="V67" s="9">
        <v>557</v>
      </c>
      <c r="W67" s="9">
        <v>224</v>
      </c>
      <c r="X67" s="9">
        <v>640</v>
      </c>
    </row>
    <row r="68" spans="2:24">
      <c r="B68" s="5" t="s">
        <v>134</v>
      </c>
      <c r="C68" s="8" t="s">
        <v>135</v>
      </c>
      <c r="D68" s="8" t="s">
        <v>267</v>
      </c>
      <c r="E68" s="9">
        <v>524</v>
      </c>
      <c r="F68" s="9">
        <v>259</v>
      </c>
      <c r="G68" s="9">
        <v>256</v>
      </c>
      <c r="H68" s="9">
        <v>9</v>
      </c>
      <c r="I68" s="9">
        <v>9</v>
      </c>
      <c r="J68" s="9">
        <v>5</v>
      </c>
      <c r="K68" s="9">
        <v>2</v>
      </c>
      <c r="L68" s="9">
        <v>117</v>
      </c>
      <c r="M68" s="9">
        <v>0</v>
      </c>
      <c r="N68" s="9">
        <v>392</v>
      </c>
      <c r="O68" s="9">
        <f t="shared" si="1"/>
        <v>7</v>
      </c>
      <c r="P68" s="9"/>
      <c r="Q68" s="9">
        <v>42</v>
      </c>
      <c r="R68" s="9">
        <v>39</v>
      </c>
      <c r="S68" s="9">
        <v>75</v>
      </c>
      <c r="T68" s="9">
        <v>99</v>
      </c>
      <c r="U68" s="9">
        <v>101</v>
      </c>
      <c r="V68" s="9">
        <v>82</v>
      </c>
      <c r="W68" s="9">
        <v>15</v>
      </c>
      <c r="X68" s="9">
        <v>113</v>
      </c>
    </row>
    <row r="69" spans="2:24">
      <c r="B69" s="5" t="s">
        <v>136</v>
      </c>
      <c r="C69" s="8" t="s">
        <v>137</v>
      </c>
      <c r="D69" s="8" t="s">
        <v>266</v>
      </c>
      <c r="E69" s="9">
        <v>102</v>
      </c>
      <c r="F69" s="9">
        <v>43</v>
      </c>
      <c r="G69" s="9">
        <v>59</v>
      </c>
      <c r="H69" s="9">
        <v>0</v>
      </c>
      <c r="I69" s="9">
        <v>3</v>
      </c>
      <c r="J69" s="9">
        <v>0</v>
      </c>
      <c r="K69" s="9">
        <v>0</v>
      </c>
      <c r="L69" s="9">
        <v>41</v>
      </c>
      <c r="M69" s="9">
        <v>0</v>
      </c>
      <c r="N69" s="9">
        <v>58</v>
      </c>
      <c r="O69" s="9">
        <f t="shared" si="1"/>
        <v>0</v>
      </c>
      <c r="P69" s="9"/>
      <c r="Q69" s="9">
        <v>3</v>
      </c>
      <c r="R69" s="9">
        <v>8</v>
      </c>
      <c r="S69" s="9">
        <v>13</v>
      </c>
      <c r="T69" s="9">
        <v>25</v>
      </c>
      <c r="U69" s="9">
        <v>14</v>
      </c>
      <c r="V69" s="9">
        <v>24</v>
      </c>
      <c r="W69" s="9">
        <v>3</v>
      </c>
      <c r="X69" s="9">
        <v>15</v>
      </c>
    </row>
    <row r="70" spans="2:24">
      <c r="B70" s="5" t="s">
        <v>138</v>
      </c>
      <c r="C70" s="8" t="s">
        <v>139</v>
      </c>
      <c r="D70" s="8" t="s">
        <v>265</v>
      </c>
      <c r="E70" s="9">
        <v>1240</v>
      </c>
      <c r="F70" s="9">
        <v>569</v>
      </c>
      <c r="G70" s="9">
        <v>653</v>
      </c>
      <c r="H70" s="9">
        <v>18</v>
      </c>
      <c r="I70" s="9">
        <v>37</v>
      </c>
      <c r="J70" s="9">
        <v>3</v>
      </c>
      <c r="K70" s="9">
        <v>4</v>
      </c>
      <c r="L70" s="9">
        <v>766</v>
      </c>
      <c r="M70" s="9">
        <v>0</v>
      </c>
      <c r="N70" s="9">
        <v>503</v>
      </c>
      <c r="O70" s="9">
        <f t="shared" ref="O70:O125" si="2">+M70+K70+J70</f>
        <v>7</v>
      </c>
      <c r="P70" s="9"/>
      <c r="Q70" s="9">
        <v>38</v>
      </c>
      <c r="R70" s="9">
        <v>128</v>
      </c>
      <c r="S70" s="9">
        <v>244</v>
      </c>
      <c r="T70" s="9">
        <v>292</v>
      </c>
      <c r="U70" s="9">
        <v>186</v>
      </c>
      <c r="V70" s="9">
        <v>156</v>
      </c>
      <c r="W70" s="9">
        <v>54</v>
      </c>
      <c r="X70" s="9">
        <v>180</v>
      </c>
    </row>
    <row r="71" spans="2:24">
      <c r="B71" s="5" t="s">
        <v>140</v>
      </c>
      <c r="C71" s="8" t="s">
        <v>141</v>
      </c>
      <c r="D71" s="8" t="s">
        <v>267</v>
      </c>
      <c r="E71" s="9">
        <v>128</v>
      </c>
      <c r="F71" s="9">
        <v>59</v>
      </c>
      <c r="G71" s="9">
        <v>68</v>
      </c>
      <c r="H71" s="9">
        <v>1</v>
      </c>
      <c r="I71" s="9">
        <v>8</v>
      </c>
      <c r="J71" s="9">
        <v>0</v>
      </c>
      <c r="K71" s="9">
        <v>2</v>
      </c>
      <c r="L71" s="9">
        <v>21</v>
      </c>
      <c r="M71" s="9">
        <v>1</v>
      </c>
      <c r="N71" s="9">
        <v>111</v>
      </c>
      <c r="O71" s="9">
        <f t="shared" si="2"/>
        <v>3</v>
      </c>
      <c r="P71" s="9"/>
      <c r="Q71" s="9">
        <v>4</v>
      </c>
      <c r="R71" s="9">
        <v>14</v>
      </c>
      <c r="S71" s="9">
        <v>13</v>
      </c>
      <c r="T71" s="9">
        <v>28</v>
      </c>
      <c r="U71" s="9">
        <v>24</v>
      </c>
      <c r="V71" s="9">
        <v>21</v>
      </c>
      <c r="W71" s="9">
        <v>10</v>
      </c>
      <c r="X71" s="9">
        <v>18</v>
      </c>
    </row>
    <row r="72" spans="2:24">
      <c r="B72" s="5" t="s">
        <v>142</v>
      </c>
      <c r="C72" s="8" t="s">
        <v>143</v>
      </c>
      <c r="D72" s="8" t="s">
        <v>267</v>
      </c>
      <c r="E72" s="9">
        <v>343</v>
      </c>
      <c r="F72" s="9">
        <v>170</v>
      </c>
      <c r="G72" s="9">
        <v>169</v>
      </c>
      <c r="H72" s="9">
        <v>4</v>
      </c>
      <c r="I72" s="9">
        <v>129</v>
      </c>
      <c r="J72" s="9">
        <v>0</v>
      </c>
      <c r="K72" s="9">
        <v>4</v>
      </c>
      <c r="L72" s="9">
        <v>95</v>
      </c>
      <c r="M72" s="9">
        <v>1</v>
      </c>
      <c r="N72" s="9">
        <v>243</v>
      </c>
      <c r="O72" s="9">
        <f t="shared" si="2"/>
        <v>5</v>
      </c>
      <c r="P72" s="9"/>
      <c r="Q72" s="9">
        <v>19</v>
      </c>
      <c r="R72" s="9">
        <v>25</v>
      </c>
      <c r="S72" s="9">
        <v>51</v>
      </c>
      <c r="T72" s="9">
        <v>76</v>
      </c>
      <c r="U72" s="9">
        <v>77</v>
      </c>
      <c r="V72" s="9">
        <v>52</v>
      </c>
      <c r="W72" s="9">
        <v>9</v>
      </c>
      <c r="X72" s="9">
        <v>53</v>
      </c>
    </row>
    <row r="73" spans="2:24">
      <c r="B73" s="5" t="s">
        <v>144</v>
      </c>
      <c r="C73" s="8" t="s">
        <v>145</v>
      </c>
      <c r="D73" s="8" t="s">
        <v>267</v>
      </c>
      <c r="E73" s="9">
        <v>145</v>
      </c>
      <c r="F73" s="9">
        <v>71</v>
      </c>
      <c r="G73" s="9">
        <v>70</v>
      </c>
      <c r="H73" s="9">
        <v>4</v>
      </c>
      <c r="I73" s="9">
        <v>46</v>
      </c>
      <c r="J73" s="9">
        <v>0</v>
      </c>
      <c r="K73" s="9">
        <v>6</v>
      </c>
      <c r="L73" s="9">
        <v>18</v>
      </c>
      <c r="M73" s="9">
        <v>0</v>
      </c>
      <c r="N73" s="9">
        <v>106</v>
      </c>
      <c r="O73" s="9">
        <f t="shared" si="2"/>
        <v>6</v>
      </c>
      <c r="P73" s="9"/>
      <c r="Q73" s="9">
        <v>22</v>
      </c>
      <c r="R73" s="9">
        <v>4</v>
      </c>
      <c r="S73" s="9">
        <v>16</v>
      </c>
      <c r="T73" s="9">
        <v>17</v>
      </c>
      <c r="U73" s="9">
        <v>21</v>
      </c>
      <c r="V73" s="9">
        <v>17</v>
      </c>
      <c r="W73" s="9">
        <v>8</v>
      </c>
      <c r="X73" s="9">
        <v>62</v>
      </c>
    </row>
    <row r="74" spans="2:24">
      <c r="B74" s="5" t="s">
        <v>146</v>
      </c>
      <c r="C74" s="8" t="s">
        <v>147</v>
      </c>
      <c r="D74" s="8" t="s">
        <v>264</v>
      </c>
      <c r="E74" s="9">
        <v>162</v>
      </c>
      <c r="F74" s="9">
        <v>83</v>
      </c>
      <c r="G74" s="9">
        <v>78</v>
      </c>
      <c r="H74" s="9">
        <v>1</v>
      </c>
      <c r="I74" s="9">
        <v>5</v>
      </c>
      <c r="J74" s="9">
        <v>0</v>
      </c>
      <c r="K74" s="9">
        <v>2</v>
      </c>
      <c r="L74" s="9">
        <v>42</v>
      </c>
      <c r="M74" s="9">
        <v>0</v>
      </c>
      <c r="N74" s="9">
        <v>124</v>
      </c>
      <c r="O74" s="9">
        <f t="shared" si="2"/>
        <v>2</v>
      </c>
      <c r="P74" s="9"/>
      <c r="Q74" s="9">
        <v>12</v>
      </c>
      <c r="R74" s="9">
        <v>12</v>
      </c>
      <c r="S74" s="9">
        <v>20</v>
      </c>
      <c r="T74" s="9">
        <v>21</v>
      </c>
      <c r="U74" s="9">
        <v>33</v>
      </c>
      <c r="V74" s="9">
        <v>22</v>
      </c>
      <c r="W74" s="9">
        <v>13</v>
      </c>
      <c r="X74" s="9">
        <v>41</v>
      </c>
    </row>
    <row r="75" spans="2:24">
      <c r="B75" s="5" t="s">
        <v>148</v>
      </c>
      <c r="C75" s="8" t="s">
        <v>149</v>
      </c>
      <c r="D75" s="8" t="s">
        <v>265</v>
      </c>
      <c r="E75" s="9">
        <v>390</v>
      </c>
      <c r="F75" s="9">
        <v>182</v>
      </c>
      <c r="G75" s="9">
        <v>208</v>
      </c>
      <c r="H75" s="9">
        <v>0</v>
      </c>
      <c r="I75" s="9">
        <v>5</v>
      </c>
      <c r="J75" s="9">
        <v>0</v>
      </c>
      <c r="K75" s="9">
        <v>0</v>
      </c>
      <c r="L75" s="9">
        <v>190</v>
      </c>
      <c r="M75" s="9">
        <v>0</v>
      </c>
      <c r="N75" s="9">
        <v>196</v>
      </c>
      <c r="O75" s="9">
        <f t="shared" si="2"/>
        <v>0</v>
      </c>
      <c r="P75" s="9"/>
      <c r="Q75" s="9">
        <v>11</v>
      </c>
      <c r="R75" s="9">
        <v>20</v>
      </c>
      <c r="S75" s="9">
        <v>44</v>
      </c>
      <c r="T75" s="9">
        <v>95</v>
      </c>
      <c r="U75" s="9">
        <v>82</v>
      </c>
      <c r="V75" s="9">
        <v>56</v>
      </c>
      <c r="W75" s="9">
        <v>19</v>
      </c>
      <c r="X75" s="9">
        <v>74</v>
      </c>
    </row>
    <row r="76" spans="2:24">
      <c r="B76" s="5" t="s">
        <v>150</v>
      </c>
      <c r="C76" s="8" t="s">
        <v>151</v>
      </c>
      <c r="D76" s="8" t="s">
        <v>266</v>
      </c>
      <c r="E76" s="9">
        <v>164</v>
      </c>
      <c r="F76" s="9">
        <v>77</v>
      </c>
      <c r="G76" s="9">
        <v>82</v>
      </c>
      <c r="H76" s="9">
        <v>5</v>
      </c>
      <c r="I76" s="9">
        <v>2</v>
      </c>
      <c r="J76" s="9">
        <v>0</v>
      </c>
      <c r="K76" s="9">
        <v>0</v>
      </c>
      <c r="L76" s="9">
        <v>45</v>
      </c>
      <c r="M76" s="9">
        <v>0</v>
      </c>
      <c r="N76" s="9">
        <v>102</v>
      </c>
      <c r="O76" s="9">
        <f t="shared" si="2"/>
        <v>0</v>
      </c>
      <c r="P76" s="9"/>
      <c r="Q76" s="9">
        <v>19</v>
      </c>
      <c r="R76" s="9">
        <v>7</v>
      </c>
      <c r="S76" s="9">
        <v>22</v>
      </c>
      <c r="T76" s="9">
        <v>21</v>
      </c>
      <c r="U76" s="9">
        <v>28</v>
      </c>
      <c r="V76" s="9">
        <v>19</v>
      </c>
      <c r="W76" s="9">
        <v>10</v>
      </c>
      <c r="X76" s="9">
        <v>57</v>
      </c>
    </row>
    <row r="77" spans="2:24">
      <c r="B77" s="5" t="s">
        <v>152</v>
      </c>
      <c r="C77" s="8" t="s">
        <v>153</v>
      </c>
      <c r="D77" s="8" t="s">
        <v>268</v>
      </c>
      <c r="E77" s="9">
        <v>573</v>
      </c>
      <c r="F77" s="9">
        <v>279</v>
      </c>
      <c r="G77" s="9">
        <v>291</v>
      </c>
      <c r="H77" s="9">
        <v>3</v>
      </c>
      <c r="I77" s="9">
        <v>9</v>
      </c>
      <c r="J77" s="9">
        <v>1</v>
      </c>
      <c r="K77" s="9">
        <v>1</v>
      </c>
      <c r="L77" s="9">
        <v>37</v>
      </c>
      <c r="M77" s="9">
        <v>0</v>
      </c>
      <c r="N77" s="9">
        <v>526</v>
      </c>
      <c r="O77" s="9">
        <f t="shared" si="2"/>
        <v>2</v>
      </c>
      <c r="P77" s="9"/>
      <c r="Q77" s="9">
        <v>21</v>
      </c>
      <c r="R77" s="9">
        <v>48</v>
      </c>
      <c r="S77" s="9">
        <v>108</v>
      </c>
      <c r="T77" s="9">
        <v>134</v>
      </c>
      <c r="U77" s="9">
        <v>118</v>
      </c>
      <c r="V77" s="9">
        <v>88</v>
      </c>
      <c r="W77" s="9">
        <v>26</v>
      </c>
      <c r="X77" s="9">
        <v>51</v>
      </c>
    </row>
    <row r="78" spans="2:24">
      <c r="B78" s="5" t="s">
        <v>154</v>
      </c>
      <c r="C78" s="8" t="s">
        <v>155</v>
      </c>
      <c r="D78" s="8" t="s">
        <v>265</v>
      </c>
      <c r="E78" s="9">
        <v>172</v>
      </c>
      <c r="F78" s="9">
        <v>68</v>
      </c>
      <c r="G78" s="9">
        <v>103</v>
      </c>
      <c r="H78" s="9">
        <v>1</v>
      </c>
      <c r="I78" s="9">
        <v>2</v>
      </c>
      <c r="J78" s="9">
        <v>0</v>
      </c>
      <c r="K78" s="9">
        <v>0</v>
      </c>
      <c r="L78" s="9">
        <v>13</v>
      </c>
      <c r="M78" s="9">
        <v>0</v>
      </c>
      <c r="N78" s="9">
        <v>154</v>
      </c>
      <c r="O78" s="9">
        <f t="shared" si="2"/>
        <v>0</v>
      </c>
      <c r="P78" s="9"/>
      <c r="Q78" s="9">
        <v>10</v>
      </c>
      <c r="R78" s="9">
        <v>10</v>
      </c>
      <c r="S78" s="9">
        <v>30</v>
      </c>
      <c r="T78" s="9">
        <v>40</v>
      </c>
      <c r="U78" s="9">
        <v>26</v>
      </c>
      <c r="V78" s="9">
        <v>28</v>
      </c>
      <c r="W78" s="9">
        <v>18</v>
      </c>
      <c r="X78" s="9">
        <v>20</v>
      </c>
    </row>
    <row r="79" spans="2:24">
      <c r="B79" s="5" t="s">
        <v>156</v>
      </c>
      <c r="C79" s="8" t="s">
        <v>157</v>
      </c>
      <c r="D79" s="8" t="s">
        <v>266</v>
      </c>
      <c r="E79" s="9">
        <v>165</v>
      </c>
      <c r="F79" s="9">
        <v>83</v>
      </c>
      <c r="G79" s="9">
        <v>77</v>
      </c>
      <c r="H79" s="9">
        <v>5</v>
      </c>
      <c r="I79" s="9">
        <v>1</v>
      </c>
      <c r="J79" s="9">
        <v>0</v>
      </c>
      <c r="K79" s="9">
        <v>0</v>
      </c>
      <c r="L79" s="9">
        <v>23</v>
      </c>
      <c r="M79" s="9">
        <v>0</v>
      </c>
      <c r="N79" s="9">
        <v>124</v>
      </c>
      <c r="O79" s="9">
        <f t="shared" si="2"/>
        <v>0</v>
      </c>
      <c r="P79" s="9"/>
      <c r="Q79" s="9">
        <v>23</v>
      </c>
      <c r="R79" s="9">
        <v>13</v>
      </c>
      <c r="S79" s="9">
        <v>15</v>
      </c>
      <c r="T79" s="9">
        <v>21</v>
      </c>
      <c r="U79" s="9">
        <v>22</v>
      </c>
      <c r="V79" s="9">
        <v>32</v>
      </c>
      <c r="W79" s="9">
        <v>15</v>
      </c>
      <c r="X79" s="9">
        <v>47</v>
      </c>
    </row>
    <row r="80" spans="2:24">
      <c r="B80" s="5" t="s">
        <v>158</v>
      </c>
      <c r="C80" s="8" t="s">
        <v>159</v>
      </c>
      <c r="D80" s="8" t="s">
        <v>264</v>
      </c>
      <c r="E80" s="9">
        <v>2604</v>
      </c>
      <c r="F80" s="9">
        <v>1279</v>
      </c>
      <c r="G80" s="9">
        <v>1282</v>
      </c>
      <c r="H80" s="9">
        <v>43</v>
      </c>
      <c r="I80" s="9">
        <v>144</v>
      </c>
      <c r="J80" s="9">
        <v>4</v>
      </c>
      <c r="K80" s="9">
        <v>21</v>
      </c>
      <c r="L80" s="9">
        <v>1561</v>
      </c>
      <c r="M80" s="9">
        <v>14</v>
      </c>
      <c r="N80" s="9">
        <v>895</v>
      </c>
      <c r="O80" s="9">
        <f t="shared" si="2"/>
        <v>39</v>
      </c>
      <c r="P80" s="9"/>
      <c r="Q80" s="9">
        <v>283</v>
      </c>
      <c r="R80" s="9">
        <v>158</v>
      </c>
      <c r="S80" s="9">
        <v>399</v>
      </c>
      <c r="T80" s="9">
        <v>499</v>
      </c>
      <c r="U80" s="9">
        <v>412</v>
      </c>
      <c r="V80" s="9">
        <v>372</v>
      </c>
      <c r="W80" s="9">
        <v>145</v>
      </c>
      <c r="X80" s="9">
        <v>619</v>
      </c>
    </row>
    <row r="81" spans="2:24">
      <c r="B81" s="5" t="s">
        <v>160</v>
      </c>
      <c r="C81" s="8" t="s">
        <v>161</v>
      </c>
      <c r="D81" s="8" t="s">
        <v>264</v>
      </c>
      <c r="E81" s="9">
        <v>3167</v>
      </c>
      <c r="F81" s="9">
        <v>1558</v>
      </c>
      <c r="G81" s="9">
        <v>1542</v>
      </c>
      <c r="H81" s="9">
        <v>67</v>
      </c>
      <c r="I81" s="9">
        <v>124</v>
      </c>
      <c r="J81" s="9">
        <v>11</v>
      </c>
      <c r="K81" s="9">
        <v>42</v>
      </c>
      <c r="L81" s="9">
        <v>2162</v>
      </c>
      <c r="M81" s="9">
        <v>8</v>
      </c>
      <c r="N81" s="9">
        <v>973</v>
      </c>
      <c r="O81" s="9">
        <f t="shared" si="2"/>
        <v>61</v>
      </c>
      <c r="P81" s="9"/>
      <c r="Q81" s="9">
        <v>139</v>
      </c>
      <c r="R81" s="9">
        <v>253</v>
      </c>
      <c r="S81" s="9">
        <v>502</v>
      </c>
      <c r="T81" s="9">
        <v>599</v>
      </c>
      <c r="U81" s="9">
        <v>561</v>
      </c>
      <c r="V81" s="9">
        <v>465</v>
      </c>
      <c r="W81" s="9">
        <v>214</v>
      </c>
      <c r="X81" s="9">
        <v>573</v>
      </c>
    </row>
    <row r="82" spans="2:24">
      <c r="B82" s="5" t="s">
        <v>162</v>
      </c>
      <c r="C82" s="8" t="s">
        <v>163</v>
      </c>
      <c r="D82" s="8" t="s">
        <v>264</v>
      </c>
      <c r="E82" s="9">
        <v>91</v>
      </c>
      <c r="F82" s="9">
        <v>44</v>
      </c>
      <c r="G82" s="9">
        <v>47</v>
      </c>
      <c r="H82" s="9">
        <v>0</v>
      </c>
      <c r="I82" s="9">
        <v>6</v>
      </c>
      <c r="J82" s="9">
        <v>1</v>
      </c>
      <c r="K82" s="9">
        <v>2</v>
      </c>
      <c r="L82" s="9">
        <v>42</v>
      </c>
      <c r="M82" s="9">
        <v>2</v>
      </c>
      <c r="N82" s="9">
        <v>45</v>
      </c>
      <c r="O82" s="9">
        <f t="shared" si="2"/>
        <v>5</v>
      </c>
      <c r="P82" s="9"/>
      <c r="Q82" s="9">
        <v>0</v>
      </c>
      <c r="R82" s="9">
        <v>6</v>
      </c>
      <c r="S82" s="9">
        <v>10</v>
      </c>
      <c r="T82" s="9">
        <v>26</v>
      </c>
      <c r="U82" s="9">
        <v>19</v>
      </c>
      <c r="V82" s="9">
        <v>12</v>
      </c>
      <c r="W82" s="9">
        <v>6</v>
      </c>
      <c r="X82" s="9">
        <v>12</v>
      </c>
    </row>
    <row r="83" spans="2:24">
      <c r="B83" s="5" t="s">
        <v>164</v>
      </c>
      <c r="C83" s="8" t="s">
        <v>165</v>
      </c>
      <c r="D83" s="8" t="s">
        <v>266</v>
      </c>
      <c r="E83" s="9">
        <v>98</v>
      </c>
      <c r="F83" s="9">
        <v>58</v>
      </c>
      <c r="G83" s="9">
        <v>39</v>
      </c>
      <c r="H83" s="9">
        <v>1</v>
      </c>
      <c r="I83" s="9">
        <v>5</v>
      </c>
      <c r="J83" s="9">
        <v>0</v>
      </c>
      <c r="K83" s="9">
        <v>0</v>
      </c>
      <c r="L83" s="9">
        <v>49</v>
      </c>
      <c r="M83" s="9">
        <v>0</v>
      </c>
      <c r="N83" s="9">
        <v>52</v>
      </c>
      <c r="O83" s="9">
        <f t="shared" si="2"/>
        <v>0</v>
      </c>
      <c r="P83" s="9"/>
      <c r="Q83" s="9">
        <v>2</v>
      </c>
      <c r="R83" s="9">
        <v>5</v>
      </c>
      <c r="S83" s="9">
        <v>11</v>
      </c>
      <c r="T83" s="9">
        <v>21</v>
      </c>
      <c r="U83" s="9">
        <v>29</v>
      </c>
      <c r="V83" s="9">
        <v>18</v>
      </c>
      <c r="W83" s="9">
        <v>1</v>
      </c>
      <c r="X83" s="9">
        <v>13</v>
      </c>
    </row>
    <row r="84" spans="2:24">
      <c r="B84" s="5" t="s">
        <v>166</v>
      </c>
      <c r="C84" s="8" t="s">
        <v>167</v>
      </c>
      <c r="D84" s="8" t="s">
        <v>268</v>
      </c>
      <c r="E84" s="9">
        <v>49</v>
      </c>
      <c r="F84" s="9">
        <v>21</v>
      </c>
      <c r="G84" s="9">
        <v>28</v>
      </c>
      <c r="H84" s="9">
        <v>0</v>
      </c>
      <c r="I84" s="9">
        <v>0</v>
      </c>
      <c r="J84" s="9">
        <v>0</v>
      </c>
      <c r="K84" s="9">
        <v>0</v>
      </c>
      <c r="L84" s="9">
        <v>7</v>
      </c>
      <c r="M84" s="9">
        <v>0</v>
      </c>
      <c r="N84" s="9">
        <v>48</v>
      </c>
      <c r="O84" s="9">
        <f t="shared" si="2"/>
        <v>0</v>
      </c>
      <c r="P84" s="9"/>
      <c r="Q84" s="9">
        <v>0</v>
      </c>
      <c r="R84" s="9">
        <v>3</v>
      </c>
      <c r="S84" s="9">
        <v>8</v>
      </c>
      <c r="T84" s="9">
        <v>7</v>
      </c>
      <c r="U84" s="9">
        <v>14</v>
      </c>
      <c r="V84" s="9">
        <v>10</v>
      </c>
      <c r="W84" s="9">
        <v>1</v>
      </c>
      <c r="X84" s="9">
        <v>6</v>
      </c>
    </row>
    <row r="85" spans="2:24">
      <c r="B85" s="5" t="s">
        <v>168</v>
      </c>
      <c r="C85" s="8" t="s">
        <v>169</v>
      </c>
      <c r="D85" s="8" t="s">
        <v>266</v>
      </c>
      <c r="E85" s="9">
        <v>72</v>
      </c>
      <c r="F85" s="9">
        <v>35</v>
      </c>
      <c r="G85" s="9">
        <v>37</v>
      </c>
      <c r="H85" s="9">
        <v>0</v>
      </c>
      <c r="I85" s="9">
        <v>1</v>
      </c>
      <c r="J85" s="9">
        <v>0</v>
      </c>
      <c r="K85" s="9">
        <v>0</v>
      </c>
      <c r="L85" s="9">
        <v>30</v>
      </c>
      <c r="M85" s="9">
        <v>0</v>
      </c>
      <c r="N85" s="9">
        <v>40</v>
      </c>
      <c r="O85" s="9">
        <f t="shared" si="2"/>
        <v>0</v>
      </c>
      <c r="P85" s="9"/>
      <c r="Q85" s="9">
        <v>2</v>
      </c>
      <c r="R85" s="9">
        <v>9</v>
      </c>
      <c r="S85" s="9">
        <v>5</v>
      </c>
      <c r="T85" s="9">
        <v>8</v>
      </c>
      <c r="U85" s="9">
        <v>13</v>
      </c>
      <c r="V85" s="9">
        <v>13</v>
      </c>
      <c r="W85" s="9">
        <v>8</v>
      </c>
      <c r="X85" s="9">
        <v>16</v>
      </c>
    </row>
    <row r="86" spans="2:24">
      <c r="B86" s="5" t="s">
        <v>170</v>
      </c>
      <c r="C86" s="8" t="s">
        <v>171</v>
      </c>
      <c r="D86" s="8" t="s">
        <v>267</v>
      </c>
      <c r="E86" s="9">
        <v>370</v>
      </c>
      <c r="F86" s="9">
        <v>176</v>
      </c>
      <c r="G86" s="9">
        <v>192</v>
      </c>
      <c r="H86" s="9">
        <v>2</v>
      </c>
      <c r="I86" s="9">
        <v>26</v>
      </c>
      <c r="J86" s="9">
        <v>0</v>
      </c>
      <c r="K86" s="9">
        <v>2</v>
      </c>
      <c r="L86" s="9">
        <v>75</v>
      </c>
      <c r="M86" s="9">
        <v>1</v>
      </c>
      <c r="N86" s="9">
        <v>288</v>
      </c>
      <c r="O86" s="9">
        <f t="shared" si="2"/>
        <v>3</v>
      </c>
      <c r="P86" s="9"/>
      <c r="Q86" s="9">
        <v>17</v>
      </c>
      <c r="R86" s="9">
        <v>24</v>
      </c>
      <c r="S86" s="9">
        <v>74</v>
      </c>
      <c r="T86" s="9">
        <v>75</v>
      </c>
      <c r="U86" s="9">
        <v>61</v>
      </c>
      <c r="V86" s="9">
        <v>74</v>
      </c>
      <c r="W86" s="9">
        <v>31</v>
      </c>
      <c r="X86" s="9">
        <v>31</v>
      </c>
    </row>
    <row r="87" spans="2:24">
      <c r="B87" s="5" t="s">
        <v>172</v>
      </c>
      <c r="C87" s="8" t="s">
        <v>173</v>
      </c>
      <c r="D87" s="8" t="s">
        <v>267</v>
      </c>
      <c r="E87" s="9">
        <v>286</v>
      </c>
      <c r="F87" s="9">
        <v>123</v>
      </c>
      <c r="G87" s="9">
        <v>159</v>
      </c>
      <c r="H87" s="9">
        <v>4</v>
      </c>
      <c r="I87" s="9">
        <v>5</v>
      </c>
      <c r="J87" s="9">
        <v>0</v>
      </c>
      <c r="K87" s="9">
        <v>0</v>
      </c>
      <c r="L87" s="9">
        <v>11</v>
      </c>
      <c r="M87" s="9">
        <v>0</v>
      </c>
      <c r="N87" s="9">
        <v>277</v>
      </c>
      <c r="O87" s="9">
        <f t="shared" si="2"/>
        <v>0</v>
      </c>
      <c r="P87" s="9"/>
      <c r="Q87" s="9">
        <v>0</v>
      </c>
      <c r="R87" s="9">
        <v>24</v>
      </c>
      <c r="S87" s="9">
        <v>34</v>
      </c>
      <c r="T87" s="9">
        <v>71</v>
      </c>
      <c r="U87" s="9">
        <v>47</v>
      </c>
      <c r="V87" s="9">
        <v>48</v>
      </c>
      <c r="W87" s="9">
        <v>18</v>
      </c>
      <c r="X87" s="9">
        <v>44</v>
      </c>
    </row>
    <row r="88" spans="2:24">
      <c r="B88" s="5" t="s">
        <v>174</v>
      </c>
      <c r="C88" s="8" t="s">
        <v>175</v>
      </c>
      <c r="D88" s="8" t="s">
        <v>268</v>
      </c>
      <c r="E88" s="9">
        <v>179</v>
      </c>
      <c r="F88" s="9">
        <v>88</v>
      </c>
      <c r="G88" s="9">
        <v>88</v>
      </c>
      <c r="H88" s="9">
        <v>3</v>
      </c>
      <c r="I88" s="9">
        <v>9</v>
      </c>
      <c r="J88" s="9">
        <v>0</v>
      </c>
      <c r="K88" s="9">
        <v>0</v>
      </c>
      <c r="L88" s="9">
        <v>22</v>
      </c>
      <c r="M88" s="9">
        <v>0</v>
      </c>
      <c r="N88" s="9">
        <v>149</v>
      </c>
      <c r="O88" s="9">
        <f t="shared" si="2"/>
        <v>0</v>
      </c>
      <c r="P88" s="9"/>
      <c r="Q88" s="9">
        <v>10</v>
      </c>
      <c r="R88" s="9">
        <v>20</v>
      </c>
      <c r="S88" s="9">
        <v>38</v>
      </c>
      <c r="T88" s="9">
        <v>53</v>
      </c>
      <c r="U88" s="9">
        <v>28</v>
      </c>
      <c r="V88" s="9">
        <v>13</v>
      </c>
      <c r="W88" s="9">
        <v>14</v>
      </c>
      <c r="X88" s="9">
        <v>13</v>
      </c>
    </row>
    <row r="89" spans="2:24">
      <c r="B89" s="5" t="s">
        <v>176</v>
      </c>
      <c r="C89" s="8" t="s">
        <v>177</v>
      </c>
      <c r="D89" s="8" t="s">
        <v>266</v>
      </c>
      <c r="E89" s="9">
        <v>321</v>
      </c>
      <c r="F89" s="9">
        <v>153</v>
      </c>
      <c r="G89" s="9">
        <v>161</v>
      </c>
      <c r="H89" s="9">
        <v>7</v>
      </c>
      <c r="I89" s="9">
        <v>11</v>
      </c>
      <c r="J89" s="9">
        <v>0</v>
      </c>
      <c r="K89" s="9">
        <v>0</v>
      </c>
      <c r="L89" s="9">
        <v>256</v>
      </c>
      <c r="M89" s="9">
        <v>2</v>
      </c>
      <c r="N89" s="9">
        <v>46</v>
      </c>
      <c r="O89" s="9">
        <f t="shared" si="2"/>
        <v>2</v>
      </c>
      <c r="P89" s="9"/>
      <c r="Q89" s="9">
        <v>23</v>
      </c>
      <c r="R89" s="9">
        <v>33</v>
      </c>
      <c r="S89" s="9">
        <v>60</v>
      </c>
      <c r="T89" s="9">
        <v>68</v>
      </c>
      <c r="U89" s="9">
        <v>40</v>
      </c>
      <c r="V89" s="9">
        <v>34</v>
      </c>
      <c r="W89" s="9">
        <v>18</v>
      </c>
      <c r="X89" s="9">
        <v>68</v>
      </c>
    </row>
    <row r="90" spans="2:24">
      <c r="B90" s="5" t="s">
        <v>178</v>
      </c>
      <c r="C90" s="8" t="s">
        <v>179</v>
      </c>
      <c r="D90" s="8" t="s">
        <v>265</v>
      </c>
      <c r="E90" s="9">
        <v>614</v>
      </c>
      <c r="F90" s="9">
        <v>269</v>
      </c>
      <c r="G90" s="9">
        <v>330</v>
      </c>
      <c r="H90" s="9">
        <v>15</v>
      </c>
      <c r="I90" s="9">
        <v>19</v>
      </c>
      <c r="J90" s="9">
        <v>2</v>
      </c>
      <c r="K90" s="9">
        <v>0</v>
      </c>
      <c r="L90" s="9">
        <v>132</v>
      </c>
      <c r="M90" s="9">
        <v>5</v>
      </c>
      <c r="N90" s="9">
        <v>461</v>
      </c>
      <c r="O90" s="9">
        <f t="shared" si="2"/>
        <v>7</v>
      </c>
      <c r="P90" s="9"/>
      <c r="Q90" s="9">
        <v>55</v>
      </c>
      <c r="R90" s="9">
        <v>42</v>
      </c>
      <c r="S90" s="9">
        <v>91</v>
      </c>
      <c r="T90" s="9">
        <v>128</v>
      </c>
      <c r="U90" s="9">
        <v>79</v>
      </c>
      <c r="V90" s="9">
        <v>95</v>
      </c>
      <c r="W90" s="9">
        <v>31</v>
      </c>
      <c r="X90" s="9">
        <v>148</v>
      </c>
    </row>
    <row r="91" spans="2:24">
      <c r="B91" s="5" t="s">
        <v>180</v>
      </c>
      <c r="C91" s="8" t="s">
        <v>181</v>
      </c>
      <c r="D91" s="8" t="s">
        <v>264</v>
      </c>
      <c r="E91" s="9">
        <v>1806</v>
      </c>
      <c r="F91" s="9">
        <v>884</v>
      </c>
      <c r="G91" s="9">
        <v>866</v>
      </c>
      <c r="H91" s="9">
        <v>56</v>
      </c>
      <c r="I91" s="9">
        <v>45</v>
      </c>
      <c r="J91" s="9">
        <v>1</v>
      </c>
      <c r="K91" s="9">
        <v>15</v>
      </c>
      <c r="L91" s="9">
        <v>1209</v>
      </c>
      <c r="M91" s="9">
        <v>4</v>
      </c>
      <c r="N91" s="9">
        <v>510</v>
      </c>
      <c r="O91" s="9">
        <f t="shared" si="2"/>
        <v>20</v>
      </c>
      <c r="P91" s="9"/>
      <c r="Q91" s="9">
        <v>114</v>
      </c>
      <c r="R91" s="9">
        <v>128</v>
      </c>
      <c r="S91" s="9">
        <v>348</v>
      </c>
      <c r="T91" s="9">
        <v>404</v>
      </c>
      <c r="U91" s="9">
        <v>275</v>
      </c>
      <c r="V91" s="9">
        <v>235</v>
      </c>
      <c r="W91" s="9">
        <v>106</v>
      </c>
      <c r="X91" s="9">
        <v>310</v>
      </c>
    </row>
    <row r="92" spans="2:24">
      <c r="B92" s="5" t="s">
        <v>182</v>
      </c>
      <c r="C92" s="8" t="s">
        <v>183</v>
      </c>
      <c r="D92" s="8" t="s">
        <v>266</v>
      </c>
      <c r="E92" s="9">
        <v>104</v>
      </c>
      <c r="F92" s="9">
        <v>45</v>
      </c>
      <c r="G92" s="9">
        <v>57</v>
      </c>
      <c r="H92" s="9">
        <v>2</v>
      </c>
      <c r="I92" s="9">
        <v>1</v>
      </c>
      <c r="J92" s="9">
        <v>0</v>
      </c>
      <c r="K92" s="9">
        <v>3</v>
      </c>
      <c r="L92" s="9">
        <v>14</v>
      </c>
      <c r="M92" s="9">
        <v>0</v>
      </c>
      <c r="N92" s="9">
        <v>80</v>
      </c>
      <c r="O92" s="9">
        <f t="shared" si="2"/>
        <v>3</v>
      </c>
      <c r="P92" s="9"/>
      <c r="Q92" s="9">
        <v>13</v>
      </c>
      <c r="R92" s="9">
        <v>4</v>
      </c>
      <c r="S92" s="9">
        <v>18</v>
      </c>
      <c r="T92" s="9">
        <v>18</v>
      </c>
      <c r="U92" s="9">
        <v>23</v>
      </c>
      <c r="V92" s="9">
        <v>18</v>
      </c>
      <c r="W92" s="9">
        <v>3</v>
      </c>
      <c r="X92" s="9">
        <v>20</v>
      </c>
    </row>
    <row r="93" spans="2:24">
      <c r="B93" s="5" t="s">
        <v>184</v>
      </c>
      <c r="C93" s="8" t="s">
        <v>185</v>
      </c>
      <c r="D93" s="8" t="s">
        <v>266</v>
      </c>
      <c r="E93" s="9">
        <v>186</v>
      </c>
      <c r="F93" s="9">
        <v>88</v>
      </c>
      <c r="G93" s="9">
        <v>94</v>
      </c>
      <c r="H93" s="9">
        <v>4</v>
      </c>
      <c r="I93" s="9">
        <v>6</v>
      </c>
      <c r="J93" s="9">
        <v>0</v>
      </c>
      <c r="K93" s="9">
        <v>0</v>
      </c>
      <c r="L93" s="9">
        <v>95</v>
      </c>
      <c r="M93" s="9">
        <v>1</v>
      </c>
      <c r="N93" s="9">
        <v>88</v>
      </c>
      <c r="O93" s="9">
        <f t="shared" si="2"/>
        <v>1</v>
      </c>
      <c r="P93" s="9"/>
      <c r="Q93" s="9">
        <v>11</v>
      </c>
      <c r="R93" s="9">
        <v>12</v>
      </c>
      <c r="S93" s="9">
        <v>33</v>
      </c>
      <c r="T93" s="9">
        <v>42</v>
      </c>
      <c r="U93" s="9">
        <v>40</v>
      </c>
      <c r="V93" s="9">
        <v>22</v>
      </c>
      <c r="W93" s="9">
        <v>16</v>
      </c>
      <c r="X93" s="9">
        <v>21</v>
      </c>
    </row>
    <row r="94" spans="2:24">
      <c r="B94" s="5" t="s">
        <v>186</v>
      </c>
      <c r="C94" s="8" t="s">
        <v>187</v>
      </c>
      <c r="D94" s="8" t="s">
        <v>264</v>
      </c>
      <c r="E94" s="9">
        <v>171</v>
      </c>
      <c r="F94" s="9">
        <v>81</v>
      </c>
      <c r="G94" s="9">
        <v>90</v>
      </c>
      <c r="H94" s="9">
        <v>0</v>
      </c>
      <c r="I94" s="9">
        <v>6</v>
      </c>
      <c r="J94" s="9">
        <v>0</v>
      </c>
      <c r="K94" s="9">
        <v>3</v>
      </c>
      <c r="L94" s="9">
        <v>54</v>
      </c>
      <c r="M94" s="9">
        <v>0</v>
      </c>
      <c r="N94" s="9">
        <v>108</v>
      </c>
      <c r="O94" s="9">
        <f t="shared" si="2"/>
        <v>3</v>
      </c>
      <c r="P94" s="9"/>
      <c r="Q94" s="9">
        <v>14</v>
      </c>
      <c r="R94" s="9">
        <v>9</v>
      </c>
      <c r="S94" s="9">
        <v>30</v>
      </c>
      <c r="T94" s="9">
        <v>35</v>
      </c>
      <c r="U94" s="9">
        <v>26</v>
      </c>
      <c r="V94" s="9">
        <v>30</v>
      </c>
      <c r="W94" s="9">
        <v>14</v>
      </c>
      <c r="X94" s="9">
        <v>27</v>
      </c>
    </row>
    <row r="95" spans="2:24">
      <c r="B95" s="5" t="s">
        <v>188</v>
      </c>
      <c r="C95" s="8" t="s">
        <v>189</v>
      </c>
      <c r="D95" s="8" t="s">
        <v>267</v>
      </c>
      <c r="E95" s="9">
        <v>5581</v>
      </c>
      <c r="F95" s="9">
        <v>2630</v>
      </c>
      <c r="G95" s="9">
        <v>2848</v>
      </c>
      <c r="H95" s="9">
        <v>103</v>
      </c>
      <c r="I95" s="9">
        <v>1176</v>
      </c>
      <c r="J95" s="9">
        <v>2</v>
      </c>
      <c r="K95" s="9">
        <v>124</v>
      </c>
      <c r="L95" s="9">
        <v>2026</v>
      </c>
      <c r="M95" s="9">
        <v>19</v>
      </c>
      <c r="N95" s="9">
        <v>2888</v>
      </c>
      <c r="O95" s="9">
        <f t="shared" si="2"/>
        <v>145</v>
      </c>
      <c r="P95" s="9"/>
      <c r="Q95" s="9">
        <v>852</v>
      </c>
      <c r="R95" s="9">
        <v>292</v>
      </c>
      <c r="S95" s="9">
        <v>778</v>
      </c>
      <c r="T95" s="9">
        <v>1086</v>
      </c>
      <c r="U95" s="9">
        <v>1032</v>
      </c>
      <c r="V95" s="9">
        <v>920</v>
      </c>
      <c r="W95" s="9">
        <v>399</v>
      </c>
      <c r="X95" s="9">
        <v>1074</v>
      </c>
    </row>
    <row r="96" spans="2:24">
      <c r="B96" s="5" t="s">
        <v>190</v>
      </c>
      <c r="C96" s="8" t="s">
        <v>191</v>
      </c>
      <c r="D96" s="8" t="s">
        <v>268</v>
      </c>
      <c r="E96" s="9">
        <v>1051</v>
      </c>
      <c r="F96" s="9">
        <v>495</v>
      </c>
      <c r="G96" s="9">
        <v>515</v>
      </c>
      <c r="H96" s="9">
        <v>41</v>
      </c>
      <c r="I96" s="9">
        <v>20</v>
      </c>
      <c r="J96" s="9">
        <v>1</v>
      </c>
      <c r="K96" s="9">
        <v>3</v>
      </c>
      <c r="L96" s="9">
        <v>163</v>
      </c>
      <c r="M96" s="9">
        <v>1</v>
      </c>
      <c r="N96" s="9">
        <v>915</v>
      </c>
      <c r="O96" s="9">
        <f t="shared" si="2"/>
        <v>5</v>
      </c>
      <c r="P96" s="9"/>
      <c r="Q96" s="9">
        <v>69</v>
      </c>
      <c r="R96" s="9">
        <v>76</v>
      </c>
      <c r="S96" s="9">
        <v>231</v>
      </c>
      <c r="T96" s="9">
        <v>180</v>
      </c>
      <c r="U96" s="9">
        <v>169</v>
      </c>
      <c r="V96" s="9">
        <v>169</v>
      </c>
      <c r="W96" s="9">
        <v>97</v>
      </c>
      <c r="X96" s="9">
        <v>129</v>
      </c>
    </row>
    <row r="97" spans="2:24">
      <c r="B97" s="5" t="s">
        <v>192</v>
      </c>
      <c r="C97" s="8" t="s">
        <v>193</v>
      </c>
      <c r="D97" s="8" t="s">
        <v>268</v>
      </c>
      <c r="E97" s="9">
        <v>230</v>
      </c>
      <c r="F97" s="9">
        <v>118</v>
      </c>
      <c r="G97" s="9">
        <v>96</v>
      </c>
      <c r="H97" s="9">
        <v>16</v>
      </c>
      <c r="I97" s="9">
        <v>4</v>
      </c>
      <c r="J97" s="9">
        <v>0</v>
      </c>
      <c r="K97" s="9">
        <v>2</v>
      </c>
      <c r="L97" s="9">
        <v>22</v>
      </c>
      <c r="M97" s="9">
        <v>0</v>
      </c>
      <c r="N97" s="9">
        <v>141</v>
      </c>
      <c r="O97" s="9">
        <f t="shared" si="2"/>
        <v>2</v>
      </c>
      <c r="P97" s="9"/>
      <c r="Q97" s="9">
        <v>71</v>
      </c>
      <c r="R97" s="9">
        <v>16</v>
      </c>
      <c r="S97" s="9">
        <v>39</v>
      </c>
      <c r="T97" s="9">
        <v>29</v>
      </c>
      <c r="U97" s="9">
        <v>23</v>
      </c>
      <c r="V97" s="9">
        <v>26</v>
      </c>
      <c r="W97" s="9">
        <v>16</v>
      </c>
      <c r="X97" s="9">
        <v>81</v>
      </c>
    </row>
    <row r="98" spans="2:24">
      <c r="B98" s="5" t="s">
        <v>194</v>
      </c>
      <c r="C98" s="8" t="s">
        <v>195</v>
      </c>
      <c r="D98" s="8" t="s">
        <v>267</v>
      </c>
      <c r="E98" s="9">
        <v>36</v>
      </c>
      <c r="F98" s="9">
        <v>10</v>
      </c>
      <c r="G98" s="9">
        <v>21</v>
      </c>
      <c r="H98" s="9">
        <v>5</v>
      </c>
      <c r="I98" s="9">
        <v>0</v>
      </c>
      <c r="J98" s="9">
        <v>0</v>
      </c>
      <c r="K98" s="9">
        <v>0</v>
      </c>
      <c r="L98" s="9">
        <v>0</v>
      </c>
      <c r="M98" s="9">
        <v>0</v>
      </c>
      <c r="N98" s="9">
        <v>30</v>
      </c>
      <c r="O98" s="9">
        <f t="shared" si="2"/>
        <v>0</v>
      </c>
      <c r="P98" s="9"/>
      <c r="Q98" s="9">
        <v>6</v>
      </c>
      <c r="R98" s="9">
        <v>7</v>
      </c>
      <c r="S98" s="9">
        <v>5</v>
      </c>
      <c r="T98" s="9">
        <v>8</v>
      </c>
      <c r="U98" s="9">
        <v>0</v>
      </c>
      <c r="V98" s="9">
        <v>3</v>
      </c>
      <c r="W98" s="9">
        <v>2</v>
      </c>
      <c r="X98" s="9">
        <v>11</v>
      </c>
    </row>
    <row r="99" spans="2:24">
      <c r="B99" s="5" t="s">
        <v>196</v>
      </c>
      <c r="C99" s="8" t="s">
        <v>197</v>
      </c>
      <c r="D99" s="8" t="s">
        <v>266</v>
      </c>
      <c r="E99" s="9">
        <v>3661</v>
      </c>
      <c r="F99" s="9">
        <v>1751</v>
      </c>
      <c r="G99" s="9">
        <v>1786</v>
      </c>
      <c r="H99" s="9">
        <v>124</v>
      </c>
      <c r="I99" s="9">
        <v>144</v>
      </c>
      <c r="J99" s="9">
        <v>0</v>
      </c>
      <c r="K99" s="9">
        <v>35</v>
      </c>
      <c r="L99" s="9">
        <v>3106</v>
      </c>
      <c r="M99" s="9">
        <v>4</v>
      </c>
      <c r="N99" s="9">
        <v>519</v>
      </c>
      <c r="O99" s="9">
        <f t="shared" si="2"/>
        <v>39</v>
      </c>
      <c r="P99" s="9"/>
      <c r="Q99" s="9">
        <v>123</v>
      </c>
      <c r="R99" s="9">
        <v>308</v>
      </c>
      <c r="S99" s="9">
        <v>644</v>
      </c>
      <c r="T99" s="9">
        <v>795</v>
      </c>
      <c r="U99" s="9">
        <v>642</v>
      </c>
      <c r="V99" s="9">
        <v>490</v>
      </c>
      <c r="W99" s="9">
        <v>273</v>
      </c>
      <c r="X99" s="9">
        <v>509</v>
      </c>
    </row>
    <row r="100" spans="2:24">
      <c r="B100" s="5" t="s">
        <v>198</v>
      </c>
      <c r="C100" s="8" t="s">
        <v>272</v>
      </c>
      <c r="D100" s="8" t="s">
        <v>266</v>
      </c>
      <c r="E100" s="9">
        <v>42</v>
      </c>
      <c r="F100" s="9">
        <v>25</v>
      </c>
      <c r="G100" s="9">
        <v>17</v>
      </c>
      <c r="H100" s="9">
        <v>0</v>
      </c>
      <c r="I100" s="9">
        <v>6</v>
      </c>
      <c r="J100" s="9">
        <v>0</v>
      </c>
      <c r="K100" s="9">
        <v>0</v>
      </c>
      <c r="L100" s="9">
        <v>16</v>
      </c>
      <c r="M100" s="9">
        <v>0</v>
      </c>
      <c r="N100" s="9">
        <v>23</v>
      </c>
      <c r="O100" s="9">
        <f t="shared" si="2"/>
        <v>0</v>
      </c>
      <c r="P100" s="9"/>
      <c r="Q100" s="9">
        <v>3</v>
      </c>
      <c r="R100" s="9">
        <v>7</v>
      </c>
      <c r="S100" s="9">
        <v>7</v>
      </c>
      <c r="T100" s="9">
        <v>7</v>
      </c>
      <c r="U100" s="9">
        <v>3</v>
      </c>
      <c r="V100" s="9">
        <v>6</v>
      </c>
      <c r="W100" s="9">
        <v>3</v>
      </c>
      <c r="X100" s="9">
        <v>9</v>
      </c>
    </row>
    <row r="101" spans="2:24">
      <c r="B101" s="5" t="s">
        <v>200</v>
      </c>
      <c r="C101" s="8" t="s">
        <v>201</v>
      </c>
      <c r="D101" s="8" t="s">
        <v>265</v>
      </c>
      <c r="E101" s="9">
        <v>1888</v>
      </c>
      <c r="F101" s="9">
        <v>954</v>
      </c>
      <c r="G101" s="9">
        <v>907</v>
      </c>
      <c r="H101" s="9">
        <v>27</v>
      </c>
      <c r="I101" s="9">
        <v>120</v>
      </c>
      <c r="J101" s="9">
        <v>0</v>
      </c>
      <c r="K101" s="9">
        <v>12</v>
      </c>
      <c r="L101" s="9">
        <v>814</v>
      </c>
      <c r="M101" s="9">
        <v>25</v>
      </c>
      <c r="N101" s="9">
        <v>1129</v>
      </c>
      <c r="O101" s="9">
        <f t="shared" si="2"/>
        <v>37</v>
      </c>
      <c r="P101" s="9"/>
      <c r="Q101" s="9">
        <v>70</v>
      </c>
      <c r="R101" s="9">
        <v>208</v>
      </c>
      <c r="S101" s="9">
        <v>369</v>
      </c>
      <c r="T101" s="9">
        <v>378</v>
      </c>
      <c r="U101" s="9">
        <v>309</v>
      </c>
      <c r="V101" s="9">
        <v>309</v>
      </c>
      <c r="W101" s="9">
        <v>112</v>
      </c>
      <c r="X101" s="9">
        <v>203</v>
      </c>
    </row>
    <row r="102" spans="2:24">
      <c r="B102" s="5" t="s">
        <v>202</v>
      </c>
      <c r="C102" s="1" t="s">
        <v>301</v>
      </c>
      <c r="D102" s="8" t="s">
        <v>265</v>
      </c>
      <c r="E102" s="10">
        <v>1285</v>
      </c>
      <c r="F102" s="10">
        <v>622</v>
      </c>
      <c r="G102" s="10">
        <v>638</v>
      </c>
      <c r="H102" s="10">
        <v>25</v>
      </c>
      <c r="I102" s="10">
        <v>41</v>
      </c>
      <c r="J102" s="10">
        <v>2</v>
      </c>
      <c r="K102" s="10">
        <v>8</v>
      </c>
      <c r="L102" s="10">
        <v>189</v>
      </c>
      <c r="M102" s="10">
        <v>1</v>
      </c>
      <c r="N102" s="10">
        <v>1071</v>
      </c>
      <c r="O102" s="9">
        <f t="shared" si="2"/>
        <v>11</v>
      </c>
      <c r="P102" s="10">
        <v>0</v>
      </c>
      <c r="Q102" s="10">
        <v>75</v>
      </c>
      <c r="R102" s="10">
        <v>84</v>
      </c>
      <c r="S102" s="10">
        <v>183</v>
      </c>
      <c r="T102" s="10">
        <v>230</v>
      </c>
      <c r="U102" s="10">
        <v>251</v>
      </c>
      <c r="V102" s="10">
        <v>204</v>
      </c>
      <c r="W102" s="10">
        <v>107</v>
      </c>
      <c r="X102" s="10">
        <v>226</v>
      </c>
    </row>
    <row r="103" spans="2:24" ht="31.5">
      <c r="B103" s="5" t="s">
        <v>204</v>
      </c>
      <c r="C103" s="1" t="s">
        <v>293</v>
      </c>
      <c r="D103" s="8" t="s">
        <v>265</v>
      </c>
      <c r="E103" s="10">
        <v>312</v>
      </c>
      <c r="F103" s="10">
        <v>151</v>
      </c>
      <c r="G103" s="10">
        <v>158</v>
      </c>
      <c r="H103" s="10">
        <v>3</v>
      </c>
      <c r="I103" s="10">
        <v>14</v>
      </c>
      <c r="J103" s="10">
        <v>0</v>
      </c>
      <c r="K103" s="10">
        <v>0</v>
      </c>
      <c r="L103" s="10">
        <v>33</v>
      </c>
      <c r="M103" s="10">
        <v>0</v>
      </c>
      <c r="N103" s="10">
        <v>287</v>
      </c>
      <c r="O103" s="9">
        <f t="shared" si="2"/>
        <v>0</v>
      </c>
      <c r="P103" s="10">
        <v>0</v>
      </c>
      <c r="Q103" s="10">
        <v>10</v>
      </c>
      <c r="R103" s="10">
        <v>25</v>
      </c>
      <c r="S103" s="10">
        <v>51</v>
      </c>
      <c r="T103" s="10">
        <v>80</v>
      </c>
      <c r="U103" s="10">
        <v>59</v>
      </c>
      <c r="V103" s="10">
        <v>39</v>
      </c>
      <c r="W103" s="10">
        <v>13</v>
      </c>
      <c r="X103" s="10">
        <v>45</v>
      </c>
    </row>
    <row r="104" spans="2:24" ht="31.5">
      <c r="B104" s="5" t="s">
        <v>206</v>
      </c>
      <c r="C104" s="1" t="s">
        <v>294</v>
      </c>
      <c r="D104" s="8" t="s">
        <v>267</v>
      </c>
      <c r="E104" s="10">
        <v>2388</v>
      </c>
      <c r="F104" s="10">
        <v>1152</v>
      </c>
      <c r="G104" s="10">
        <v>1167</v>
      </c>
      <c r="H104" s="10">
        <v>69</v>
      </c>
      <c r="I104" s="10">
        <v>357</v>
      </c>
      <c r="J104" s="10">
        <v>0</v>
      </c>
      <c r="K104" s="10">
        <v>17</v>
      </c>
      <c r="L104" s="10">
        <v>160</v>
      </c>
      <c r="M104" s="10">
        <v>2</v>
      </c>
      <c r="N104" s="10">
        <v>2239</v>
      </c>
      <c r="O104" s="9">
        <f t="shared" si="2"/>
        <v>19</v>
      </c>
      <c r="P104" s="10">
        <v>0</v>
      </c>
      <c r="Q104" s="10">
        <v>22</v>
      </c>
      <c r="R104" s="10">
        <v>105</v>
      </c>
      <c r="S104" s="10">
        <v>265</v>
      </c>
      <c r="T104" s="10">
        <v>473</v>
      </c>
      <c r="U104" s="10">
        <v>369</v>
      </c>
      <c r="V104" s="10">
        <v>333</v>
      </c>
      <c r="W104" s="10">
        <v>129</v>
      </c>
      <c r="X104" s="10">
        <v>714</v>
      </c>
    </row>
    <row r="105" spans="2:24">
      <c r="B105" s="5" t="s">
        <v>208</v>
      </c>
      <c r="C105" s="8" t="s">
        <v>209</v>
      </c>
      <c r="D105" s="8" t="s">
        <v>268</v>
      </c>
      <c r="E105" s="9">
        <v>451</v>
      </c>
      <c r="F105" s="9">
        <v>243</v>
      </c>
      <c r="G105" s="9">
        <v>207</v>
      </c>
      <c r="H105" s="9">
        <v>1</v>
      </c>
      <c r="I105" s="9">
        <v>9</v>
      </c>
      <c r="J105" s="9">
        <v>0</v>
      </c>
      <c r="K105" s="9">
        <v>2</v>
      </c>
      <c r="L105" s="9">
        <v>9</v>
      </c>
      <c r="M105" s="9">
        <v>0</v>
      </c>
      <c r="N105" s="9">
        <v>437</v>
      </c>
      <c r="O105" s="9">
        <f t="shared" si="2"/>
        <v>2</v>
      </c>
      <c r="P105" s="9"/>
      <c r="Q105" s="9">
        <v>3</v>
      </c>
      <c r="R105" s="9">
        <v>40</v>
      </c>
      <c r="S105" s="9">
        <v>95</v>
      </c>
      <c r="T105" s="9">
        <v>120</v>
      </c>
      <c r="U105" s="9">
        <v>98</v>
      </c>
      <c r="V105" s="9">
        <v>41</v>
      </c>
      <c r="W105" s="9">
        <v>25</v>
      </c>
      <c r="X105" s="9">
        <v>32</v>
      </c>
    </row>
    <row r="106" spans="2:24">
      <c r="B106" s="5" t="s">
        <v>210</v>
      </c>
      <c r="C106" s="8" t="s">
        <v>211</v>
      </c>
      <c r="D106" s="8" t="s">
        <v>268</v>
      </c>
      <c r="E106" s="9">
        <v>319</v>
      </c>
      <c r="F106" s="9">
        <v>153</v>
      </c>
      <c r="G106" s="9">
        <v>166</v>
      </c>
      <c r="H106" s="9">
        <v>0</v>
      </c>
      <c r="I106" s="9">
        <v>2</v>
      </c>
      <c r="J106" s="9">
        <v>0</v>
      </c>
      <c r="K106" s="9">
        <v>0</v>
      </c>
      <c r="L106" s="9">
        <v>6</v>
      </c>
      <c r="M106" s="9">
        <v>1</v>
      </c>
      <c r="N106" s="9">
        <v>313</v>
      </c>
      <c r="O106" s="9">
        <f t="shared" si="2"/>
        <v>1</v>
      </c>
      <c r="P106" s="9"/>
      <c r="Q106" s="9">
        <v>3</v>
      </c>
      <c r="R106" s="9">
        <v>30</v>
      </c>
      <c r="S106" s="9">
        <v>70</v>
      </c>
      <c r="T106" s="9">
        <v>78</v>
      </c>
      <c r="U106" s="9">
        <v>57</v>
      </c>
      <c r="V106" s="9">
        <v>49</v>
      </c>
      <c r="W106" s="9">
        <v>13</v>
      </c>
      <c r="X106" s="9">
        <v>22</v>
      </c>
    </row>
    <row r="107" spans="2:24">
      <c r="B107" s="5" t="s">
        <v>212</v>
      </c>
      <c r="C107" s="8" t="s">
        <v>213</v>
      </c>
      <c r="D107" s="8" t="s">
        <v>267</v>
      </c>
      <c r="E107" s="9">
        <v>675</v>
      </c>
      <c r="F107" s="9">
        <v>340</v>
      </c>
      <c r="G107" s="9">
        <v>324</v>
      </c>
      <c r="H107" s="9">
        <v>11</v>
      </c>
      <c r="I107" s="9">
        <v>65</v>
      </c>
      <c r="J107" s="9">
        <v>0</v>
      </c>
      <c r="K107" s="9">
        <v>1</v>
      </c>
      <c r="L107" s="9">
        <v>15</v>
      </c>
      <c r="M107" s="9">
        <v>0</v>
      </c>
      <c r="N107" s="9">
        <v>661</v>
      </c>
      <c r="O107" s="9">
        <f t="shared" si="2"/>
        <v>1</v>
      </c>
      <c r="P107" s="9"/>
      <c r="Q107" s="9">
        <v>8</v>
      </c>
      <c r="R107" s="9">
        <v>36</v>
      </c>
      <c r="S107" s="9">
        <v>128</v>
      </c>
      <c r="T107" s="9">
        <v>153</v>
      </c>
      <c r="U107" s="9">
        <v>97</v>
      </c>
      <c r="V107" s="9">
        <v>85</v>
      </c>
      <c r="W107" s="9">
        <v>43</v>
      </c>
      <c r="X107" s="9">
        <v>133</v>
      </c>
    </row>
    <row r="108" spans="2:24">
      <c r="B108" s="5" t="s">
        <v>214</v>
      </c>
      <c r="C108" s="8" t="s">
        <v>215</v>
      </c>
      <c r="D108" s="8" t="s">
        <v>268</v>
      </c>
      <c r="E108" s="9">
        <v>904</v>
      </c>
      <c r="F108" s="9">
        <v>458</v>
      </c>
      <c r="G108" s="9">
        <v>437</v>
      </c>
      <c r="H108" s="9">
        <v>9</v>
      </c>
      <c r="I108" s="9">
        <v>15</v>
      </c>
      <c r="J108" s="9">
        <v>0</v>
      </c>
      <c r="K108" s="9">
        <v>0</v>
      </c>
      <c r="L108" s="9">
        <v>25</v>
      </c>
      <c r="M108" s="9">
        <v>1</v>
      </c>
      <c r="N108" s="9">
        <v>872</v>
      </c>
      <c r="O108" s="9">
        <f t="shared" si="2"/>
        <v>1</v>
      </c>
      <c r="P108" s="9"/>
      <c r="Q108" s="9">
        <v>15</v>
      </c>
      <c r="R108" s="9">
        <v>66</v>
      </c>
      <c r="S108" s="9">
        <v>154</v>
      </c>
      <c r="T108" s="9">
        <v>182</v>
      </c>
      <c r="U108" s="9">
        <v>139</v>
      </c>
      <c r="V108" s="9">
        <v>104</v>
      </c>
      <c r="W108" s="9">
        <v>40</v>
      </c>
      <c r="X108" s="9">
        <v>219</v>
      </c>
    </row>
    <row r="109" spans="2:24">
      <c r="B109" s="5" t="s">
        <v>216</v>
      </c>
      <c r="C109" s="8" t="s">
        <v>217</v>
      </c>
      <c r="D109" s="8" t="s">
        <v>264</v>
      </c>
      <c r="E109" s="9">
        <v>108</v>
      </c>
      <c r="F109" s="9">
        <v>53</v>
      </c>
      <c r="G109" s="9">
        <v>55</v>
      </c>
      <c r="H109" s="9">
        <v>0</v>
      </c>
      <c r="I109" s="9">
        <v>3</v>
      </c>
      <c r="J109" s="9">
        <v>1</v>
      </c>
      <c r="K109" s="9">
        <v>0</v>
      </c>
      <c r="L109" s="9">
        <v>65</v>
      </c>
      <c r="M109" s="9">
        <v>0</v>
      </c>
      <c r="N109" s="9">
        <v>37</v>
      </c>
      <c r="O109" s="9">
        <f t="shared" si="2"/>
        <v>1</v>
      </c>
      <c r="P109" s="9"/>
      <c r="Q109" s="9">
        <v>8</v>
      </c>
      <c r="R109" s="9">
        <v>11</v>
      </c>
      <c r="S109" s="9">
        <v>23</v>
      </c>
      <c r="T109" s="9">
        <v>30</v>
      </c>
      <c r="U109" s="9">
        <v>18</v>
      </c>
      <c r="V109" s="9">
        <v>14</v>
      </c>
      <c r="W109" s="9">
        <v>9</v>
      </c>
      <c r="X109" s="9">
        <v>3</v>
      </c>
    </row>
    <row r="110" spans="2:24">
      <c r="B110" s="5" t="s">
        <v>218</v>
      </c>
      <c r="C110" s="8" t="s">
        <v>219</v>
      </c>
      <c r="D110" s="8" t="s">
        <v>267</v>
      </c>
      <c r="E110" s="9">
        <v>1326</v>
      </c>
      <c r="F110" s="9">
        <v>618</v>
      </c>
      <c r="G110" s="9">
        <v>681</v>
      </c>
      <c r="H110" s="9">
        <v>27</v>
      </c>
      <c r="I110" s="9">
        <v>31</v>
      </c>
      <c r="J110" s="9">
        <v>0</v>
      </c>
      <c r="K110" s="9">
        <v>2</v>
      </c>
      <c r="L110" s="9">
        <v>155</v>
      </c>
      <c r="M110" s="9">
        <v>1</v>
      </c>
      <c r="N110" s="9">
        <v>481</v>
      </c>
      <c r="O110" s="9">
        <f t="shared" si="2"/>
        <v>3</v>
      </c>
      <c r="P110" s="9"/>
      <c r="Q110" s="9">
        <v>721</v>
      </c>
      <c r="R110" s="9">
        <v>83</v>
      </c>
      <c r="S110" s="9">
        <v>193</v>
      </c>
      <c r="T110" s="9">
        <v>226</v>
      </c>
      <c r="U110" s="9">
        <v>243</v>
      </c>
      <c r="V110" s="9">
        <v>223</v>
      </c>
      <c r="W110" s="9">
        <v>98</v>
      </c>
      <c r="X110" s="9">
        <v>260</v>
      </c>
    </row>
    <row r="111" spans="2:24">
      <c r="B111" s="5" t="s">
        <v>220</v>
      </c>
      <c r="C111" s="8" t="s">
        <v>221</v>
      </c>
      <c r="D111" s="8" t="s">
        <v>267</v>
      </c>
      <c r="E111" s="9">
        <v>475</v>
      </c>
      <c r="F111" s="9">
        <v>234</v>
      </c>
      <c r="G111" s="9">
        <v>237</v>
      </c>
      <c r="H111" s="9">
        <v>4</v>
      </c>
      <c r="I111" s="9">
        <v>48</v>
      </c>
      <c r="J111" s="9">
        <v>1</v>
      </c>
      <c r="K111" s="9">
        <v>10</v>
      </c>
      <c r="L111" s="9">
        <v>149</v>
      </c>
      <c r="M111" s="9">
        <v>1</v>
      </c>
      <c r="N111" s="9">
        <v>321</v>
      </c>
      <c r="O111" s="9">
        <f t="shared" si="2"/>
        <v>12</v>
      </c>
      <c r="P111" s="9"/>
      <c r="Q111" s="9">
        <v>18</v>
      </c>
      <c r="R111" s="9">
        <v>41</v>
      </c>
      <c r="S111" s="9">
        <v>69</v>
      </c>
      <c r="T111" s="9">
        <v>103</v>
      </c>
      <c r="U111" s="9">
        <v>59</v>
      </c>
      <c r="V111" s="9">
        <v>68</v>
      </c>
      <c r="W111" s="9">
        <v>30</v>
      </c>
      <c r="X111" s="9">
        <v>105</v>
      </c>
    </row>
    <row r="112" spans="2:24">
      <c r="B112" s="5" t="s">
        <v>222</v>
      </c>
      <c r="C112" s="8" t="s">
        <v>223</v>
      </c>
      <c r="D112" s="8" t="s">
        <v>264</v>
      </c>
      <c r="E112" s="9">
        <v>961</v>
      </c>
      <c r="F112" s="9">
        <v>438</v>
      </c>
      <c r="G112" s="9">
        <v>481</v>
      </c>
      <c r="H112" s="9">
        <v>42</v>
      </c>
      <c r="I112" s="9">
        <v>20</v>
      </c>
      <c r="J112" s="9">
        <v>0</v>
      </c>
      <c r="K112" s="9">
        <v>7</v>
      </c>
      <c r="L112" s="9">
        <v>590</v>
      </c>
      <c r="M112" s="9">
        <v>1</v>
      </c>
      <c r="N112" s="9">
        <v>324</v>
      </c>
      <c r="O112" s="9">
        <f t="shared" si="2"/>
        <v>8</v>
      </c>
      <c r="P112" s="9"/>
      <c r="Q112" s="9">
        <v>70</v>
      </c>
      <c r="R112" s="9">
        <v>53</v>
      </c>
      <c r="S112" s="9">
        <v>103</v>
      </c>
      <c r="T112" s="9">
        <v>168</v>
      </c>
      <c r="U112" s="9">
        <v>127</v>
      </c>
      <c r="V112" s="9">
        <v>149</v>
      </c>
      <c r="W112" s="9">
        <v>51</v>
      </c>
      <c r="X112" s="9">
        <v>310</v>
      </c>
    </row>
    <row r="113" spans="2:24">
      <c r="B113" s="5" t="s">
        <v>224</v>
      </c>
      <c r="C113" s="8" t="s">
        <v>225</v>
      </c>
      <c r="D113" s="8" t="s">
        <v>264</v>
      </c>
      <c r="E113" s="9">
        <v>46</v>
      </c>
      <c r="F113" s="9">
        <v>17</v>
      </c>
      <c r="G113" s="9">
        <v>29</v>
      </c>
      <c r="H113" s="9">
        <v>0</v>
      </c>
      <c r="I113" s="9">
        <v>0</v>
      </c>
      <c r="J113" s="9">
        <v>0</v>
      </c>
      <c r="K113" s="9">
        <v>0</v>
      </c>
      <c r="L113" s="9">
        <v>19</v>
      </c>
      <c r="M113" s="9">
        <v>0</v>
      </c>
      <c r="N113" s="9">
        <v>26</v>
      </c>
      <c r="O113" s="9">
        <f t="shared" si="2"/>
        <v>0</v>
      </c>
      <c r="P113" s="9"/>
      <c r="Q113" s="9">
        <v>1</v>
      </c>
      <c r="R113" s="9">
        <v>1</v>
      </c>
      <c r="S113" s="9">
        <v>6</v>
      </c>
      <c r="T113" s="9">
        <v>5</v>
      </c>
      <c r="U113" s="9">
        <v>10</v>
      </c>
      <c r="V113" s="9">
        <v>9</v>
      </c>
      <c r="W113" s="9">
        <v>4</v>
      </c>
      <c r="X113" s="9">
        <v>11</v>
      </c>
    </row>
    <row r="114" spans="2:24">
      <c r="B114" s="5" t="s">
        <v>226</v>
      </c>
      <c r="C114" s="8" t="s">
        <v>227</v>
      </c>
      <c r="D114" s="8" t="s">
        <v>264</v>
      </c>
      <c r="E114" s="9">
        <v>79</v>
      </c>
      <c r="F114" s="9">
        <v>40</v>
      </c>
      <c r="G114" s="9">
        <v>39</v>
      </c>
      <c r="H114" s="9">
        <v>0</v>
      </c>
      <c r="I114" s="9">
        <v>2</v>
      </c>
      <c r="J114" s="9">
        <v>0</v>
      </c>
      <c r="K114" s="9">
        <v>0</v>
      </c>
      <c r="L114" s="9">
        <v>42</v>
      </c>
      <c r="M114" s="9">
        <v>0</v>
      </c>
      <c r="N114" s="9">
        <v>32</v>
      </c>
      <c r="O114" s="9">
        <f t="shared" si="2"/>
        <v>0</v>
      </c>
      <c r="P114" s="9"/>
      <c r="Q114" s="9">
        <v>8</v>
      </c>
      <c r="R114" s="9">
        <v>12</v>
      </c>
      <c r="S114" s="9">
        <v>11</v>
      </c>
      <c r="T114" s="9">
        <v>16</v>
      </c>
      <c r="U114" s="9">
        <v>11</v>
      </c>
      <c r="V114" s="9">
        <v>19</v>
      </c>
      <c r="W114" s="9">
        <v>4</v>
      </c>
      <c r="X114" s="9">
        <v>6</v>
      </c>
    </row>
    <row r="115" spans="2:24">
      <c r="B115" s="5" t="s">
        <v>228</v>
      </c>
      <c r="C115" s="8" t="s">
        <v>229</v>
      </c>
      <c r="D115" s="8" t="s">
        <v>268</v>
      </c>
      <c r="E115" s="9">
        <v>622</v>
      </c>
      <c r="F115" s="9">
        <v>304</v>
      </c>
      <c r="G115" s="9">
        <v>317</v>
      </c>
      <c r="H115" s="9">
        <v>1</v>
      </c>
      <c r="I115" s="9">
        <v>4</v>
      </c>
      <c r="J115" s="9">
        <v>0</v>
      </c>
      <c r="K115" s="9">
        <v>1</v>
      </c>
      <c r="L115" s="9">
        <v>22</v>
      </c>
      <c r="M115" s="9">
        <v>0</v>
      </c>
      <c r="N115" s="9">
        <v>602</v>
      </c>
      <c r="O115" s="9">
        <f t="shared" si="2"/>
        <v>1</v>
      </c>
      <c r="P115" s="9"/>
      <c r="Q115" s="9">
        <v>2</v>
      </c>
      <c r="R115" s="9">
        <v>52</v>
      </c>
      <c r="S115" s="9">
        <v>124</v>
      </c>
      <c r="T115" s="9">
        <v>167</v>
      </c>
      <c r="U115" s="9">
        <v>108</v>
      </c>
      <c r="V115" s="9">
        <v>89</v>
      </c>
      <c r="W115" s="9">
        <v>35</v>
      </c>
      <c r="X115" s="9">
        <v>47</v>
      </c>
    </row>
    <row r="116" spans="2:24">
      <c r="B116" s="5" t="s">
        <v>230</v>
      </c>
      <c r="C116" s="8" t="s">
        <v>231</v>
      </c>
      <c r="D116" s="8" t="s">
        <v>264</v>
      </c>
      <c r="E116" s="9">
        <v>5244</v>
      </c>
      <c r="F116" s="9">
        <v>2568</v>
      </c>
      <c r="G116" s="9">
        <v>2586</v>
      </c>
      <c r="H116" s="9">
        <v>90</v>
      </c>
      <c r="I116" s="9">
        <v>446</v>
      </c>
      <c r="J116" s="9">
        <v>12</v>
      </c>
      <c r="K116" s="9">
        <v>77</v>
      </c>
      <c r="L116" s="9">
        <v>1724</v>
      </c>
      <c r="M116" s="9">
        <v>43</v>
      </c>
      <c r="N116" s="9">
        <v>2958</v>
      </c>
      <c r="O116" s="9">
        <f t="shared" si="2"/>
        <v>132</v>
      </c>
      <c r="P116" s="9"/>
      <c r="Q116" s="9">
        <v>689</v>
      </c>
      <c r="R116" s="9">
        <v>290</v>
      </c>
      <c r="S116" s="9">
        <v>820</v>
      </c>
      <c r="T116" s="9">
        <v>1075</v>
      </c>
      <c r="U116" s="9">
        <v>970</v>
      </c>
      <c r="V116" s="9">
        <v>864</v>
      </c>
      <c r="W116" s="9">
        <v>462</v>
      </c>
      <c r="X116" s="9">
        <v>763</v>
      </c>
    </row>
    <row r="117" spans="2:24">
      <c r="B117" s="5" t="s">
        <v>232</v>
      </c>
      <c r="C117" s="8" t="s">
        <v>233</v>
      </c>
      <c r="D117" s="8" t="s">
        <v>267</v>
      </c>
      <c r="E117" s="9">
        <v>944</v>
      </c>
      <c r="F117" s="9">
        <v>458</v>
      </c>
      <c r="G117" s="9">
        <v>479</v>
      </c>
      <c r="H117" s="9">
        <v>7</v>
      </c>
      <c r="I117" s="9">
        <v>78</v>
      </c>
      <c r="J117" s="9">
        <v>2</v>
      </c>
      <c r="K117" s="9">
        <v>1</v>
      </c>
      <c r="L117" s="9">
        <v>110</v>
      </c>
      <c r="M117" s="9">
        <v>4</v>
      </c>
      <c r="N117" s="9">
        <v>903</v>
      </c>
      <c r="O117" s="9">
        <f t="shared" si="2"/>
        <v>7</v>
      </c>
      <c r="P117" s="9"/>
      <c r="Q117" s="9">
        <v>16</v>
      </c>
      <c r="R117" s="9">
        <v>73</v>
      </c>
      <c r="S117" s="9">
        <v>199</v>
      </c>
      <c r="T117" s="9">
        <v>213</v>
      </c>
      <c r="U117" s="9">
        <v>171</v>
      </c>
      <c r="V117" s="9">
        <v>141</v>
      </c>
      <c r="W117" s="9">
        <v>45</v>
      </c>
      <c r="X117" s="9">
        <v>102</v>
      </c>
    </row>
    <row r="118" spans="2:24">
      <c r="B118" s="5" t="s">
        <v>234</v>
      </c>
      <c r="C118" s="8" t="s">
        <v>235</v>
      </c>
      <c r="D118" s="8" t="s">
        <v>268</v>
      </c>
      <c r="E118" s="9">
        <v>529</v>
      </c>
      <c r="F118" s="9">
        <v>253</v>
      </c>
      <c r="G118" s="9">
        <v>271</v>
      </c>
      <c r="H118" s="9">
        <v>5</v>
      </c>
      <c r="I118" s="9">
        <v>3</v>
      </c>
      <c r="J118" s="9">
        <v>0</v>
      </c>
      <c r="K118" s="9">
        <v>0</v>
      </c>
      <c r="L118" s="9">
        <v>15</v>
      </c>
      <c r="M118" s="9">
        <v>0</v>
      </c>
      <c r="N118" s="9">
        <v>508</v>
      </c>
      <c r="O118" s="9">
        <f t="shared" si="2"/>
        <v>0</v>
      </c>
      <c r="P118" s="9"/>
      <c r="Q118" s="9">
        <v>11</v>
      </c>
      <c r="R118" s="9">
        <v>39</v>
      </c>
      <c r="S118" s="9">
        <v>87</v>
      </c>
      <c r="T118" s="9">
        <v>112</v>
      </c>
      <c r="U118" s="9">
        <v>75</v>
      </c>
      <c r="V118" s="9">
        <v>72</v>
      </c>
      <c r="W118" s="9">
        <v>28</v>
      </c>
      <c r="X118" s="9">
        <v>116</v>
      </c>
    </row>
    <row r="119" spans="2:24">
      <c r="B119" s="5" t="s">
        <v>236</v>
      </c>
      <c r="C119" s="8" t="s">
        <v>237</v>
      </c>
      <c r="D119" s="8" t="s">
        <v>266</v>
      </c>
      <c r="E119" s="9">
        <v>158</v>
      </c>
      <c r="F119" s="9">
        <v>72</v>
      </c>
      <c r="G119" s="9">
        <v>85</v>
      </c>
      <c r="H119" s="9">
        <v>1</v>
      </c>
      <c r="I119" s="9">
        <v>4</v>
      </c>
      <c r="J119" s="9">
        <v>0</v>
      </c>
      <c r="K119" s="9">
        <v>0</v>
      </c>
      <c r="L119" s="9">
        <v>48</v>
      </c>
      <c r="M119" s="9">
        <v>0</v>
      </c>
      <c r="N119" s="9">
        <v>58</v>
      </c>
      <c r="O119" s="9">
        <f t="shared" si="2"/>
        <v>0</v>
      </c>
      <c r="P119" s="9"/>
      <c r="Q119" s="9">
        <v>53</v>
      </c>
      <c r="R119" s="9">
        <v>12</v>
      </c>
      <c r="S119" s="9">
        <v>26</v>
      </c>
      <c r="T119" s="9">
        <v>34</v>
      </c>
      <c r="U119" s="9">
        <v>17</v>
      </c>
      <c r="V119" s="9">
        <v>23</v>
      </c>
      <c r="W119" s="9">
        <v>9</v>
      </c>
      <c r="X119" s="9">
        <v>37</v>
      </c>
    </row>
    <row r="120" spans="2:24">
      <c r="B120" s="5" t="s">
        <v>238</v>
      </c>
      <c r="C120" s="8" t="s">
        <v>239</v>
      </c>
      <c r="D120" s="8" t="s">
        <v>264</v>
      </c>
      <c r="E120" s="9">
        <v>114</v>
      </c>
      <c r="F120" s="9">
        <v>46</v>
      </c>
      <c r="G120" s="9">
        <v>68</v>
      </c>
      <c r="H120" s="9">
        <v>0</v>
      </c>
      <c r="I120" s="9">
        <v>19</v>
      </c>
      <c r="J120" s="9">
        <v>2</v>
      </c>
      <c r="K120" s="9">
        <v>2</v>
      </c>
      <c r="L120" s="9">
        <v>43</v>
      </c>
      <c r="M120" s="9">
        <v>0</v>
      </c>
      <c r="N120" s="9">
        <v>72</v>
      </c>
      <c r="O120" s="9">
        <f t="shared" si="2"/>
        <v>4</v>
      </c>
      <c r="P120" s="9"/>
      <c r="Q120" s="9">
        <v>7</v>
      </c>
      <c r="R120" s="9">
        <v>11</v>
      </c>
      <c r="S120" s="9">
        <v>22</v>
      </c>
      <c r="T120" s="9">
        <v>25</v>
      </c>
      <c r="U120" s="9">
        <v>22</v>
      </c>
      <c r="V120" s="9">
        <v>19</v>
      </c>
      <c r="W120" s="9">
        <v>5</v>
      </c>
      <c r="X120" s="9">
        <v>10</v>
      </c>
    </row>
    <row r="121" spans="2:24">
      <c r="B121" s="5" t="s">
        <v>240</v>
      </c>
      <c r="C121" s="8" t="s">
        <v>241</v>
      </c>
      <c r="D121" s="8" t="s">
        <v>267</v>
      </c>
      <c r="E121" s="9">
        <v>688</v>
      </c>
      <c r="F121" s="9">
        <v>342</v>
      </c>
      <c r="G121" s="9">
        <v>334</v>
      </c>
      <c r="H121" s="9">
        <v>12</v>
      </c>
      <c r="I121" s="9">
        <v>102</v>
      </c>
      <c r="J121" s="9">
        <v>1</v>
      </c>
      <c r="K121" s="9">
        <v>3</v>
      </c>
      <c r="L121" s="9">
        <v>195</v>
      </c>
      <c r="M121" s="9">
        <v>0</v>
      </c>
      <c r="N121" s="9">
        <v>529</v>
      </c>
      <c r="O121" s="9">
        <f t="shared" si="2"/>
        <v>4</v>
      </c>
      <c r="P121" s="9"/>
      <c r="Q121" s="9">
        <v>43</v>
      </c>
      <c r="R121" s="9">
        <v>74</v>
      </c>
      <c r="S121" s="9">
        <v>145</v>
      </c>
      <c r="T121" s="9">
        <v>157</v>
      </c>
      <c r="U121" s="9">
        <v>112</v>
      </c>
      <c r="V121" s="9">
        <v>99</v>
      </c>
      <c r="W121" s="9">
        <v>28</v>
      </c>
      <c r="X121" s="9">
        <v>73</v>
      </c>
    </row>
    <row r="122" spans="2:24">
      <c r="B122" s="5" t="s">
        <v>242</v>
      </c>
      <c r="C122" s="8" t="s">
        <v>243</v>
      </c>
      <c r="D122" s="8" t="s">
        <v>268</v>
      </c>
      <c r="E122" s="9">
        <v>1359</v>
      </c>
      <c r="F122" s="9">
        <v>646</v>
      </c>
      <c r="G122" s="9">
        <v>701</v>
      </c>
      <c r="H122" s="9">
        <v>12</v>
      </c>
      <c r="I122" s="9">
        <v>5</v>
      </c>
      <c r="J122" s="9">
        <v>0</v>
      </c>
      <c r="K122" s="9">
        <v>0</v>
      </c>
      <c r="L122" s="9">
        <v>139</v>
      </c>
      <c r="M122" s="9">
        <v>2</v>
      </c>
      <c r="N122" s="9">
        <v>1282</v>
      </c>
      <c r="O122" s="9">
        <f t="shared" si="2"/>
        <v>2</v>
      </c>
      <c r="P122" s="9"/>
      <c r="Q122" s="9">
        <v>4</v>
      </c>
      <c r="R122" s="9">
        <v>133</v>
      </c>
      <c r="S122" s="9">
        <v>275</v>
      </c>
      <c r="T122" s="9">
        <v>287</v>
      </c>
      <c r="U122" s="9">
        <v>227</v>
      </c>
      <c r="V122" s="9">
        <v>205</v>
      </c>
      <c r="W122" s="9">
        <v>91</v>
      </c>
      <c r="X122" s="9">
        <v>141</v>
      </c>
    </row>
    <row r="123" spans="2:24">
      <c r="B123" s="5" t="s">
        <v>244</v>
      </c>
      <c r="C123" s="8" t="s">
        <v>245</v>
      </c>
      <c r="D123" s="8" t="s">
        <v>268</v>
      </c>
      <c r="E123" s="9">
        <v>531</v>
      </c>
      <c r="F123" s="9">
        <v>278</v>
      </c>
      <c r="G123" s="9">
        <v>250</v>
      </c>
      <c r="H123" s="9">
        <v>3</v>
      </c>
      <c r="I123" s="9">
        <v>10</v>
      </c>
      <c r="J123" s="9">
        <v>0</v>
      </c>
      <c r="K123" s="9">
        <v>1</v>
      </c>
      <c r="L123" s="9">
        <v>23</v>
      </c>
      <c r="M123" s="9">
        <v>0</v>
      </c>
      <c r="N123" s="9">
        <v>508</v>
      </c>
      <c r="O123" s="9">
        <f t="shared" si="2"/>
        <v>1</v>
      </c>
      <c r="P123" s="9"/>
      <c r="Q123" s="9">
        <v>11</v>
      </c>
      <c r="R123" s="9">
        <v>34</v>
      </c>
      <c r="S123" s="9">
        <v>95</v>
      </c>
      <c r="T123" s="9">
        <v>139</v>
      </c>
      <c r="U123" s="9">
        <v>103</v>
      </c>
      <c r="V123" s="9">
        <v>82</v>
      </c>
      <c r="W123" s="9">
        <v>29</v>
      </c>
      <c r="X123" s="9">
        <v>49</v>
      </c>
    </row>
    <row r="124" spans="2:24">
      <c r="B124" s="5" t="s">
        <v>246</v>
      </c>
      <c r="C124" s="1" t="s">
        <v>247</v>
      </c>
      <c r="D124" s="8" t="s">
        <v>264</v>
      </c>
      <c r="E124" s="10">
        <v>1013</v>
      </c>
      <c r="F124" s="10">
        <v>491</v>
      </c>
      <c r="G124" s="10">
        <v>494</v>
      </c>
      <c r="H124" s="10">
        <v>28</v>
      </c>
      <c r="I124" s="10">
        <v>28</v>
      </c>
      <c r="J124" s="10">
        <v>3</v>
      </c>
      <c r="K124" s="10">
        <v>11</v>
      </c>
      <c r="L124" s="10">
        <v>173</v>
      </c>
      <c r="M124" s="10">
        <v>3</v>
      </c>
      <c r="N124" s="10">
        <v>625</v>
      </c>
      <c r="O124" s="9">
        <f t="shared" si="2"/>
        <v>17</v>
      </c>
      <c r="P124" s="10">
        <v>0</v>
      </c>
      <c r="Q124" s="10">
        <v>221</v>
      </c>
      <c r="R124" s="10">
        <v>44</v>
      </c>
      <c r="S124" s="10">
        <v>125</v>
      </c>
      <c r="T124" s="10">
        <v>180</v>
      </c>
      <c r="U124" s="10">
        <v>190</v>
      </c>
      <c r="V124" s="10">
        <v>172</v>
      </c>
      <c r="W124" s="10">
        <v>59</v>
      </c>
      <c r="X124" s="10">
        <v>243</v>
      </c>
    </row>
    <row r="125" spans="2:24" ht="12" customHeight="1">
      <c r="B125" s="11" t="s">
        <v>8</v>
      </c>
      <c r="C125" s="5" t="s">
        <v>9</v>
      </c>
      <c r="E125" s="9">
        <f>SUM($E$5:$E$124)</f>
        <v>94215</v>
      </c>
      <c r="F125" s="9">
        <f>SUM($F$5:$F$124)</f>
        <v>45604</v>
      </c>
      <c r="G125" s="9">
        <f>SUM($G$5:$G$124)</f>
        <v>46742</v>
      </c>
      <c r="H125" s="9">
        <f>SUM($H$5:$H$124)</f>
        <v>1869</v>
      </c>
      <c r="I125" s="9">
        <f>SUM($I$5:$I$124)</f>
        <v>9139</v>
      </c>
      <c r="J125" s="9">
        <f>SUM($J$5:$J$124)</f>
        <v>145</v>
      </c>
      <c r="K125" s="9">
        <f>SUM($K$5:$K$124)</f>
        <v>1257</v>
      </c>
      <c r="L125" s="9">
        <f>SUM($L$5:$L$124)</f>
        <v>29742</v>
      </c>
      <c r="M125" s="9">
        <f>SUM($M$5:$M$124)</f>
        <v>262</v>
      </c>
      <c r="N125" s="9">
        <f>SUM($N$5:$N$124)</f>
        <v>57074</v>
      </c>
      <c r="O125" s="9">
        <f t="shared" si="2"/>
        <v>1664</v>
      </c>
      <c r="P125" s="9"/>
      <c r="Q125" s="9">
        <f>SUM($Q$5:$Q$124)</f>
        <v>9805</v>
      </c>
      <c r="R125" s="9">
        <f>SUM($R$5:$R$124)</f>
        <v>6082</v>
      </c>
      <c r="S125" s="9">
        <f>SUM($S$5:$S$124)</f>
        <v>14410</v>
      </c>
      <c r="T125" s="9">
        <f>SUM($T$5:$T$124)</f>
        <v>19258</v>
      </c>
      <c r="U125" s="9">
        <f>SUM($U$5:$U$124)</f>
        <v>16544</v>
      </c>
      <c r="V125" s="9">
        <f>SUM($V$5:$V$124)</f>
        <v>14510</v>
      </c>
      <c r="W125" s="9">
        <f>SUM($W$5:$W$124)</f>
        <v>6338</v>
      </c>
      <c r="X125" s="9">
        <f>SUM($X$5:$X$124)</f>
        <v>17073</v>
      </c>
    </row>
  </sheetData>
  <pageMargins left="0.75" right="0.75" top="1" bottom="1" header="0.5" footer="0.5"/>
  <pageSetup orientation="portrait" r:id="rId1"/>
</worksheet>
</file>

<file path=xl/worksheets/sheet45.xml><?xml version="1.0" encoding="utf-8"?>
<worksheet xmlns="http://schemas.openxmlformats.org/spreadsheetml/2006/main" xmlns:r="http://schemas.openxmlformats.org/officeDocument/2006/relationships">
  <sheetPr>
    <tabColor theme="0"/>
  </sheetPr>
  <dimension ref="A1:CE129"/>
  <sheetViews>
    <sheetView workbookViewId="0">
      <pane xSplit="3" ySplit="3" topLeftCell="F4" activePane="bottomRight" state="frozen"/>
      <selection pane="topRight" activeCell="D1" sqref="D1"/>
      <selection pane="bottomLeft" activeCell="A4" sqref="A4"/>
      <selection pane="bottomRight" activeCell="F14" sqref="F14:H14"/>
    </sheetView>
  </sheetViews>
  <sheetFormatPr defaultRowHeight="15.75"/>
  <cols>
    <col min="1" max="1" width="8.25" style="271" customWidth="1"/>
    <col min="2" max="2" width="28.875" style="271" customWidth="1"/>
    <col min="3" max="3" width="14.875" style="271" customWidth="1"/>
    <col min="4" max="17" width="16.25" style="733" customWidth="1"/>
    <col min="18" max="24" width="16.25" style="1076" customWidth="1"/>
    <col min="25" max="28" width="13.875" style="271" customWidth="1"/>
    <col min="29" max="29" width="12.875" style="271" customWidth="1"/>
    <col min="30" max="30" width="16.25" style="1076" customWidth="1"/>
    <col min="31" max="34" width="13.875" style="271" customWidth="1"/>
    <col min="35" max="35" width="12.875" style="271" customWidth="1"/>
    <col min="36" max="16384" width="9" style="271"/>
  </cols>
  <sheetData>
    <row r="1" spans="1:83">
      <c r="A1" s="64" t="s">
        <v>1208</v>
      </c>
    </row>
    <row r="3" spans="1:83" ht="47.25">
      <c r="A3" s="743" t="s">
        <v>4</v>
      </c>
      <c r="B3" s="744" t="s">
        <v>5</v>
      </c>
      <c r="C3" s="968" t="s">
        <v>251</v>
      </c>
      <c r="D3" s="1077" t="s">
        <v>314</v>
      </c>
      <c r="E3" s="1077" t="s">
        <v>315</v>
      </c>
      <c r="F3" s="1077" t="s">
        <v>316</v>
      </c>
      <c r="G3" s="1545" t="s">
        <v>1040</v>
      </c>
      <c r="H3" s="1077" t="s">
        <v>1041</v>
      </c>
      <c r="I3" s="1077" t="s">
        <v>281</v>
      </c>
      <c r="J3" s="1078" t="s">
        <v>1042</v>
      </c>
      <c r="K3" s="1078" t="s">
        <v>1043</v>
      </c>
      <c r="L3" s="1079" t="s">
        <v>1016</v>
      </c>
      <c r="M3" s="1079" t="s">
        <v>1017</v>
      </c>
      <c r="N3" s="1079" t="s">
        <v>1018</v>
      </c>
      <c r="O3" s="1079" t="s">
        <v>1019</v>
      </c>
      <c r="P3" s="1079" t="s">
        <v>1020</v>
      </c>
      <c r="Q3" s="1079" t="s">
        <v>1021</v>
      </c>
      <c r="R3" s="1080" t="s">
        <v>1022</v>
      </c>
      <c r="S3" s="1080" t="s">
        <v>1023</v>
      </c>
      <c r="T3" s="1080" t="s">
        <v>1024</v>
      </c>
      <c r="U3" s="1080" t="s">
        <v>1025</v>
      </c>
      <c r="V3" s="1080" t="s">
        <v>1026</v>
      </c>
      <c r="W3" s="1080" t="s">
        <v>1027</v>
      </c>
      <c r="X3" s="1080" t="s">
        <v>1028</v>
      </c>
      <c r="Y3" s="1080" t="s">
        <v>1029</v>
      </c>
      <c r="Z3" s="1080" t="s">
        <v>1030</v>
      </c>
      <c r="AA3" s="1080" t="s">
        <v>1031</v>
      </c>
      <c r="AB3" s="1080" t="s">
        <v>1032</v>
      </c>
      <c r="AC3" s="1080" t="s">
        <v>1033</v>
      </c>
      <c r="AD3" s="1080" t="s">
        <v>1034</v>
      </c>
      <c r="AE3" s="1080" t="s">
        <v>1035</v>
      </c>
      <c r="AF3" s="1080" t="s">
        <v>1036</v>
      </c>
      <c r="AG3" s="1080" t="s">
        <v>1037</v>
      </c>
      <c r="AH3" s="1080" t="s">
        <v>1038</v>
      </c>
      <c r="AI3" s="1080" t="s">
        <v>1039</v>
      </c>
    </row>
    <row r="4" spans="1:83">
      <c r="A4" s="734">
        <v>999</v>
      </c>
      <c r="B4" s="735" t="s">
        <v>9</v>
      </c>
      <c r="C4" s="969"/>
      <c r="D4" s="1105">
        <f t="shared" ref="D4:W4" si="0">SUM(D5:D124)</f>
        <v>260170747.08000004</v>
      </c>
      <c r="E4" s="1106">
        <f t="shared" si="0"/>
        <v>111997228.15000004</v>
      </c>
      <c r="F4" s="1107">
        <f t="shared" si="0"/>
        <v>184349008.32999998</v>
      </c>
      <c r="G4" s="1548">
        <f t="shared" si="0"/>
        <v>8239704.7200000016</v>
      </c>
      <c r="H4" s="1108">
        <f t="shared" si="0"/>
        <v>-169921.34</v>
      </c>
      <c r="I4" s="1108">
        <f t="shared" si="0"/>
        <v>564586766.93999982</v>
      </c>
      <c r="J4" s="1550">
        <f>G4+H4</f>
        <v>8069783.3800000018</v>
      </c>
      <c r="K4" s="1546">
        <f>F4+J4</f>
        <v>192418791.70999998</v>
      </c>
      <c r="L4" s="1108">
        <f t="shared" si="0"/>
        <v>1355133.87</v>
      </c>
      <c r="M4" s="1108">
        <f t="shared" si="0"/>
        <v>0</v>
      </c>
      <c r="N4" s="1108">
        <f t="shared" si="0"/>
        <v>571560.99000000011</v>
      </c>
      <c r="O4" s="1108">
        <f t="shared" si="0"/>
        <v>375.64</v>
      </c>
      <c r="P4" s="1108">
        <f t="shared" si="0"/>
        <v>3216.33</v>
      </c>
      <c r="Q4" s="1108">
        <f t="shared" si="0"/>
        <v>1930286.8299999998</v>
      </c>
      <c r="R4" s="1109">
        <f t="shared" si="0"/>
        <v>128483.19</v>
      </c>
      <c r="S4" s="1109">
        <f t="shared" si="0"/>
        <v>44614.219999999994</v>
      </c>
      <c r="T4" s="1109">
        <f t="shared" si="0"/>
        <v>0</v>
      </c>
      <c r="U4" s="1109">
        <f t="shared" si="0"/>
        <v>-0.27999999999999997</v>
      </c>
      <c r="V4" s="1109"/>
      <c r="W4" s="1109">
        <f t="shared" si="0"/>
        <v>173097.13</v>
      </c>
      <c r="X4" s="1109">
        <f t="shared" ref="X4:AB4" si="1">SUM(X5:X124)</f>
        <v>202239043.28000006</v>
      </c>
      <c r="Y4" s="1109">
        <f t="shared" si="1"/>
        <v>111952613.93000004</v>
      </c>
      <c r="Z4" s="1109">
        <f t="shared" si="1"/>
        <v>57632580.159999989</v>
      </c>
      <c r="AA4" s="1109">
        <f t="shared" si="1"/>
        <v>6353375.5299999993</v>
      </c>
      <c r="AB4" s="1109">
        <f t="shared" si="1"/>
        <v>69940.23000000001</v>
      </c>
      <c r="AC4" s="1109">
        <f t="shared" ref="AC4:AH4" si="2">SUM(AC5:AC124)</f>
        <v>378247553.12999988</v>
      </c>
      <c r="AD4" s="1109">
        <f t="shared" si="2"/>
        <v>56448086.740000002</v>
      </c>
      <c r="AE4" s="1109">
        <f t="shared" si="2"/>
        <v>0</v>
      </c>
      <c r="AF4" s="1109">
        <f t="shared" si="2"/>
        <v>126144867.18000001</v>
      </c>
      <c r="AG4" s="1109">
        <f t="shared" si="2"/>
        <v>1885953.83</v>
      </c>
      <c r="AH4" s="1109">
        <f t="shared" si="2"/>
        <v>-243077.90000000002</v>
      </c>
      <c r="AI4" s="1109">
        <f t="shared" ref="AI4" si="3">SUM(AI5:AI124)</f>
        <v>184235829.84999999</v>
      </c>
      <c r="AJ4" s="736"/>
      <c r="AK4" s="736"/>
      <c r="AL4" s="737"/>
      <c r="AM4" s="737"/>
      <c r="AN4" s="738"/>
      <c r="AO4" s="738"/>
      <c r="AP4" s="738"/>
      <c r="AQ4" s="738"/>
      <c r="AR4" s="738"/>
      <c r="AS4" s="738"/>
      <c r="AT4" s="736"/>
      <c r="AU4" s="736"/>
      <c r="AV4" s="736"/>
      <c r="AW4" s="736"/>
      <c r="AX4" s="736"/>
      <c r="AY4" s="736"/>
      <c r="AZ4" s="737"/>
      <c r="BA4" s="737"/>
      <c r="BB4" s="738"/>
      <c r="BC4" s="738"/>
      <c r="BD4" s="738"/>
      <c r="BE4" s="738"/>
      <c r="BF4" s="738"/>
      <c r="BG4" s="738"/>
      <c r="BH4" s="736"/>
      <c r="BI4" s="736"/>
      <c r="BJ4" s="736"/>
      <c r="BK4" s="736"/>
      <c r="BL4" s="736"/>
      <c r="BM4" s="736"/>
      <c r="BN4" s="737"/>
      <c r="BO4" s="737"/>
      <c r="BP4" s="738"/>
      <c r="BQ4" s="738"/>
      <c r="BR4" s="738"/>
      <c r="BS4" s="738"/>
      <c r="BT4" s="738"/>
      <c r="BU4" s="738"/>
      <c r="BV4" s="736"/>
      <c r="BW4" s="736"/>
      <c r="BX4" s="736"/>
      <c r="BY4" s="736"/>
      <c r="BZ4" s="736"/>
      <c r="CA4" s="736"/>
      <c r="CB4" s="737"/>
      <c r="CC4" s="737"/>
      <c r="CD4" s="738"/>
      <c r="CE4" s="738"/>
    </row>
    <row r="5" spans="1:83" ht="15" customHeight="1">
      <c r="A5" s="739" t="s">
        <v>10</v>
      </c>
      <c r="B5" s="740" t="s">
        <v>11</v>
      </c>
      <c r="C5" s="970" t="s">
        <v>264</v>
      </c>
      <c r="D5" s="1110">
        <f t="shared" ref="D5:I5" si="4">L5+R5+X5+AD5</f>
        <v>1720686.8</v>
      </c>
      <c r="E5" s="1111">
        <f t="shared" si="4"/>
        <v>919936.41999999993</v>
      </c>
      <c r="F5" s="1112">
        <f t="shared" si="4"/>
        <v>518626.2</v>
      </c>
      <c r="G5" s="1549">
        <f t="shared" si="4"/>
        <v>59638.09</v>
      </c>
      <c r="H5" s="1551">
        <f t="shared" si="4"/>
        <v>0</v>
      </c>
      <c r="I5" s="1551">
        <f t="shared" si="4"/>
        <v>3218887.5100000002</v>
      </c>
      <c r="J5" s="1552">
        <f t="shared" ref="J5:J68" si="5">G5+H5</f>
        <v>59638.09</v>
      </c>
      <c r="K5" s="1547">
        <f t="shared" ref="K5:K68" si="6">F5+J5</f>
        <v>578264.29</v>
      </c>
      <c r="L5" s="1113"/>
      <c r="M5" s="1113"/>
      <c r="N5" s="1113"/>
      <c r="O5" s="1113"/>
      <c r="P5" s="1113"/>
      <c r="Q5" s="1113">
        <f t="shared" ref="Q5:Q36" si="7">SUM(L5:P5)</f>
        <v>0</v>
      </c>
      <c r="R5" s="1115">
        <v>1921.11</v>
      </c>
      <c r="S5" s="1115">
        <v>667.08</v>
      </c>
      <c r="T5" s="1115">
        <v>0</v>
      </c>
      <c r="U5" s="1115">
        <v>0</v>
      </c>
      <c r="V5" s="1115">
        <v>0</v>
      </c>
      <c r="W5" s="1115">
        <f>SUM(R5:V5)</f>
        <v>2588.19</v>
      </c>
      <c r="X5" s="1115">
        <v>1701585.55</v>
      </c>
      <c r="Y5" s="1115">
        <v>919269.34</v>
      </c>
      <c r="Z5" s="1115">
        <v>480744.93</v>
      </c>
      <c r="AA5" s="1115">
        <v>59638.5</v>
      </c>
      <c r="AB5" s="1115">
        <v>0</v>
      </c>
      <c r="AC5" s="1115">
        <f>SUM(X5:AB5)</f>
        <v>3161238.3200000003</v>
      </c>
      <c r="AD5" s="1115">
        <v>17180.14</v>
      </c>
      <c r="AE5" s="1115">
        <v>0</v>
      </c>
      <c r="AF5" s="1115">
        <v>37881.269999999997</v>
      </c>
      <c r="AG5" s="1115">
        <v>-0.41</v>
      </c>
      <c r="AH5" s="1115">
        <v>0</v>
      </c>
      <c r="AI5" s="1115">
        <v>55061</v>
      </c>
    </row>
    <row r="6" spans="1:83" ht="15" customHeight="1">
      <c r="A6" s="741" t="s">
        <v>12</v>
      </c>
      <c r="B6" s="740" t="s">
        <v>13</v>
      </c>
      <c r="C6" s="970" t="s">
        <v>265</v>
      </c>
      <c r="D6" s="1110">
        <f t="shared" ref="D6:D69" si="8">L6+R6+X6+AD6</f>
        <v>3436653.7199999997</v>
      </c>
      <c r="E6" s="1111">
        <f t="shared" ref="E6:E69" si="9">M6+S6+Y6+AE6</f>
        <v>844355.5</v>
      </c>
      <c r="F6" s="1112">
        <f t="shared" ref="F6:F69" si="10">N6+T6+Z6+AF6</f>
        <v>4292596.32</v>
      </c>
      <c r="G6" s="1549">
        <f t="shared" ref="G6:G69" si="11">O6+U6+AA6+AG6</f>
        <v>791271.91</v>
      </c>
      <c r="H6" s="1551">
        <f t="shared" ref="H6:H69" si="12">P6+V6+AB6+AH6</f>
        <v>3216.33</v>
      </c>
      <c r="I6" s="1551">
        <f t="shared" ref="I6:I69" si="13">Q6+W6+AC6+AI6</f>
        <v>9368093.7800000012</v>
      </c>
      <c r="J6" s="1552">
        <f t="shared" si="5"/>
        <v>794488.24</v>
      </c>
      <c r="K6" s="1547">
        <f t="shared" si="6"/>
        <v>5087084.5600000005</v>
      </c>
      <c r="L6" s="1113">
        <v>372335.75</v>
      </c>
      <c r="M6" s="1113">
        <v>0</v>
      </c>
      <c r="N6" s="1113">
        <v>171664.43</v>
      </c>
      <c r="O6" s="1113">
        <v>377.46</v>
      </c>
      <c r="P6" s="1113">
        <v>3216.33</v>
      </c>
      <c r="Q6" s="1113">
        <f t="shared" si="7"/>
        <v>547593.96999999986</v>
      </c>
      <c r="R6" s="1114"/>
      <c r="S6" s="1114"/>
      <c r="T6" s="1114"/>
      <c r="U6" s="1114"/>
      <c r="V6" s="1542"/>
      <c r="W6" s="1115">
        <f t="shared" ref="W6:W69" si="14">SUM(R6:V6)</f>
        <v>0</v>
      </c>
      <c r="X6" s="1115">
        <v>1419026.5</v>
      </c>
      <c r="Y6" s="1114">
        <v>844355.5</v>
      </c>
      <c r="Z6" s="1114">
        <v>415175.81</v>
      </c>
      <c r="AA6" s="1114">
        <v>30091.72</v>
      </c>
      <c r="AB6" s="1542">
        <v>0</v>
      </c>
      <c r="AC6" s="1115">
        <f t="shared" ref="AC6:AC69" si="15">SUM(X6:AB6)</f>
        <v>2708649.5300000003</v>
      </c>
      <c r="AD6" s="1115">
        <v>1645291.47</v>
      </c>
      <c r="AE6" s="1114">
        <v>0</v>
      </c>
      <c r="AF6" s="1114">
        <v>3705756.08</v>
      </c>
      <c r="AG6" s="1114">
        <v>760802.73</v>
      </c>
      <c r="AH6" s="1542">
        <v>0</v>
      </c>
      <c r="AI6" s="1115">
        <v>6111850.2800000003</v>
      </c>
    </row>
    <row r="7" spans="1:83" ht="15" customHeight="1">
      <c r="A7" s="741" t="s">
        <v>16</v>
      </c>
      <c r="B7" s="740" t="s">
        <v>297</v>
      </c>
      <c r="C7" s="970" t="s">
        <v>265</v>
      </c>
      <c r="D7" s="1110">
        <f t="shared" si="8"/>
        <v>966908.23</v>
      </c>
      <c r="E7" s="1111">
        <f t="shared" si="9"/>
        <v>486652.95999999996</v>
      </c>
      <c r="F7" s="1112">
        <f t="shared" si="10"/>
        <v>417947.70999999996</v>
      </c>
      <c r="G7" s="1549">
        <f t="shared" si="11"/>
        <v>18015.84</v>
      </c>
      <c r="H7" s="1551">
        <f t="shared" si="12"/>
        <v>0</v>
      </c>
      <c r="I7" s="1551">
        <f t="shared" si="13"/>
        <v>1889524.74</v>
      </c>
      <c r="J7" s="1552">
        <f t="shared" si="5"/>
        <v>18015.84</v>
      </c>
      <c r="K7" s="1547">
        <f t="shared" si="6"/>
        <v>435963.55</v>
      </c>
      <c r="L7" s="1113"/>
      <c r="M7" s="1113"/>
      <c r="N7" s="1113"/>
      <c r="O7" s="1113"/>
      <c r="P7" s="1113"/>
      <c r="Q7" s="1113">
        <f t="shared" si="7"/>
        <v>0</v>
      </c>
      <c r="R7" s="1114">
        <v>513.32000000000005</v>
      </c>
      <c r="S7" s="1114">
        <v>178.24</v>
      </c>
      <c r="T7" s="1114">
        <v>0</v>
      </c>
      <c r="U7" s="1114">
        <v>0</v>
      </c>
      <c r="V7" s="1542">
        <v>0</v>
      </c>
      <c r="W7" s="1115">
        <f t="shared" si="14"/>
        <v>691.56000000000006</v>
      </c>
      <c r="X7" s="1115">
        <v>891477.56</v>
      </c>
      <c r="Y7" s="1114">
        <v>486474.72</v>
      </c>
      <c r="Z7" s="1114">
        <v>252758.96</v>
      </c>
      <c r="AA7" s="1114">
        <v>265.76</v>
      </c>
      <c r="AB7" s="1542">
        <v>0</v>
      </c>
      <c r="AC7" s="1115">
        <f t="shared" si="15"/>
        <v>1630977</v>
      </c>
      <c r="AD7" s="1115">
        <v>74917.350000000006</v>
      </c>
      <c r="AE7" s="1114">
        <v>0</v>
      </c>
      <c r="AF7" s="1114">
        <v>165188.75</v>
      </c>
      <c r="AG7" s="1114">
        <v>17750.080000000002</v>
      </c>
      <c r="AH7" s="1542">
        <v>0</v>
      </c>
      <c r="AI7" s="1115">
        <v>257856.18</v>
      </c>
    </row>
    <row r="8" spans="1:83" ht="15" customHeight="1">
      <c r="A8" s="741" t="s">
        <v>18</v>
      </c>
      <c r="B8" s="740" t="s">
        <v>19</v>
      </c>
      <c r="C8" s="970" t="s">
        <v>266</v>
      </c>
      <c r="D8" s="1110">
        <f t="shared" si="8"/>
        <v>492154.13</v>
      </c>
      <c r="E8" s="1111">
        <f t="shared" si="9"/>
        <v>232739.01</v>
      </c>
      <c r="F8" s="1112">
        <f t="shared" si="10"/>
        <v>274835.56</v>
      </c>
      <c r="G8" s="1549">
        <f t="shared" si="11"/>
        <v>5209.12</v>
      </c>
      <c r="H8" s="1551">
        <f t="shared" si="12"/>
        <v>0</v>
      </c>
      <c r="I8" s="1551">
        <f t="shared" si="13"/>
        <v>1004937.8200000001</v>
      </c>
      <c r="J8" s="1552">
        <f t="shared" si="5"/>
        <v>5209.12</v>
      </c>
      <c r="K8" s="1547">
        <f t="shared" si="6"/>
        <v>280044.68</v>
      </c>
      <c r="L8" s="1113"/>
      <c r="M8" s="1113"/>
      <c r="N8" s="1113"/>
      <c r="O8" s="1113"/>
      <c r="P8" s="1113"/>
      <c r="Q8" s="1113">
        <f t="shared" si="7"/>
        <v>0</v>
      </c>
      <c r="R8" s="1114">
        <v>317.7</v>
      </c>
      <c r="S8" s="1114">
        <v>110.32</v>
      </c>
      <c r="T8" s="1114">
        <v>0</v>
      </c>
      <c r="U8" s="1114">
        <v>-0.01</v>
      </c>
      <c r="V8" s="1542">
        <v>0</v>
      </c>
      <c r="W8" s="1115">
        <f t="shared" si="14"/>
        <v>428.01</v>
      </c>
      <c r="X8" s="1115">
        <v>421600.45</v>
      </c>
      <c r="Y8" s="1114">
        <v>232628.69</v>
      </c>
      <c r="Z8" s="1114">
        <v>120005.01</v>
      </c>
      <c r="AA8" s="1114">
        <v>3841.39</v>
      </c>
      <c r="AB8" s="1542">
        <v>0</v>
      </c>
      <c r="AC8" s="1115">
        <f t="shared" si="15"/>
        <v>778075.54</v>
      </c>
      <c r="AD8" s="1115">
        <v>70235.98</v>
      </c>
      <c r="AE8" s="1114">
        <v>0</v>
      </c>
      <c r="AF8" s="1114">
        <v>154830.54999999999</v>
      </c>
      <c r="AG8" s="1114">
        <v>1367.74</v>
      </c>
      <c r="AH8" s="1542">
        <v>0</v>
      </c>
      <c r="AI8" s="1115">
        <v>226434.27</v>
      </c>
    </row>
    <row r="9" spans="1:83" ht="15" customHeight="1">
      <c r="A9" s="741" t="s">
        <v>20</v>
      </c>
      <c r="B9" s="740" t="s">
        <v>21</v>
      </c>
      <c r="C9" s="970" t="s">
        <v>265</v>
      </c>
      <c r="D9" s="1110">
        <f t="shared" si="8"/>
        <v>860545.14</v>
      </c>
      <c r="E9" s="1111">
        <f t="shared" si="9"/>
        <v>429045.19</v>
      </c>
      <c r="F9" s="1112">
        <f t="shared" si="10"/>
        <v>386580.04</v>
      </c>
      <c r="G9" s="1549">
        <f t="shared" si="11"/>
        <v>53108.840000000004</v>
      </c>
      <c r="H9" s="1551">
        <f t="shared" si="12"/>
        <v>0</v>
      </c>
      <c r="I9" s="1551">
        <f t="shared" si="13"/>
        <v>1729279.2100000002</v>
      </c>
      <c r="J9" s="1552">
        <f t="shared" si="5"/>
        <v>53108.840000000004</v>
      </c>
      <c r="K9" s="1547">
        <f t="shared" si="6"/>
        <v>439688.88</v>
      </c>
      <c r="L9" s="1113"/>
      <c r="M9" s="1113"/>
      <c r="N9" s="1113"/>
      <c r="O9" s="1113"/>
      <c r="P9" s="1113"/>
      <c r="Q9" s="1113">
        <f t="shared" si="7"/>
        <v>0</v>
      </c>
      <c r="R9" s="1114"/>
      <c r="S9" s="1114"/>
      <c r="T9" s="1114"/>
      <c r="U9" s="1114"/>
      <c r="V9" s="1542"/>
      <c r="W9" s="1115">
        <f t="shared" si="14"/>
        <v>0</v>
      </c>
      <c r="X9" s="1115">
        <v>786328.36</v>
      </c>
      <c r="Y9" s="1114">
        <v>429045.19</v>
      </c>
      <c r="Z9" s="1114">
        <v>222936.02</v>
      </c>
      <c r="AA9" s="1114">
        <v>53109.83</v>
      </c>
      <c r="AB9" s="1542">
        <v>0</v>
      </c>
      <c r="AC9" s="1115">
        <f t="shared" si="15"/>
        <v>1491419.4000000001</v>
      </c>
      <c r="AD9" s="1115">
        <v>74216.78</v>
      </c>
      <c r="AE9" s="1114">
        <v>0</v>
      </c>
      <c r="AF9" s="1114">
        <v>163644.01999999999</v>
      </c>
      <c r="AG9" s="1114">
        <v>-0.99</v>
      </c>
      <c r="AH9" s="1542">
        <v>0</v>
      </c>
      <c r="AI9" s="1115">
        <v>237859.81</v>
      </c>
    </row>
    <row r="10" spans="1:83" ht="15" customHeight="1">
      <c r="A10" s="741" t="s">
        <v>22</v>
      </c>
      <c r="B10" s="740" t="s">
        <v>23</v>
      </c>
      <c r="C10" s="970" t="s">
        <v>265</v>
      </c>
      <c r="D10" s="1110">
        <f t="shared" si="8"/>
        <v>569897.67999999993</v>
      </c>
      <c r="E10" s="1111">
        <f t="shared" si="9"/>
        <v>295619.68</v>
      </c>
      <c r="F10" s="1112">
        <f t="shared" si="10"/>
        <v>211264.93</v>
      </c>
      <c r="G10" s="1549">
        <f t="shared" si="11"/>
        <v>12320.470000000001</v>
      </c>
      <c r="H10" s="1551">
        <f t="shared" si="12"/>
        <v>0</v>
      </c>
      <c r="I10" s="1551">
        <f t="shared" si="13"/>
        <v>1089102.7599999998</v>
      </c>
      <c r="J10" s="1552">
        <f t="shared" si="5"/>
        <v>12320.470000000001</v>
      </c>
      <c r="K10" s="1547">
        <f t="shared" si="6"/>
        <v>223585.4</v>
      </c>
      <c r="L10" s="1113"/>
      <c r="M10" s="1113"/>
      <c r="N10" s="1113"/>
      <c r="O10" s="1113"/>
      <c r="P10" s="1113"/>
      <c r="Q10" s="1113">
        <f t="shared" si="7"/>
        <v>0</v>
      </c>
      <c r="R10" s="1114"/>
      <c r="S10" s="1114"/>
      <c r="T10" s="1114"/>
      <c r="U10" s="1114"/>
      <c r="V10" s="1542"/>
      <c r="W10" s="1115">
        <f t="shared" si="14"/>
        <v>0</v>
      </c>
      <c r="X10" s="1115">
        <v>543925.21</v>
      </c>
      <c r="Y10" s="1114">
        <v>295619.68</v>
      </c>
      <c r="Z10" s="1114">
        <v>153997.15</v>
      </c>
      <c r="AA10" s="1114">
        <v>12320.95</v>
      </c>
      <c r="AB10" s="1542">
        <v>0</v>
      </c>
      <c r="AC10" s="1115">
        <f t="shared" si="15"/>
        <v>1005862.9899999999</v>
      </c>
      <c r="AD10" s="1115">
        <v>25972.47</v>
      </c>
      <c r="AE10" s="1114">
        <v>0</v>
      </c>
      <c r="AF10" s="1114">
        <v>57267.78</v>
      </c>
      <c r="AG10" s="1114">
        <v>-0.48</v>
      </c>
      <c r="AH10" s="1542">
        <v>0</v>
      </c>
      <c r="AI10" s="1115">
        <v>83239.77</v>
      </c>
    </row>
    <row r="11" spans="1:83" ht="15" customHeight="1">
      <c r="A11" s="741" t="s">
        <v>24</v>
      </c>
      <c r="B11" s="740" t="s">
        <v>25</v>
      </c>
      <c r="C11" s="970" t="s">
        <v>267</v>
      </c>
      <c r="D11" s="1110">
        <f t="shared" si="8"/>
        <v>6488693.0899999999</v>
      </c>
      <c r="E11" s="1111">
        <f t="shared" si="9"/>
        <v>2309908.02</v>
      </c>
      <c r="F11" s="1112">
        <f t="shared" si="10"/>
        <v>6407813.7599999998</v>
      </c>
      <c r="G11" s="1549">
        <f t="shared" si="11"/>
        <v>-13.68</v>
      </c>
      <c r="H11" s="1551">
        <f t="shared" si="12"/>
        <v>0</v>
      </c>
      <c r="I11" s="1551">
        <f t="shared" si="13"/>
        <v>15206401.190000001</v>
      </c>
      <c r="J11" s="1552">
        <f t="shared" si="5"/>
        <v>-13.68</v>
      </c>
      <c r="K11" s="1547">
        <f t="shared" si="6"/>
        <v>6407800.0800000001</v>
      </c>
      <c r="L11" s="1113">
        <v>135364.28</v>
      </c>
      <c r="M11" s="1113">
        <v>0</v>
      </c>
      <c r="N11" s="1113">
        <v>46995.61</v>
      </c>
      <c r="O11" s="1113">
        <v>-0.1</v>
      </c>
      <c r="P11" s="1113">
        <v>0</v>
      </c>
      <c r="Q11" s="1113">
        <f t="shared" si="7"/>
        <v>182359.79</v>
      </c>
      <c r="R11" s="1114"/>
      <c r="S11" s="1114"/>
      <c r="T11" s="1114"/>
      <c r="U11" s="1114"/>
      <c r="V11" s="1542"/>
      <c r="W11" s="1115">
        <f t="shared" si="14"/>
        <v>0</v>
      </c>
      <c r="X11" s="1115">
        <v>4001981.61</v>
      </c>
      <c r="Y11" s="1114">
        <v>2309908.02</v>
      </c>
      <c r="Z11" s="1114">
        <v>1157801.78</v>
      </c>
      <c r="AA11" s="1114">
        <v>-4.41</v>
      </c>
      <c r="AB11" s="1542">
        <v>0</v>
      </c>
      <c r="AC11" s="1115">
        <f t="shared" si="15"/>
        <v>7469687</v>
      </c>
      <c r="AD11" s="1115">
        <v>2351347.2000000002</v>
      </c>
      <c r="AE11" s="1114">
        <v>0</v>
      </c>
      <c r="AF11" s="1114">
        <v>5203016.37</v>
      </c>
      <c r="AG11" s="1114">
        <v>-9.17</v>
      </c>
      <c r="AH11" s="1542">
        <v>0</v>
      </c>
      <c r="AI11" s="1115">
        <v>7554354.4000000004</v>
      </c>
    </row>
    <row r="12" spans="1:83" ht="15" customHeight="1">
      <c r="A12" s="741" t="s">
        <v>26</v>
      </c>
      <c r="B12" s="740" t="s">
        <v>706</v>
      </c>
      <c r="C12" s="970" t="s">
        <v>265</v>
      </c>
      <c r="D12" s="1110">
        <f t="shared" si="8"/>
        <v>3670971.9399999995</v>
      </c>
      <c r="E12" s="1111">
        <f t="shared" si="9"/>
        <v>1682423.3</v>
      </c>
      <c r="F12" s="1112">
        <f t="shared" si="10"/>
        <v>2146336.37</v>
      </c>
      <c r="G12" s="1549">
        <f t="shared" si="11"/>
        <v>30432.11</v>
      </c>
      <c r="H12" s="1551">
        <f t="shared" si="12"/>
        <v>0</v>
      </c>
      <c r="I12" s="1551">
        <f t="shared" si="13"/>
        <v>7530163.7199999988</v>
      </c>
      <c r="J12" s="1552">
        <f t="shared" si="5"/>
        <v>30432.11</v>
      </c>
      <c r="K12" s="1547">
        <f t="shared" si="6"/>
        <v>2176768.48</v>
      </c>
      <c r="L12" s="1113">
        <v>47244.63</v>
      </c>
      <c r="M12" s="1113">
        <v>0</v>
      </c>
      <c r="N12" s="1113">
        <v>21698.65</v>
      </c>
      <c r="O12" s="1113">
        <v>-0.2</v>
      </c>
      <c r="P12" s="1113">
        <v>0</v>
      </c>
      <c r="Q12" s="1113">
        <f t="shared" si="7"/>
        <v>68943.08</v>
      </c>
      <c r="R12" s="1114"/>
      <c r="S12" s="1114"/>
      <c r="T12" s="1114"/>
      <c r="U12" s="1114"/>
      <c r="V12" s="1542"/>
      <c r="W12" s="1115">
        <f t="shared" si="14"/>
        <v>0</v>
      </c>
      <c r="X12" s="1115">
        <v>3054194.3</v>
      </c>
      <c r="Y12" s="1114">
        <v>1682423.3</v>
      </c>
      <c r="Z12" s="1114">
        <v>868844.96</v>
      </c>
      <c r="AA12" s="1114">
        <v>-13.57</v>
      </c>
      <c r="AB12" s="1542">
        <v>0</v>
      </c>
      <c r="AC12" s="1115">
        <f t="shared" si="15"/>
        <v>5605448.9899999993</v>
      </c>
      <c r="AD12" s="1115">
        <v>569533.01</v>
      </c>
      <c r="AE12" s="1114">
        <v>0</v>
      </c>
      <c r="AF12" s="1114">
        <v>1255792.76</v>
      </c>
      <c r="AG12" s="1114">
        <v>30445.88</v>
      </c>
      <c r="AH12" s="1542">
        <v>0</v>
      </c>
      <c r="AI12" s="1115">
        <v>1855771.65</v>
      </c>
    </row>
    <row r="13" spans="1:83" ht="15" customHeight="1">
      <c r="A13" s="741" t="s">
        <v>27</v>
      </c>
      <c r="B13" s="740" t="s">
        <v>28</v>
      </c>
      <c r="C13" s="970" t="s">
        <v>265</v>
      </c>
      <c r="D13" s="1110">
        <f t="shared" si="8"/>
        <v>214094.54</v>
      </c>
      <c r="E13" s="1111">
        <f t="shared" si="9"/>
        <v>105378.14</v>
      </c>
      <c r="F13" s="1112">
        <f t="shared" si="10"/>
        <v>103013.47</v>
      </c>
      <c r="G13" s="1549">
        <f t="shared" si="11"/>
        <v>5088.1100000000006</v>
      </c>
      <c r="H13" s="1551">
        <f t="shared" si="12"/>
        <v>0</v>
      </c>
      <c r="I13" s="1551">
        <f t="shared" si="13"/>
        <v>427574.26000000007</v>
      </c>
      <c r="J13" s="1552">
        <f t="shared" si="5"/>
        <v>5088.1100000000006</v>
      </c>
      <c r="K13" s="1547">
        <f t="shared" si="6"/>
        <v>108101.58</v>
      </c>
      <c r="L13" s="1113"/>
      <c r="M13" s="1113"/>
      <c r="N13" s="1113"/>
      <c r="O13" s="1113"/>
      <c r="P13" s="1113"/>
      <c r="Q13" s="1113">
        <f t="shared" si="7"/>
        <v>0</v>
      </c>
      <c r="R13" s="1114"/>
      <c r="S13" s="1114"/>
      <c r="T13" s="1114"/>
      <c r="U13" s="1114"/>
      <c r="V13" s="1542"/>
      <c r="W13" s="1115">
        <f t="shared" si="14"/>
        <v>0</v>
      </c>
      <c r="X13" s="1115">
        <v>192123.88</v>
      </c>
      <c r="Y13" s="1114">
        <v>105378.14</v>
      </c>
      <c r="Z13" s="1114">
        <v>54570.080000000002</v>
      </c>
      <c r="AA13" s="1114">
        <v>5089.3900000000003</v>
      </c>
      <c r="AB13" s="1542">
        <v>0</v>
      </c>
      <c r="AC13" s="1115">
        <f t="shared" si="15"/>
        <v>357161.49000000005</v>
      </c>
      <c r="AD13" s="1115">
        <v>21970.66</v>
      </c>
      <c r="AE13" s="1114">
        <v>0</v>
      </c>
      <c r="AF13" s="1114">
        <v>48443.39</v>
      </c>
      <c r="AG13" s="1114">
        <v>-1.28</v>
      </c>
      <c r="AH13" s="1542">
        <v>0</v>
      </c>
      <c r="AI13" s="1115">
        <v>70412.77</v>
      </c>
    </row>
    <row r="14" spans="1:83" ht="15" customHeight="1">
      <c r="A14" s="741" t="s">
        <v>29</v>
      </c>
      <c r="B14" s="740" t="s">
        <v>1012</v>
      </c>
      <c r="C14" s="970" t="s">
        <v>265</v>
      </c>
      <c r="D14" s="1110">
        <f t="shared" si="8"/>
        <v>1903600.6099999999</v>
      </c>
      <c r="E14" s="1111">
        <f t="shared" si="9"/>
        <v>649607.6</v>
      </c>
      <c r="F14" s="1112">
        <f t="shared" si="10"/>
        <v>2062402.44</v>
      </c>
      <c r="G14" s="1549">
        <f t="shared" si="11"/>
        <v>24882.080000000002</v>
      </c>
      <c r="H14" s="1551">
        <f t="shared" si="12"/>
        <v>-2020</v>
      </c>
      <c r="I14" s="1551">
        <f t="shared" si="13"/>
        <v>4638472.7300000004</v>
      </c>
      <c r="J14" s="1552">
        <f t="shared" si="5"/>
        <v>22862.080000000002</v>
      </c>
      <c r="K14" s="1547">
        <f t="shared" si="6"/>
        <v>2085264.52</v>
      </c>
      <c r="L14" s="1113"/>
      <c r="M14" s="1113"/>
      <c r="N14" s="1113"/>
      <c r="O14" s="1113"/>
      <c r="P14" s="1113"/>
      <c r="Q14" s="1113">
        <f t="shared" si="7"/>
        <v>0</v>
      </c>
      <c r="R14" s="1114"/>
      <c r="S14" s="1114"/>
      <c r="T14" s="1114"/>
      <c r="U14" s="1114"/>
      <c r="V14" s="1542"/>
      <c r="W14" s="1115">
        <f t="shared" si="14"/>
        <v>0</v>
      </c>
      <c r="X14" s="1115">
        <v>1111331.73</v>
      </c>
      <c r="Y14" s="1114">
        <v>649607.6</v>
      </c>
      <c r="Z14" s="1114">
        <v>323012.06</v>
      </c>
      <c r="AA14" s="1114">
        <v>8681.48</v>
      </c>
      <c r="AB14" s="1542">
        <v>0</v>
      </c>
      <c r="AC14" s="1115">
        <f t="shared" si="15"/>
        <v>2092632.87</v>
      </c>
      <c r="AD14" s="1115">
        <v>792268.88</v>
      </c>
      <c r="AE14" s="1114">
        <v>0</v>
      </c>
      <c r="AF14" s="1114">
        <v>1739390.38</v>
      </c>
      <c r="AG14" s="1114">
        <v>16200.6</v>
      </c>
      <c r="AH14" s="1542">
        <v>-2020</v>
      </c>
      <c r="AI14" s="1115">
        <v>2545839.86</v>
      </c>
    </row>
    <row r="15" spans="1:83" ht="15" customHeight="1">
      <c r="A15" s="741" t="s">
        <v>30</v>
      </c>
      <c r="B15" s="740" t="s">
        <v>31</v>
      </c>
      <c r="C15" s="970" t="s">
        <v>268</v>
      </c>
      <c r="D15" s="1110">
        <f t="shared" si="8"/>
        <v>326257.40999999997</v>
      </c>
      <c r="E15" s="1111">
        <f t="shared" si="9"/>
        <v>153311.37</v>
      </c>
      <c r="F15" s="1112">
        <f t="shared" si="10"/>
        <v>183631.7</v>
      </c>
      <c r="G15" s="1549">
        <f t="shared" si="11"/>
        <v>535.40000000000009</v>
      </c>
      <c r="H15" s="1551">
        <f t="shared" si="12"/>
        <v>0</v>
      </c>
      <c r="I15" s="1551">
        <f t="shared" si="13"/>
        <v>663735.87999999989</v>
      </c>
      <c r="J15" s="1552">
        <f t="shared" si="5"/>
        <v>535.40000000000009</v>
      </c>
      <c r="K15" s="1547">
        <f t="shared" si="6"/>
        <v>184167.1</v>
      </c>
      <c r="L15" s="1113"/>
      <c r="M15" s="1113"/>
      <c r="N15" s="1113"/>
      <c r="O15" s="1113"/>
      <c r="P15" s="1113"/>
      <c r="Q15" s="1113">
        <f t="shared" si="7"/>
        <v>0</v>
      </c>
      <c r="R15" s="1114"/>
      <c r="S15" s="1114"/>
      <c r="T15" s="1114"/>
      <c r="U15" s="1114"/>
      <c r="V15" s="1542"/>
      <c r="W15" s="1115">
        <f t="shared" si="14"/>
        <v>0</v>
      </c>
      <c r="X15" s="1115">
        <v>278932.59999999998</v>
      </c>
      <c r="Y15" s="1114">
        <v>153311.37</v>
      </c>
      <c r="Z15" s="1114">
        <v>79285.350000000006</v>
      </c>
      <c r="AA15" s="1114">
        <v>366.16</v>
      </c>
      <c r="AB15" s="1542">
        <v>0</v>
      </c>
      <c r="AC15" s="1115">
        <f t="shared" si="15"/>
        <v>511895.47999999992</v>
      </c>
      <c r="AD15" s="1115">
        <v>47324.81</v>
      </c>
      <c r="AE15" s="1114">
        <v>0</v>
      </c>
      <c r="AF15" s="1114">
        <v>104346.35</v>
      </c>
      <c r="AG15" s="1114">
        <v>169.24</v>
      </c>
      <c r="AH15" s="1542">
        <v>0</v>
      </c>
      <c r="AI15" s="1115">
        <v>151840.4</v>
      </c>
    </row>
    <row r="16" spans="1:83" ht="15" customHeight="1">
      <c r="A16" s="741" t="s">
        <v>32</v>
      </c>
      <c r="B16" s="740" t="s">
        <v>33</v>
      </c>
      <c r="C16" s="970" t="s">
        <v>265</v>
      </c>
      <c r="D16" s="1110">
        <f t="shared" si="8"/>
        <v>507366.66000000003</v>
      </c>
      <c r="E16" s="1111">
        <f t="shared" si="9"/>
        <v>253725.18</v>
      </c>
      <c r="F16" s="1112">
        <f t="shared" si="10"/>
        <v>221574.57</v>
      </c>
      <c r="G16" s="1549">
        <f t="shared" si="11"/>
        <v>27643.77</v>
      </c>
      <c r="H16" s="1551">
        <f t="shared" si="12"/>
        <v>0</v>
      </c>
      <c r="I16" s="1551">
        <f t="shared" si="13"/>
        <v>1010310.18</v>
      </c>
      <c r="J16" s="1552">
        <f t="shared" si="5"/>
        <v>27643.77</v>
      </c>
      <c r="K16" s="1547">
        <f t="shared" si="6"/>
        <v>249218.34</v>
      </c>
      <c r="L16" s="1113"/>
      <c r="M16" s="1113"/>
      <c r="N16" s="1113"/>
      <c r="O16" s="1113"/>
      <c r="P16" s="1113"/>
      <c r="Q16" s="1113">
        <f t="shared" si="7"/>
        <v>0</v>
      </c>
      <c r="R16" s="1114">
        <v>3377.28</v>
      </c>
      <c r="S16" s="1114">
        <v>1172.72</v>
      </c>
      <c r="T16" s="1114">
        <v>0</v>
      </c>
      <c r="U16" s="1114">
        <v>0</v>
      </c>
      <c r="V16" s="1542">
        <v>0</v>
      </c>
      <c r="W16" s="1115">
        <f t="shared" si="14"/>
        <v>4550</v>
      </c>
      <c r="X16" s="1115">
        <v>463028.45</v>
      </c>
      <c r="Y16" s="1114">
        <v>252552.46</v>
      </c>
      <c r="Z16" s="1114">
        <v>131257.9</v>
      </c>
      <c r="AA16" s="1114">
        <v>27644.37</v>
      </c>
      <c r="AB16" s="1542">
        <v>0</v>
      </c>
      <c r="AC16" s="1115">
        <f t="shared" si="15"/>
        <v>874483.18</v>
      </c>
      <c r="AD16" s="1115">
        <v>40960.93</v>
      </c>
      <c r="AE16" s="1114">
        <v>0</v>
      </c>
      <c r="AF16" s="1114">
        <v>90316.67</v>
      </c>
      <c r="AG16" s="1114">
        <v>-0.6</v>
      </c>
      <c r="AH16" s="1542">
        <v>0</v>
      </c>
      <c r="AI16" s="1115">
        <v>131277</v>
      </c>
    </row>
    <row r="17" spans="1:35" ht="15" customHeight="1">
      <c r="A17" s="741" t="s">
        <v>36</v>
      </c>
      <c r="B17" s="740" t="s">
        <v>37</v>
      </c>
      <c r="C17" s="970" t="s">
        <v>264</v>
      </c>
      <c r="D17" s="1110">
        <f t="shared" si="8"/>
        <v>821251.47000000009</v>
      </c>
      <c r="E17" s="1111">
        <f t="shared" si="9"/>
        <v>435524.59</v>
      </c>
      <c r="F17" s="1112">
        <f t="shared" si="10"/>
        <v>268126.3</v>
      </c>
      <c r="G17" s="1549">
        <f t="shared" si="11"/>
        <v>4513.21</v>
      </c>
      <c r="H17" s="1551">
        <f t="shared" si="12"/>
        <v>0</v>
      </c>
      <c r="I17" s="1551">
        <f t="shared" si="13"/>
        <v>1529415.57</v>
      </c>
      <c r="J17" s="1552">
        <f t="shared" si="5"/>
        <v>4513.21</v>
      </c>
      <c r="K17" s="1547">
        <f t="shared" si="6"/>
        <v>272639.51</v>
      </c>
      <c r="L17" s="1113"/>
      <c r="M17" s="1113"/>
      <c r="N17" s="1113"/>
      <c r="O17" s="1113"/>
      <c r="P17" s="1113"/>
      <c r="Q17" s="1113">
        <f t="shared" si="7"/>
        <v>0</v>
      </c>
      <c r="R17" s="1114"/>
      <c r="S17" s="1114"/>
      <c r="T17" s="1114"/>
      <c r="U17" s="1114"/>
      <c r="V17" s="1542"/>
      <c r="W17" s="1115">
        <f t="shared" si="14"/>
        <v>0</v>
      </c>
      <c r="X17" s="1115">
        <v>802654.04</v>
      </c>
      <c r="Y17" s="1114">
        <v>435524.59</v>
      </c>
      <c r="Z17" s="1114">
        <v>227119.7</v>
      </c>
      <c r="AA17" s="1114">
        <v>4513.24</v>
      </c>
      <c r="AB17" s="1542">
        <v>0</v>
      </c>
      <c r="AC17" s="1115">
        <f t="shared" si="15"/>
        <v>1469811.57</v>
      </c>
      <c r="AD17" s="1115">
        <v>18597.43</v>
      </c>
      <c r="AE17" s="1114">
        <v>0</v>
      </c>
      <c r="AF17" s="1114">
        <v>41006.6</v>
      </c>
      <c r="AG17" s="1114">
        <v>-0.03</v>
      </c>
      <c r="AH17" s="1542">
        <v>0</v>
      </c>
      <c r="AI17" s="1115">
        <v>59604</v>
      </c>
    </row>
    <row r="18" spans="1:35" ht="15" customHeight="1">
      <c r="A18" s="741" t="s">
        <v>38</v>
      </c>
      <c r="B18" s="740" t="s">
        <v>39</v>
      </c>
      <c r="C18" s="970" t="s">
        <v>268</v>
      </c>
      <c r="D18" s="1110">
        <f t="shared" si="8"/>
        <v>1885134.97</v>
      </c>
      <c r="E18" s="1111">
        <f t="shared" si="9"/>
        <v>892326.66</v>
      </c>
      <c r="F18" s="1112">
        <f t="shared" si="10"/>
        <v>1060278.8999999999</v>
      </c>
      <c r="G18" s="1549">
        <f t="shared" si="11"/>
        <v>11537.57</v>
      </c>
      <c r="H18" s="1551">
        <f t="shared" si="12"/>
        <v>0</v>
      </c>
      <c r="I18" s="1551">
        <f t="shared" si="13"/>
        <v>3849278.0999999996</v>
      </c>
      <c r="J18" s="1552">
        <f t="shared" si="5"/>
        <v>11537.57</v>
      </c>
      <c r="K18" s="1547">
        <f t="shared" si="6"/>
        <v>1071816.47</v>
      </c>
      <c r="L18" s="1113"/>
      <c r="M18" s="1113"/>
      <c r="N18" s="1113"/>
      <c r="O18" s="1113"/>
      <c r="P18" s="1113"/>
      <c r="Q18" s="1113">
        <f t="shared" si="7"/>
        <v>0</v>
      </c>
      <c r="R18" s="1114"/>
      <c r="S18" s="1114"/>
      <c r="T18" s="1114"/>
      <c r="U18" s="1114"/>
      <c r="V18" s="1542"/>
      <c r="W18" s="1115">
        <f t="shared" si="14"/>
        <v>0</v>
      </c>
      <c r="X18" s="1115">
        <v>1610581.89</v>
      </c>
      <c r="Y18" s="1114">
        <v>892326.66</v>
      </c>
      <c r="Z18" s="1114">
        <v>459110.61</v>
      </c>
      <c r="AA18" s="1114">
        <v>11539.81</v>
      </c>
      <c r="AB18" s="1542">
        <v>0</v>
      </c>
      <c r="AC18" s="1115">
        <f t="shared" si="15"/>
        <v>2973558.9699999997</v>
      </c>
      <c r="AD18" s="1115">
        <v>274553.08</v>
      </c>
      <c r="AE18" s="1114">
        <v>0</v>
      </c>
      <c r="AF18" s="1114">
        <v>601168.29</v>
      </c>
      <c r="AG18" s="1114">
        <v>-2.2400000000000002</v>
      </c>
      <c r="AH18" s="1542">
        <v>0</v>
      </c>
      <c r="AI18" s="1115">
        <v>875719.13</v>
      </c>
    </row>
    <row r="19" spans="1:35" ht="15" customHeight="1">
      <c r="A19" s="741" t="s">
        <v>40</v>
      </c>
      <c r="B19" s="740" t="s">
        <v>41</v>
      </c>
      <c r="C19" s="970" t="s">
        <v>266</v>
      </c>
      <c r="D19" s="1110">
        <f t="shared" si="8"/>
        <v>615523.55999999994</v>
      </c>
      <c r="E19" s="1111">
        <f t="shared" si="9"/>
        <v>303334.06</v>
      </c>
      <c r="F19" s="1112">
        <f t="shared" si="10"/>
        <v>291137.15000000002</v>
      </c>
      <c r="G19" s="1549">
        <f t="shared" si="11"/>
        <v>28923.27</v>
      </c>
      <c r="H19" s="1551">
        <f t="shared" si="12"/>
        <v>0</v>
      </c>
      <c r="I19" s="1551">
        <f t="shared" si="13"/>
        <v>1238918.04</v>
      </c>
      <c r="J19" s="1552">
        <f t="shared" si="5"/>
        <v>28923.27</v>
      </c>
      <c r="K19" s="1547">
        <f t="shared" si="6"/>
        <v>320060.42000000004</v>
      </c>
      <c r="L19" s="1113"/>
      <c r="M19" s="1113"/>
      <c r="N19" s="1113"/>
      <c r="O19" s="1113"/>
      <c r="P19" s="1113"/>
      <c r="Q19" s="1113">
        <f t="shared" si="7"/>
        <v>0</v>
      </c>
      <c r="R19" s="1114"/>
      <c r="S19" s="1114"/>
      <c r="T19" s="1114"/>
      <c r="U19" s="1114"/>
      <c r="V19" s="1542"/>
      <c r="W19" s="1115">
        <f t="shared" si="14"/>
        <v>0</v>
      </c>
      <c r="X19" s="1115">
        <v>554724.21</v>
      </c>
      <c r="Y19" s="1114">
        <v>303334.06</v>
      </c>
      <c r="Z19" s="1114">
        <v>157393.32</v>
      </c>
      <c r="AA19" s="1114">
        <v>26809.59</v>
      </c>
      <c r="AB19" s="1542">
        <v>0</v>
      </c>
      <c r="AC19" s="1115">
        <f t="shared" si="15"/>
        <v>1042261.18</v>
      </c>
      <c r="AD19" s="1115">
        <v>60799.35</v>
      </c>
      <c r="AE19" s="1114">
        <v>0</v>
      </c>
      <c r="AF19" s="1114">
        <v>133743.82999999999</v>
      </c>
      <c r="AG19" s="1114">
        <v>2113.6799999999998</v>
      </c>
      <c r="AH19" s="1542">
        <v>0</v>
      </c>
      <c r="AI19" s="1115">
        <v>196656.86</v>
      </c>
    </row>
    <row r="20" spans="1:35" ht="15" customHeight="1">
      <c r="A20" s="741" t="s">
        <v>42</v>
      </c>
      <c r="B20" s="740" t="s">
        <v>43</v>
      </c>
      <c r="C20" s="970" t="s">
        <v>265</v>
      </c>
      <c r="D20" s="1110">
        <f t="shared" si="8"/>
        <v>1993620.67</v>
      </c>
      <c r="E20" s="1111">
        <f t="shared" si="9"/>
        <v>970877.19</v>
      </c>
      <c r="F20" s="1112">
        <f t="shared" si="10"/>
        <v>980910.24</v>
      </c>
      <c r="G20" s="1549">
        <f t="shared" si="11"/>
        <v>118731.18000000001</v>
      </c>
      <c r="H20" s="1551">
        <f t="shared" si="12"/>
        <v>0</v>
      </c>
      <c r="I20" s="1551">
        <f t="shared" si="13"/>
        <v>4064139.2800000003</v>
      </c>
      <c r="J20" s="1552">
        <f t="shared" si="5"/>
        <v>118731.18000000001</v>
      </c>
      <c r="K20" s="1547">
        <f t="shared" si="6"/>
        <v>1099641.42</v>
      </c>
      <c r="L20" s="1113"/>
      <c r="M20" s="1113"/>
      <c r="N20" s="1113"/>
      <c r="O20" s="1113"/>
      <c r="P20" s="1113"/>
      <c r="Q20" s="1113">
        <f t="shared" si="7"/>
        <v>0</v>
      </c>
      <c r="R20" s="1114"/>
      <c r="S20" s="1114"/>
      <c r="T20" s="1114"/>
      <c r="U20" s="1114"/>
      <c r="V20" s="1542"/>
      <c r="W20" s="1115">
        <f t="shared" si="14"/>
        <v>0</v>
      </c>
      <c r="X20" s="1115">
        <v>1788820.54</v>
      </c>
      <c r="Y20" s="1114">
        <v>970877.19</v>
      </c>
      <c r="Z20" s="1114">
        <v>506213.95</v>
      </c>
      <c r="AA20" s="1114">
        <v>118733.52</v>
      </c>
      <c r="AB20" s="1542">
        <v>0</v>
      </c>
      <c r="AC20" s="1115">
        <f t="shared" si="15"/>
        <v>3384645.2</v>
      </c>
      <c r="AD20" s="1115">
        <v>204800.13</v>
      </c>
      <c r="AE20" s="1114">
        <v>0</v>
      </c>
      <c r="AF20" s="1114">
        <v>474696.29</v>
      </c>
      <c r="AG20" s="1114">
        <v>-2.34</v>
      </c>
      <c r="AH20" s="1542">
        <v>0</v>
      </c>
      <c r="AI20" s="1115">
        <v>679494.08</v>
      </c>
    </row>
    <row r="21" spans="1:35" ht="15" customHeight="1">
      <c r="A21" s="741" t="s">
        <v>44</v>
      </c>
      <c r="B21" s="740" t="s">
        <v>45</v>
      </c>
      <c r="C21" s="970" t="s">
        <v>266</v>
      </c>
      <c r="D21" s="1110">
        <f t="shared" si="8"/>
        <v>897326.38</v>
      </c>
      <c r="E21" s="1111">
        <f t="shared" si="9"/>
        <v>402023.25</v>
      </c>
      <c r="F21" s="1112">
        <f t="shared" si="10"/>
        <v>569399.23</v>
      </c>
      <c r="G21" s="1549">
        <f t="shared" si="11"/>
        <v>3797.05</v>
      </c>
      <c r="H21" s="1551">
        <f t="shared" si="12"/>
        <v>0</v>
      </c>
      <c r="I21" s="1551">
        <f t="shared" si="13"/>
        <v>1872545.9100000001</v>
      </c>
      <c r="J21" s="1552">
        <f t="shared" si="5"/>
        <v>3797.05</v>
      </c>
      <c r="K21" s="1547">
        <f t="shared" si="6"/>
        <v>573196.28</v>
      </c>
      <c r="L21" s="1113"/>
      <c r="M21" s="1113"/>
      <c r="N21" s="1113"/>
      <c r="O21" s="1113"/>
      <c r="P21" s="1113"/>
      <c r="Q21" s="1113">
        <f t="shared" si="7"/>
        <v>0</v>
      </c>
      <c r="R21" s="1114">
        <v>3859.75</v>
      </c>
      <c r="S21" s="1114">
        <v>1340.25</v>
      </c>
      <c r="T21" s="1114">
        <v>0</v>
      </c>
      <c r="U21" s="1114">
        <v>0</v>
      </c>
      <c r="V21" s="1542">
        <v>0</v>
      </c>
      <c r="W21" s="1115">
        <f t="shared" si="14"/>
        <v>5200</v>
      </c>
      <c r="X21" s="1115">
        <v>741042.37</v>
      </c>
      <c r="Y21" s="1114">
        <v>400683</v>
      </c>
      <c r="Z21" s="1114">
        <v>209427.93</v>
      </c>
      <c r="AA21" s="1114">
        <v>3799.34</v>
      </c>
      <c r="AB21" s="1542">
        <v>0</v>
      </c>
      <c r="AC21" s="1115">
        <f t="shared" si="15"/>
        <v>1354952.6400000001</v>
      </c>
      <c r="AD21" s="1115">
        <v>152424.26</v>
      </c>
      <c r="AE21" s="1114">
        <v>0</v>
      </c>
      <c r="AF21" s="1114">
        <v>359971.3</v>
      </c>
      <c r="AG21" s="1114">
        <v>-2.29</v>
      </c>
      <c r="AH21" s="1542">
        <v>0</v>
      </c>
      <c r="AI21" s="1115">
        <v>512393.27</v>
      </c>
    </row>
    <row r="22" spans="1:35" ht="15" customHeight="1">
      <c r="A22" s="741" t="s">
        <v>46</v>
      </c>
      <c r="B22" s="740" t="s">
        <v>47</v>
      </c>
      <c r="C22" s="970" t="s">
        <v>268</v>
      </c>
      <c r="D22" s="1110">
        <f t="shared" si="8"/>
        <v>999583.54</v>
      </c>
      <c r="E22" s="1111">
        <f t="shared" si="9"/>
        <v>500075.66000000003</v>
      </c>
      <c r="F22" s="1112">
        <f t="shared" si="10"/>
        <v>443342.47</v>
      </c>
      <c r="G22" s="1549">
        <f t="shared" si="11"/>
        <v>155585.51999999999</v>
      </c>
      <c r="H22" s="1551">
        <f t="shared" si="12"/>
        <v>0</v>
      </c>
      <c r="I22" s="1551">
        <f t="shared" si="13"/>
        <v>2098587.19</v>
      </c>
      <c r="J22" s="1552">
        <f t="shared" si="5"/>
        <v>155585.51999999999</v>
      </c>
      <c r="K22" s="1547">
        <f t="shared" si="6"/>
        <v>598927.99</v>
      </c>
      <c r="L22" s="1113"/>
      <c r="M22" s="1113"/>
      <c r="N22" s="1113"/>
      <c r="O22" s="1113"/>
      <c r="P22" s="1113"/>
      <c r="Q22" s="1113">
        <f t="shared" si="7"/>
        <v>0</v>
      </c>
      <c r="R22" s="1114">
        <v>1373.18</v>
      </c>
      <c r="S22" s="1114">
        <v>476.83</v>
      </c>
      <c r="T22" s="1114">
        <v>0</v>
      </c>
      <c r="U22" s="1114">
        <v>-0.01</v>
      </c>
      <c r="V22" s="1542">
        <v>0</v>
      </c>
      <c r="W22" s="1115">
        <f t="shared" si="14"/>
        <v>1850</v>
      </c>
      <c r="X22" s="1115">
        <v>914808.84</v>
      </c>
      <c r="Y22" s="1114">
        <v>499598.83</v>
      </c>
      <c r="Z22" s="1114">
        <v>259445.91</v>
      </c>
      <c r="AA22" s="1114">
        <v>155585.60999999999</v>
      </c>
      <c r="AB22" s="1542">
        <v>0</v>
      </c>
      <c r="AC22" s="1115">
        <f t="shared" si="15"/>
        <v>1829439.19</v>
      </c>
      <c r="AD22" s="1115">
        <v>83401.52</v>
      </c>
      <c r="AE22" s="1114">
        <v>0</v>
      </c>
      <c r="AF22" s="1114">
        <v>183896.56</v>
      </c>
      <c r="AG22" s="1114">
        <v>-0.08</v>
      </c>
      <c r="AH22" s="1542">
        <v>0</v>
      </c>
      <c r="AI22" s="1115">
        <v>267298</v>
      </c>
    </row>
    <row r="23" spans="1:35" ht="15" customHeight="1">
      <c r="A23" s="741" t="s">
        <v>48</v>
      </c>
      <c r="B23" s="740" t="s">
        <v>269</v>
      </c>
      <c r="C23" s="970" t="s">
        <v>266</v>
      </c>
      <c r="D23" s="1110">
        <f t="shared" si="8"/>
        <v>376787.91</v>
      </c>
      <c r="E23" s="1111">
        <f t="shared" si="9"/>
        <v>199202.79</v>
      </c>
      <c r="F23" s="1112">
        <f t="shared" si="10"/>
        <v>128704.31999999999</v>
      </c>
      <c r="G23" s="1549">
        <f t="shared" si="11"/>
        <v>-6.9300000000000006</v>
      </c>
      <c r="H23" s="1551">
        <f t="shared" si="12"/>
        <v>0</v>
      </c>
      <c r="I23" s="1551">
        <f t="shared" si="13"/>
        <v>704688.09</v>
      </c>
      <c r="J23" s="1552">
        <f t="shared" si="5"/>
        <v>-6.9300000000000006</v>
      </c>
      <c r="K23" s="1547">
        <f t="shared" si="6"/>
        <v>128697.39</v>
      </c>
      <c r="L23" s="1113"/>
      <c r="M23" s="1113"/>
      <c r="N23" s="1113"/>
      <c r="O23" s="1113"/>
      <c r="P23" s="1113"/>
      <c r="Q23" s="1113">
        <f t="shared" si="7"/>
        <v>0</v>
      </c>
      <c r="R23" s="1114"/>
      <c r="S23" s="1114"/>
      <c r="T23" s="1114"/>
      <c r="U23" s="1114"/>
      <c r="V23" s="1542"/>
      <c r="W23" s="1115">
        <f t="shared" si="14"/>
        <v>0</v>
      </c>
      <c r="X23" s="1115">
        <v>366311.85</v>
      </c>
      <c r="Y23" s="1114">
        <v>199202.79</v>
      </c>
      <c r="Z23" s="1114">
        <v>103732.48</v>
      </c>
      <c r="AA23" s="1114">
        <v>-6.65</v>
      </c>
      <c r="AB23" s="1542">
        <v>0</v>
      </c>
      <c r="AC23" s="1115">
        <f t="shared" si="15"/>
        <v>669240.47</v>
      </c>
      <c r="AD23" s="1115">
        <v>10476.06</v>
      </c>
      <c r="AE23" s="1114">
        <v>0</v>
      </c>
      <c r="AF23" s="1114">
        <v>24971.84</v>
      </c>
      <c r="AG23" s="1114">
        <v>-0.28000000000000003</v>
      </c>
      <c r="AH23" s="1542">
        <v>0</v>
      </c>
      <c r="AI23" s="1115">
        <v>35447.620000000003</v>
      </c>
    </row>
    <row r="24" spans="1:35" ht="15" customHeight="1">
      <c r="A24" s="741" t="s">
        <v>50</v>
      </c>
      <c r="B24" s="740" t="s">
        <v>51</v>
      </c>
      <c r="C24" s="970" t="s">
        <v>265</v>
      </c>
      <c r="D24" s="1110">
        <f t="shared" si="8"/>
        <v>648812.55000000005</v>
      </c>
      <c r="E24" s="1111">
        <f t="shared" si="9"/>
        <v>317698.24</v>
      </c>
      <c r="F24" s="1112">
        <f t="shared" si="10"/>
        <v>318511.77</v>
      </c>
      <c r="G24" s="1549">
        <f t="shared" si="11"/>
        <v>348459.2</v>
      </c>
      <c r="H24" s="1551">
        <f t="shared" si="12"/>
        <v>0</v>
      </c>
      <c r="I24" s="1551">
        <f t="shared" si="13"/>
        <v>1633481.7600000002</v>
      </c>
      <c r="J24" s="1552">
        <f t="shared" si="5"/>
        <v>348459.2</v>
      </c>
      <c r="K24" s="1547">
        <f t="shared" si="6"/>
        <v>666970.97</v>
      </c>
      <c r="L24" s="1113"/>
      <c r="M24" s="1113"/>
      <c r="N24" s="1113"/>
      <c r="O24" s="1113"/>
      <c r="P24" s="1113"/>
      <c r="Q24" s="1113">
        <f t="shared" si="7"/>
        <v>0</v>
      </c>
      <c r="R24" s="1114"/>
      <c r="S24" s="1114"/>
      <c r="T24" s="1114"/>
      <c r="U24" s="1114"/>
      <c r="V24" s="1542"/>
      <c r="W24" s="1115">
        <f t="shared" si="14"/>
        <v>0</v>
      </c>
      <c r="X24" s="1115">
        <v>578951.91</v>
      </c>
      <c r="Y24" s="1114">
        <v>317698.24</v>
      </c>
      <c r="Z24" s="1114">
        <v>164472.64000000001</v>
      </c>
      <c r="AA24" s="1114">
        <v>348460.12</v>
      </c>
      <c r="AB24" s="1542">
        <v>0</v>
      </c>
      <c r="AC24" s="1115">
        <f t="shared" si="15"/>
        <v>1409582.9100000001</v>
      </c>
      <c r="AD24" s="1115">
        <v>69860.639999999999</v>
      </c>
      <c r="AE24" s="1114">
        <v>0</v>
      </c>
      <c r="AF24" s="1114">
        <v>154039.13</v>
      </c>
      <c r="AG24" s="1114">
        <v>-0.92</v>
      </c>
      <c r="AH24" s="1542">
        <v>0</v>
      </c>
      <c r="AI24" s="1115">
        <v>223898.85</v>
      </c>
    </row>
    <row r="25" spans="1:35" ht="15" customHeight="1">
      <c r="A25" s="741" t="s">
        <v>56</v>
      </c>
      <c r="B25" s="740" t="s">
        <v>295</v>
      </c>
      <c r="C25" s="970" t="s">
        <v>266</v>
      </c>
      <c r="D25" s="1110">
        <f t="shared" si="8"/>
        <v>4870494.4300000006</v>
      </c>
      <c r="E25" s="1111">
        <f t="shared" si="9"/>
        <v>1953300.7300000002</v>
      </c>
      <c r="F25" s="1112">
        <f t="shared" si="10"/>
        <v>4076271.53</v>
      </c>
      <c r="G25" s="1549">
        <f t="shared" si="11"/>
        <v>80497.95</v>
      </c>
      <c r="H25" s="1551">
        <f t="shared" si="12"/>
        <v>-120586.12</v>
      </c>
      <c r="I25" s="1551">
        <f t="shared" si="13"/>
        <v>10859978.52</v>
      </c>
      <c r="J25" s="1552">
        <f t="shared" si="5"/>
        <v>-40088.17</v>
      </c>
      <c r="K25" s="1547">
        <f t="shared" si="6"/>
        <v>4036183.36</v>
      </c>
      <c r="L25" s="1113"/>
      <c r="M25" s="1113"/>
      <c r="N25" s="1113"/>
      <c r="O25" s="1113"/>
      <c r="P25" s="1113"/>
      <c r="Q25" s="1113">
        <f t="shared" si="7"/>
        <v>0</v>
      </c>
      <c r="R25" s="1114">
        <v>11732.22</v>
      </c>
      <c r="S25" s="1114">
        <v>4073.87</v>
      </c>
      <c r="T25" s="1114">
        <v>0</v>
      </c>
      <c r="U25" s="1114">
        <v>-0.02</v>
      </c>
      <c r="V25" s="1542">
        <v>0</v>
      </c>
      <c r="W25" s="1115">
        <f t="shared" si="14"/>
        <v>15806.07</v>
      </c>
      <c r="X25" s="1115">
        <v>3449245.74</v>
      </c>
      <c r="Y25" s="1114">
        <v>1949226.86</v>
      </c>
      <c r="Z25" s="1114">
        <v>990250.77</v>
      </c>
      <c r="AA25" s="1114">
        <v>47649.27</v>
      </c>
      <c r="AB25" s="1542">
        <v>0</v>
      </c>
      <c r="AC25" s="1115">
        <f t="shared" si="15"/>
        <v>6436372.6400000006</v>
      </c>
      <c r="AD25" s="1115">
        <v>1409516.47</v>
      </c>
      <c r="AE25" s="1114">
        <v>0</v>
      </c>
      <c r="AF25" s="1114">
        <v>3086020.76</v>
      </c>
      <c r="AG25" s="1114">
        <v>32848.699999999997</v>
      </c>
      <c r="AH25" s="1542">
        <v>-120586.12</v>
      </c>
      <c r="AI25" s="1115">
        <v>4407799.8099999996</v>
      </c>
    </row>
    <row r="26" spans="1:35" ht="15" customHeight="1">
      <c r="A26" s="741" t="s">
        <v>58</v>
      </c>
      <c r="B26" s="740" t="s">
        <v>59</v>
      </c>
      <c r="C26" s="970" t="s">
        <v>267</v>
      </c>
      <c r="D26" s="1110">
        <f t="shared" si="8"/>
        <v>429635.57</v>
      </c>
      <c r="E26" s="1111">
        <f t="shared" si="9"/>
        <v>144522.22</v>
      </c>
      <c r="F26" s="1112">
        <f t="shared" si="10"/>
        <v>474050.06</v>
      </c>
      <c r="G26" s="1549">
        <f t="shared" si="11"/>
        <v>2144.77</v>
      </c>
      <c r="H26" s="1551">
        <f t="shared" si="12"/>
        <v>-1796</v>
      </c>
      <c r="I26" s="1551">
        <f t="shared" si="13"/>
        <v>1048556.6199999999</v>
      </c>
      <c r="J26" s="1552">
        <f t="shared" si="5"/>
        <v>348.77</v>
      </c>
      <c r="K26" s="1547">
        <f t="shared" si="6"/>
        <v>474398.83</v>
      </c>
      <c r="L26" s="1113"/>
      <c r="M26" s="1113"/>
      <c r="N26" s="1113"/>
      <c r="O26" s="1113"/>
      <c r="P26" s="1113"/>
      <c r="Q26" s="1113">
        <f t="shared" si="7"/>
        <v>0</v>
      </c>
      <c r="R26" s="1114"/>
      <c r="S26" s="1114"/>
      <c r="T26" s="1114"/>
      <c r="U26" s="1114"/>
      <c r="V26" s="1542"/>
      <c r="W26" s="1115">
        <f t="shared" si="14"/>
        <v>0</v>
      </c>
      <c r="X26" s="1115">
        <v>246776.13</v>
      </c>
      <c r="Y26" s="1114">
        <v>144522.22</v>
      </c>
      <c r="Z26" s="1114">
        <v>71775.520000000004</v>
      </c>
      <c r="AA26" s="1114">
        <v>332.54</v>
      </c>
      <c r="AB26" s="1542">
        <v>0</v>
      </c>
      <c r="AC26" s="1115">
        <f t="shared" si="15"/>
        <v>463406.41</v>
      </c>
      <c r="AD26" s="1115">
        <v>182859.44</v>
      </c>
      <c r="AE26" s="1114">
        <v>0</v>
      </c>
      <c r="AF26" s="1114">
        <v>402274.54</v>
      </c>
      <c r="AG26" s="1114">
        <v>1812.23</v>
      </c>
      <c r="AH26" s="1542">
        <v>-1796</v>
      </c>
      <c r="AI26" s="1115">
        <v>585150.21</v>
      </c>
    </row>
    <row r="27" spans="1:35" ht="15" customHeight="1">
      <c r="A27" s="741" t="s">
        <v>60</v>
      </c>
      <c r="B27" s="740" t="s">
        <v>61</v>
      </c>
      <c r="C27" s="970" t="s">
        <v>265</v>
      </c>
      <c r="D27" s="1110">
        <f t="shared" si="8"/>
        <v>222284.88</v>
      </c>
      <c r="E27" s="1111">
        <f t="shared" si="9"/>
        <v>93961.71</v>
      </c>
      <c r="F27" s="1112">
        <f t="shared" si="10"/>
        <v>170601.8</v>
      </c>
      <c r="G27" s="1549">
        <f t="shared" si="11"/>
        <v>2920.7</v>
      </c>
      <c r="H27" s="1551">
        <f t="shared" si="12"/>
        <v>0</v>
      </c>
      <c r="I27" s="1551">
        <f t="shared" si="13"/>
        <v>489769.08999999997</v>
      </c>
      <c r="J27" s="1552">
        <f t="shared" si="5"/>
        <v>2920.7</v>
      </c>
      <c r="K27" s="1547">
        <f t="shared" si="6"/>
        <v>173522.5</v>
      </c>
      <c r="L27" s="1113"/>
      <c r="M27" s="1113"/>
      <c r="N27" s="1113"/>
      <c r="O27" s="1113"/>
      <c r="P27" s="1113"/>
      <c r="Q27" s="1113">
        <f t="shared" si="7"/>
        <v>0</v>
      </c>
      <c r="R27" s="1114"/>
      <c r="S27" s="1114"/>
      <c r="T27" s="1114"/>
      <c r="U27" s="1114"/>
      <c r="V27" s="1542"/>
      <c r="W27" s="1115">
        <f t="shared" si="14"/>
        <v>0</v>
      </c>
      <c r="X27" s="1115">
        <v>166329.74</v>
      </c>
      <c r="Y27" s="1114">
        <v>93961.71</v>
      </c>
      <c r="Z27" s="1114">
        <v>47744.68</v>
      </c>
      <c r="AA27" s="1114">
        <v>2193.79</v>
      </c>
      <c r="AB27" s="1542">
        <v>0</v>
      </c>
      <c r="AC27" s="1115">
        <f t="shared" si="15"/>
        <v>310229.92</v>
      </c>
      <c r="AD27" s="1115">
        <v>55955.14</v>
      </c>
      <c r="AE27" s="1114">
        <v>0</v>
      </c>
      <c r="AF27" s="1114">
        <v>122857.12</v>
      </c>
      <c r="AG27" s="1114">
        <v>726.91</v>
      </c>
      <c r="AH27" s="1542">
        <v>0</v>
      </c>
      <c r="AI27" s="1115">
        <v>179539.17</v>
      </c>
    </row>
    <row r="28" spans="1:35" ht="15" customHeight="1">
      <c r="A28" s="741" t="s">
        <v>62</v>
      </c>
      <c r="B28" s="740" t="s">
        <v>63</v>
      </c>
      <c r="C28" s="970" t="s">
        <v>267</v>
      </c>
      <c r="D28" s="1110">
        <f t="shared" si="8"/>
        <v>1483219.24</v>
      </c>
      <c r="E28" s="1111">
        <f t="shared" si="9"/>
        <v>580887.89</v>
      </c>
      <c r="F28" s="1112">
        <f t="shared" si="10"/>
        <v>1307248.02</v>
      </c>
      <c r="G28" s="1549">
        <f t="shared" si="11"/>
        <v>118148.59</v>
      </c>
      <c r="H28" s="1551">
        <f t="shared" si="12"/>
        <v>0</v>
      </c>
      <c r="I28" s="1551">
        <f t="shared" si="13"/>
        <v>3489503.74</v>
      </c>
      <c r="J28" s="1552">
        <f t="shared" si="5"/>
        <v>118148.59</v>
      </c>
      <c r="K28" s="1547">
        <f t="shared" si="6"/>
        <v>1425396.61</v>
      </c>
      <c r="L28" s="1113"/>
      <c r="M28" s="1113"/>
      <c r="N28" s="1113"/>
      <c r="O28" s="1113"/>
      <c r="P28" s="1113"/>
      <c r="Q28" s="1113">
        <f t="shared" si="7"/>
        <v>0</v>
      </c>
      <c r="R28" s="1114"/>
      <c r="S28" s="1114"/>
      <c r="T28" s="1114"/>
      <c r="U28" s="1114"/>
      <c r="V28" s="1542"/>
      <c r="W28" s="1115">
        <f t="shared" si="14"/>
        <v>0</v>
      </c>
      <c r="X28" s="1115">
        <v>1019880.68</v>
      </c>
      <c r="Y28" s="1114">
        <v>580887.89</v>
      </c>
      <c r="Z28" s="1114">
        <v>293631.11</v>
      </c>
      <c r="AA28" s="1114">
        <v>118453.05</v>
      </c>
      <c r="AB28" s="1542">
        <v>0</v>
      </c>
      <c r="AC28" s="1115">
        <f t="shared" si="15"/>
        <v>2012852.7300000002</v>
      </c>
      <c r="AD28" s="1115">
        <v>463338.56</v>
      </c>
      <c r="AE28" s="1114">
        <v>0</v>
      </c>
      <c r="AF28" s="1114">
        <v>1013616.91</v>
      </c>
      <c r="AG28" s="1114">
        <v>-304.45999999999998</v>
      </c>
      <c r="AH28" s="1542">
        <v>0</v>
      </c>
      <c r="AI28" s="1115">
        <v>1476651.01</v>
      </c>
    </row>
    <row r="29" spans="1:35" ht="15" customHeight="1">
      <c r="A29" s="741" t="s">
        <v>64</v>
      </c>
      <c r="B29" s="740" t="s">
        <v>65</v>
      </c>
      <c r="C29" s="970" t="s">
        <v>266</v>
      </c>
      <c r="D29" s="1110">
        <f t="shared" si="8"/>
        <v>438753.11</v>
      </c>
      <c r="E29" s="1111">
        <f t="shared" si="9"/>
        <v>211458.82</v>
      </c>
      <c r="F29" s="1112">
        <f t="shared" si="10"/>
        <v>225706.26</v>
      </c>
      <c r="G29" s="1549">
        <f t="shared" si="11"/>
        <v>21509.15</v>
      </c>
      <c r="H29" s="1551">
        <f t="shared" si="12"/>
        <v>0</v>
      </c>
      <c r="I29" s="1551">
        <f t="shared" si="13"/>
        <v>897427.34</v>
      </c>
      <c r="J29" s="1552">
        <f t="shared" si="5"/>
        <v>21509.15</v>
      </c>
      <c r="K29" s="1547">
        <f t="shared" si="6"/>
        <v>247215.41</v>
      </c>
      <c r="L29" s="1113"/>
      <c r="M29" s="1113"/>
      <c r="N29" s="1113"/>
      <c r="O29" s="1113"/>
      <c r="P29" s="1113"/>
      <c r="Q29" s="1113">
        <f t="shared" si="7"/>
        <v>0</v>
      </c>
      <c r="R29" s="1114"/>
      <c r="S29" s="1114"/>
      <c r="T29" s="1114"/>
      <c r="U29" s="1114"/>
      <c r="V29" s="1542"/>
      <c r="W29" s="1115">
        <f t="shared" si="14"/>
        <v>0</v>
      </c>
      <c r="X29" s="1115">
        <v>386100.13</v>
      </c>
      <c r="Y29" s="1114">
        <v>211458.82</v>
      </c>
      <c r="Z29" s="1114">
        <v>109610.04</v>
      </c>
      <c r="AA29" s="1114">
        <v>14648.48</v>
      </c>
      <c r="AB29" s="1542">
        <v>0</v>
      </c>
      <c r="AC29" s="1115">
        <f t="shared" si="15"/>
        <v>721817.47</v>
      </c>
      <c r="AD29" s="1115">
        <v>52652.98</v>
      </c>
      <c r="AE29" s="1114">
        <v>0</v>
      </c>
      <c r="AF29" s="1114">
        <v>116096.22</v>
      </c>
      <c r="AG29" s="1114">
        <v>6860.67</v>
      </c>
      <c r="AH29" s="1542">
        <v>0</v>
      </c>
      <c r="AI29" s="1115">
        <v>175609.87</v>
      </c>
    </row>
    <row r="30" spans="1:35" ht="15" customHeight="1">
      <c r="A30" s="741" t="s">
        <v>68</v>
      </c>
      <c r="B30" s="740" t="s">
        <v>69</v>
      </c>
      <c r="C30" s="970" t="s">
        <v>268</v>
      </c>
      <c r="D30" s="1110">
        <f t="shared" si="8"/>
        <v>1240153.22</v>
      </c>
      <c r="E30" s="1111">
        <f t="shared" si="9"/>
        <v>597927.71</v>
      </c>
      <c r="F30" s="1112">
        <f t="shared" si="10"/>
        <v>640111.03</v>
      </c>
      <c r="G30" s="1549">
        <f t="shared" si="11"/>
        <v>24352.48</v>
      </c>
      <c r="H30" s="1551">
        <f t="shared" si="12"/>
        <v>0</v>
      </c>
      <c r="I30" s="1551">
        <f t="shared" si="13"/>
        <v>2502544.44</v>
      </c>
      <c r="J30" s="1552">
        <f t="shared" si="5"/>
        <v>24352.48</v>
      </c>
      <c r="K30" s="1547">
        <f t="shared" si="6"/>
        <v>664463.51</v>
      </c>
      <c r="L30" s="1113"/>
      <c r="M30" s="1113"/>
      <c r="N30" s="1113"/>
      <c r="O30" s="1113"/>
      <c r="P30" s="1113"/>
      <c r="Q30" s="1113">
        <f t="shared" si="7"/>
        <v>0</v>
      </c>
      <c r="R30" s="1114"/>
      <c r="S30" s="1114"/>
      <c r="T30" s="1114"/>
      <c r="U30" s="1114"/>
      <c r="V30" s="1542"/>
      <c r="W30" s="1115">
        <f t="shared" si="14"/>
        <v>0</v>
      </c>
      <c r="X30" s="1115">
        <v>1090289.7</v>
      </c>
      <c r="Y30" s="1114">
        <v>597927.71</v>
      </c>
      <c r="Z30" s="1114">
        <v>309670.32</v>
      </c>
      <c r="AA30" s="1114">
        <v>22585.66</v>
      </c>
      <c r="AB30" s="1542">
        <v>0</v>
      </c>
      <c r="AC30" s="1115">
        <f t="shared" si="15"/>
        <v>2020473.39</v>
      </c>
      <c r="AD30" s="1115">
        <v>149863.51999999999</v>
      </c>
      <c r="AE30" s="1114">
        <v>0</v>
      </c>
      <c r="AF30" s="1114">
        <v>330440.71000000002</v>
      </c>
      <c r="AG30" s="1114">
        <v>1766.82</v>
      </c>
      <c r="AH30" s="1542">
        <v>0</v>
      </c>
      <c r="AI30" s="1115">
        <v>482071.05</v>
      </c>
    </row>
    <row r="31" spans="1:35" ht="15" customHeight="1">
      <c r="A31" s="741" t="s">
        <v>70</v>
      </c>
      <c r="B31" s="740" t="s">
        <v>71</v>
      </c>
      <c r="C31" s="970" t="s">
        <v>264</v>
      </c>
      <c r="D31" s="1110">
        <f t="shared" si="8"/>
        <v>923921.5</v>
      </c>
      <c r="E31" s="1111">
        <f t="shared" si="9"/>
        <v>463093.31</v>
      </c>
      <c r="F31" s="1112">
        <f t="shared" si="10"/>
        <v>398773.28</v>
      </c>
      <c r="G31" s="1549">
        <f t="shared" si="11"/>
        <v>17517.18</v>
      </c>
      <c r="H31" s="1551">
        <f t="shared" si="12"/>
        <v>0</v>
      </c>
      <c r="I31" s="1551">
        <f t="shared" si="13"/>
        <v>1803305.27</v>
      </c>
      <c r="J31" s="1552">
        <f t="shared" si="5"/>
        <v>17517.18</v>
      </c>
      <c r="K31" s="1547">
        <f t="shared" si="6"/>
        <v>416290.46</v>
      </c>
      <c r="L31" s="1113"/>
      <c r="M31" s="1113"/>
      <c r="N31" s="1113"/>
      <c r="O31" s="1113"/>
      <c r="P31" s="1113"/>
      <c r="Q31" s="1113">
        <f t="shared" si="7"/>
        <v>0</v>
      </c>
      <c r="R31" s="1114"/>
      <c r="S31" s="1114"/>
      <c r="T31" s="1114"/>
      <c r="U31" s="1114"/>
      <c r="V31" s="1542"/>
      <c r="W31" s="1115">
        <f t="shared" si="14"/>
        <v>0</v>
      </c>
      <c r="X31" s="1115">
        <v>855487.16</v>
      </c>
      <c r="Y31" s="1114">
        <v>463093.31</v>
      </c>
      <c r="Z31" s="1114">
        <v>241867.36</v>
      </c>
      <c r="AA31" s="1114">
        <v>17520.900000000001</v>
      </c>
      <c r="AB31" s="1542">
        <v>0</v>
      </c>
      <c r="AC31" s="1115">
        <f t="shared" si="15"/>
        <v>1577968.73</v>
      </c>
      <c r="AD31" s="1115">
        <v>68434.34</v>
      </c>
      <c r="AE31" s="1114">
        <v>0</v>
      </c>
      <c r="AF31" s="1114">
        <v>156905.92000000001</v>
      </c>
      <c r="AG31" s="1114">
        <v>-3.72</v>
      </c>
      <c r="AH31" s="1542">
        <v>0</v>
      </c>
      <c r="AI31" s="1115">
        <v>225336.54</v>
      </c>
    </row>
    <row r="32" spans="1:35" ht="15" customHeight="1">
      <c r="A32" s="741" t="s">
        <v>72</v>
      </c>
      <c r="B32" s="740" t="s">
        <v>73</v>
      </c>
      <c r="C32" s="970" t="s">
        <v>266</v>
      </c>
      <c r="D32" s="1110">
        <f t="shared" si="8"/>
        <v>519656.71</v>
      </c>
      <c r="E32" s="1111">
        <f t="shared" si="9"/>
        <v>207579.29</v>
      </c>
      <c r="F32" s="1112">
        <f t="shared" si="10"/>
        <v>437521.81</v>
      </c>
      <c r="G32" s="1549">
        <f t="shared" si="11"/>
        <v>25060.99</v>
      </c>
      <c r="H32" s="1551">
        <f t="shared" si="12"/>
        <v>0</v>
      </c>
      <c r="I32" s="1551">
        <f t="shared" si="13"/>
        <v>1189818.8</v>
      </c>
      <c r="J32" s="1552">
        <f t="shared" si="5"/>
        <v>25060.99</v>
      </c>
      <c r="K32" s="1547">
        <f t="shared" si="6"/>
        <v>462582.8</v>
      </c>
      <c r="L32" s="1113"/>
      <c r="M32" s="1113"/>
      <c r="N32" s="1113"/>
      <c r="O32" s="1113"/>
      <c r="P32" s="1113"/>
      <c r="Q32" s="1113">
        <f t="shared" si="7"/>
        <v>0</v>
      </c>
      <c r="R32" s="1114"/>
      <c r="S32" s="1114"/>
      <c r="T32" s="1114"/>
      <c r="U32" s="1114"/>
      <c r="V32" s="1542"/>
      <c r="W32" s="1115">
        <f t="shared" si="14"/>
        <v>0</v>
      </c>
      <c r="X32" s="1115">
        <v>368155.82</v>
      </c>
      <c r="Y32" s="1114">
        <v>207579.29</v>
      </c>
      <c r="Z32" s="1114">
        <v>105606.92</v>
      </c>
      <c r="AA32" s="1114">
        <v>23069.27</v>
      </c>
      <c r="AB32" s="1542">
        <v>0</v>
      </c>
      <c r="AC32" s="1115">
        <f t="shared" si="15"/>
        <v>704411.3</v>
      </c>
      <c r="AD32" s="1115">
        <v>151500.89000000001</v>
      </c>
      <c r="AE32" s="1114">
        <v>0</v>
      </c>
      <c r="AF32" s="1114">
        <v>331914.89</v>
      </c>
      <c r="AG32" s="1114">
        <v>1991.72</v>
      </c>
      <c r="AH32" s="1542">
        <v>0</v>
      </c>
      <c r="AI32" s="1115">
        <v>485407.5</v>
      </c>
    </row>
    <row r="33" spans="1:35" ht="15" customHeight="1">
      <c r="A33" s="741" t="s">
        <v>74</v>
      </c>
      <c r="B33" s="740" t="s">
        <v>302</v>
      </c>
      <c r="C33" s="970" t="s">
        <v>267</v>
      </c>
      <c r="D33" s="1110">
        <f t="shared" si="8"/>
        <v>24580019.550000001</v>
      </c>
      <c r="E33" s="1111">
        <f t="shared" si="9"/>
        <v>6522534.7000000002</v>
      </c>
      <c r="F33" s="1112">
        <f t="shared" si="10"/>
        <v>33038409.57</v>
      </c>
      <c r="G33" s="1549">
        <f t="shared" si="11"/>
        <v>-11.2</v>
      </c>
      <c r="H33" s="1551">
        <f t="shared" si="12"/>
        <v>0</v>
      </c>
      <c r="I33" s="1551">
        <f t="shared" si="13"/>
        <v>64140952.620000005</v>
      </c>
      <c r="J33" s="1552">
        <f t="shared" si="5"/>
        <v>-11.2</v>
      </c>
      <c r="K33" s="1547">
        <f t="shared" si="6"/>
        <v>33038398.370000001</v>
      </c>
      <c r="L33" s="1113">
        <v>103520.59</v>
      </c>
      <c r="M33" s="1113">
        <v>0</v>
      </c>
      <c r="N33" s="1113">
        <v>46747.55</v>
      </c>
      <c r="O33" s="1113">
        <v>-0.13</v>
      </c>
      <c r="P33" s="1113">
        <v>0</v>
      </c>
      <c r="Q33" s="1113">
        <f t="shared" si="7"/>
        <v>150268.01</v>
      </c>
      <c r="R33" s="1114"/>
      <c r="S33" s="1114"/>
      <c r="T33" s="1114"/>
      <c r="U33" s="1114"/>
      <c r="V33" s="1542"/>
      <c r="W33" s="1115">
        <f t="shared" si="14"/>
        <v>0</v>
      </c>
      <c r="X33" s="1115">
        <v>11360376.800000001</v>
      </c>
      <c r="Y33" s="1114">
        <v>6522534.7000000002</v>
      </c>
      <c r="Z33" s="1114">
        <v>3280297.37</v>
      </c>
      <c r="AA33" s="1114">
        <v>0.13</v>
      </c>
      <c r="AB33" s="1542">
        <v>0</v>
      </c>
      <c r="AC33" s="1115">
        <f t="shared" si="15"/>
        <v>21163209</v>
      </c>
      <c r="AD33" s="1115">
        <v>13116122.16</v>
      </c>
      <c r="AE33" s="1114">
        <v>0</v>
      </c>
      <c r="AF33" s="1114">
        <v>29711364.649999999</v>
      </c>
      <c r="AG33" s="1114">
        <v>-11.2</v>
      </c>
      <c r="AH33" s="1542">
        <v>0</v>
      </c>
      <c r="AI33" s="1115">
        <v>42827475.609999999</v>
      </c>
    </row>
    <row r="34" spans="1:35" ht="15" customHeight="1">
      <c r="A34" s="741" t="s">
        <v>76</v>
      </c>
      <c r="B34" s="740" t="s">
        <v>77</v>
      </c>
      <c r="C34" s="970" t="s">
        <v>267</v>
      </c>
      <c r="D34" s="1110">
        <f t="shared" si="8"/>
        <v>1449288.6400000001</v>
      </c>
      <c r="E34" s="1111">
        <f t="shared" si="9"/>
        <v>528799.34</v>
      </c>
      <c r="F34" s="1112">
        <f t="shared" si="10"/>
        <v>1538191.6400000001</v>
      </c>
      <c r="G34" s="1549">
        <f t="shared" si="11"/>
        <v>446682.96</v>
      </c>
      <c r="H34" s="1551">
        <f t="shared" si="12"/>
        <v>0</v>
      </c>
      <c r="I34" s="1551">
        <f t="shared" si="13"/>
        <v>3962962.58</v>
      </c>
      <c r="J34" s="1552">
        <f t="shared" si="5"/>
        <v>446682.96</v>
      </c>
      <c r="K34" s="1547">
        <f t="shared" si="6"/>
        <v>1984874.6</v>
      </c>
      <c r="L34" s="1113"/>
      <c r="M34" s="1113"/>
      <c r="N34" s="1113"/>
      <c r="O34" s="1113"/>
      <c r="P34" s="1113"/>
      <c r="Q34" s="1113">
        <f t="shared" si="7"/>
        <v>0</v>
      </c>
      <c r="R34" s="1114"/>
      <c r="S34" s="1114"/>
      <c r="T34" s="1114"/>
      <c r="U34" s="1114"/>
      <c r="V34" s="1542"/>
      <c r="W34" s="1115">
        <f t="shared" si="14"/>
        <v>0</v>
      </c>
      <c r="X34" s="1115">
        <v>868120.39</v>
      </c>
      <c r="Y34" s="1114">
        <v>528799.34</v>
      </c>
      <c r="Z34" s="1114">
        <v>256238.85</v>
      </c>
      <c r="AA34" s="1114">
        <v>364407.21</v>
      </c>
      <c r="AB34" s="1542">
        <v>0</v>
      </c>
      <c r="AC34" s="1115">
        <f t="shared" si="15"/>
        <v>2017565.79</v>
      </c>
      <c r="AD34" s="1115">
        <v>581168.25</v>
      </c>
      <c r="AE34" s="1114">
        <v>0</v>
      </c>
      <c r="AF34" s="1114">
        <v>1281952.79</v>
      </c>
      <c r="AG34" s="1114">
        <v>82275.75</v>
      </c>
      <c r="AH34" s="1542">
        <v>0</v>
      </c>
      <c r="AI34" s="1115">
        <v>1945396.79</v>
      </c>
    </row>
    <row r="35" spans="1:35" ht="15" customHeight="1">
      <c r="A35" s="741" t="s">
        <v>78</v>
      </c>
      <c r="B35" s="740" t="s">
        <v>79</v>
      </c>
      <c r="C35" s="970" t="s">
        <v>268</v>
      </c>
      <c r="D35" s="1110">
        <f t="shared" si="8"/>
        <v>411058.24</v>
      </c>
      <c r="E35" s="1111">
        <f t="shared" si="9"/>
        <v>190171.77</v>
      </c>
      <c r="F35" s="1112">
        <f t="shared" si="10"/>
        <v>241082.65999999997</v>
      </c>
      <c r="G35" s="1549">
        <f t="shared" si="11"/>
        <v>1569.6599999999999</v>
      </c>
      <c r="H35" s="1551">
        <f t="shared" si="12"/>
        <v>0</v>
      </c>
      <c r="I35" s="1551">
        <f t="shared" si="13"/>
        <v>843882.33</v>
      </c>
      <c r="J35" s="1552">
        <f t="shared" si="5"/>
        <v>1569.6599999999999</v>
      </c>
      <c r="K35" s="1547">
        <f t="shared" si="6"/>
        <v>242652.31999999998</v>
      </c>
      <c r="L35" s="1113"/>
      <c r="M35" s="1113"/>
      <c r="N35" s="1113"/>
      <c r="O35" s="1113"/>
      <c r="P35" s="1113"/>
      <c r="Q35" s="1113">
        <f t="shared" si="7"/>
        <v>0</v>
      </c>
      <c r="R35" s="1114"/>
      <c r="S35" s="1114"/>
      <c r="T35" s="1114"/>
      <c r="U35" s="1114"/>
      <c r="V35" s="1542"/>
      <c r="W35" s="1115">
        <f t="shared" si="14"/>
        <v>0</v>
      </c>
      <c r="X35" s="1115">
        <v>346353.67</v>
      </c>
      <c r="Y35" s="1114">
        <v>190171.77</v>
      </c>
      <c r="Z35" s="1114">
        <v>98413.54</v>
      </c>
      <c r="AA35" s="1114">
        <v>1449.12</v>
      </c>
      <c r="AB35" s="1542">
        <v>0</v>
      </c>
      <c r="AC35" s="1115">
        <f t="shared" si="15"/>
        <v>636388.1</v>
      </c>
      <c r="AD35" s="1115">
        <v>64704.57</v>
      </c>
      <c r="AE35" s="1114">
        <v>0</v>
      </c>
      <c r="AF35" s="1114">
        <v>142669.12</v>
      </c>
      <c r="AG35" s="1114">
        <v>120.54</v>
      </c>
      <c r="AH35" s="1542">
        <v>0</v>
      </c>
      <c r="AI35" s="1115">
        <v>207494.23</v>
      </c>
    </row>
    <row r="36" spans="1:35" ht="15" customHeight="1">
      <c r="A36" s="741" t="s">
        <v>80</v>
      </c>
      <c r="B36" s="740" t="s">
        <v>81</v>
      </c>
      <c r="C36" s="970" t="s">
        <v>266</v>
      </c>
      <c r="D36" s="1110">
        <f t="shared" si="8"/>
        <v>606957.83000000007</v>
      </c>
      <c r="E36" s="1111">
        <f t="shared" si="9"/>
        <v>254838.92</v>
      </c>
      <c r="F36" s="1112">
        <f t="shared" si="10"/>
        <v>457081.71</v>
      </c>
      <c r="G36" s="1549">
        <f t="shared" si="11"/>
        <v>283274.84999999998</v>
      </c>
      <c r="H36" s="1551">
        <f t="shared" si="12"/>
        <v>0</v>
      </c>
      <c r="I36" s="1551">
        <f t="shared" si="13"/>
        <v>1602153.31</v>
      </c>
      <c r="J36" s="1552">
        <f t="shared" si="5"/>
        <v>283274.84999999998</v>
      </c>
      <c r="K36" s="1547">
        <f t="shared" si="6"/>
        <v>740356.56</v>
      </c>
      <c r="L36" s="1113"/>
      <c r="M36" s="1113"/>
      <c r="N36" s="1113"/>
      <c r="O36" s="1113"/>
      <c r="P36" s="1113"/>
      <c r="Q36" s="1113">
        <f t="shared" si="7"/>
        <v>0</v>
      </c>
      <c r="R36" s="1114"/>
      <c r="S36" s="1114"/>
      <c r="T36" s="1114"/>
      <c r="U36" s="1114"/>
      <c r="V36" s="1542"/>
      <c r="W36" s="1115">
        <f t="shared" si="14"/>
        <v>0</v>
      </c>
      <c r="X36" s="1115">
        <v>457739.46</v>
      </c>
      <c r="Y36" s="1114">
        <v>254838.92</v>
      </c>
      <c r="Z36" s="1114">
        <v>130708.25</v>
      </c>
      <c r="AA36" s="1114">
        <v>274587.46999999997</v>
      </c>
      <c r="AB36" s="1542">
        <v>0</v>
      </c>
      <c r="AC36" s="1115">
        <f t="shared" si="15"/>
        <v>1117874.1000000001</v>
      </c>
      <c r="AD36" s="1115">
        <v>149218.37</v>
      </c>
      <c r="AE36" s="1114">
        <v>0</v>
      </c>
      <c r="AF36" s="1114">
        <v>326373.46000000002</v>
      </c>
      <c r="AG36" s="1114">
        <v>8687.3799999999992</v>
      </c>
      <c r="AH36" s="1542">
        <v>0</v>
      </c>
      <c r="AI36" s="1115">
        <v>484279.21</v>
      </c>
    </row>
    <row r="37" spans="1:35" ht="15" customHeight="1">
      <c r="A37" s="741" t="s">
        <v>84</v>
      </c>
      <c r="B37" s="740" t="s">
        <v>308</v>
      </c>
      <c r="C37" s="970" t="s">
        <v>265</v>
      </c>
      <c r="D37" s="1110">
        <f t="shared" si="8"/>
        <v>1481756.79</v>
      </c>
      <c r="E37" s="1111">
        <f t="shared" si="9"/>
        <v>612825.96</v>
      </c>
      <c r="F37" s="1112">
        <f t="shared" si="10"/>
        <v>1181556.74</v>
      </c>
      <c r="G37" s="1549">
        <f t="shared" si="11"/>
        <v>654.34000000000015</v>
      </c>
      <c r="H37" s="1551">
        <f t="shared" si="12"/>
        <v>0</v>
      </c>
      <c r="I37" s="1551">
        <f t="shared" si="13"/>
        <v>3276793.83</v>
      </c>
      <c r="J37" s="1552">
        <f t="shared" si="5"/>
        <v>654.34000000000015</v>
      </c>
      <c r="K37" s="1547">
        <f t="shared" si="6"/>
        <v>1182211.08</v>
      </c>
      <c r="L37" s="1113"/>
      <c r="M37" s="1113"/>
      <c r="N37" s="1113"/>
      <c r="O37" s="1113"/>
      <c r="P37" s="1113"/>
      <c r="Q37" s="1113">
        <f t="shared" ref="Q37:Q68" si="16">SUM(L37:P37)</f>
        <v>0</v>
      </c>
      <c r="R37" s="1114"/>
      <c r="S37" s="1114"/>
      <c r="T37" s="1114"/>
      <c r="U37" s="1114"/>
      <c r="V37" s="1542"/>
      <c r="W37" s="1115">
        <f t="shared" si="14"/>
        <v>0</v>
      </c>
      <c r="X37" s="1115">
        <v>1084495.5</v>
      </c>
      <c r="Y37" s="1114">
        <v>612825.96</v>
      </c>
      <c r="Z37" s="1114">
        <v>311341.63</v>
      </c>
      <c r="AA37" s="1114">
        <v>12178.7</v>
      </c>
      <c r="AB37" s="1542">
        <v>0</v>
      </c>
      <c r="AC37" s="1115">
        <f t="shared" si="15"/>
        <v>2020841.7899999998</v>
      </c>
      <c r="AD37" s="1115">
        <v>397261.29</v>
      </c>
      <c r="AE37" s="1114">
        <v>0</v>
      </c>
      <c r="AF37" s="1114">
        <v>870215.11</v>
      </c>
      <c r="AG37" s="1114">
        <v>-11524.36</v>
      </c>
      <c r="AH37" s="1542">
        <v>0</v>
      </c>
      <c r="AI37" s="1115">
        <v>1255952.04</v>
      </c>
    </row>
    <row r="38" spans="1:35" ht="15" customHeight="1">
      <c r="A38" s="741" t="s">
        <v>86</v>
      </c>
      <c r="B38" s="740" t="s">
        <v>87</v>
      </c>
      <c r="C38" s="970" t="s">
        <v>267</v>
      </c>
      <c r="D38" s="1110">
        <f t="shared" si="8"/>
        <v>1581423.85</v>
      </c>
      <c r="E38" s="1111">
        <f t="shared" si="9"/>
        <v>540041.64999999991</v>
      </c>
      <c r="F38" s="1112">
        <f t="shared" si="10"/>
        <v>1710293.0499999998</v>
      </c>
      <c r="G38" s="1549">
        <f t="shared" si="11"/>
        <v>51237.35</v>
      </c>
      <c r="H38" s="1551">
        <f t="shared" si="12"/>
        <v>0</v>
      </c>
      <c r="I38" s="1551">
        <f t="shared" si="13"/>
        <v>3882995.8999999994</v>
      </c>
      <c r="J38" s="1552">
        <f t="shared" si="5"/>
        <v>51237.35</v>
      </c>
      <c r="K38" s="1547">
        <f t="shared" si="6"/>
        <v>1761530.4</v>
      </c>
      <c r="L38" s="1113"/>
      <c r="M38" s="1113"/>
      <c r="N38" s="1113"/>
      <c r="O38" s="1113"/>
      <c r="P38" s="1113"/>
      <c r="Q38" s="1113">
        <f t="shared" si="16"/>
        <v>0</v>
      </c>
      <c r="R38" s="1114">
        <v>507.41</v>
      </c>
      <c r="S38" s="1114">
        <v>176.2</v>
      </c>
      <c r="T38" s="1114">
        <v>0</v>
      </c>
      <c r="U38" s="1114">
        <v>-0.02</v>
      </c>
      <c r="V38" s="1542">
        <v>0</v>
      </c>
      <c r="W38" s="1115">
        <f t="shared" si="14"/>
        <v>683.59</v>
      </c>
      <c r="X38" s="1115">
        <v>924249.47</v>
      </c>
      <c r="Y38" s="1114">
        <v>539865.44999999995</v>
      </c>
      <c r="Z38" s="1114">
        <v>268564.17</v>
      </c>
      <c r="AA38" s="1114">
        <v>43105.17</v>
      </c>
      <c r="AB38" s="1542">
        <v>0</v>
      </c>
      <c r="AC38" s="1115">
        <f t="shared" si="15"/>
        <v>1775784.2599999998</v>
      </c>
      <c r="AD38" s="1115">
        <v>656666.97</v>
      </c>
      <c r="AE38" s="1114">
        <v>0</v>
      </c>
      <c r="AF38" s="1114">
        <v>1441728.88</v>
      </c>
      <c r="AG38" s="1114">
        <v>8132.2</v>
      </c>
      <c r="AH38" s="1542">
        <v>0</v>
      </c>
      <c r="AI38" s="1115">
        <v>2106528.0499999998</v>
      </c>
    </row>
    <row r="39" spans="1:35" ht="15" customHeight="1">
      <c r="A39" s="741" t="s">
        <v>92</v>
      </c>
      <c r="B39" s="740" t="s">
        <v>93</v>
      </c>
      <c r="C39" s="970" t="s">
        <v>268</v>
      </c>
      <c r="D39" s="1110">
        <f t="shared" si="8"/>
        <v>664541.85</v>
      </c>
      <c r="E39" s="1111">
        <f t="shared" si="9"/>
        <v>346060.19</v>
      </c>
      <c r="F39" s="1112">
        <f t="shared" si="10"/>
        <v>244314.7</v>
      </c>
      <c r="G39" s="1549">
        <f t="shared" si="11"/>
        <v>59240.66</v>
      </c>
      <c r="H39" s="1551">
        <f t="shared" si="12"/>
        <v>0</v>
      </c>
      <c r="I39" s="1551">
        <f t="shared" si="13"/>
        <v>1314157.3999999999</v>
      </c>
      <c r="J39" s="1552">
        <f t="shared" si="5"/>
        <v>59240.66</v>
      </c>
      <c r="K39" s="1547">
        <f t="shared" si="6"/>
        <v>303555.36</v>
      </c>
      <c r="L39" s="1113"/>
      <c r="M39" s="1113"/>
      <c r="N39" s="1113"/>
      <c r="O39" s="1113"/>
      <c r="P39" s="1113"/>
      <c r="Q39" s="1113">
        <f t="shared" si="16"/>
        <v>0</v>
      </c>
      <c r="R39" s="1114"/>
      <c r="S39" s="1114"/>
      <c r="T39" s="1114"/>
      <c r="U39" s="1114"/>
      <c r="V39" s="1542"/>
      <c r="W39" s="1115">
        <f t="shared" si="14"/>
        <v>0</v>
      </c>
      <c r="X39" s="1115">
        <v>635385.24</v>
      </c>
      <c r="Y39" s="1114">
        <v>346060.19</v>
      </c>
      <c r="Z39" s="1114">
        <v>180026.53</v>
      </c>
      <c r="AA39" s="1114">
        <v>59242.04</v>
      </c>
      <c r="AB39" s="1542">
        <v>0</v>
      </c>
      <c r="AC39" s="1115">
        <f t="shared" si="15"/>
        <v>1220714</v>
      </c>
      <c r="AD39" s="1115">
        <v>29156.61</v>
      </c>
      <c r="AE39" s="1114">
        <v>0</v>
      </c>
      <c r="AF39" s="1114">
        <v>64288.17</v>
      </c>
      <c r="AG39" s="1114">
        <v>-1.38</v>
      </c>
      <c r="AH39" s="1542">
        <v>0</v>
      </c>
      <c r="AI39" s="1115">
        <v>93443.4</v>
      </c>
    </row>
    <row r="40" spans="1:35" ht="15" customHeight="1">
      <c r="A40" s="741" t="s">
        <v>94</v>
      </c>
      <c r="B40" s="740" t="s">
        <v>95</v>
      </c>
      <c r="C40" s="970" t="s">
        <v>264</v>
      </c>
      <c r="D40" s="1110">
        <f t="shared" si="8"/>
        <v>969857.21</v>
      </c>
      <c r="E40" s="1111">
        <f t="shared" si="9"/>
        <v>422434.51</v>
      </c>
      <c r="F40" s="1112">
        <f t="shared" si="10"/>
        <v>673838.09</v>
      </c>
      <c r="G40" s="1549">
        <f t="shared" si="11"/>
        <v>4800.26</v>
      </c>
      <c r="H40" s="1551">
        <f t="shared" si="12"/>
        <v>0</v>
      </c>
      <c r="I40" s="1551">
        <f t="shared" si="13"/>
        <v>2070930.0699999998</v>
      </c>
      <c r="J40" s="1552">
        <f t="shared" si="5"/>
        <v>4800.26</v>
      </c>
      <c r="K40" s="1547">
        <f t="shared" si="6"/>
        <v>678638.35</v>
      </c>
      <c r="L40" s="1113"/>
      <c r="M40" s="1113"/>
      <c r="N40" s="1113"/>
      <c r="O40" s="1113"/>
      <c r="P40" s="1113"/>
      <c r="Q40" s="1113">
        <f t="shared" si="16"/>
        <v>0</v>
      </c>
      <c r="R40" s="1114"/>
      <c r="S40" s="1114"/>
      <c r="T40" s="1114"/>
      <c r="U40" s="1114"/>
      <c r="V40" s="1542"/>
      <c r="W40" s="1115">
        <f t="shared" si="14"/>
        <v>0</v>
      </c>
      <c r="X40" s="1115">
        <v>778759.11</v>
      </c>
      <c r="Y40" s="1114">
        <v>422434.51</v>
      </c>
      <c r="Z40" s="1114">
        <v>220334.41</v>
      </c>
      <c r="AA40" s="1114">
        <v>4804.95</v>
      </c>
      <c r="AB40" s="1542">
        <v>0</v>
      </c>
      <c r="AC40" s="1115">
        <f t="shared" si="15"/>
        <v>1426332.98</v>
      </c>
      <c r="AD40" s="1115">
        <v>191098.1</v>
      </c>
      <c r="AE40" s="1114">
        <v>0</v>
      </c>
      <c r="AF40" s="1114">
        <v>453503.68</v>
      </c>
      <c r="AG40" s="1114">
        <v>-4.6900000000000004</v>
      </c>
      <c r="AH40" s="1542">
        <v>0</v>
      </c>
      <c r="AI40" s="1115">
        <v>644597.09</v>
      </c>
    </row>
    <row r="41" spans="1:35" ht="15" customHeight="1">
      <c r="A41" s="741" t="s">
        <v>96</v>
      </c>
      <c r="B41" s="740" t="s">
        <v>97</v>
      </c>
      <c r="C41" s="970" t="s">
        <v>266</v>
      </c>
      <c r="D41" s="1110">
        <f t="shared" si="8"/>
        <v>615861.4</v>
      </c>
      <c r="E41" s="1111">
        <f t="shared" si="9"/>
        <v>250802.15</v>
      </c>
      <c r="F41" s="1112">
        <f t="shared" si="10"/>
        <v>498692.92</v>
      </c>
      <c r="G41" s="1549">
        <f t="shared" si="11"/>
        <v>45542.33</v>
      </c>
      <c r="H41" s="1551">
        <f t="shared" si="12"/>
        <v>0</v>
      </c>
      <c r="I41" s="1551">
        <f t="shared" si="13"/>
        <v>1410898.8</v>
      </c>
      <c r="J41" s="1552">
        <f t="shared" si="5"/>
        <v>45542.33</v>
      </c>
      <c r="K41" s="1547">
        <f t="shared" si="6"/>
        <v>544235.25</v>
      </c>
      <c r="L41" s="1113"/>
      <c r="M41" s="1113"/>
      <c r="N41" s="1113"/>
      <c r="O41" s="1113"/>
      <c r="P41" s="1113"/>
      <c r="Q41" s="1113">
        <f t="shared" si="16"/>
        <v>0</v>
      </c>
      <c r="R41" s="1114"/>
      <c r="S41" s="1114"/>
      <c r="T41" s="1114"/>
      <c r="U41" s="1114"/>
      <c r="V41" s="1542"/>
      <c r="W41" s="1115">
        <f t="shared" si="14"/>
        <v>0</v>
      </c>
      <c r="X41" s="1115">
        <v>446595.14</v>
      </c>
      <c r="Y41" s="1114">
        <v>250802.15</v>
      </c>
      <c r="Z41" s="1114">
        <v>127923.61</v>
      </c>
      <c r="AA41" s="1114">
        <v>45542.69</v>
      </c>
      <c r="AB41" s="1542">
        <v>0</v>
      </c>
      <c r="AC41" s="1115">
        <f t="shared" si="15"/>
        <v>870863.59000000008</v>
      </c>
      <c r="AD41" s="1115">
        <v>169266.26</v>
      </c>
      <c r="AE41" s="1114">
        <v>0</v>
      </c>
      <c r="AF41" s="1114">
        <v>370769.31</v>
      </c>
      <c r="AG41" s="1114">
        <v>-0.36</v>
      </c>
      <c r="AH41" s="1542">
        <v>0</v>
      </c>
      <c r="AI41" s="1115">
        <v>540035.21</v>
      </c>
    </row>
    <row r="42" spans="1:35" ht="15" customHeight="1">
      <c r="A42" s="741" t="s">
        <v>98</v>
      </c>
      <c r="B42" s="740" t="s">
        <v>99</v>
      </c>
      <c r="C42" s="970" t="s">
        <v>268</v>
      </c>
      <c r="D42" s="1110">
        <f t="shared" si="8"/>
        <v>606567.80000000005</v>
      </c>
      <c r="E42" s="1111">
        <f t="shared" si="9"/>
        <v>326994.49</v>
      </c>
      <c r="F42" s="1112">
        <f t="shared" si="10"/>
        <v>173969.56</v>
      </c>
      <c r="G42" s="1549">
        <f t="shared" si="11"/>
        <v>17056.54</v>
      </c>
      <c r="H42" s="1551">
        <f t="shared" si="12"/>
        <v>0</v>
      </c>
      <c r="I42" s="1551">
        <f t="shared" si="13"/>
        <v>1124588.3900000001</v>
      </c>
      <c r="J42" s="1552">
        <f t="shared" si="5"/>
        <v>17056.54</v>
      </c>
      <c r="K42" s="1547">
        <f t="shared" si="6"/>
        <v>191026.1</v>
      </c>
      <c r="L42" s="1113"/>
      <c r="M42" s="1113"/>
      <c r="N42" s="1113"/>
      <c r="O42" s="1113"/>
      <c r="P42" s="1113"/>
      <c r="Q42" s="1113">
        <f t="shared" si="16"/>
        <v>0</v>
      </c>
      <c r="R42" s="1114"/>
      <c r="S42" s="1114"/>
      <c r="T42" s="1114"/>
      <c r="U42" s="1114"/>
      <c r="V42" s="1542"/>
      <c r="W42" s="1115">
        <f t="shared" si="14"/>
        <v>0</v>
      </c>
      <c r="X42" s="1115">
        <v>605219.04</v>
      </c>
      <c r="Y42" s="1114">
        <v>326994.49</v>
      </c>
      <c r="Z42" s="1114">
        <v>170995.63</v>
      </c>
      <c r="AA42" s="1114">
        <v>17056.650000000001</v>
      </c>
      <c r="AB42" s="1542">
        <v>0</v>
      </c>
      <c r="AC42" s="1115">
        <f t="shared" si="15"/>
        <v>1120265.81</v>
      </c>
      <c r="AD42" s="1115">
        <v>1348.76</v>
      </c>
      <c r="AE42" s="1114">
        <v>0</v>
      </c>
      <c r="AF42" s="1114">
        <v>2973.93</v>
      </c>
      <c r="AG42" s="1114">
        <v>-0.11</v>
      </c>
      <c r="AH42" s="1542">
        <v>0</v>
      </c>
      <c r="AI42" s="1115">
        <v>4322.58</v>
      </c>
    </row>
    <row r="43" spans="1:35" ht="15" customHeight="1">
      <c r="A43" s="741" t="s">
        <v>100</v>
      </c>
      <c r="B43" s="740" t="s">
        <v>101</v>
      </c>
      <c r="C43" s="970" t="s">
        <v>267</v>
      </c>
      <c r="D43" s="1110">
        <f t="shared" si="8"/>
        <v>500357.11</v>
      </c>
      <c r="E43" s="1111">
        <f t="shared" si="9"/>
        <v>203464.75</v>
      </c>
      <c r="F43" s="1112">
        <f t="shared" si="10"/>
        <v>414108.24</v>
      </c>
      <c r="G43" s="1549">
        <f t="shared" si="11"/>
        <v>1004.5899999999999</v>
      </c>
      <c r="H43" s="1551">
        <f t="shared" si="12"/>
        <v>0</v>
      </c>
      <c r="I43" s="1551">
        <f t="shared" si="13"/>
        <v>1118934.6900000002</v>
      </c>
      <c r="J43" s="1552">
        <f t="shared" si="5"/>
        <v>1004.5899999999999</v>
      </c>
      <c r="K43" s="1547">
        <f t="shared" si="6"/>
        <v>415112.83</v>
      </c>
      <c r="L43" s="1113"/>
      <c r="M43" s="1113"/>
      <c r="N43" s="1113"/>
      <c r="O43" s="1113"/>
      <c r="P43" s="1113"/>
      <c r="Q43" s="1113">
        <f t="shared" si="16"/>
        <v>0</v>
      </c>
      <c r="R43" s="1114"/>
      <c r="S43" s="1114"/>
      <c r="T43" s="1114"/>
      <c r="U43" s="1114"/>
      <c r="V43" s="1542"/>
      <c r="W43" s="1115">
        <f t="shared" si="14"/>
        <v>0</v>
      </c>
      <c r="X43" s="1115">
        <v>358247.27</v>
      </c>
      <c r="Y43" s="1114">
        <v>203464.75</v>
      </c>
      <c r="Z43" s="1114">
        <v>103034.81</v>
      </c>
      <c r="AA43" s="1114">
        <v>1010.91</v>
      </c>
      <c r="AB43" s="1542">
        <v>0</v>
      </c>
      <c r="AC43" s="1115">
        <f t="shared" si="15"/>
        <v>665757.74000000011</v>
      </c>
      <c r="AD43" s="1115">
        <v>142109.84</v>
      </c>
      <c r="AE43" s="1114">
        <v>0</v>
      </c>
      <c r="AF43" s="1114">
        <v>311073.43</v>
      </c>
      <c r="AG43" s="1114">
        <v>-6.32</v>
      </c>
      <c r="AH43" s="1542">
        <v>0</v>
      </c>
      <c r="AI43" s="1115">
        <v>453176.95</v>
      </c>
    </row>
    <row r="44" spans="1:35" ht="15" customHeight="1">
      <c r="A44" s="741" t="s">
        <v>102</v>
      </c>
      <c r="B44" s="740" t="s">
        <v>103</v>
      </c>
      <c r="C44" s="970" t="s">
        <v>264</v>
      </c>
      <c r="D44" s="1110">
        <f t="shared" si="8"/>
        <v>1014215.8600000001</v>
      </c>
      <c r="E44" s="1111">
        <f t="shared" si="9"/>
        <v>525733.93000000005</v>
      </c>
      <c r="F44" s="1112">
        <f t="shared" si="10"/>
        <v>386057.81</v>
      </c>
      <c r="G44" s="1549">
        <f t="shared" si="11"/>
        <v>93010.81</v>
      </c>
      <c r="H44" s="1551">
        <f t="shared" si="12"/>
        <v>0</v>
      </c>
      <c r="I44" s="1551">
        <f t="shared" si="13"/>
        <v>2019018.4100000001</v>
      </c>
      <c r="J44" s="1552">
        <f t="shared" si="5"/>
        <v>93010.81</v>
      </c>
      <c r="K44" s="1547">
        <f t="shared" si="6"/>
        <v>479068.62</v>
      </c>
      <c r="L44" s="1113"/>
      <c r="M44" s="1113"/>
      <c r="N44" s="1113"/>
      <c r="O44" s="1113"/>
      <c r="P44" s="1113"/>
      <c r="Q44" s="1113">
        <f t="shared" si="16"/>
        <v>0</v>
      </c>
      <c r="R44" s="1114"/>
      <c r="S44" s="1114"/>
      <c r="T44" s="1114"/>
      <c r="U44" s="1114"/>
      <c r="V44" s="1542"/>
      <c r="W44" s="1115">
        <f t="shared" si="14"/>
        <v>0</v>
      </c>
      <c r="X44" s="1115">
        <v>962936.92</v>
      </c>
      <c r="Y44" s="1114">
        <v>525733.93000000005</v>
      </c>
      <c r="Z44" s="1114">
        <v>273067.3</v>
      </c>
      <c r="AA44" s="1114">
        <v>93012.28</v>
      </c>
      <c r="AB44" s="1542">
        <v>0</v>
      </c>
      <c r="AC44" s="1115">
        <f t="shared" si="15"/>
        <v>1854750.4300000002</v>
      </c>
      <c r="AD44" s="1115">
        <v>51278.94</v>
      </c>
      <c r="AE44" s="1114">
        <v>0</v>
      </c>
      <c r="AF44" s="1114">
        <v>112990.51</v>
      </c>
      <c r="AG44" s="1114">
        <v>-1.47</v>
      </c>
      <c r="AH44" s="1542">
        <v>0</v>
      </c>
      <c r="AI44" s="1115">
        <v>164267.98000000001</v>
      </c>
    </row>
    <row r="45" spans="1:35" ht="15" customHeight="1">
      <c r="A45" s="741" t="s">
        <v>104</v>
      </c>
      <c r="B45" s="740" t="s">
        <v>309</v>
      </c>
      <c r="C45" s="970" t="s">
        <v>265</v>
      </c>
      <c r="D45" s="1110">
        <f t="shared" si="8"/>
        <v>1600653.01</v>
      </c>
      <c r="E45" s="1111">
        <f t="shared" si="9"/>
        <v>805933.4</v>
      </c>
      <c r="F45" s="1112">
        <f t="shared" si="10"/>
        <v>684233.78</v>
      </c>
      <c r="G45" s="1549">
        <f t="shared" si="11"/>
        <v>42400.18</v>
      </c>
      <c r="H45" s="1551">
        <f t="shared" si="12"/>
        <v>42584.98</v>
      </c>
      <c r="I45" s="1551">
        <f t="shared" si="13"/>
        <v>3175805.3499999996</v>
      </c>
      <c r="J45" s="1552">
        <f t="shared" si="5"/>
        <v>84985.16</v>
      </c>
      <c r="K45" s="1547">
        <f t="shared" si="6"/>
        <v>769218.94000000006</v>
      </c>
      <c r="L45" s="1113"/>
      <c r="M45" s="1113"/>
      <c r="N45" s="1113"/>
      <c r="O45" s="1113"/>
      <c r="P45" s="1113"/>
      <c r="Q45" s="1113">
        <f t="shared" si="16"/>
        <v>0</v>
      </c>
      <c r="R45" s="1114"/>
      <c r="S45" s="1114"/>
      <c r="T45" s="1114"/>
      <c r="U45" s="1114"/>
      <c r="V45" s="1542"/>
      <c r="W45" s="1115">
        <f t="shared" si="14"/>
        <v>0</v>
      </c>
      <c r="X45" s="1115">
        <v>1488869</v>
      </c>
      <c r="Y45" s="1114">
        <v>805933.4</v>
      </c>
      <c r="Z45" s="1114">
        <v>420937.92</v>
      </c>
      <c r="AA45" s="1114">
        <v>42401.05</v>
      </c>
      <c r="AB45" s="1542">
        <v>42584.98</v>
      </c>
      <c r="AC45" s="1115">
        <f t="shared" si="15"/>
        <v>2800726.3499999996</v>
      </c>
      <c r="AD45" s="1115">
        <v>111784.01</v>
      </c>
      <c r="AE45" s="1114">
        <v>0</v>
      </c>
      <c r="AF45" s="1114">
        <v>263295.86</v>
      </c>
      <c r="AG45" s="1114">
        <v>-0.87</v>
      </c>
      <c r="AH45" s="1542">
        <v>0</v>
      </c>
      <c r="AI45" s="1115">
        <v>375079</v>
      </c>
    </row>
    <row r="46" spans="1:35" ht="15" customHeight="1">
      <c r="A46" s="741" t="s">
        <v>108</v>
      </c>
      <c r="B46" s="740" t="s">
        <v>109</v>
      </c>
      <c r="C46" s="970" t="s">
        <v>266</v>
      </c>
      <c r="D46" s="1110">
        <f t="shared" si="8"/>
        <v>1521759.45</v>
      </c>
      <c r="E46" s="1111">
        <f t="shared" si="9"/>
        <v>569572.55000000005</v>
      </c>
      <c r="F46" s="1112">
        <f t="shared" si="10"/>
        <v>1401019.72</v>
      </c>
      <c r="G46" s="1549">
        <f t="shared" si="11"/>
        <v>51531.79</v>
      </c>
      <c r="H46" s="1551">
        <f t="shared" si="12"/>
        <v>0</v>
      </c>
      <c r="I46" s="1551">
        <f t="shared" si="13"/>
        <v>3543883.51</v>
      </c>
      <c r="J46" s="1552">
        <f t="shared" si="5"/>
        <v>51531.79</v>
      </c>
      <c r="K46" s="1547">
        <f t="shared" si="6"/>
        <v>1452551.51</v>
      </c>
      <c r="L46" s="1113">
        <v>18139.36</v>
      </c>
      <c r="M46" s="1113">
        <v>0</v>
      </c>
      <c r="N46" s="1113">
        <v>8237.15</v>
      </c>
      <c r="O46" s="1113">
        <v>-0.22</v>
      </c>
      <c r="P46" s="1113">
        <v>0</v>
      </c>
      <c r="Q46" s="1113">
        <f t="shared" si="16"/>
        <v>26376.29</v>
      </c>
      <c r="R46" s="1114"/>
      <c r="S46" s="1114"/>
      <c r="T46" s="1114"/>
      <c r="U46" s="1114"/>
      <c r="V46" s="1542"/>
      <c r="W46" s="1115">
        <f t="shared" si="14"/>
        <v>0</v>
      </c>
      <c r="X46" s="1115">
        <v>998434.23</v>
      </c>
      <c r="Y46" s="1114">
        <v>569572.55000000005</v>
      </c>
      <c r="Z46" s="1114">
        <v>287621.78999999998</v>
      </c>
      <c r="AA46" s="1114">
        <v>42733.26</v>
      </c>
      <c r="AB46" s="1542">
        <v>0</v>
      </c>
      <c r="AC46" s="1115">
        <f t="shared" si="15"/>
        <v>1898361.83</v>
      </c>
      <c r="AD46" s="1115">
        <v>505185.86</v>
      </c>
      <c r="AE46" s="1114">
        <v>0</v>
      </c>
      <c r="AF46" s="1114">
        <v>1105160.78</v>
      </c>
      <c r="AG46" s="1114">
        <v>8798.75</v>
      </c>
      <c r="AH46" s="1542">
        <v>0</v>
      </c>
      <c r="AI46" s="1115">
        <v>1619145.39</v>
      </c>
    </row>
    <row r="47" spans="1:35" ht="15" customHeight="1">
      <c r="A47" s="741" t="s">
        <v>110</v>
      </c>
      <c r="B47" s="740" t="s">
        <v>111</v>
      </c>
      <c r="C47" s="970" t="s">
        <v>266</v>
      </c>
      <c r="D47" s="1110">
        <f t="shared" si="8"/>
        <v>5547553.7599999998</v>
      </c>
      <c r="E47" s="1111">
        <f t="shared" si="9"/>
        <v>2318982.73</v>
      </c>
      <c r="F47" s="1112">
        <f t="shared" si="10"/>
        <v>4119118.58</v>
      </c>
      <c r="G47" s="1549">
        <f t="shared" si="11"/>
        <v>105339.35</v>
      </c>
      <c r="H47" s="1551">
        <f t="shared" si="12"/>
        <v>0</v>
      </c>
      <c r="I47" s="1551">
        <f t="shared" si="13"/>
        <v>12090994.42</v>
      </c>
      <c r="J47" s="1552">
        <f t="shared" si="5"/>
        <v>105339.35</v>
      </c>
      <c r="K47" s="1547">
        <f t="shared" si="6"/>
        <v>4224457.93</v>
      </c>
      <c r="L47" s="1113">
        <v>107118.85</v>
      </c>
      <c r="M47" s="1113">
        <v>0</v>
      </c>
      <c r="N47" s="1113">
        <v>49235.02</v>
      </c>
      <c r="O47" s="1113">
        <v>-0.2</v>
      </c>
      <c r="P47" s="1113">
        <v>0</v>
      </c>
      <c r="Q47" s="1113">
        <f t="shared" si="16"/>
        <v>156353.66999999998</v>
      </c>
      <c r="R47" s="1114">
        <v>6730.82</v>
      </c>
      <c r="S47" s="1114">
        <v>2337.19</v>
      </c>
      <c r="T47" s="1114">
        <v>0</v>
      </c>
      <c r="U47" s="1114">
        <v>-0.01</v>
      </c>
      <c r="V47" s="1542">
        <v>0</v>
      </c>
      <c r="W47" s="1115">
        <f t="shared" si="14"/>
        <v>9068</v>
      </c>
      <c r="X47" s="1115">
        <v>4130798.83</v>
      </c>
      <c r="Y47" s="1114">
        <v>2316645.54</v>
      </c>
      <c r="Z47" s="1114">
        <v>1182664.6299999999</v>
      </c>
      <c r="AA47" s="1114">
        <v>51340.53</v>
      </c>
      <c r="AB47" s="1542">
        <v>0</v>
      </c>
      <c r="AC47" s="1115">
        <f t="shared" si="15"/>
        <v>7681449.5300000003</v>
      </c>
      <c r="AD47" s="1115">
        <v>1302905.26</v>
      </c>
      <c r="AE47" s="1114">
        <v>0</v>
      </c>
      <c r="AF47" s="1114">
        <v>2887218.93</v>
      </c>
      <c r="AG47" s="1114">
        <v>53999.03</v>
      </c>
      <c r="AH47" s="1542">
        <v>0</v>
      </c>
      <c r="AI47" s="1115">
        <v>4244123.22</v>
      </c>
    </row>
    <row r="48" spans="1:35" ht="15" customHeight="1">
      <c r="A48" s="741" t="s">
        <v>112</v>
      </c>
      <c r="B48" s="740" t="s">
        <v>300</v>
      </c>
      <c r="C48" s="970" t="s">
        <v>265</v>
      </c>
      <c r="D48" s="1110">
        <f t="shared" si="8"/>
        <v>2384156.7599999998</v>
      </c>
      <c r="E48" s="1111">
        <f t="shared" si="9"/>
        <v>1263158.6499999999</v>
      </c>
      <c r="F48" s="1112">
        <f t="shared" si="10"/>
        <v>693441.87</v>
      </c>
      <c r="G48" s="1549">
        <f t="shared" si="11"/>
        <v>9462.01</v>
      </c>
      <c r="H48" s="1551">
        <f t="shared" si="12"/>
        <v>0</v>
      </c>
      <c r="I48" s="1551">
        <f t="shared" si="13"/>
        <v>4350219.29</v>
      </c>
      <c r="J48" s="1552">
        <f t="shared" si="5"/>
        <v>9462.01</v>
      </c>
      <c r="K48" s="1547">
        <f t="shared" si="6"/>
        <v>702903.88</v>
      </c>
      <c r="L48" s="1113">
        <v>57912.83</v>
      </c>
      <c r="M48" s="1113">
        <v>0</v>
      </c>
      <c r="N48" s="1113">
        <v>22615.71</v>
      </c>
      <c r="O48" s="1113">
        <v>-0.18</v>
      </c>
      <c r="P48" s="1113">
        <v>0</v>
      </c>
      <c r="Q48" s="1113">
        <f t="shared" si="16"/>
        <v>80528.360000000015</v>
      </c>
      <c r="R48" s="1115"/>
      <c r="S48" s="1114"/>
      <c r="T48" s="1115"/>
      <c r="U48" s="1115"/>
      <c r="V48" s="1115"/>
      <c r="W48" s="1115">
        <f t="shared" si="14"/>
        <v>0</v>
      </c>
      <c r="X48" s="1115">
        <v>2320032.8199999998</v>
      </c>
      <c r="Y48" s="1114">
        <v>1263158.6499999999</v>
      </c>
      <c r="Z48" s="1115">
        <v>657268.88</v>
      </c>
      <c r="AA48" s="1115">
        <v>9462.41</v>
      </c>
      <c r="AB48" s="1115">
        <v>0</v>
      </c>
      <c r="AC48" s="1115">
        <f t="shared" si="15"/>
        <v>4249922.76</v>
      </c>
      <c r="AD48" s="1115">
        <v>6211.11</v>
      </c>
      <c r="AE48" s="1114">
        <v>0</v>
      </c>
      <c r="AF48" s="1115">
        <v>13557.28</v>
      </c>
      <c r="AG48" s="1115">
        <v>-0.22</v>
      </c>
      <c r="AH48" s="1115">
        <v>0</v>
      </c>
      <c r="AI48" s="1115">
        <v>19768.169999999998</v>
      </c>
    </row>
    <row r="49" spans="1:35" ht="15" customHeight="1">
      <c r="A49" s="741" t="s">
        <v>114</v>
      </c>
      <c r="B49" s="740" t="s">
        <v>115</v>
      </c>
      <c r="C49" s="970" t="s">
        <v>265</v>
      </c>
      <c r="D49" s="1110">
        <f t="shared" si="8"/>
        <v>117687.33</v>
      </c>
      <c r="E49" s="1111">
        <f t="shared" si="9"/>
        <v>55023.63</v>
      </c>
      <c r="F49" s="1112">
        <f t="shared" si="10"/>
        <v>57490.18</v>
      </c>
      <c r="G49" s="1549">
        <f t="shared" si="11"/>
        <v>4585.9399999999996</v>
      </c>
      <c r="H49" s="1551">
        <f t="shared" si="12"/>
        <v>0</v>
      </c>
      <c r="I49" s="1551">
        <f t="shared" si="13"/>
        <v>234787.08000000002</v>
      </c>
      <c r="J49" s="1552">
        <f t="shared" si="5"/>
        <v>4585.9399999999996</v>
      </c>
      <c r="K49" s="1547">
        <f t="shared" si="6"/>
        <v>62076.12</v>
      </c>
      <c r="L49" s="1113"/>
      <c r="M49" s="1113"/>
      <c r="N49" s="1113"/>
      <c r="O49" s="1113"/>
      <c r="P49" s="1113"/>
      <c r="Q49" s="1113">
        <f t="shared" si="16"/>
        <v>0</v>
      </c>
      <c r="R49" s="1115"/>
      <c r="S49" s="1114"/>
      <c r="T49" s="1115"/>
      <c r="U49" s="1115"/>
      <c r="V49" s="1115"/>
      <c r="W49" s="1115">
        <f t="shared" si="14"/>
        <v>0</v>
      </c>
      <c r="X49" s="1115">
        <v>104919.09</v>
      </c>
      <c r="Y49" s="1114">
        <v>55023.63</v>
      </c>
      <c r="Z49" s="1115">
        <v>29337.48</v>
      </c>
      <c r="AA49" s="1115">
        <v>1155.01</v>
      </c>
      <c r="AB49" s="1115">
        <v>0</v>
      </c>
      <c r="AC49" s="1115">
        <f t="shared" si="15"/>
        <v>190435.21000000002</v>
      </c>
      <c r="AD49" s="1115">
        <v>12768.24</v>
      </c>
      <c r="AE49" s="1114">
        <v>0</v>
      </c>
      <c r="AF49" s="1115">
        <v>28152.7</v>
      </c>
      <c r="AG49" s="1115">
        <v>3430.93</v>
      </c>
      <c r="AH49" s="1115">
        <v>0</v>
      </c>
      <c r="AI49" s="1115">
        <v>44351.87</v>
      </c>
    </row>
    <row r="50" spans="1:35" ht="15" customHeight="1">
      <c r="A50" s="741" t="s">
        <v>118</v>
      </c>
      <c r="B50" s="740" t="s">
        <v>119</v>
      </c>
      <c r="C50" s="970" t="s">
        <v>264</v>
      </c>
      <c r="D50" s="1110">
        <f t="shared" si="8"/>
        <v>1115150.51</v>
      </c>
      <c r="E50" s="1111">
        <f t="shared" si="9"/>
        <v>514990.64</v>
      </c>
      <c r="F50" s="1112">
        <f t="shared" si="10"/>
        <v>652160.56000000006</v>
      </c>
      <c r="G50" s="1549">
        <f t="shared" si="11"/>
        <v>5007.6499999999996</v>
      </c>
      <c r="H50" s="1551">
        <f t="shared" si="12"/>
        <v>0</v>
      </c>
      <c r="I50" s="1551">
        <f t="shared" si="13"/>
        <v>2287309.3600000003</v>
      </c>
      <c r="J50" s="1552">
        <f t="shared" si="5"/>
        <v>5007.6499999999996</v>
      </c>
      <c r="K50" s="1547">
        <f t="shared" si="6"/>
        <v>657168.21000000008</v>
      </c>
      <c r="L50" s="1113"/>
      <c r="M50" s="1113"/>
      <c r="N50" s="1113"/>
      <c r="O50" s="1113"/>
      <c r="P50" s="1113"/>
      <c r="Q50" s="1113">
        <f t="shared" si="16"/>
        <v>0</v>
      </c>
      <c r="R50" s="1114"/>
      <c r="S50" s="1114"/>
      <c r="T50" s="1114"/>
      <c r="U50" s="1114"/>
      <c r="V50" s="1542"/>
      <c r="W50" s="1115">
        <f t="shared" si="14"/>
        <v>0</v>
      </c>
      <c r="X50" s="1115">
        <v>956773.54</v>
      </c>
      <c r="Y50" s="1114">
        <v>514990.64</v>
      </c>
      <c r="Z50" s="1114">
        <v>269968.08</v>
      </c>
      <c r="AA50" s="1114">
        <v>5397.25</v>
      </c>
      <c r="AB50" s="1542">
        <v>0</v>
      </c>
      <c r="AC50" s="1115">
        <f t="shared" si="15"/>
        <v>1747129.5100000002</v>
      </c>
      <c r="AD50" s="1115">
        <v>158376.97</v>
      </c>
      <c r="AE50" s="1114">
        <v>0</v>
      </c>
      <c r="AF50" s="1114">
        <v>382192.48</v>
      </c>
      <c r="AG50" s="1114">
        <v>-389.6</v>
      </c>
      <c r="AH50" s="1542">
        <v>0</v>
      </c>
      <c r="AI50" s="1115">
        <v>540179.85</v>
      </c>
    </row>
    <row r="51" spans="1:35" ht="15" customHeight="1">
      <c r="A51" s="741" t="s">
        <v>120</v>
      </c>
      <c r="B51" s="740" t="s">
        <v>121</v>
      </c>
      <c r="C51" s="970" t="s">
        <v>264</v>
      </c>
      <c r="D51" s="1110">
        <f t="shared" si="8"/>
        <v>1471882.7700000003</v>
      </c>
      <c r="E51" s="1111">
        <f t="shared" si="9"/>
        <v>584577.18000000005</v>
      </c>
      <c r="F51" s="1112">
        <f t="shared" si="10"/>
        <v>1191006.1599999999</v>
      </c>
      <c r="G51" s="1549">
        <f t="shared" si="11"/>
        <v>390130.41</v>
      </c>
      <c r="H51" s="1551">
        <f t="shared" si="12"/>
        <v>0</v>
      </c>
      <c r="I51" s="1551">
        <f t="shared" si="13"/>
        <v>3637596.5200000005</v>
      </c>
      <c r="J51" s="1552">
        <f t="shared" si="5"/>
        <v>390130.41</v>
      </c>
      <c r="K51" s="1547">
        <f t="shared" si="6"/>
        <v>1581136.5699999998</v>
      </c>
      <c r="L51" s="1113"/>
      <c r="M51" s="1113"/>
      <c r="N51" s="1113"/>
      <c r="O51" s="1113"/>
      <c r="P51" s="1113"/>
      <c r="Q51" s="1113">
        <f t="shared" si="16"/>
        <v>0</v>
      </c>
      <c r="R51" s="1114">
        <v>853.6</v>
      </c>
      <c r="S51" s="1114">
        <v>296.39999999999998</v>
      </c>
      <c r="T51" s="1114">
        <v>0</v>
      </c>
      <c r="U51" s="1114">
        <v>0</v>
      </c>
      <c r="V51" s="1542">
        <v>0</v>
      </c>
      <c r="W51" s="1115">
        <f t="shared" si="14"/>
        <v>1150</v>
      </c>
      <c r="X51" s="1115">
        <v>1066967.6100000001</v>
      </c>
      <c r="Y51" s="1114">
        <v>584280.78</v>
      </c>
      <c r="Z51" s="1114">
        <v>302889.82</v>
      </c>
      <c r="AA51" s="1114">
        <v>293465.71999999997</v>
      </c>
      <c r="AB51" s="1542">
        <v>0</v>
      </c>
      <c r="AC51" s="1115">
        <f t="shared" si="15"/>
        <v>2247603.9300000002</v>
      </c>
      <c r="AD51" s="1115">
        <v>404061.56</v>
      </c>
      <c r="AE51" s="1114">
        <v>0</v>
      </c>
      <c r="AF51" s="1114">
        <v>888116.34</v>
      </c>
      <c r="AG51" s="1114">
        <v>96664.69</v>
      </c>
      <c r="AH51" s="1542">
        <v>0</v>
      </c>
      <c r="AI51" s="1115">
        <v>1388842.59</v>
      </c>
    </row>
    <row r="52" spans="1:35" ht="15" customHeight="1">
      <c r="A52" s="741" t="s">
        <v>122</v>
      </c>
      <c r="B52" s="740" t="s">
        <v>271</v>
      </c>
      <c r="C52" s="970" t="s">
        <v>266</v>
      </c>
      <c r="D52" s="1110">
        <f t="shared" si="8"/>
        <v>410578.12</v>
      </c>
      <c r="E52" s="1111">
        <f t="shared" si="9"/>
        <v>189962.37</v>
      </c>
      <c r="F52" s="1112">
        <f t="shared" si="10"/>
        <v>247723.16</v>
      </c>
      <c r="G52" s="1549">
        <f t="shared" si="11"/>
        <v>2442.4399999999996</v>
      </c>
      <c r="H52" s="1551">
        <f t="shared" si="12"/>
        <v>0</v>
      </c>
      <c r="I52" s="1551">
        <f t="shared" si="13"/>
        <v>850706.08999999985</v>
      </c>
      <c r="J52" s="1552">
        <f t="shared" si="5"/>
        <v>2442.4399999999996</v>
      </c>
      <c r="K52" s="1547">
        <f t="shared" si="6"/>
        <v>250165.6</v>
      </c>
      <c r="L52" s="1113"/>
      <c r="M52" s="1113"/>
      <c r="N52" s="1113"/>
      <c r="O52" s="1113"/>
      <c r="P52" s="1113"/>
      <c r="Q52" s="1113">
        <f t="shared" si="16"/>
        <v>0</v>
      </c>
      <c r="R52" s="1114"/>
      <c r="S52" s="1114"/>
      <c r="T52" s="1114"/>
      <c r="U52" s="1114"/>
      <c r="V52" s="1542"/>
      <c r="W52" s="1115">
        <f t="shared" si="14"/>
        <v>0</v>
      </c>
      <c r="X52" s="1115">
        <v>341950.09</v>
      </c>
      <c r="Y52" s="1114">
        <v>189962.37</v>
      </c>
      <c r="Z52" s="1114">
        <v>97568.09</v>
      </c>
      <c r="AA52" s="1114">
        <v>2444.4899999999998</v>
      </c>
      <c r="AB52" s="1542">
        <v>0</v>
      </c>
      <c r="AC52" s="1115">
        <f t="shared" si="15"/>
        <v>631925.03999999992</v>
      </c>
      <c r="AD52" s="1115">
        <v>68628.03</v>
      </c>
      <c r="AE52" s="1114">
        <v>0</v>
      </c>
      <c r="AF52" s="1114">
        <v>150155.07</v>
      </c>
      <c r="AG52" s="1114">
        <v>-2.0499999999999998</v>
      </c>
      <c r="AH52" s="1542">
        <v>0</v>
      </c>
      <c r="AI52" s="1115">
        <v>218781.05</v>
      </c>
    </row>
    <row r="53" spans="1:35" ht="15" customHeight="1">
      <c r="A53" s="741" t="s">
        <v>124</v>
      </c>
      <c r="B53" s="740" t="s">
        <v>125</v>
      </c>
      <c r="C53" s="970" t="s">
        <v>267</v>
      </c>
      <c r="D53" s="1110">
        <f t="shared" si="8"/>
        <v>648567.72</v>
      </c>
      <c r="E53" s="1111">
        <f t="shared" si="9"/>
        <v>236704.02</v>
      </c>
      <c r="F53" s="1112">
        <f t="shared" si="10"/>
        <v>629562.86</v>
      </c>
      <c r="G53" s="1549">
        <f t="shared" si="11"/>
        <v>96183.31</v>
      </c>
      <c r="H53" s="1551">
        <f t="shared" si="12"/>
        <v>0</v>
      </c>
      <c r="I53" s="1551">
        <f t="shared" si="13"/>
        <v>1611017.91</v>
      </c>
      <c r="J53" s="1552">
        <f t="shared" si="5"/>
        <v>96183.31</v>
      </c>
      <c r="K53" s="1547">
        <f t="shared" si="6"/>
        <v>725746.16999999993</v>
      </c>
      <c r="L53" s="1113"/>
      <c r="M53" s="1113"/>
      <c r="N53" s="1113"/>
      <c r="O53" s="1113"/>
      <c r="P53" s="1113"/>
      <c r="Q53" s="1113">
        <f t="shared" si="16"/>
        <v>0</v>
      </c>
      <c r="R53" s="1114"/>
      <c r="S53" s="1114"/>
      <c r="T53" s="1114"/>
      <c r="U53" s="1114"/>
      <c r="V53" s="1542"/>
      <c r="W53" s="1115">
        <f t="shared" si="14"/>
        <v>0</v>
      </c>
      <c r="X53" s="1115">
        <v>423523.61</v>
      </c>
      <c r="Y53" s="1114">
        <v>236704.02</v>
      </c>
      <c r="Z53" s="1114">
        <v>121106.13</v>
      </c>
      <c r="AA53" s="1114">
        <v>88178.58</v>
      </c>
      <c r="AB53" s="1542">
        <v>0</v>
      </c>
      <c r="AC53" s="1115">
        <f t="shared" si="15"/>
        <v>869512.34</v>
      </c>
      <c r="AD53" s="1115">
        <v>225044.11</v>
      </c>
      <c r="AE53" s="1114">
        <v>0</v>
      </c>
      <c r="AF53" s="1114">
        <v>508456.73</v>
      </c>
      <c r="AG53" s="1114">
        <v>8004.73</v>
      </c>
      <c r="AH53" s="1542">
        <v>0</v>
      </c>
      <c r="AI53" s="1115">
        <v>741505.57</v>
      </c>
    </row>
    <row r="54" spans="1:35" ht="15" customHeight="1">
      <c r="A54" s="741" t="s">
        <v>126</v>
      </c>
      <c r="B54" s="740" t="s">
        <v>127</v>
      </c>
      <c r="C54" s="970" t="s">
        <v>266</v>
      </c>
      <c r="D54" s="1110">
        <f t="shared" si="8"/>
        <v>370369.45</v>
      </c>
      <c r="E54" s="1111">
        <f t="shared" si="9"/>
        <v>168678.53</v>
      </c>
      <c r="F54" s="1112">
        <f t="shared" si="10"/>
        <v>228830.95</v>
      </c>
      <c r="G54" s="1549">
        <f t="shared" si="11"/>
        <v>8836.0300000000007</v>
      </c>
      <c r="H54" s="1551">
        <f t="shared" si="12"/>
        <v>0</v>
      </c>
      <c r="I54" s="1551">
        <f t="shared" si="13"/>
        <v>776714.96</v>
      </c>
      <c r="J54" s="1552">
        <f t="shared" si="5"/>
        <v>8836.0300000000007</v>
      </c>
      <c r="K54" s="1547">
        <f t="shared" si="6"/>
        <v>237666.98</v>
      </c>
      <c r="L54" s="1113"/>
      <c r="M54" s="1113"/>
      <c r="N54" s="1113"/>
      <c r="O54" s="1113"/>
      <c r="P54" s="1113"/>
      <c r="Q54" s="1113">
        <f t="shared" si="16"/>
        <v>0</v>
      </c>
      <c r="R54" s="1114"/>
      <c r="S54" s="1114"/>
      <c r="T54" s="1114"/>
      <c r="U54" s="1114"/>
      <c r="V54" s="1542"/>
      <c r="W54" s="1115">
        <f t="shared" si="14"/>
        <v>0</v>
      </c>
      <c r="X54" s="1115">
        <v>308754.24</v>
      </c>
      <c r="Y54" s="1114">
        <v>168678.53</v>
      </c>
      <c r="Z54" s="1114">
        <v>87575.21</v>
      </c>
      <c r="AA54" s="1114">
        <v>8423.42</v>
      </c>
      <c r="AB54" s="1542">
        <v>0</v>
      </c>
      <c r="AC54" s="1115">
        <f t="shared" si="15"/>
        <v>573431.4</v>
      </c>
      <c r="AD54" s="1115">
        <v>61615.21</v>
      </c>
      <c r="AE54" s="1114">
        <v>0</v>
      </c>
      <c r="AF54" s="1114">
        <v>141255.74</v>
      </c>
      <c r="AG54" s="1114">
        <v>412.61</v>
      </c>
      <c r="AH54" s="1542">
        <v>0</v>
      </c>
      <c r="AI54" s="1115">
        <v>203283.56</v>
      </c>
    </row>
    <row r="55" spans="1:35" ht="15" customHeight="1">
      <c r="A55" s="741" t="s">
        <v>128</v>
      </c>
      <c r="B55" s="740" t="s">
        <v>129</v>
      </c>
      <c r="C55" s="970" t="s">
        <v>266</v>
      </c>
      <c r="D55" s="1110">
        <f t="shared" si="8"/>
        <v>564221.11</v>
      </c>
      <c r="E55" s="1111">
        <f t="shared" si="9"/>
        <v>291338.45</v>
      </c>
      <c r="F55" s="1112">
        <f t="shared" si="10"/>
        <v>214018.82</v>
      </c>
      <c r="G55" s="1549">
        <f t="shared" si="11"/>
        <v>53443.76</v>
      </c>
      <c r="H55" s="1551">
        <f t="shared" si="12"/>
        <v>0</v>
      </c>
      <c r="I55" s="1551">
        <f t="shared" si="13"/>
        <v>1123022.1399999999</v>
      </c>
      <c r="J55" s="1552">
        <f t="shared" si="5"/>
        <v>53443.76</v>
      </c>
      <c r="K55" s="1547">
        <f t="shared" si="6"/>
        <v>267462.58</v>
      </c>
      <c r="L55" s="1113"/>
      <c r="M55" s="1113"/>
      <c r="N55" s="1113"/>
      <c r="O55" s="1113"/>
      <c r="P55" s="1113"/>
      <c r="Q55" s="1113">
        <f t="shared" si="16"/>
        <v>0</v>
      </c>
      <c r="R55" s="1114"/>
      <c r="S55" s="1114"/>
      <c r="T55" s="1114"/>
      <c r="U55" s="1114"/>
      <c r="V55" s="1542"/>
      <c r="W55" s="1115">
        <f t="shared" si="14"/>
        <v>0</v>
      </c>
      <c r="X55" s="1115">
        <v>539241.97</v>
      </c>
      <c r="Y55" s="1114">
        <v>291338.45</v>
      </c>
      <c r="Z55" s="1114">
        <v>152353.49</v>
      </c>
      <c r="AA55" s="1114">
        <v>53444.1</v>
      </c>
      <c r="AB55" s="1542">
        <v>0</v>
      </c>
      <c r="AC55" s="1115">
        <f t="shared" si="15"/>
        <v>1036378.0099999999</v>
      </c>
      <c r="AD55" s="1115">
        <v>24979.14</v>
      </c>
      <c r="AE55" s="1114">
        <v>0</v>
      </c>
      <c r="AF55" s="1114">
        <v>61665.33</v>
      </c>
      <c r="AG55" s="1114">
        <v>-0.34</v>
      </c>
      <c r="AH55" s="1542">
        <v>0</v>
      </c>
      <c r="AI55" s="1115">
        <v>86644.13</v>
      </c>
    </row>
    <row r="56" spans="1:35" ht="15" customHeight="1">
      <c r="A56" s="741" t="s">
        <v>130</v>
      </c>
      <c r="B56" s="740" t="s">
        <v>131</v>
      </c>
      <c r="C56" s="970" t="s">
        <v>268</v>
      </c>
      <c r="D56" s="1110">
        <f t="shared" si="8"/>
        <v>1609301.25</v>
      </c>
      <c r="E56" s="1111">
        <f t="shared" si="9"/>
        <v>857489.02</v>
      </c>
      <c r="F56" s="1112">
        <f t="shared" si="10"/>
        <v>506481.94</v>
      </c>
      <c r="G56" s="1549">
        <f t="shared" si="11"/>
        <v>6562.6799999999994</v>
      </c>
      <c r="H56" s="1551">
        <f t="shared" si="12"/>
        <v>0</v>
      </c>
      <c r="I56" s="1551">
        <f t="shared" si="13"/>
        <v>2979834.8900000006</v>
      </c>
      <c r="J56" s="1552">
        <f t="shared" si="5"/>
        <v>6562.6799999999994</v>
      </c>
      <c r="K56" s="1547">
        <f t="shared" si="6"/>
        <v>513044.62</v>
      </c>
      <c r="L56" s="1113"/>
      <c r="M56" s="1113"/>
      <c r="N56" s="1113"/>
      <c r="O56" s="1113"/>
      <c r="P56" s="1113"/>
      <c r="Q56" s="1113">
        <f t="shared" si="16"/>
        <v>0</v>
      </c>
      <c r="R56" s="1114"/>
      <c r="S56" s="1114"/>
      <c r="T56" s="1114"/>
      <c r="U56" s="1114"/>
      <c r="V56" s="1542"/>
      <c r="W56" s="1115">
        <f t="shared" si="14"/>
        <v>0</v>
      </c>
      <c r="X56" s="1115">
        <v>1584940.37</v>
      </c>
      <c r="Y56" s="1114">
        <v>857489.02</v>
      </c>
      <c r="Z56" s="1114">
        <v>448017.18</v>
      </c>
      <c r="AA56" s="1114">
        <v>6564.99</v>
      </c>
      <c r="AB56" s="1542">
        <v>0</v>
      </c>
      <c r="AC56" s="1115">
        <f t="shared" si="15"/>
        <v>2897011.5600000005</v>
      </c>
      <c r="AD56" s="1115">
        <v>24360.880000000001</v>
      </c>
      <c r="AE56" s="1114">
        <v>0</v>
      </c>
      <c r="AF56" s="1114">
        <v>58464.76</v>
      </c>
      <c r="AG56" s="1114">
        <v>-2.31</v>
      </c>
      <c r="AH56" s="1542">
        <v>0</v>
      </c>
      <c r="AI56" s="1115">
        <v>82823.33</v>
      </c>
    </row>
    <row r="57" spans="1:35" ht="15" customHeight="1">
      <c r="A57" s="741" t="s">
        <v>132</v>
      </c>
      <c r="B57" s="740" t="s">
        <v>133</v>
      </c>
      <c r="C57" s="970" t="s">
        <v>267</v>
      </c>
      <c r="D57" s="1110">
        <f t="shared" si="8"/>
        <v>3466336.84</v>
      </c>
      <c r="E57" s="1111">
        <f t="shared" si="9"/>
        <v>877969.82</v>
      </c>
      <c r="F57" s="1112">
        <f t="shared" si="10"/>
        <v>4685076.6700000009</v>
      </c>
      <c r="G57" s="1549">
        <f t="shared" si="11"/>
        <v>-11.11</v>
      </c>
      <c r="H57" s="1551">
        <f t="shared" si="12"/>
        <v>0</v>
      </c>
      <c r="I57" s="1551">
        <f t="shared" si="13"/>
        <v>9029372.2199999988</v>
      </c>
      <c r="J57" s="1552">
        <f t="shared" si="5"/>
        <v>-11.11</v>
      </c>
      <c r="K57" s="1547">
        <f t="shared" si="6"/>
        <v>4685065.5600000005</v>
      </c>
      <c r="L57" s="1113">
        <v>2318.8000000000002</v>
      </c>
      <c r="M57" s="1113">
        <v>0</v>
      </c>
      <c r="N57" s="1113">
        <v>2210.9</v>
      </c>
      <c r="O57" s="1113">
        <v>0</v>
      </c>
      <c r="P57" s="1113">
        <v>0</v>
      </c>
      <c r="Q57" s="1113">
        <f t="shared" si="16"/>
        <v>4529.7000000000007</v>
      </c>
      <c r="R57" s="1114">
        <v>4907.5600000000004</v>
      </c>
      <c r="S57" s="1114">
        <v>1704.09</v>
      </c>
      <c r="T57" s="1114">
        <v>0</v>
      </c>
      <c r="U57" s="1114">
        <v>-0.01</v>
      </c>
      <c r="V57" s="1542">
        <v>0</v>
      </c>
      <c r="W57" s="1115">
        <f t="shared" si="14"/>
        <v>6611.64</v>
      </c>
      <c r="X57" s="1115">
        <v>1537933.85</v>
      </c>
      <c r="Y57" s="1114">
        <v>876265.73</v>
      </c>
      <c r="Z57" s="1114">
        <v>442840.83</v>
      </c>
      <c r="AA57" s="1114">
        <v>-1.41</v>
      </c>
      <c r="AB57" s="1542">
        <v>0</v>
      </c>
      <c r="AC57" s="1115">
        <f t="shared" si="15"/>
        <v>2857039</v>
      </c>
      <c r="AD57" s="1115">
        <v>1921176.63</v>
      </c>
      <c r="AE57" s="1114">
        <v>0</v>
      </c>
      <c r="AF57" s="1114">
        <v>4240024.9400000004</v>
      </c>
      <c r="AG57" s="1114">
        <v>-9.69</v>
      </c>
      <c r="AH57" s="1542">
        <v>0</v>
      </c>
      <c r="AI57" s="1115">
        <v>6161191.8799999999</v>
      </c>
    </row>
    <row r="58" spans="1:35" ht="15" customHeight="1">
      <c r="A58" s="741" t="s">
        <v>134</v>
      </c>
      <c r="B58" s="740" t="s">
        <v>135</v>
      </c>
      <c r="C58" s="970" t="s">
        <v>267</v>
      </c>
      <c r="D58" s="1110">
        <f t="shared" si="8"/>
        <v>1028120.75</v>
      </c>
      <c r="E58" s="1111">
        <f t="shared" si="9"/>
        <v>420289.08999999997</v>
      </c>
      <c r="F58" s="1112">
        <f t="shared" si="10"/>
        <v>833761.56</v>
      </c>
      <c r="G58" s="1549">
        <f t="shared" si="11"/>
        <v>3624.16</v>
      </c>
      <c r="H58" s="1551">
        <f t="shared" si="12"/>
        <v>0</v>
      </c>
      <c r="I58" s="1551">
        <f t="shared" si="13"/>
        <v>2285795.5599999996</v>
      </c>
      <c r="J58" s="1552">
        <f t="shared" si="5"/>
        <v>3624.16</v>
      </c>
      <c r="K58" s="1547">
        <f t="shared" si="6"/>
        <v>837385.72000000009</v>
      </c>
      <c r="L58" s="1113"/>
      <c r="M58" s="1113"/>
      <c r="N58" s="1113"/>
      <c r="O58" s="1113"/>
      <c r="P58" s="1113"/>
      <c r="Q58" s="1113">
        <f t="shared" si="16"/>
        <v>0</v>
      </c>
      <c r="R58" s="1114">
        <v>2239.79</v>
      </c>
      <c r="S58" s="1114">
        <v>777.74</v>
      </c>
      <c r="T58" s="1114">
        <v>0</v>
      </c>
      <c r="U58" s="1114">
        <v>0</v>
      </c>
      <c r="V58" s="1542">
        <v>0</v>
      </c>
      <c r="W58" s="1115">
        <f t="shared" si="14"/>
        <v>3017.5299999999997</v>
      </c>
      <c r="X58" s="1115">
        <v>742594.33</v>
      </c>
      <c r="Y58" s="1114">
        <v>419511.35</v>
      </c>
      <c r="Z58" s="1114">
        <v>213165.17</v>
      </c>
      <c r="AA58" s="1114">
        <v>2379.16</v>
      </c>
      <c r="AB58" s="1542">
        <v>0</v>
      </c>
      <c r="AC58" s="1115">
        <f t="shared" si="15"/>
        <v>1377650.0099999998</v>
      </c>
      <c r="AD58" s="1115">
        <v>283286.63</v>
      </c>
      <c r="AE58" s="1114">
        <v>0</v>
      </c>
      <c r="AF58" s="1114">
        <v>620596.39</v>
      </c>
      <c r="AG58" s="1114">
        <v>1245</v>
      </c>
      <c r="AH58" s="1542">
        <v>0</v>
      </c>
      <c r="AI58" s="1115">
        <v>905128.02</v>
      </c>
    </row>
    <row r="59" spans="1:35" ht="15" customHeight="1">
      <c r="A59" s="741" t="s">
        <v>136</v>
      </c>
      <c r="B59" s="740" t="s">
        <v>137</v>
      </c>
      <c r="C59" s="970" t="s">
        <v>266</v>
      </c>
      <c r="D59" s="1110">
        <f t="shared" si="8"/>
        <v>369335.79</v>
      </c>
      <c r="E59" s="1111">
        <f t="shared" si="9"/>
        <v>199368.91</v>
      </c>
      <c r="F59" s="1112">
        <f t="shared" si="10"/>
        <v>104316.48</v>
      </c>
      <c r="G59" s="1549">
        <f t="shared" si="11"/>
        <v>1654.72</v>
      </c>
      <c r="H59" s="1551">
        <f t="shared" si="12"/>
        <v>0</v>
      </c>
      <c r="I59" s="1551">
        <f t="shared" si="13"/>
        <v>674675.89999999991</v>
      </c>
      <c r="J59" s="1552">
        <f t="shared" si="5"/>
        <v>1654.72</v>
      </c>
      <c r="K59" s="1547">
        <f t="shared" si="6"/>
        <v>105971.2</v>
      </c>
      <c r="L59" s="1113"/>
      <c r="M59" s="1113"/>
      <c r="N59" s="1113"/>
      <c r="O59" s="1113"/>
      <c r="P59" s="1113"/>
      <c r="Q59" s="1113">
        <f t="shared" si="16"/>
        <v>0</v>
      </c>
      <c r="R59" s="1114"/>
      <c r="S59" s="1114"/>
      <c r="T59" s="1114"/>
      <c r="U59" s="1114"/>
      <c r="V59" s="1542"/>
      <c r="W59" s="1115">
        <f t="shared" si="14"/>
        <v>0</v>
      </c>
      <c r="X59" s="1115">
        <v>369335.79</v>
      </c>
      <c r="Y59" s="1114">
        <v>199368.91</v>
      </c>
      <c r="Z59" s="1114">
        <v>104316.48</v>
      </c>
      <c r="AA59" s="1114">
        <v>1654.72</v>
      </c>
      <c r="AB59" s="1542">
        <v>0</v>
      </c>
      <c r="AC59" s="1115">
        <f t="shared" si="15"/>
        <v>674675.89999999991</v>
      </c>
      <c r="AD59" s="1115"/>
      <c r="AE59" s="1114"/>
      <c r="AF59" s="1114"/>
      <c r="AG59" s="1114"/>
      <c r="AH59" s="1542"/>
      <c r="AI59" s="1115"/>
    </row>
    <row r="60" spans="1:35" ht="15" customHeight="1">
      <c r="A60" s="741" t="s">
        <v>140</v>
      </c>
      <c r="B60" s="740" t="s">
        <v>141</v>
      </c>
      <c r="C60" s="970" t="s">
        <v>267</v>
      </c>
      <c r="D60" s="1110">
        <f t="shared" si="8"/>
        <v>435997.03</v>
      </c>
      <c r="E60" s="1111">
        <f t="shared" si="9"/>
        <v>187506.02000000002</v>
      </c>
      <c r="F60" s="1112">
        <f t="shared" si="10"/>
        <v>308110.15000000002</v>
      </c>
      <c r="G60" s="1549">
        <f t="shared" si="11"/>
        <v>10460.83</v>
      </c>
      <c r="H60" s="1551">
        <f t="shared" si="12"/>
        <v>0</v>
      </c>
      <c r="I60" s="1551">
        <f t="shared" si="13"/>
        <v>942074.03</v>
      </c>
      <c r="J60" s="1552">
        <f t="shared" si="5"/>
        <v>10460.83</v>
      </c>
      <c r="K60" s="1547">
        <f t="shared" si="6"/>
        <v>318570.98000000004</v>
      </c>
      <c r="L60" s="1113"/>
      <c r="M60" s="1113"/>
      <c r="N60" s="1113"/>
      <c r="O60" s="1113"/>
      <c r="P60" s="1113"/>
      <c r="Q60" s="1113">
        <f t="shared" si="16"/>
        <v>0</v>
      </c>
      <c r="R60" s="1114">
        <v>396.38</v>
      </c>
      <c r="S60" s="1114">
        <v>137.63999999999999</v>
      </c>
      <c r="T60" s="1114">
        <v>0</v>
      </c>
      <c r="U60" s="1114">
        <v>0</v>
      </c>
      <c r="V60" s="1542">
        <v>0</v>
      </c>
      <c r="W60" s="1115">
        <f t="shared" si="14"/>
        <v>534.02</v>
      </c>
      <c r="X60" s="1115">
        <v>345909.55</v>
      </c>
      <c r="Y60" s="1114">
        <v>187368.38</v>
      </c>
      <c r="Z60" s="1114">
        <v>97817.9</v>
      </c>
      <c r="AA60" s="1114">
        <v>10424.879999999999</v>
      </c>
      <c r="AB60" s="1542">
        <v>0</v>
      </c>
      <c r="AC60" s="1115">
        <f t="shared" si="15"/>
        <v>641520.71</v>
      </c>
      <c r="AD60" s="1115">
        <v>89691.1</v>
      </c>
      <c r="AE60" s="1114">
        <v>0</v>
      </c>
      <c r="AF60" s="1114">
        <v>210292.25</v>
      </c>
      <c r="AG60" s="1114">
        <v>35.950000000000003</v>
      </c>
      <c r="AH60" s="1542">
        <v>0</v>
      </c>
      <c r="AI60" s="1115">
        <v>300019.3</v>
      </c>
    </row>
    <row r="61" spans="1:35" ht="15" customHeight="1">
      <c r="A61" s="741" t="s">
        <v>146</v>
      </c>
      <c r="B61" s="740" t="s">
        <v>147</v>
      </c>
      <c r="C61" s="970" t="s">
        <v>264</v>
      </c>
      <c r="D61" s="1110">
        <f t="shared" si="8"/>
        <v>385989.09</v>
      </c>
      <c r="E61" s="1111">
        <f t="shared" si="9"/>
        <v>167838.45</v>
      </c>
      <c r="F61" s="1112">
        <f t="shared" si="10"/>
        <v>273345.8</v>
      </c>
      <c r="G61" s="1549">
        <f t="shared" si="11"/>
        <v>7681.16</v>
      </c>
      <c r="H61" s="1551">
        <f t="shared" si="12"/>
        <v>0</v>
      </c>
      <c r="I61" s="1551">
        <f t="shared" si="13"/>
        <v>834854.5</v>
      </c>
      <c r="J61" s="1552">
        <f t="shared" si="5"/>
        <v>7681.16</v>
      </c>
      <c r="K61" s="1547">
        <f t="shared" si="6"/>
        <v>281026.95999999996</v>
      </c>
      <c r="L61" s="1113"/>
      <c r="M61" s="1113"/>
      <c r="N61" s="1113"/>
      <c r="O61" s="1113"/>
      <c r="P61" s="1113"/>
      <c r="Q61" s="1113">
        <f t="shared" si="16"/>
        <v>0</v>
      </c>
      <c r="R61" s="1114"/>
      <c r="S61" s="1114"/>
      <c r="T61" s="1114"/>
      <c r="U61" s="1114"/>
      <c r="V61" s="1542"/>
      <c r="W61" s="1115">
        <f t="shared" si="14"/>
        <v>0</v>
      </c>
      <c r="X61" s="1115">
        <v>300164.89</v>
      </c>
      <c r="Y61" s="1114">
        <v>167838.45</v>
      </c>
      <c r="Z61" s="1114">
        <v>85845.05</v>
      </c>
      <c r="AA61" s="1114">
        <v>7320.42</v>
      </c>
      <c r="AB61" s="1542">
        <v>0</v>
      </c>
      <c r="AC61" s="1115">
        <f t="shared" si="15"/>
        <v>561168.81000000006</v>
      </c>
      <c r="AD61" s="1115">
        <v>85824.2</v>
      </c>
      <c r="AE61" s="1114">
        <v>0</v>
      </c>
      <c r="AF61" s="1114">
        <v>187500.75</v>
      </c>
      <c r="AG61" s="1114">
        <v>360.74</v>
      </c>
      <c r="AH61" s="1542">
        <v>0</v>
      </c>
      <c r="AI61" s="1115">
        <v>273685.69</v>
      </c>
    </row>
    <row r="62" spans="1:35" ht="15" customHeight="1">
      <c r="A62" s="741" t="s">
        <v>148</v>
      </c>
      <c r="B62" s="740" t="s">
        <v>149</v>
      </c>
      <c r="C62" s="970" t="s">
        <v>265</v>
      </c>
      <c r="D62" s="1110">
        <f t="shared" si="8"/>
        <v>999481.98</v>
      </c>
      <c r="E62" s="1111">
        <f t="shared" si="9"/>
        <v>490277.98</v>
      </c>
      <c r="F62" s="1112">
        <f t="shared" si="10"/>
        <v>486880.1</v>
      </c>
      <c r="G62" s="1549">
        <f t="shared" si="11"/>
        <v>201268.11</v>
      </c>
      <c r="H62" s="1551">
        <f t="shared" si="12"/>
        <v>-31364</v>
      </c>
      <c r="I62" s="1551">
        <f t="shared" si="13"/>
        <v>2146544.17</v>
      </c>
      <c r="J62" s="1552">
        <f t="shared" si="5"/>
        <v>169904.11</v>
      </c>
      <c r="K62" s="1547">
        <f t="shared" si="6"/>
        <v>656784.21</v>
      </c>
      <c r="L62" s="1113"/>
      <c r="M62" s="1113"/>
      <c r="N62" s="1113"/>
      <c r="O62" s="1113"/>
      <c r="P62" s="1113"/>
      <c r="Q62" s="1113">
        <f t="shared" si="16"/>
        <v>0</v>
      </c>
      <c r="R62" s="1114"/>
      <c r="S62" s="1114"/>
      <c r="T62" s="1114"/>
      <c r="U62" s="1114"/>
      <c r="V62" s="1542"/>
      <c r="W62" s="1115">
        <f t="shared" si="14"/>
        <v>0</v>
      </c>
      <c r="X62" s="1115">
        <v>896313.92</v>
      </c>
      <c r="Y62" s="1114">
        <v>490277.98</v>
      </c>
      <c r="Z62" s="1114">
        <v>254342.91</v>
      </c>
      <c r="AA62" s="1114">
        <v>201269.12</v>
      </c>
      <c r="AB62" s="1542">
        <v>-31364</v>
      </c>
      <c r="AC62" s="1115">
        <f t="shared" si="15"/>
        <v>1810839.9299999997</v>
      </c>
      <c r="AD62" s="1115">
        <v>103168.06</v>
      </c>
      <c r="AE62" s="1114">
        <v>0</v>
      </c>
      <c r="AF62" s="1114">
        <v>232537.19</v>
      </c>
      <c r="AG62" s="1114">
        <v>-1.01</v>
      </c>
      <c r="AH62" s="1542">
        <v>0</v>
      </c>
      <c r="AI62" s="1115">
        <v>335704.24</v>
      </c>
    </row>
    <row r="63" spans="1:35" ht="15" customHeight="1">
      <c r="A63" s="741" t="s">
        <v>150</v>
      </c>
      <c r="B63" s="740" t="s">
        <v>151</v>
      </c>
      <c r="C63" s="970" t="s">
        <v>266</v>
      </c>
      <c r="D63" s="1110">
        <f t="shared" si="8"/>
        <v>365173.63</v>
      </c>
      <c r="E63" s="1111">
        <f t="shared" si="9"/>
        <v>193081.69</v>
      </c>
      <c r="F63" s="1112">
        <f t="shared" si="10"/>
        <v>121846.23999999999</v>
      </c>
      <c r="G63" s="1549">
        <f t="shared" si="11"/>
        <v>5174.95</v>
      </c>
      <c r="H63" s="1551">
        <f t="shared" si="12"/>
        <v>0</v>
      </c>
      <c r="I63" s="1551">
        <f t="shared" si="13"/>
        <v>685276.50999999989</v>
      </c>
      <c r="J63" s="1552">
        <f t="shared" si="5"/>
        <v>5174.95</v>
      </c>
      <c r="K63" s="1547">
        <f t="shared" si="6"/>
        <v>127021.18999999999</v>
      </c>
      <c r="L63" s="1113"/>
      <c r="M63" s="1113"/>
      <c r="N63" s="1113"/>
      <c r="O63" s="1113"/>
      <c r="P63" s="1113"/>
      <c r="Q63" s="1113">
        <f t="shared" si="16"/>
        <v>0</v>
      </c>
      <c r="R63" s="1114"/>
      <c r="S63" s="1114"/>
      <c r="T63" s="1114"/>
      <c r="U63" s="1114"/>
      <c r="V63" s="1542"/>
      <c r="W63" s="1115">
        <f t="shared" si="14"/>
        <v>0</v>
      </c>
      <c r="X63" s="1115">
        <v>355545.49</v>
      </c>
      <c r="Y63" s="1114">
        <v>193081.69</v>
      </c>
      <c r="Z63" s="1114">
        <v>100634.4</v>
      </c>
      <c r="AA63" s="1114">
        <v>5025.45</v>
      </c>
      <c r="AB63" s="1542">
        <v>0</v>
      </c>
      <c r="AC63" s="1115">
        <f t="shared" si="15"/>
        <v>654287.02999999991</v>
      </c>
      <c r="AD63" s="1115">
        <v>9628.14</v>
      </c>
      <c r="AE63" s="1114">
        <v>0</v>
      </c>
      <c r="AF63" s="1114">
        <v>21211.84</v>
      </c>
      <c r="AG63" s="1114">
        <v>149.5</v>
      </c>
      <c r="AH63" s="1542">
        <v>0</v>
      </c>
      <c r="AI63" s="1115">
        <v>30989.48</v>
      </c>
    </row>
    <row r="64" spans="1:35" ht="15" customHeight="1">
      <c r="A64" s="741" t="s">
        <v>152</v>
      </c>
      <c r="B64" s="740" t="s">
        <v>153</v>
      </c>
      <c r="C64" s="970" t="s">
        <v>268</v>
      </c>
      <c r="D64" s="1110">
        <f t="shared" si="8"/>
        <v>1943049.35</v>
      </c>
      <c r="E64" s="1111">
        <f t="shared" si="9"/>
        <v>981094.79999999993</v>
      </c>
      <c r="F64" s="1112">
        <f t="shared" si="10"/>
        <v>840686.56</v>
      </c>
      <c r="G64" s="1549">
        <f t="shared" si="11"/>
        <v>6145</v>
      </c>
      <c r="H64" s="1551">
        <f t="shared" si="12"/>
        <v>0</v>
      </c>
      <c r="I64" s="1551">
        <f t="shared" si="13"/>
        <v>3770975.71</v>
      </c>
      <c r="J64" s="1552">
        <f t="shared" si="5"/>
        <v>6145</v>
      </c>
      <c r="K64" s="1547">
        <f t="shared" si="6"/>
        <v>846831.56</v>
      </c>
      <c r="L64" s="1113"/>
      <c r="M64" s="1113"/>
      <c r="N64" s="1113"/>
      <c r="O64" s="1113"/>
      <c r="P64" s="1113"/>
      <c r="Q64" s="1113">
        <f t="shared" si="16"/>
        <v>0</v>
      </c>
      <c r="R64" s="1114">
        <v>582.36</v>
      </c>
      <c r="S64" s="1114">
        <v>202.21</v>
      </c>
      <c r="T64" s="1114">
        <v>0</v>
      </c>
      <c r="U64" s="1114">
        <v>0</v>
      </c>
      <c r="V64" s="1542">
        <v>0</v>
      </c>
      <c r="W64" s="1115">
        <f t="shared" si="14"/>
        <v>784.57</v>
      </c>
      <c r="X64" s="1115">
        <v>1791862.07</v>
      </c>
      <c r="Y64" s="1114">
        <v>980892.59</v>
      </c>
      <c r="Z64" s="1114">
        <v>508609.42</v>
      </c>
      <c r="AA64" s="1114">
        <v>6145.11</v>
      </c>
      <c r="AB64" s="1542">
        <v>0</v>
      </c>
      <c r="AC64" s="1115">
        <f t="shared" si="15"/>
        <v>3287509.19</v>
      </c>
      <c r="AD64" s="1115">
        <v>150604.92000000001</v>
      </c>
      <c r="AE64" s="1114">
        <v>0</v>
      </c>
      <c r="AF64" s="1114">
        <v>332077.14</v>
      </c>
      <c r="AG64" s="1114">
        <v>-0.11</v>
      </c>
      <c r="AH64" s="1542">
        <v>0</v>
      </c>
      <c r="AI64" s="1115">
        <v>482681.95</v>
      </c>
    </row>
    <row r="65" spans="1:35" ht="15" customHeight="1">
      <c r="A65" s="741" t="s">
        <v>154</v>
      </c>
      <c r="B65" s="740" t="s">
        <v>155</v>
      </c>
      <c r="C65" s="970" t="s">
        <v>265</v>
      </c>
      <c r="D65" s="1110">
        <f t="shared" si="8"/>
        <v>463759.84</v>
      </c>
      <c r="E65" s="1111">
        <f t="shared" si="9"/>
        <v>222994.81</v>
      </c>
      <c r="F65" s="1112">
        <f t="shared" si="10"/>
        <v>239127.47999999998</v>
      </c>
      <c r="G65" s="1549">
        <f t="shared" si="11"/>
        <v>26517.64</v>
      </c>
      <c r="H65" s="1551">
        <f t="shared" si="12"/>
        <v>0</v>
      </c>
      <c r="I65" s="1551">
        <f t="shared" si="13"/>
        <v>952399.7699999999</v>
      </c>
      <c r="J65" s="1552">
        <f t="shared" si="5"/>
        <v>26517.64</v>
      </c>
      <c r="K65" s="1547">
        <f t="shared" si="6"/>
        <v>265645.12</v>
      </c>
      <c r="L65" s="1113"/>
      <c r="M65" s="1113"/>
      <c r="N65" s="1113"/>
      <c r="O65" s="1113"/>
      <c r="P65" s="1113"/>
      <c r="Q65" s="1113">
        <f t="shared" si="16"/>
        <v>0</v>
      </c>
      <c r="R65" s="1114">
        <v>99.45</v>
      </c>
      <c r="S65" s="1114">
        <v>34.54</v>
      </c>
      <c r="T65" s="1114">
        <v>0</v>
      </c>
      <c r="U65" s="1114">
        <v>-0.01</v>
      </c>
      <c r="V65" s="1542">
        <v>0</v>
      </c>
      <c r="W65" s="1115">
        <f t="shared" si="14"/>
        <v>133.98000000000002</v>
      </c>
      <c r="X65" s="1115">
        <v>407671.7</v>
      </c>
      <c r="Y65" s="1114">
        <v>222960.27</v>
      </c>
      <c r="Z65" s="1114">
        <v>115676.08</v>
      </c>
      <c r="AA65" s="1114">
        <v>7483.11</v>
      </c>
      <c r="AB65" s="1542">
        <v>0</v>
      </c>
      <c r="AC65" s="1115">
        <f t="shared" si="15"/>
        <v>753791.15999999992</v>
      </c>
      <c r="AD65" s="1115">
        <v>55988.69</v>
      </c>
      <c r="AE65" s="1114">
        <v>0</v>
      </c>
      <c r="AF65" s="1114">
        <v>123451.4</v>
      </c>
      <c r="AG65" s="1114">
        <v>19034.54</v>
      </c>
      <c r="AH65" s="1542">
        <v>0</v>
      </c>
      <c r="AI65" s="1115">
        <v>198474.63</v>
      </c>
    </row>
    <row r="66" spans="1:35" ht="15" customHeight="1">
      <c r="A66" s="741" t="s">
        <v>156</v>
      </c>
      <c r="B66" s="740" t="s">
        <v>157</v>
      </c>
      <c r="C66" s="970" t="s">
        <v>266</v>
      </c>
      <c r="D66" s="1110">
        <f t="shared" si="8"/>
        <v>433981.38</v>
      </c>
      <c r="E66" s="1111">
        <f t="shared" si="9"/>
        <v>192605.47</v>
      </c>
      <c r="F66" s="1112">
        <f t="shared" si="10"/>
        <v>292874.23</v>
      </c>
      <c r="G66" s="1549">
        <f t="shared" si="11"/>
        <v>5644.24</v>
      </c>
      <c r="H66" s="1551">
        <f t="shared" si="12"/>
        <v>0</v>
      </c>
      <c r="I66" s="1551">
        <f t="shared" si="13"/>
        <v>925105.32</v>
      </c>
      <c r="J66" s="1552">
        <f t="shared" si="5"/>
        <v>5644.24</v>
      </c>
      <c r="K66" s="1547">
        <f t="shared" si="6"/>
        <v>298518.46999999997</v>
      </c>
      <c r="L66" s="1113"/>
      <c r="M66" s="1113"/>
      <c r="N66" s="1113"/>
      <c r="O66" s="1113"/>
      <c r="P66" s="1113"/>
      <c r="Q66" s="1113">
        <f t="shared" si="16"/>
        <v>0</v>
      </c>
      <c r="R66" s="1114"/>
      <c r="S66" s="1114"/>
      <c r="T66" s="1114"/>
      <c r="U66" s="1114"/>
      <c r="V66" s="1542"/>
      <c r="W66" s="1115">
        <f t="shared" si="14"/>
        <v>0</v>
      </c>
      <c r="X66" s="1115">
        <v>346703.05</v>
      </c>
      <c r="Y66" s="1114">
        <v>192605.47</v>
      </c>
      <c r="Z66" s="1114">
        <v>98925.09</v>
      </c>
      <c r="AA66" s="1114">
        <v>21.23</v>
      </c>
      <c r="AB66" s="1542">
        <v>0</v>
      </c>
      <c r="AC66" s="1115">
        <f t="shared" si="15"/>
        <v>638254.84</v>
      </c>
      <c r="AD66" s="1115">
        <v>87278.33</v>
      </c>
      <c r="AE66" s="1114">
        <v>0</v>
      </c>
      <c r="AF66" s="1114">
        <v>193949.14</v>
      </c>
      <c r="AG66" s="1114">
        <v>5623.01</v>
      </c>
      <c r="AH66" s="1542">
        <v>0</v>
      </c>
      <c r="AI66" s="1115">
        <v>286850.48</v>
      </c>
    </row>
    <row r="67" spans="1:35" ht="15" customHeight="1">
      <c r="A67" s="741" t="s">
        <v>162</v>
      </c>
      <c r="B67" s="740" t="s">
        <v>163</v>
      </c>
      <c r="C67" s="970" t="s">
        <v>264</v>
      </c>
      <c r="D67" s="1110">
        <f t="shared" si="8"/>
        <v>1029874.17</v>
      </c>
      <c r="E67" s="1111">
        <f t="shared" si="9"/>
        <v>536469.39</v>
      </c>
      <c r="F67" s="1112">
        <f t="shared" si="10"/>
        <v>357415.27</v>
      </c>
      <c r="G67" s="1549">
        <f t="shared" si="11"/>
        <v>8906.3599999999988</v>
      </c>
      <c r="H67" s="1551">
        <f t="shared" si="12"/>
        <v>0</v>
      </c>
      <c r="I67" s="1551">
        <f t="shared" si="13"/>
        <v>1932665.19</v>
      </c>
      <c r="J67" s="1552">
        <f t="shared" si="5"/>
        <v>8906.3599999999988</v>
      </c>
      <c r="K67" s="1547">
        <f t="shared" si="6"/>
        <v>366321.63</v>
      </c>
      <c r="L67" s="1113"/>
      <c r="M67" s="1113"/>
      <c r="N67" s="1113"/>
      <c r="O67" s="1113"/>
      <c r="P67" s="1113"/>
      <c r="Q67" s="1113">
        <f t="shared" si="16"/>
        <v>0</v>
      </c>
      <c r="R67" s="1114"/>
      <c r="S67" s="1114"/>
      <c r="T67" s="1114"/>
      <c r="U67" s="1114"/>
      <c r="V67" s="1542"/>
      <c r="W67" s="1115">
        <f t="shared" si="14"/>
        <v>0</v>
      </c>
      <c r="X67" s="1115">
        <v>1007602.05</v>
      </c>
      <c r="Y67" s="1114">
        <v>536469.39</v>
      </c>
      <c r="Z67" s="1114">
        <v>283230.56</v>
      </c>
      <c r="AA67" s="1114">
        <v>8500.9699999999993</v>
      </c>
      <c r="AB67" s="1542">
        <v>0</v>
      </c>
      <c r="AC67" s="1115">
        <f t="shared" si="15"/>
        <v>1835802.97</v>
      </c>
      <c r="AD67" s="1115">
        <v>22272.12</v>
      </c>
      <c r="AE67" s="1114">
        <v>0</v>
      </c>
      <c r="AF67" s="1114">
        <v>74184.710000000006</v>
      </c>
      <c r="AG67" s="1114">
        <v>405.39</v>
      </c>
      <c r="AH67" s="1542">
        <v>0</v>
      </c>
      <c r="AI67" s="1115">
        <v>96862.22</v>
      </c>
    </row>
    <row r="68" spans="1:35" ht="15" customHeight="1">
      <c r="A68" s="741" t="s">
        <v>164</v>
      </c>
      <c r="B68" s="740" t="s">
        <v>165</v>
      </c>
      <c r="C68" s="970" t="s">
        <v>266</v>
      </c>
      <c r="D68" s="1110">
        <f t="shared" si="8"/>
        <v>513843.12</v>
      </c>
      <c r="E68" s="1111">
        <f t="shared" si="9"/>
        <v>204833.28</v>
      </c>
      <c r="F68" s="1112">
        <f t="shared" si="10"/>
        <v>436128.99</v>
      </c>
      <c r="G68" s="1549">
        <f t="shared" si="11"/>
        <v>-5121.83</v>
      </c>
      <c r="H68" s="1551">
        <f t="shared" si="12"/>
        <v>0</v>
      </c>
      <c r="I68" s="1551">
        <f t="shared" si="13"/>
        <v>1149683.56</v>
      </c>
      <c r="J68" s="1552">
        <f t="shared" si="5"/>
        <v>-5121.83</v>
      </c>
      <c r="K68" s="1547">
        <f t="shared" si="6"/>
        <v>431007.16</v>
      </c>
      <c r="L68" s="1113"/>
      <c r="M68" s="1113"/>
      <c r="N68" s="1113"/>
      <c r="O68" s="1113"/>
      <c r="P68" s="1113"/>
      <c r="Q68" s="1113">
        <f t="shared" si="16"/>
        <v>0</v>
      </c>
      <c r="R68" s="1114"/>
      <c r="S68" s="1114"/>
      <c r="T68" s="1114"/>
      <c r="U68" s="1114"/>
      <c r="V68" s="1542"/>
      <c r="W68" s="1115">
        <f t="shared" si="14"/>
        <v>0</v>
      </c>
      <c r="X68" s="1115">
        <v>362628.74</v>
      </c>
      <c r="Y68" s="1114">
        <v>204833.28</v>
      </c>
      <c r="Z68" s="1114">
        <v>104089.25</v>
      </c>
      <c r="AA68" s="1114">
        <v>10184.4</v>
      </c>
      <c r="AB68" s="1542">
        <v>0</v>
      </c>
      <c r="AC68" s="1115">
        <f t="shared" si="15"/>
        <v>681735.67</v>
      </c>
      <c r="AD68" s="1115">
        <v>151214.38</v>
      </c>
      <c r="AE68" s="1114">
        <v>0</v>
      </c>
      <c r="AF68" s="1114">
        <v>332039.74</v>
      </c>
      <c r="AG68" s="1114">
        <v>-15306.23</v>
      </c>
      <c r="AH68" s="1542">
        <v>0</v>
      </c>
      <c r="AI68" s="1115">
        <v>467947.89</v>
      </c>
    </row>
    <row r="69" spans="1:35" ht="15" customHeight="1">
      <c r="A69" s="741" t="s">
        <v>168</v>
      </c>
      <c r="B69" s="740" t="s">
        <v>169</v>
      </c>
      <c r="C69" s="970" t="s">
        <v>266</v>
      </c>
      <c r="D69" s="1110">
        <f t="shared" si="8"/>
        <v>575468.29</v>
      </c>
      <c r="E69" s="1111">
        <f t="shared" si="9"/>
        <v>292567.94</v>
      </c>
      <c r="F69" s="1112">
        <f t="shared" si="10"/>
        <v>233909.77000000002</v>
      </c>
      <c r="G69" s="1549">
        <f t="shared" si="11"/>
        <v>7921.92</v>
      </c>
      <c r="H69" s="1551">
        <f t="shared" si="12"/>
        <v>0</v>
      </c>
      <c r="I69" s="1551">
        <f t="shared" si="13"/>
        <v>1109867.92</v>
      </c>
      <c r="J69" s="1552">
        <f t="shared" ref="J69:J124" si="17">G69+H69</f>
        <v>7921.92</v>
      </c>
      <c r="K69" s="1547">
        <f t="shared" ref="K69:K124" si="18">F69+J69</f>
        <v>241831.69000000003</v>
      </c>
      <c r="L69" s="1113"/>
      <c r="M69" s="1113"/>
      <c r="N69" s="1113"/>
      <c r="O69" s="1113"/>
      <c r="P69" s="1113"/>
      <c r="Q69" s="1113">
        <f t="shared" ref="Q69:Q100" si="19">SUM(L69:P69)</f>
        <v>0</v>
      </c>
      <c r="R69" s="1114"/>
      <c r="S69" s="1114"/>
      <c r="T69" s="1114"/>
      <c r="U69" s="1114"/>
      <c r="V69" s="1542"/>
      <c r="W69" s="1115">
        <f t="shared" si="14"/>
        <v>0</v>
      </c>
      <c r="X69" s="1115">
        <v>538522.39</v>
      </c>
      <c r="Y69" s="1114">
        <v>292567.94</v>
      </c>
      <c r="Z69" s="1114">
        <v>152446.44</v>
      </c>
      <c r="AA69" s="1114">
        <v>7307.44</v>
      </c>
      <c r="AB69" s="1542">
        <v>0</v>
      </c>
      <c r="AC69" s="1115">
        <f t="shared" si="15"/>
        <v>990844.21</v>
      </c>
      <c r="AD69" s="1115">
        <v>36945.9</v>
      </c>
      <c r="AE69" s="1114">
        <v>0</v>
      </c>
      <c r="AF69" s="1114">
        <v>81463.33</v>
      </c>
      <c r="AG69" s="1114">
        <v>614.48</v>
      </c>
      <c r="AH69" s="1542">
        <v>0</v>
      </c>
      <c r="AI69" s="1115">
        <v>119023.71</v>
      </c>
    </row>
    <row r="70" spans="1:35" ht="15" customHeight="1">
      <c r="A70" s="741" t="s">
        <v>170</v>
      </c>
      <c r="B70" s="740" t="s">
        <v>171</v>
      </c>
      <c r="C70" s="970" t="s">
        <v>267</v>
      </c>
      <c r="D70" s="1110">
        <f t="shared" ref="D70:D124" si="20">L70+R70+X70+AD70</f>
        <v>683876.42</v>
      </c>
      <c r="E70" s="1111">
        <f t="shared" ref="E70:E124" si="21">M70+S70+Y70+AE70</f>
        <v>339380.07</v>
      </c>
      <c r="F70" s="1112">
        <f t="shared" ref="F70:F124" si="22">N70+T70+Z70+AF70</f>
        <v>323500.67000000004</v>
      </c>
      <c r="G70" s="1549">
        <f t="shared" ref="G70:G124" si="23">O70+U70+AA70+AG70</f>
        <v>263328.13</v>
      </c>
      <c r="H70" s="1551">
        <f t="shared" ref="H70:H124" si="24">P70+V70+AB70+AH70</f>
        <v>72700</v>
      </c>
      <c r="I70" s="1551">
        <f t="shared" ref="I70:I124" si="25">Q70+W70+AC70+AI70</f>
        <v>1682785.2899999998</v>
      </c>
      <c r="J70" s="1552">
        <f t="shared" si="17"/>
        <v>336028.13</v>
      </c>
      <c r="K70" s="1547">
        <f t="shared" si="18"/>
        <v>659528.80000000005</v>
      </c>
      <c r="L70" s="1113"/>
      <c r="M70" s="1113"/>
      <c r="N70" s="1113"/>
      <c r="O70" s="1113"/>
      <c r="P70" s="1113"/>
      <c r="Q70" s="1113">
        <f t="shared" si="19"/>
        <v>0</v>
      </c>
      <c r="R70" s="1114"/>
      <c r="S70" s="1114"/>
      <c r="T70" s="1114"/>
      <c r="U70" s="1114"/>
      <c r="V70" s="1542"/>
      <c r="W70" s="1115">
        <f t="shared" ref="W70:W124" si="26">SUM(R70:V70)</f>
        <v>0</v>
      </c>
      <c r="X70" s="1115">
        <v>616542.15</v>
      </c>
      <c r="Y70" s="1114">
        <v>339380.07</v>
      </c>
      <c r="Z70" s="1114">
        <v>175345.39</v>
      </c>
      <c r="AA70" s="1114">
        <v>189018.18</v>
      </c>
      <c r="AB70" s="1542">
        <v>58700</v>
      </c>
      <c r="AC70" s="1115">
        <f t="shared" ref="AC70:AC124" si="27">SUM(X70:AB70)</f>
        <v>1378985.7899999998</v>
      </c>
      <c r="AD70" s="1115">
        <v>67334.27</v>
      </c>
      <c r="AE70" s="1114">
        <v>0</v>
      </c>
      <c r="AF70" s="1114">
        <v>148155.28</v>
      </c>
      <c r="AG70" s="1114">
        <v>74309.95</v>
      </c>
      <c r="AH70" s="1542">
        <v>14000</v>
      </c>
      <c r="AI70" s="1115">
        <v>303799.5</v>
      </c>
    </row>
    <row r="71" spans="1:35" ht="15" customHeight="1">
      <c r="A71" s="741" t="s">
        <v>172</v>
      </c>
      <c r="B71" s="740" t="s">
        <v>173</v>
      </c>
      <c r="C71" s="970" t="s">
        <v>267</v>
      </c>
      <c r="D71" s="1110">
        <f t="shared" si="20"/>
        <v>706415.79</v>
      </c>
      <c r="E71" s="1111">
        <f t="shared" si="21"/>
        <v>362300.04</v>
      </c>
      <c r="F71" s="1112">
        <f t="shared" si="22"/>
        <v>280167.7</v>
      </c>
      <c r="G71" s="1549">
        <f t="shared" si="23"/>
        <v>7622.5300000000007</v>
      </c>
      <c r="H71" s="1551">
        <f t="shared" si="24"/>
        <v>0</v>
      </c>
      <c r="I71" s="1551">
        <f t="shared" si="25"/>
        <v>1356506.0600000003</v>
      </c>
      <c r="J71" s="1552">
        <f t="shared" si="17"/>
        <v>7622.5300000000007</v>
      </c>
      <c r="K71" s="1547">
        <f t="shared" si="18"/>
        <v>287790.23000000004</v>
      </c>
      <c r="L71" s="1113"/>
      <c r="M71" s="1113"/>
      <c r="N71" s="1113"/>
      <c r="O71" s="1113"/>
      <c r="P71" s="1113"/>
      <c r="Q71" s="1113">
        <f t="shared" si="19"/>
        <v>0</v>
      </c>
      <c r="R71" s="1114"/>
      <c r="S71" s="1114"/>
      <c r="T71" s="1114"/>
      <c r="U71" s="1114"/>
      <c r="V71" s="1542"/>
      <c r="W71" s="1115">
        <f t="shared" si="26"/>
        <v>0</v>
      </c>
      <c r="X71" s="1115">
        <v>664796.29</v>
      </c>
      <c r="Y71" s="1114">
        <v>362300.04</v>
      </c>
      <c r="Z71" s="1114">
        <v>188400.09</v>
      </c>
      <c r="AA71" s="1114">
        <v>6008.35</v>
      </c>
      <c r="AB71" s="1542">
        <v>0</v>
      </c>
      <c r="AC71" s="1115">
        <f t="shared" si="27"/>
        <v>1221504.7700000003</v>
      </c>
      <c r="AD71" s="1115">
        <v>41619.5</v>
      </c>
      <c r="AE71" s="1114">
        <v>0</v>
      </c>
      <c r="AF71" s="1114">
        <v>91767.61</v>
      </c>
      <c r="AG71" s="1114">
        <v>1614.18</v>
      </c>
      <c r="AH71" s="1542">
        <v>0</v>
      </c>
      <c r="AI71" s="1115">
        <v>135001.29</v>
      </c>
    </row>
    <row r="72" spans="1:35" ht="15" customHeight="1">
      <c r="A72" s="741" t="s">
        <v>174</v>
      </c>
      <c r="B72" s="740" t="s">
        <v>175</v>
      </c>
      <c r="C72" s="970" t="s">
        <v>268</v>
      </c>
      <c r="D72" s="1110">
        <f t="shared" si="20"/>
        <v>609635.20000000007</v>
      </c>
      <c r="E72" s="1111">
        <f t="shared" si="21"/>
        <v>317658.11</v>
      </c>
      <c r="F72" s="1112">
        <f t="shared" si="22"/>
        <v>219219.75999999998</v>
      </c>
      <c r="G72" s="1549">
        <f t="shared" si="23"/>
        <v>19636.330000000002</v>
      </c>
      <c r="H72" s="1551">
        <f t="shared" si="24"/>
        <v>0</v>
      </c>
      <c r="I72" s="1551">
        <f t="shared" si="25"/>
        <v>1166149.4000000001</v>
      </c>
      <c r="J72" s="1552">
        <f t="shared" si="17"/>
        <v>19636.330000000002</v>
      </c>
      <c r="K72" s="1547">
        <f t="shared" si="18"/>
        <v>238856.08999999997</v>
      </c>
      <c r="L72" s="1113"/>
      <c r="M72" s="1113"/>
      <c r="N72" s="1113"/>
      <c r="O72" s="1113"/>
      <c r="P72" s="1113"/>
      <c r="Q72" s="1113">
        <f t="shared" si="19"/>
        <v>0</v>
      </c>
      <c r="R72" s="1114"/>
      <c r="S72" s="1114"/>
      <c r="T72" s="1114"/>
      <c r="U72" s="1114"/>
      <c r="V72" s="1542"/>
      <c r="W72" s="1115">
        <f t="shared" si="26"/>
        <v>0</v>
      </c>
      <c r="X72" s="1115">
        <v>585333.17000000004</v>
      </c>
      <c r="Y72" s="1114">
        <v>317658.11</v>
      </c>
      <c r="Z72" s="1114">
        <v>165635.10999999999</v>
      </c>
      <c r="AA72" s="1114">
        <v>19636.68</v>
      </c>
      <c r="AB72" s="1542">
        <v>0</v>
      </c>
      <c r="AC72" s="1115">
        <f t="shared" si="27"/>
        <v>1088263.07</v>
      </c>
      <c r="AD72" s="1115">
        <v>24302.03</v>
      </c>
      <c r="AE72" s="1114">
        <v>0</v>
      </c>
      <c r="AF72" s="1114">
        <v>53584.65</v>
      </c>
      <c r="AG72" s="1114">
        <v>-0.35</v>
      </c>
      <c r="AH72" s="1542">
        <v>0</v>
      </c>
      <c r="AI72" s="1115">
        <v>77886.33</v>
      </c>
    </row>
    <row r="73" spans="1:35" ht="15" customHeight="1">
      <c r="A73" s="741" t="s">
        <v>178</v>
      </c>
      <c r="B73" s="740" t="s">
        <v>179</v>
      </c>
      <c r="C73" s="970" t="s">
        <v>265</v>
      </c>
      <c r="D73" s="1110">
        <f t="shared" si="20"/>
        <v>1806603.9599999997</v>
      </c>
      <c r="E73" s="1111">
        <f t="shared" si="21"/>
        <v>932820.33</v>
      </c>
      <c r="F73" s="1112">
        <f t="shared" si="22"/>
        <v>584078.72</v>
      </c>
      <c r="G73" s="1549">
        <f t="shared" si="23"/>
        <v>313841.23000000004</v>
      </c>
      <c r="H73" s="1551">
        <f t="shared" si="24"/>
        <v>0</v>
      </c>
      <c r="I73" s="1551">
        <f t="shared" si="25"/>
        <v>3637344.24</v>
      </c>
      <c r="J73" s="1552">
        <f t="shared" si="17"/>
        <v>313841.23000000004</v>
      </c>
      <c r="K73" s="1547">
        <f t="shared" si="18"/>
        <v>897919.95</v>
      </c>
      <c r="L73" s="1113">
        <v>36308.639999999999</v>
      </c>
      <c r="M73" s="1113">
        <v>0</v>
      </c>
      <c r="N73" s="1113">
        <v>16738.52</v>
      </c>
      <c r="O73" s="1113">
        <v>-0.12</v>
      </c>
      <c r="P73" s="1113">
        <v>0</v>
      </c>
      <c r="Q73" s="1113">
        <f t="shared" si="19"/>
        <v>53047.040000000001</v>
      </c>
      <c r="R73" s="1114"/>
      <c r="S73" s="1114"/>
      <c r="T73" s="1114"/>
      <c r="U73" s="1114"/>
      <c r="V73" s="1542"/>
      <c r="W73" s="1115">
        <f t="shared" si="26"/>
        <v>0</v>
      </c>
      <c r="X73" s="1115">
        <v>1739957.4</v>
      </c>
      <c r="Y73" s="1114">
        <v>932820.33</v>
      </c>
      <c r="Z73" s="1114">
        <v>490270.02</v>
      </c>
      <c r="AA73" s="1114">
        <v>313843.45</v>
      </c>
      <c r="AB73" s="1542">
        <v>0</v>
      </c>
      <c r="AC73" s="1115">
        <f t="shared" si="27"/>
        <v>3476891.2</v>
      </c>
      <c r="AD73" s="1115">
        <v>30337.919999999998</v>
      </c>
      <c r="AE73" s="1114">
        <v>0</v>
      </c>
      <c r="AF73" s="1114">
        <v>77070.179999999993</v>
      </c>
      <c r="AG73" s="1114">
        <v>-2.1</v>
      </c>
      <c r="AH73" s="1542">
        <v>0</v>
      </c>
      <c r="AI73" s="1115">
        <v>107406</v>
      </c>
    </row>
    <row r="74" spans="1:35" ht="15" customHeight="1">
      <c r="A74" s="741" t="s">
        <v>182</v>
      </c>
      <c r="B74" s="740" t="s">
        <v>183</v>
      </c>
      <c r="C74" s="970" t="s">
        <v>266</v>
      </c>
      <c r="D74" s="1110">
        <f t="shared" si="20"/>
        <v>452469.38</v>
      </c>
      <c r="E74" s="1111">
        <f t="shared" si="21"/>
        <v>171979.89</v>
      </c>
      <c r="F74" s="1112">
        <f t="shared" si="22"/>
        <v>422985.83999999997</v>
      </c>
      <c r="G74" s="1549">
        <f t="shared" si="23"/>
        <v>24557.75</v>
      </c>
      <c r="H74" s="1551">
        <f t="shared" si="24"/>
        <v>723.93</v>
      </c>
      <c r="I74" s="1551">
        <f t="shared" si="25"/>
        <v>1072716.79</v>
      </c>
      <c r="J74" s="1552">
        <f t="shared" si="17"/>
        <v>25281.68</v>
      </c>
      <c r="K74" s="1547">
        <f t="shared" si="18"/>
        <v>448267.51999999996</v>
      </c>
      <c r="L74" s="1113"/>
      <c r="M74" s="1113"/>
      <c r="N74" s="1113"/>
      <c r="O74" s="1113"/>
      <c r="P74" s="1113"/>
      <c r="Q74" s="1113">
        <f t="shared" si="19"/>
        <v>0</v>
      </c>
      <c r="R74" s="1114"/>
      <c r="S74" s="1114"/>
      <c r="T74" s="1114"/>
      <c r="U74" s="1114"/>
      <c r="V74" s="1542"/>
      <c r="W74" s="1115">
        <f t="shared" si="26"/>
        <v>0</v>
      </c>
      <c r="X74" s="1115">
        <v>298531.89</v>
      </c>
      <c r="Y74" s="1114">
        <v>171979.89</v>
      </c>
      <c r="Z74" s="1114">
        <v>86306.05</v>
      </c>
      <c r="AA74" s="1114">
        <v>3125.12</v>
      </c>
      <c r="AB74" s="1542">
        <v>0</v>
      </c>
      <c r="AC74" s="1115">
        <f t="shared" si="27"/>
        <v>559942.95000000007</v>
      </c>
      <c r="AD74" s="1115">
        <v>153937.49</v>
      </c>
      <c r="AE74" s="1114">
        <v>0</v>
      </c>
      <c r="AF74" s="1114">
        <v>336679.79</v>
      </c>
      <c r="AG74" s="1114">
        <v>21432.63</v>
      </c>
      <c r="AH74" s="1542">
        <v>723.93</v>
      </c>
      <c r="AI74" s="1115">
        <v>512773.84</v>
      </c>
    </row>
    <row r="75" spans="1:35" ht="15" customHeight="1">
      <c r="A75" s="741" t="s">
        <v>184</v>
      </c>
      <c r="B75" s="740" t="s">
        <v>185</v>
      </c>
      <c r="C75" s="970" t="s">
        <v>266</v>
      </c>
      <c r="D75" s="1110">
        <f t="shared" si="20"/>
        <v>963598.82000000007</v>
      </c>
      <c r="E75" s="1111">
        <f t="shared" si="21"/>
        <v>440881.82</v>
      </c>
      <c r="F75" s="1112">
        <f t="shared" si="22"/>
        <v>589539.29</v>
      </c>
      <c r="G75" s="1549">
        <f t="shared" si="23"/>
        <v>20140.18</v>
      </c>
      <c r="H75" s="1551">
        <f t="shared" si="24"/>
        <v>0</v>
      </c>
      <c r="I75" s="1551">
        <f t="shared" si="25"/>
        <v>2014160.1099999999</v>
      </c>
      <c r="J75" s="1552">
        <f t="shared" si="17"/>
        <v>20140.18</v>
      </c>
      <c r="K75" s="1547">
        <f t="shared" si="18"/>
        <v>609679.47000000009</v>
      </c>
      <c r="L75" s="1113"/>
      <c r="M75" s="1113"/>
      <c r="N75" s="1113"/>
      <c r="O75" s="1113"/>
      <c r="P75" s="1113"/>
      <c r="Q75" s="1113">
        <f t="shared" si="19"/>
        <v>0</v>
      </c>
      <c r="R75" s="1114"/>
      <c r="S75" s="1114"/>
      <c r="T75" s="1114"/>
      <c r="U75" s="1114"/>
      <c r="V75" s="1542"/>
      <c r="W75" s="1115">
        <f t="shared" si="26"/>
        <v>0</v>
      </c>
      <c r="X75" s="1115">
        <v>798934.63</v>
      </c>
      <c r="Y75" s="1114">
        <v>440881.82</v>
      </c>
      <c r="Z75" s="1114">
        <v>227420.87</v>
      </c>
      <c r="AA75" s="1114">
        <v>16077.09</v>
      </c>
      <c r="AB75" s="1542">
        <v>0</v>
      </c>
      <c r="AC75" s="1115">
        <f t="shared" si="27"/>
        <v>1483314.41</v>
      </c>
      <c r="AD75" s="1115">
        <v>164664.19</v>
      </c>
      <c r="AE75" s="1114">
        <v>0</v>
      </c>
      <c r="AF75" s="1114">
        <v>362118.42</v>
      </c>
      <c r="AG75" s="1114">
        <v>4063.09</v>
      </c>
      <c r="AH75" s="1542">
        <v>0</v>
      </c>
      <c r="AI75" s="1115">
        <v>530845.69999999995</v>
      </c>
    </row>
    <row r="76" spans="1:35" ht="15" customHeight="1">
      <c r="A76" s="741" t="s">
        <v>186</v>
      </c>
      <c r="B76" s="740" t="s">
        <v>187</v>
      </c>
      <c r="C76" s="970" t="s">
        <v>264</v>
      </c>
      <c r="D76" s="1110">
        <f t="shared" si="20"/>
        <v>776713</v>
      </c>
      <c r="E76" s="1111">
        <f t="shared" si="21"/>
        <v>327693.84000000003</v>
      </c>
      <c r="F76" s="1112">
        <f t="shared" si="22"/>
        <v>595322.6</v>
      </c>
      <c r="G76" s="1549">
        <f t="shared" si="23"/>
        <v>2634.35</v>
      </c>
      <c r="H76" s="1551">
        <f t="shared" si="24"/>
        <v>0</v>
      </c>
      <c r="I76" s="1551">
        <f t="shared" si="25"/>
        <v>1702363.79</v>
      </c>
      <c r="J76" s="1552">
        <f t="shared" si="17"/>
        <v>2634.35</v>
      </c>
      <c r="K76" s="1547">
        <f t="shared" si="18"/>
        <v>597956.94999999995</v>
      </c>
      <c r="L76" s="1113"/>
      <c r="M76" s="1113"/>
      <c r="N76" s="1113"/>
      <c r="O76" s="1113"/>
      <c r="P76" s="1113"/>
      <c r="Q76" s="1113">
        <f t="shared" si="19"/>
        <v>0</v>
      </c>
      <c r="R76" s="1114"/>
      <c r="S76" s="1114"/>
      <c r="T76" s="1114"/>
      <c r="U76" s="1114"/>
      <c r="V76" s="1542"/>
      <c r="W76" s="1115">
        <f t="shared" si="26"/>
        <v>0</v>
      </c>
      <c r="X76" s="1115">
        <v>581196.99</v>
      </c>
      <c r="Y76" s="1114">
        <v>327693.84000000003</v>
      </c>
      <c r="Z76" s="1114">
        <v>166718.73000000001</v>
      </c>
      <c r="AA76" s="1114">
        <v>2167.75</v>
      </c>
      <c r="AB76" s="1542">
        <v>0</v>
      </c>
      <c r="AC76" s="1115">
        <f t="shared" si="27"/>
        <v>1077777.31</v>
      </c>
      <c r="AD76" s="1115">
        <v>195516.01</v>
      </c>
      <c r="AE76" s="1114">
        <v>0</v>
      </c>
      <c r="AF76" s="1114">
        <v>428603.87</v>
      </c>
      <c r="AG76" s="1114">
        <v>466.6</v>
      </c>
      <c r="AH76" s="1542">
        <v>0</v>
      </c>
      <c r="AI76" s="1115">
        <v>624586.48</v>
      </c>
    </row>
    <row r="77" spans="1:35" ht="15" customHeight="1">
      <c r="A77" s="741" t="s">
        <v>188</v>
      </c>
      <c r="B77" s="740" t="s">
        <v>189</v>
      </c>
      <c r="C77" s="970" t="s">
        <v>267</v>
      </c>
      <c r="D77" s="1110">
        <f t="shared" si="20"/>
        <v>8395213.8300000001</v>
      </c>
      <c r="E77" s="1111">
        <f t="shared" si="21"/>
        <v>2719910.51</v>
      </c>
      <c r="F77" s="1112">
        <f t="shared" si="22"/>
        <v>9469855.0999999996</v>
      </c>
      <c r="G77" s="1549">
        <f t="shared" si="23"/>
        <v>35082.490000000005</v>
      </c>
      <c r="H77" s="1551">
        <f t="shared" si="24"/>
        <v>0</v>
      </c>
      <c r="I77" s="1551">
        <f t="shared" si="25"/>
        <v>20620061.93</v>
      </c>
      <c r="J77" s="1552">
        <f t="shared" si="17"/>
        <v>35082.490000000005</v>
      </c>
      <c r="K77" s="1547">
        <f t="shared" si="18"/>
        <v>9504937.5899999999</v>
      </c>
      <c r="L77" s="1113">
        <v>68994.06</v>
      </c>
      <c r="M77" s="1113">
        <v>0</v>
      </c>
      <c r="N77" s="1113">
        <v>31117.19</v>
      </c>
      <c r="O77" s="1113">
        <v>-0.25</v>
      </c>
      <c r="P77" s="1113">
        <v>0</v>
      </c>
      <c r="Q77" s="1113">
        <f t="shared" si="19"/>
        <v>100111</v>
      </c>
      <c r="R77" s="1114"/>
      <c r="S77" s="1114"/>
      <c r="T77" s="1114"/>
      <c r="U77" s="1114"/>
      <c r="V77" s="1542"/>
      <c r="W77" s="1115">
        <f t="shared" si="26"/>
        <v>0</v>
      </c>
      <c r="X77" s="1115">
        <v>4658938.82</v>
      </c>
      <c r="Y77" s="1114">
        <v>2719910.51</v>
      </c>
      <c r="Z77" s="1114">
        <v>1353515.35</v>
      </c>
      <c r="AA77" s="1114">
        <v>35095.730000000003</v>
      </c>
      <c r="AB77" s="1542">
        <v>0</v>
      </c>
      <c r="AC77" s="1115">
        <f t="shared" si="27"/>
        <v>8767460.4100000001</v>
      </c>
      <c r="AD77" s="1115">
        <v>3667280.95</v>
      </c>
      <c r="AE77" s="1114">
        <v>0</v>
      </c>
      <c r="AF77" s="1114">
        <v>8085222.5599999996</v>
      </c>
      <c r="AG77" s="1114">
        <v>-12.99</v>
      </c>
      <c r="AH77" s="1542">
        <v>0</v>
      </c>
      <c r="AI77" s="1115">
        <v>11752490.52</v>
      </c>
    </row>
    <row r="78" spans="1:35" ht="15" customHeight="1">
      <c r="A78" s="741" t="s">
        <v>190</v>
      </c>
      <c r="B78" s="740" t="s">
        <v>191</v>
      </c>
      <c r="C78" s="970" t="s">
        <v>268</v>
      </c>
      <c r="D78" s="1110">
        <f t="shared" si="20"/>
        <v>1788961.73</v>
      </c>
      <c r="E78" s="1111">
        <f t="shared" si="21"/>
        <v>911001.95</v>
      </c>
      <c r="F78" s="1112">
        <f t="shared" si="22"/>
        <v>731455.99</v>
      </c>
      <c r="G78" s="1549">
        <f t="shared" si="23"/>
        <v>48466.84</v>
      </c>
      <c r="H78" s="1551">
        <f t="shared" si="24"/>
        <v>0</v>
      </c>
      <c r="I78" s="1551">
        <f t="shared" si="25"/>
        <v>3479886.5100000002</v>
      </c>
      <c r="J78" s="1552">
        <f t="shared" si="17"/>
        <v>48466.84</v>
      </c>
      <c r="K78" s="1547">
        <f t="shared" si="18"/>
        <v>779922.83</v>
      </c>
      <c r="L78" s="1113"/>
      <c r="M78" s="1113"/>
      <c r="N78" s="1113"/>
      <c r="O78" s="1113"/>
      <c r="P78" s="1113"/>
      <c r="Q78" s="1113">
        <f t="shared" si="19"/>
        <v>0</v>
      </c>
      <c r="R78" s="1114"/>
      <c r="S78" s="1114"/>
      <c r="T78" s="1114"/>
      <c r="U78" s="1114"/>
      <c r="V78" s="1542"/>
      <c r="W78" s="1115">
        <f t="shared" si="26"/>
        <v>0</v>
      </c>
      <c r="X78" s="1115">
        <v>1679622.55</v>
      </c>
      <c r="Y78" s="1114">
        <v>911001.95</v>
      </c>
      <c r="Z78" s="1114">
        <v>475199.53</v>
      </c>
      <c r="AA78" s="1114">
        <v>48467.59</v>
      </c>
      <c r="AB78" s="1542">
        <v>0</v>
      </c>
      <c r="AC78" s="1115">
        <f t="shared" si="27"/>
        <v>3114291.62</v>
      </c>
      <c r="AD78" s="1115">
        <v>109339.18</v>
      </c>
      <c r="AE78" s="1114">
        <v>0</v>
      </c>
      <c r="AF78" s="1114">
        <v>256256.46</v>
      </c>
      <c r="AG78" s="1114">
        <v>-0.75</v>
      </c>
      <c r="AH78" s="1542">
        <v>0</v>
      </c>
      <c r="AI78" s="1115">
        <v>365594.89</v>
      </c>
    </row>
    <row r="79" spans="1:35" ht="15" customHeight="1">
      <c r="A79" s="741" t="s">
        <v>194</v>
      </c>
      <c r="B79" s="740" t="s">
        <v>195</v>
      </c>
      <c r="C79" s="970" t="s">
        <v>267</v>
      </c>
      <c r="D79" s="1110">
        <f t="shared" si="20"/>
        <v>341941.57</v>
      </c>
      <c r="E79" s="1111">
        <f t="shared" si="21"/>
        <v>130242.15</v>
      </c>
      <c r="F79" s="1112">
        <f t="shared" si="22"/>
        <v>315422.87</v>
      </c>
      <c r="G79" s="1549">
        <f t="shared" si="23"/>
        <v>19492.66</v>
      </c>
      <c r="H79" s="1551">
        <f t="shared" si="24"/>
        <v>0</v>
      </c>
      <c r="I79" s="1551">
        <f t="shared" si="25"/>
        <v>807099.25</v>
      </c>
      <c r="J79" s="1552">
        <f t="shared" si="17"/>
        <v>19492.66</v>
      </c>
      <c r="K79" s="1547">
        <f t="shared" si="18"/>
        <v>334915.52999999997</v>
      </c>
      <c r="L79" s="1113"/>
      <c r="M79" s="1113"/>
      <c r="N79" s="1113"/>
      <c r="O79" s="1113"/>
      <c r="P79" s="1113"/>
      <c r="Q79" s="1113">
        <f t="shared" si="19"/>
        <v>0</v>
      </c>
      <c r="R79" s="1114"/>
      <c r="S79" s="1114"/>
      <c r="T79" s="1114"/>
      <c r="U79" s="1114"/>
      <c r="V79" s="1542"/>
      <c r="W79" s="1115">
        <f t="shared" si="26"/>
        <v>0</v>
      </c>
      <c r="X79" s="1115">
        <v>227751.78</v>
      </c>
      <c r="Y79" s="1114">
        <v>130242.15</v>
      </c>
      <c r="Z79" s="1114">
        <v>65666.25</v>
      </c>
      <c r="AA79" s="1114">
        <v>8530.3799999999992</v>
      </c>
      <c r="AB79" s="1542">
        <v>0</v>
      </c>
      <c r="AC79" s="1115">
        <f t="shared" si="27"/>
        <v>432190.56</v>
      </c>
      <c r="AD79" s="1115">
        <v>114189.79</v>
      </c>
      <c r="AE79" s="1114">
        <v>0</v>
      </c>
      <c r="AF79" s="1114">
        <v>249756.62</v>
      </c>
      <c r="AG79" s="1114">
        <v>10962.28</v>
      </c>
      <c r="AH79" s="1542">
        <v>0</v>
      </c>
      <c r="AI79" s="1115">
        <v>374908.69</v>
      </c>
    </row>
    <row r="80" spans="1:35" ht="15" customHeight="1">
      <c r="A80" s="741" t="s">
        <v>198</v>
      </c>
      <c r="B80" s="740" t="s">
        <v>199</v>
      </c>
      <c r="C80" s="970" t="s">
        <v>266</v>
      </c>
      <c r="D80" s="1110">
        <f t="shared" si="20"/>
        <v>361368.31999999995</v>
      </c>
      <c r="E80" s="1111">
        <f t="shared" si="21"/>
        <v>159071.45000000001</v>
      </c>
      <c r="F80" s="1112">
        <f t="shared" si="22"/>
        <v>250272.32</v>
      </c>
      <c r="G80" s="1549">
        <f t="shared" si="23"/>
        <v>32042.79</v>
      </c>
      <c r="H80" s="1551">
        <f t="shared" si="24"/>
        <v>0</v>
      </c>
      <c r="I80" s="1551">
        <f t="shared" si="25"/>
        <v>802754.88</v>
      </c>
      <c r="J80" s="1552">
        <f t="shared" si="17"/>
        <v>32042.79</v>
      </c>
      <c r="K80" s="1547">
        <f t="shared" si="18"/>
        <v>282315.11</v>
      </c>
      <c r="L80" s="1113"/>
      <c r="M80" s="1113"/>
      <c r="N80" s="1113"/>
      <c r="O80" s="1113"/>
      <c r="P80" s="1113"/>
      <c r="Q80" s="1113">
        <f t="shared" si="19"/>
        <v>0</v>
      </c>
      <c r="R80" s="1114"/>
      <c r="S80" s="1114"/>
      <c r="T80" s="1114"/>
      <c r="U80" s="1114"/>
      <c r="V80" s="1542"/>
      <c r="W80" s="1115">
        <f t="shared" si="26"/>
        <v>0</v>
      </c>
      <c r="X80" s="1115">
        <v>284575.65999999997</v>
      </c>
      <c r="Y80" s="1114">
        <v>159071.45000000001</v>
      </c>
      <c r="Z80" s="1114">
        <v>81377.78</v>
      </c>
      <c r="AA80" s="1114">
        <v>27674.48</v>
      </c>
      <c r="AB80" s="1542">
        <v>0</v>
      </c>
      <c r="AC80" s="1115">
        <f t="shared" si="27"/>
        <v>552699.37</v>
      </c>
      <c r="AD80" s="1115">
        <v>76792.66</v>
      </c>
      <c r="AE80" s="1114">
        <v>0</v>
      </c>
      <c r="AF80" s="1114">
        <v>168894.54</v>
      </c>
      <c r="AG80" s="1114">
        <v>4368.3100000000004</v>
      </c>
      <c r="AH80" s="1542">
        <v>0</v>
      </c>
      <c r="AI80" s="1115">
        <v>250055.51</v>
      </c>
    </row>
    <row r="81" spans="1:35" ht="15" customHeight="1">
      <c r="A81" s="741" t="s">
        <v>202</v>
      </c>
      <c r="B81" s="740" t="s">
        <v>203</v>
      </c>
      <c r="C81" s="970" t="s">
        <v>265</v>
      </c>
      <c r="D81" s="1110">
        <f t="shared" si="20"/>
        <v>2305837.5100000002</v>
      </c>
      <c r="E81" s="1111">
        <f t="shared" si="21"/>
        <v>995734.24</v>
      </c>
      <c r="F81" s="1112">
        <f t="shared" si="22"/>
        <v>1687035.3499999999</v>
      </c>
      <c r="G81" s="1549">
        <f t="shared" si="23"/>
        <v>385443.30000000005</v>
      </c>
      <c r="H81" s="1551">
        <f t="shared" si="24"/>
        <v>0</v>
      </c>
      <c r="I81" s="1551">
        <f t="shared" si="25"/>
        <v>5374050.4000000004</v>
      </c>
      <c r="J81" s="1552">
        <f t="shared" si="17"/>
        <v>385443.30000000005</v>
      </c>
      <c r="K81" s="1547">
        <f t="shared" si="18"/>
        <v>2072478.65</v>
      </c>
      <c r="L81" s="1113"/>
      <c r="M81" s="1113"/>
      <c r="N81" s="1113"/>
      <c r="O81" s="1113"/>
      <c r="P81" s="1113"/>
      <c r="Q81" s="1113">
        <f t="shared" si="19"/>
        <v>0</v>
      </c>
      <c r="R81" s="1114"/>
      <c r="S81" s="1114"/>
      <c r="T81" s="1114"/>
      <c r="U81" s="1114"/>
      <c r="V81" s="1542"/>
      <c r="W81" s="1115">
        <f t="shared" si="26"/>
        <v>0</v>
      </c>
      <c r="X81" s="1115">
        <v>1768107.37</v>
      </c>
      <c r="Y81" s="1114">
        <v>995734.24</v>
      </c>
      <c r="Z81" s="1114">
        <v>506975.47</v>
      </c>
      <c r="AA81" s="1114">
        <v>212750.16</v>
      </c>
      <c r="AB81" s="1542">
        <v>0</v>
      </c>
      <c r="AC81" s="1115">
        <f t="shared" si="27"/>
        <v>3483567.24</v>
      </c>
      <c r="AD81" s="1115">
        <v>537730.14</v>
      </c>
      <c r="AE81" s="1114">
        <v>0</v>
      </c>
      <c r="AF81" s="1114">
        <v>1180059.8799999999</v>
      </c>
      <c r="AG81" s="1114">
        <v>172693.14</v>
      </c>
      <c r="AH81" s="1542">
        <v>0</v>
      </c>
      <c r="AI81" s="1115">
        <v>1890483.16</v>
      </c>
    </row>
    <row r="82" spans="1:35" ht="15" customHeight="1">
      <c r="A82" s="741" t="s">
        <v>204</v>
      </c>
      <c r="B82" s="740" t="s">
        <v>205</v>
      </c>
      <c r="C82" s="970" t="s">
        <v>265</v>
      </c>
      <c r="D82" s="1110">
        <f t="shared" si="20"/>
        <v>783106.26</v>
      </c>
      <c r="E82" s="1111">
        <f t="shared" si="21"/>
        <v>423892.18</v>
      </c>
      <c r="F82" s="1112">
        <f t="shared" si="22"/>
        <v>221399.01</v>
      </c>
      <c r="G82" s="1549">
        <f t="shared" si="23"/>
        <v>8752.8700000000008</v>
      </c>
      <c r="H82" s="1551">
        <f t="shared" si="24"/>
        <v>0</v>
      </c>
      <c r="I82" s="1551">
        <f t="shared" si="25"/>
        <v>1437150.32</v>
      </c>
      <c r="J82" s="1552">
        <f t="shared" si="17"/>
        <v>8752.8700000000008</v>
      </c>
      <c r="K82" s="1547">
        <f t="shared" si="18"/>
        <v>230151.88</v>
      </c>
      <c r="L82" s="1113"/>
      <c r="M82" s="1113"/>
      <c r="N82" s="1113"/>
      <c r="O82" s="1113"/>
      <c r="P82" s="1113"/>
      <c r="Q82" s="1113">
        <f t="shared" si="19"/>
        <v>0</v>
      </c>
      <c r="R82" s="1114"/>
      <c r="S82" s="1114"/>
      <c r="T82" s="1114"/>
      <c r="U82" s="1114"/>
      <c r="V82" s="1542"/>
      <c r="W82" s="1115">
        <f t="shared" si="26"/>
        <v>0</v>
      </c>
      <c r="X82" s="1115">
        <v>783106.26</v>
      </c>
      <c r="Y82" s="1114">
        <v>423892.18</v>
      </c>
      <c r="Z82" s="1114">
        <v>221399.01</v>
      </c>
      <c r="AA82" s="1114">
        <v>8752.8700000000008</v>
      </c>
      <c r="AB82" s="1542">
        <v>0</v>
      </c>
      <c r="AC82" s="1115">
        <f t="shared" si="27"/>
        <v>1437150.32</v>
      </c>
      <c r="AD82" s="1115"/>
      <c r="AE82" s="1114"/>
      <c r="AF82" s="1114"/>
      <c r="AG82" s="1114"/>
      <c r="AH82" s="1542"/>
      <c r="AI82" s="1115"/>
    </row>
    <row r="83" spans="1:35" ht="15" customHeight="1">
      <c r="A83" s="741" t="s">
        <v>206</v>
      </c>
      <c r="B83" s="740" t="s">
        <v>207</v>
      </c>
      <c r="C83" s="970" t="s">
        <v>267</v>
      </c>
      <c r="D83" s="1110">
        <f t="shared" si="20"/>
        <v>2756108.57</v>
      </c>
      <c r="E83" s="1111">
        <f t="shared" si="21"/>
        <v>1158778.49</v>
      </c>
      <c r="F83" s="1112">
        <f t="shared" si="22"/>
        <v>2079070.22</v>
      </c>
      <c r="G83" s="1549">
        <f t="shared" si="23"/>
        <v>6635.3</v>
      </c>
      <c r="H83" s="1551">
        <f t="shared" si="24"/>
        <v>0</v>
      </c>
      <c r="I83" s="1551">
        <f t="shared" si="25"/>
        <v>6000592.5800000001</v>
      </c>
      <c r="J83" s="1552">
        <f t="shared" si="17"/>
        <v>6635.3</v>
      </c>
      <c r="K83" s="1547">
        <f t="shared" si="18"/>
        <v>2085705.52</v>
      </c>
      <c r="L83" s="1113"/>
      <c r="M83" s="1113"/>
      <c r="N83" s="1113"/>
      <c r="O83" s="1113"/>
      <c r="P83" s="1113"/>
      <c r="Q83" s="1113">
        <f t="shared" si="19"/>
        <v>0</v>
      </c>
      <c r="R83" s="1114">
        <v>1488.95</v>
      </c>
      <c r="S83" s="1114">
        <v>517.02</v>
      </c>
      <c r="T83" s="1114">
        <v>0</v>
      </c>
      <c r="U83" s="1114">
        <v>-0.01</v>
      </c>
      <c r="V83" s="1542">
        <v>0</v>
      </c>
      <c r="W83" s="1115">
        <f t="shared" si="26"/>
        <v>2005.96</v>
      </c>
      <c r="X83" s="1115">
        <v>2079497.02</v>
      </c>
      <c r="Y83" s="1114">
        <v>1158261.47</v>
      </c>
      <c r="Z83" s="1114">
        <v>593906.80000000005</v>
      </c>
      <c r="AA83" s="1114">
        <v>2959.76</v>
      </c>
      <c r="AB83" s="1542">
        <v>0</v>
      </c>
      <c r="AC83" s="1115">
        <f t="shared" si="27"/>
        <v>3834625.05</v>
      </c>
      <c r="AD83" s="1115">
        <v>675122.6</v>
      </c>
      <c r="AE83" s="1114">
        <v>0</v>
      </c>
      <c r="AF83" s="1114">
        <v>1485163.42</v>
      </c>
      <c r="AG83" s="1114">
        <v>3675.55</v>
      </c>
      <c r="AH83" s="1542">
        <v>0</v>
      </c>
      <c r="AI83" s="1115">
        <v>2163961.5699999998</v>
      </c>
    </row>
    <row r="84" spans="1:35" ht="15" customHeight="1">
      <c r="A84" s="741" t="s">
        <v>208</v>
      </c>
      <c r="B84" s="740" t="s">
        <v>209</v>
      </c>
      <c r="C84" s="970" t="s">
        <v>268</v>
      </c>
      <c r="D84" s="1110">
        <f t="shared" si="20"/>
        <v>1187460.07</v>
      </c>
      <c r="E84" s="1111">
        <f t="shared" si="21"/>
        <v>641325.56000000006</v>
      </c>
      <c r="F84" s="1112">
        <f t="shared" si="22"/>
        <v>335454.34999999998</v>
      </c>
      <c r="G84" s="1549">
        <f t="shared" si="23"/>
        <v>68841.53</v>
      </c>
      <c r="H84" s="1551">
        <f t="shared" si="24"/>
        <v>0</v>
      </c>
      <c r="I84" s="1551">
        <f t="shared" si="25"/>
        <v>2233081.5099999998</v>
      </c>
      <c r="J84" s="1552">
        <f t="shared" si="17"/>
        <v>68841.53</v>
      </c>
      <c r="K84" s="1547">
        <f t="shared" si="18"/>
        <v>404295.88</v>
      </c>
      <c r="L84" s="1113"/>
      <c r="M84" s="1113"/>
      <c r="N84" s="1113"/>
      <c r="O84" s="1113"/>
      <c r="P84" s="1113"/>
      <c r="Q84" s="1113">
        <f t="shared" si="19"/>
        <v>0</v>
      </c>
      <c r="R84" s="1115"/>
      <c r="S84" s="1115"/>
      <c r="T84" s="1115"/>
      <c r="U84" s="1115"/>
      <c r="V84" s="1115"/>
      <c r="W84" s="1115">
        <f t="shared" si="26"/>
        <v>0</v>
      </c>
      <c r="X84" s="1115">
        <v>1187460.07</v>
      </c>
      <c r="Y84" s="1115">
        <v>641325.56000000006</v>
      </c>
      <c r="Z84" s="1115">
        <v>335454.34999999998</v>
      </c>
      <c r="AA84" s="1115">
        <v>68841.53</v>
      </c>
      <c r="AB84" s="1115">
        <v>0</v>
      </c>
      <c r="AC84" s="1115">
        <f t="shared" si="27"/>
        <v>2233081.5099999998</v>
      </c>
      <c r="AD84" s="1115"/>
      <c r="AE84" s="1115"/>
      <c r="AF84" s="1115"/>
      <c r="AG84" s="1115"/>
      <c r="AH84" s="1115"/>
      <c r="AI84" s="1115"/>
    </row>
    <row r="85" spans="1:35" ht="15" customHeight="1">
      <c r="A85" s="741" t="s">
        <v>210</v>
      </c>
      <c r="B85" s="740" t="s">
        <v>211</v>
      </c>
      <c r="C85" s="970" t="s">
        <v>268</v>
      </c>
      <c r="D85" s="1110">
        <f t="shared" si="20"/>
        <v>1080853.29</v>
      </c>
      <c r="E85" s="1111">
        <f t="shared" si="21"/>
        <v>572276.12</v>
      </c>
      <c r="F85" s="1112">
        <f t="shared" si="22"/>
        <v>359436.33999999997</v>
      </c>
      <c r="G85" s="1549">
        <f t="shared" si="23"/>
        <v>20634.939999999999</v>
      </c>
      <c r="H85" s="1551">
        <f t="shared" si="24"/>
        <v>0</v>
      </c>
      <c r="I85" s="1551">
        <f t="shared" si="25"/>
        <v>2033200.69</v>
      </c>
      <c r="J85" s="1552">
        <f t="shared" si="17"/>
        <v>20634.939999999999</v>
      </c>
      <c r="K85" s="1547">
        <f t="shared" si="18"/>
        <v>380071.27999999997</v>
      </c>
      <c r="L85" s="1113"/>
      <c r="M85" s="1113"/>
      <c r="N85" s="1113"/>
      <c r="O85" s="1113"/>
      <c r="P85" s="1113"/>
      <c r="Q85" s="1113">
        <f t="shared" si="19"/>
        <v>0</v>
      </c>
      <c r="R85" s="1114">
        <v>1841.72</v>
      </c>
      <c r="S85" s="1115">
        <v>639.52</v>
      </c>
      <c r="T85" s="1114">
        <v>0</v>
      </c>
      <c r="U85" s="1114">
        <v>-0.01</v>
      </c>
      <c r="V85" s="1542">
        <v>0</v>
      </c>
      <c r="W85" s="1115">
        <f t="shared" si="26"/>
        <v>2481.2299999999996</v>
      </c>
      <c r="X85" s="1115">
        <v>1050984.6100000001</v>
      </c>
      <c r="Y85" s="1115">
        <v>571636.6</v>
      </c>
      <c r="Z85" s="1114">
        <v>297638.18</v>
      </c>
      <c r="AA85" s="1114">
        <v>20635.009999999998</v>
      </c>
      <c r="AB85" s="1542">
        <v>0</v>
      </c>
      <c r="AC85" s="1115">
        <f t="shared" si="27"/>
        <v>1940894.4</v>
      </c>
      <c r="AD85" s="1115">
        <v>28026.959999999999</v>
      </c>
      <c r="AE85" s="1115">
        <v>0</v>
      </c>
      <c r="AF85" s="1114">
        <v>61798.16</v>
      </c>
      <c r="AG85" s="1114">
        <v>-0.06</v>
      </c>
      <c r="AH85" s="1542">
        <v>0</v>
      </c>
      <c r="AI85" s="1115">
        <v>89825.06</v>
      </c>
    </row>
    <row r="86" spans="1:35" ht="15" customHeight="1">
      <c r="A86" s="741" t="s">
        <v>212</v>
      </c>
      <c r="B86" s="740" t="s">
        <v>213</v>
      </c>
      <c r="C86" s="970" t="s">
        <v>267</v>
      </c>
      <c r="D86" s="1110">
        <f t="shared" si="20"/>
        <v>1038501.28</v>
      </c>
      <c r="E86" s="1111">
        <f t="shared" si="21"/>
        <v>422265.1</v>
      </c>
      <c r="F86" s="1112">
        <f t="shared" si="22"/>
        <v>837610.57</v>
      </c>
      <c r="G86" s="1549">
        <f t="shared" si="23"/>
        <v>517566.54</v>
      </c>
      <c r="H86" s="1551">
        <f t="shared" si="24"/>
        <v>0</v>
      </c>
      <c r="I86" s="1551">
        <f t="shared" si="25"/>
        <v>2815943.49</v>
      </c>
      <c r="J86" s="1552">
        <f t="shared" si="17"/>
        <v>517566.54</v>
      </c>
      <c r="K86" s="1547">
        <f t="shared" si="18"/>
        <v>1355177.1099999999</v>
      </c>
      <c r="L86" s="1113"/>
      <c r="M86" s="1113"/>
      <c r="N86" s="1113"/>
      <c r="O86" s="1113"/>
      <c r="P86" s="1113"/>
      <c r="Q86" s="1113">
        <f t="shared" si="19"/>
        <v>0</v>
      </c>
      <c r="R86" s="1114">
        <v>345.49</v>
      </c>
      <c r="S86" s="1115">
        <v>119.97</v>
      </c>
      <c r="T86" s="1114">
        <v>0</v>
      </c>
      <c r="U86" s="1114">
        <v>-0.01</v>
      </c>
      <c r="V86" s="1542">
        <v>0</v>
      </c>
      <c r="W86" s="1115">
        <f t="shared" si="26"/>
        <v>465.45000000000005</v>
      </c>
      <c r="X86" s="1115">
        <v>756586.63</v>
      </c>
      <c r="Y86" s="1115">
        <v>422145.13</v>
      </c>
      <c r="Z86" s="1114">
        <v>216215.96</v>
      </c>
      <c r="AA86" s="1114">
        <v>514352.76</v>
      </c>
      <c r="AB86" s="1542">
        <v>0</v>
      </c>
      <c r="AC86" s="1115">
        <f t="shared" si="27"/>
        <v>1909300.48</v>
      </c>
      <c r="AD86" s="1115">
        <v>281569.15999999997</v>
      </c>
      <c r="AE86" s="1115">
        <v>0</v>
      </c>
      <c r="AF86" s="1114">
        <v>621394.61</v>
      </c>
      <c r="AG86" s="1114">
        <v>3213.79</v>
      </c>
      <c r="AH86" s="1542">
        <v>0</v>
      </c>
      <c r="AI86" s="1115">
        <v>906177.56</v>
      </c>
    </row>
    <row r="87" spans="1:35" ht="15" customHeight="1">
      <c r="A87" s="741" t="s">
        <v>214</v>
      </c>
      <c r="B87" s="740" t="s">
        <v>215</v>
      </c>
      <c r="C87" s="970" t="s">
        <v>268</v>
      </c>
      <c r="D87" s="1110">
        <f t="shared" si="20"/>
        <v>1711852.3699999999</v>
      </c>
      <c r="E87" s="1111">
        <f t="shared" si="21"/>
        <v>887058.67</v>
      </c>
      <c r="F87" s="1112">
        <f t="shared" si="22"/>
        <v>652546.75</v>
      </c>
      <c r="G87" s="1549">
        <f t="shared" si="23"/>
        <v>-3996.53</v>
      </c>
      <c r="H87" s="1551">
        <f t="shared" si="24"/>
        <v>-6659</v>
      </c>
      <c r="I87" s="1551">
        <f t="shared" si="25"/>
        <v>3240802.2600000002</v>
      </c>
      <c r="J87" s="1552">
        <f t="shared" si="17"/>
        <v>-10655.53</v>
      </c>
      <c r="K87" s="1547">
        <f t="shared" si="18"/>
        <v>641891.22</v>
      </c>
      <c r="L87" s="1113"/>
      <c r="M87" s="1113"/>
      <c r="N87" s="1113"/>
      <c r="O87" s="1113"/>
      <c r="P87" s="1113"/>
      <c r="Q87" s="1113">
        <f t="shared" si="19"/>
        <v>0</v>
      </c>
      <c r="R87" s="1114"/>
      <c r="S87" s="1115"/>
      <c r="T87" s="1114"/>
      <c r="U87" s="1114"/>
      <c r="V87" s="1542"/>
      <c r="W87" s="1115">
        <f t="shared" si="26"/>
        <v>0</v>
      </c>
      <c r="X87" s="1115">
        <v>1623855.41</v>
      </c>
      <c r="Y87" s="1115">
        <v>887058.67</v>
      </c>
      <c r="Z87" s="1114">
        <v>460580.65</v>
      </c>
      <c r="AA87" s="1114">
        <v>-3995.76</v>
      </c>
      <c r="AB87" s="1542">
        <v>0</v>
      </c>
      <c r="AC87" s="1115">
        <f t="shared" si="27"/>
        <v>2967498.97</v>
      </c>
      <c r="AD87" s="1115">
        <v>87996.96</v>
      </c>
      <c r="AE87" s="1115">
        <v>0</v>
      </c>
      <c r="AF87" s="1114">
        <v>191966.1</v>
      </c>
      <c r="AG87" s="1114">
        <v>-0.77</v>
      </c>
      <c r="AH87" s="1542">
        <v>-6659</v>
      </c>
      <c r="AI87" s="1115">
        <v>273303.28999999998</v>
      </c>
    </row>
    <row r="88" spans="1:35" ht="15" customHeight="1">
      <c r="A88" s="741" t="s">
        <v>216</v>
      </c>
      <c r="B88" s="740" t="s">
        <v>217</v>
      </c>
      <c r="C88" s="970" t="s">
        <v>264</v>
      </c>
      <c r="D88" s="1110">
        <f t="shared" si="20"/>
        <v>944539.92</v>
      </c>
      <c r="E88" s="1111">
        <f t="shared" si="21"/>
        <v>512009.35</v>
      </c>
      <c r="F88" s="1112">
        <f t="shared" si="22"/>
        <v>267176.05</v>
      </c>
      <c r="G88" s="1549">
        <f t="shared" si="23"/>
        <v>9201.1200000000008</v>
      </c>
      <c r="H88" s="1551">
        <f t="shared" si="24"/>
        <v>0</v>
      </c>
      <c r="I88" s="1551">
        <f t="shared" si="25"/>
        <v>1732926.4400000002</v>
      </c>
      <c r="J88" s="1552">
        <f t="shared" si="17"/>
        <v>9201.1200000000008</v>
      </c>
      <c r="K88" s="1547">
        <f t="shared" si="18"/>
        <v>276377.17</v>
      </c>
      <c r="L88" s="1113"/>
      <c r="M88" s="1113"/>
      <c r="N88" s="1113"/>
      <c r="O88" s="1113"/>
      <c r="P88" s="1113"/>
      <c r="Q88" s="1113">
        <f t="shared" si="19"/>
        <v>0</v>
      </c>
      <c r="R88" s="1114"/>
      <c r="S88" s="1114"/>
      <c r="T88" s="1114"/>
      <c r="U88" s="1114"/>
      <c r="V88" s="1542"/>
      <c r="W88" s="1115">
        <f t="shared" si="26"/>
        <v>0</v>
      </c>
      <c r="X88" s="1115">
        <v>944539.92</v>
      </c>
      <c r="Y88" s="1114">
        <v>512009.35</v>
      </c>
      <c r="Z88" s="1114">
        <v>267176.05</v>
      </c>
      <c r="AA88" s="1114">
        <v>9201.1200000000008</v>
      </c>
      <c r="AB88" s="1542">
        <v>0</v>
      </c>
      <c r="AC88" s="1115">
        <f t="shared" si="27"/>
        <v>1732926.4400000002</v>
      </c>
      <c r="AD88" s="1115"/>
      <c r="AE88" s="1114"/>
      <c r="AF88" s="1114"/>
      <c r="AG88" s="1114"/>
      <c r="AH88" s="1542"/>
      <c r="AI88" s="1115"/>
    </row>
    <row r="89" spans="1:35" ht="15" customHeight="1">
      <c r="A89" s="741" t="s">
        <v>218</v>
      </c>
      <c r="B89" s="740" t="s">
        <v>219</v>
      </c>
      <c r="C89" s="970" t="s">
        <v>267</v>
      </c>
      <c r="D89" s="1110">
        <f t="shared" si="20"/>
        <v>2298643.73</v>
      </c>
      <c r="E89" s="1111">
        <f t="shared" si="21"/>
        <v>769780.63</v>
      </c>
      <c r="F89" s="1112">
        <f t="shared" si="22"/>
        <v>2530317.7400000002</v>
      </c>
      <c r="G89" s="1549">
        <f t="shared" si="23"/>
        <v>162979.56</v>
      </c>
      <c r="H89" s="1551">
        <f t="shared" si="24"/>
        <v>0</v>
      </c>
      <c r="I89" s="1551">
        <f t="shared" si="25"/>
        <v>5761721.6600000001</v>
      </c>
      <c r="J89" s="1552">
        <f t="shared" si="17"/>
        <v>162979.56</v>
      </c>
      <c r="K89" s="1547">
        <f t="shared" si="18"/>
        <v>2693297.3000000003</v>
      </c>
      <c r="L89" s="1113"/>
      <c r="M89" s="1113"/>
      <c r="N89" s="1113"/>
      <c r="O89" s="1113"/>
      <c r="P89" s="1113"/>
      <c r="Q89" s="1113">
        <f t="shared" si="19"/>
        <v>0</v>
      </c>
      <c r="R89" s="1114">
        <v>2078.96</v>
      </c>
      <c r="S89" s="1114">
        <v>721.9</v>
      </c>
      <c r="T89" s="1114">
        <v>0</v>
      </c>
      <c r="U89" s="1114">
        <v>-0.01</v>
      </c>
      <c r="V89" s="1542">
        <v>0</v>
      </c>
      <c r="W89" s="1115">
        <f t="shared" si="26"/>
        <v>2800.85</v>
      </c>
      <c r="X89" s="1115">
        <v>1321646.18</v>
      </c>
      <c r="Y89" s="1114">
        <v>769058.73</v>
      </c>
      <c r="Z89" s="1114">
        <v>383501.16</v>
      </c>
      <c r="AA89" s="1114">
        <v>75624</v>
      </c>
      <c r="AB89" s="1542">
        <v>0</v>
      </c>
      <c r="AC89" s="1115">
        <f t="shared" si="27"/>
        <v>2549830.0699999998</v>
      </c>
      <c r="AD89" s="1115">
        <v>974918.59</v>
      </c>
      <c r="AE89" s="1114">
        <v>0</v>
      </c>
      <c r="AF89" s="1114">
        <v>2146816.58</v>
      </c>
      <c r="AG89" s="1114">
        <v>87355.57</v>
      </c>
      <c r="AH89" s="1542">
        <v>0</v>
      </c>
      <c r="AI89" s="1115">
        <v>3209090.74</v>
      </c>
    </row>
    <row r="90" spans="1:35" ht="15" customHeight="1">
      <c r="A90" s="741" t="s">
        <v>220</v>
      </c>
      <c r="B90" s="740" t="s">
        <v>221</v>
      </c>
      <c r="C90" s="970" t="s">
        <v>267</v>
      </c>
      <c r="D90" s="1110">
        <f t="shared" si="20"/>
        <v>1816935.6700000002</v>
      </c>
      <c r="E90" s="1111">
        <f t="shared" si="21"/>
        <v>756537.22</v>
      </c>
      <c r="F90" s="1112">
        <f t="shared" si="22"/>
        <v>1421335</v>
      </c>
      <c r="G90" s="1549">
        <f t="shared" si="23"/>
        <v>5729.97</v>
      </c>
      <c r="H90" s="1551">
        <f t="shared" si="24"/>
        <v>0</v>
      </c>
      <c r="I90" s="1551">
        <f t="shared" si="25"/>
        <v>4000537.8600000003</v>
      </c>
      <c r="J90" s="1552">
        <f t="shared" si="17"/>
        <v>5729.97</v>
      </c>
      <c r="K90" s="1547">
        <f t="shared" si="18"/>
        <v>1427064.97</v>
      </c>
      <c r="L90" s="1113"/>
      <c r="M90" s="1113"/>
      <c r="N90" s="1113"/>
      <c r="O90" s="1113"/>
      <c r="P90" s="1113"/>
      <c r="Q90" s="1113">
        <f t="shared" si="19"/>
        <v>0</v>
      </c>
      <c r="R90" s="1114"/>
      <c r="S90" s="1114"/>
      <c r="T90" s="1114"/>
      <c r="U90" s="1114"/>
      <c r="V90" s="1542"/>
      <c r="W90" s="1115">
        <f t="shared" si="26"/>
        <v>0</v>
      </c>
      <c r="X90" s="1115">
        <v>1344260.61</v>
      </c>
      <c r="Y90" s="1114">
        <v>756537.22</v>
      </c>
      <c r="Z90" s="1114">
        <v>385352.64</v>
      </c>
      <c r="AA90" s="1114">
        <v>3791</v>
      </c>
      <c r="AB90" s="1542">
        <v>0</v>
      </c>
      <c r="AC90" s="1115">
        <f t="shared" si="27"/>
        <v>2489941.4700000002</v>
      </c>
      <c r="AD90" s="1115">
        <v>472675.06</v>
      </c>
      <c r="AE90" s="1114">
        <v>0</v>
      </c>
      <c r="AF90" s="1114">
        <v>1035982.36</v>
      </c>
      <c r="AG90" s="1114">
        <v>1938.97</v>
      </c>
      <c r="AH90" s="1542">
        <v>0</v>
      </c>
      <c r="AI90" s="1115">
        <v>1510596.39</v>
      </c>
    </row>
    <row r="91" spans="1:35" ht="15" customHeight="1">
      <c r="A91" s="741" t="s">
        <v>224</v>
      </c>
      <c r="B91" s="740" t="s">
        <v>225</v>
      </c>
      <c r="C91" s="970" t="s">
        <v>264</v>
      </c>
      <c r="D91" s="1110">
        <f t="shared" si="20"/>
        <v>603605.07999999996</v>
      </c>
      <c r="E91" s="1111">
        <f t="shared" si="21"/>
        <v>281722.28000000003</v>
      </c>
      <c r="F91" s="1112">
        <f t="shared" si="22"/>
        <v>350269.14</v>
      </c>
      <c r="G91" s="1549">
        <f t="shared" si="23"/>
        <v>202254.23</v>
      </c>
      <c r="H91" s="1551">
        <f t="shared" si="24"/>
        <v>0</v>
      </c>
      <c r="I91" s="1551">
        <f t="shared" si="25"/>
        <v>1437850.73</v>
      </c>
      <c r="J91" s="1552">
        <f t="shared" si="17"/>
        <v>202254.23</v>
      </c>
      <c r="K91" s="1547">
        <f t="shared" si="18"/>
        <v>552523.37</v>
      </c>
      <c r="L91" s="1113"/>
      <c r="M91" s="1113"/>
      <c r="N91" s="1113"/>
      <c r="O91" s="1113"/>
      <c r="P91" s="1113"/>
      <c r="Q91" s="1113">
        <f t="shared" si="19"/>
        <v>0</v>
      </c>
      <c r="R91" s="1114"/>
      <c r="S91" s="1114"/>
      <c r="T91" s="1114"/>
      <c r="U91" s="1114"/>
      <c r="V91" s="1542"/>
      <c r="W91" s="1115">
        <f t="shared" si="26"/>
        <v>0</v>
      </c>
      <c r="X91" s="1115">
        <v>510667.92</v>
      </c>
      <c r="Y91" s="1114">
        <v>281722.28000000003</v>
      </c>
      <c r="Z91" s="1114">
        <v>145348.48000000001</v>
      </c>
      <c r="AA91" s="1114">
        <v>127686.49</v>
      </c>
      <c r="AB91" s="1542">
        <v>0</v>
      </c>
      <c r="AC91" s="1115">
        <f t="shared" si="27"/>
        <v>1065425.17</v>
      </c>
      <c r="AD91" s="1115">
        <v>92937.16</v>
      </c>
      <c r="AE91" s="1114">
        <v>0</v>
      </c>
      <c r="AF91" s="1114">
        <v>204920.66</v>
      </c>
      <c r="AG91" s="1114">
        <v>74567.740000000005</v>
      </c>
      <c r="AH91" s="1542">
        <v>0</v>
      </c>
      <c r="AI91" s="1115">
        <v>372425.56</v>
      </c>
    </row>
    <row r="92" spans="1:35" ht="15" customHeight="1">
      <c r="A92" s="741" t="s">
        <v>226</v>
      </c>
      <c r="B92" s="740" t="s">
        <v>227</v>
      </c>
      <c r="C92" s="970" t="s">
        <v>264</v>
      </c>
      <c r="D92" s="1110">
        <f t="shared" si="20"/>
        <v>814249.25</v>
      </c>
      <c r="E92" s="1111">
        <f t="shared" si="21"/>
        <v>411225.62</v>
      </c>
      <c r="F92" s="1112">
        <f t="shared" si="22"/>
        <v>349684.42000000004</v>
      </c>
      <c r="G92" s="1549">
        <f t="shared" si="23"/>
        <v>62022.7</v>
      </c>
      <c r="H92" s="1551">
        <f t="shared" si="24"/>
        <v>0</v>
      </c>
      <c r="I92" s="1551">
        <f t="shared" si="25"/>
        <v>1637181.99</v>
      </c>
      <c r="J92" s="1552">
        <f t="shared" si="17"/>
        <v>62022.7</v>
      </c>
      <c r="K92" s="1547">
        <f t="shared" si="18"/>
        <v>411707.12000000005</v>
      </c>
      <c r="L92" s="1113"/>
      <c r="M92" s="1113"/>
      <c r="N92" s="1113"/>
      <c r="O92" s="1113"/>
      <c r="P92" s="1113"/>
      <c r="Q92" s="1113">
        <f t="shared" si="19"/>
        <v>0</v>
      </c>
      <c r="R92" s="1114"/>
      <c r="S92" s="1114"/>
      <c r="T92" s="1114"/>
      <c r="U92" s="1114"/>
      <c r="V92" s="1542"/>
      <c r="W92" s="1115">
        <f t="shared" si="26"/>
        <v>0</v>
      </c>
      <c r="X92" s="1115">
        <v>752465.96</v>
      </c>
      <c r="Y92" s="1114">
        <v>411225.62</v>
      </c>
      <c r="Z92" s="1114">
        <v>213455.73</v>
      </c>
      <c r="AA92" s="1114">
        <v>34933.21</v>
      </c>
      <c r="AB92" s="1542">
        <v>0</v>
      </c>
      <c r="AC92" s="1115">
        <f t="shared" si="27"/>
        <v>1412080.52</v>
      </c>
      <c r="AD92" s="1115">
        <v>61783.29</v>
      </c>
      <c r="AE92" s="1114">
        <v>0</v>
      </c>
      <c r="AF92" s="1114">
        <v>136228.69</v>
      </c>
      <c r="AG92" s="1114">
        <v>27089.49</v>
      </c>
      <c r="AH92" s="1542">
        <v>0</v>
      </c>
      <c r="AI92" s="1115">
        <v>225101.47</v>
      </c>
    </row>
    <row r="93" spans="1:35" ht="15" customHeight="1">
      <c r="A93" s="741" t="s">
        <v>228</v>
      </c>
      <c r="B93" s="740" t="s">
        <v>229</v>
      </c>
      <c r="C93" s="970" t="s">
        <v>268</v>
      </c>
      <c r="D93" s="1110">
        <f t="shared" si="20"/>
        <v>2067840.92</v>
      </c>
      <c r="E93" s="1111">
        <f t="shared" si="21"/>
        <v>1058721.17</v>
      </c>
      <c r="F93" s="1112">
        <f t="shared" si="22"/>
        <v>837920.87000000011</v>
      </c>
      <c r="G93" s="1549">
        <f t="shared" si="23"/>
        <v>132209.46000000002</v>
      </c>
      <c r="H93" s="1551">
        <f t="shared" si="24"/>
        <v>-1</v>
      </c>
      <c r="I93" s="1551">
        <f t="shared" si="25"/>
        <v>4096691.42</v>
      </c>
      <c r="J93" s="1552">
        <f t="shared" si="17"/>
        <v>132208.46000000002</v>
      </c>
      <c r="K93" s="1547">
        <f t="shared" si="18"/>
        <v>970129.33000000007</v>
      </c>
      <c r="L93" s="1113"/>
      <c r="M93" s="1113"/>
      <c r="N93" s="1113"/>
      <c r="O93" s="1113"/>
      <c r="P93" s="1113"/>
      <c r="Q93" s="1113">
        <f t="shared" si="19"/>
        <v>0</v>
      </c>
      <c r="R93" s="1114"/>
      <c r="S93" s="1114"/>
      <c r="T93" s="1114"/>
      <c r="U93" s="1114"/>
      <c r="V93" s="1542"/>
      <c r="W93" s="1115">
        <f t="shared" si="26"/>
        <v>0</v>
      </c>
      <c r="X93" s="1115">
        <v>1939722.45</v>
      </c>
      <c r="Y93" s="1114">
        <v>1058721.17</v>
      </c>
      <c r="Z93" s="1114">
        <v>550008.04</v>
      </c>
      <c r="AA93" s="1114">
        <v>136865.76</v>
      </c>
      <c r="AB93" s="1542">
        <v>-1</v>
      </c>
      <c r="AC93" s="1115">
        <f t="shared" si="27"/>
        <v>3685316.42</v>
      </c>
      <c r="AD93" s="1115">
        <v>128118.47</v>
      </c>
      <c r="AE93" s="1114">
        <v>0</v>
      </c>
      <c r="AF93" s="1114">
        <v>287912.83</v>
      </c>
      <c r="AG93" s="1114">
        <v>-4656.3</v>
      </c>
      <c r="AH93" s="1542">
        <v>0</v>
      </c>
      <c r="AI93" s="1115">
        <v>411375</v>
      </c>
    </row>
    <row r="94" spans="1:35" ht="15" customHeight="1">
      <c r="A94" s="741" t="s">
        <v>232</v>
      </c>
      <c r="B94" s="740" t="s">
        <v>233</v>
      </c>
      <c r="C94" s="970" t="s">
        <v>267</v>
      </c>
      <c r="D94" s="1110">
        <f t="shared" si="20"/>
        <v>1123306.9300000002</v>
      </c>
      <c r="E94" s="1111">
        <f t="shared" si="21"/>
        <v>467641.23</v>
      </c>
      <c r="F94" s="1112">
        <f t="shared" si="22"/>
        <v>874566.14</v>
      </c>
      <c r="G94" s="1549">
        <f t="shared" si="23"/>
        <v>21766.46</v>
      </c>
      <c r="H94" s="1551">
        <f t="shared" si="24"/>
        <v>0</v>
      </c>
      <c r="I94" s="1551">
        <f t="shared" si="25"/>
        <v>2487280.7600000002</v>
      </c>
      <c r="J94" s="1552">
        <f t="shared" si="17"/>
        <v>21766.46</v>
      </c>
      <c r="K94" s="1547">
        <f t="shared" si="18"/>
        <v>896332.6</v>
      </c>
      <c r="L94" s="1113"/>
      <c r="M94" s="1113"/>
      <c r="N94" s="1113"/>
      <c r="O94" s="1113"/>
      <c r="P94" s="1113"/>
      <c r="Q94" s="1113">
        <f t="shared" si="19"/>
        <v>0</v>
      </c>
      <c r="R94" s="1114"/>
      <c r="S94" s="1114"/>
      <c r="T94" s="1114"/>
      <c r="U94" s="1114"/>
      <c r="V94" s="1542"/>
      <c r="W94" s="1115">
        <f t="shared" si="26"/>
        <v>0</v>
      </c>
      <c r="X94" s="1115">
        <v>833070.68</v>
      </c>
      <c r="Y94" s="1114">
        <v>467641.23</v>
      </c>
      <c r="Z94" s="1114">
        <v>238590.47</v>
      </c>
      <c r="AA94" s="1114">
        <v>18286.03</v>
      </c>
      <c r="AB94" s="1542">
        <v>0</v>
      </c>
      <c r="AC94" s="1115">
        <f t="shared" si="27"/>
        <v>1557588.4100000001</v>
      </c>
      <c r="AD94" s="1115">
        <v>290236.25</v>
      </c>
      <c r="AE94" s="1114">
        <v>0</v>
      </c>
      <c r="AF94" s="1114">
        <v>635975.67000000004</v>
      </c>
      <c r="AG94" s="1114">
        <v>3480.43</v>
      </c>
      <c r="AH94" s="1542">
        <v>0</v>
      </c>
      <c r="AI94" s="1115">
        <v>929692.35</v>
      </c>
    </row>
    <row r="95" spans="1:35" ht="15" customHeight="1">
      <c r="A95" s="741" t="s">
        <v>234</v>
      </c>
      <c r="B95" s="740" t="s">
        <v>235</v>
      </c>
      <c r="C95" s="970" t="s">
        <v>268</v>
      </c>
      <c r="D95" s="1110">
        <f t="shared" si="20"/>
        <v>1578413.8800000001</v>
      </c>
      <c r="E95" s="1111">
        <f t="shared" si="21"/>
        <v>793630.92</v>
      </c>
      <c r="F95" s="1112">
        <f t="shared" si="22"/>
        <v>675631.22</v>
      </c>
      <c r="G95" s="1549">
        <f t="shared" si="23"/>
        <v>40175.99</v>
      </c>
      <c r="H95" s="1551">
        <f t="shared" si="24"/>
        <v>0</v>
      </c>
      <c r="I95" s="1551">
        <f t="shared" si="25"/>
        <v>3087852.01</v>
      </c>
      <c r="J95" s="1552">
        <f t="shared" si="17"/>
        <v>40175.99</v>
      </c>
      <c r="K95" s="1547">
        <f t="shared" si="18"/>
        <v>715807.21</v>
      </c>
      <c r="L95" s="1113"/>
      <c r="M95" s="1113"/>
      <c r="N95" s="1113"/>
      <c r="O95" s="1113"/>
      <c r="P95" s="1113"/>
      <c r="Q95" s="1113">
        <f t="shared" si="19"/>
        <v>0</v>
      </c>
      <c r="R95" s="1114"/>
      <c r="S95" s="1114"/>
      <c r="T95" s="1114"/>
      <c r="U95" s="1114"/>
      <c r="V95" s="1542"/>
      <c r="W95" s="1115">
        <f t="shared" si="26"/>
        <v>0</v>
      </c>
      <c r="X95" s="1115">
        <v>1466097.02</v>
      </c>
      <c r="Y95" s="1114">
        <v>793630.92</v>
      </c>
      <c r="Z95" s="1114">
        <v>414504.15</v>
      </c>
      <c r="AA95" s="1114">
        <v>40176.39</v>
      </c>
      <c r="AB95" s="1542">
        <v>0</v>
      </c>
      <c r="AC95" s="1115">
        <f t="shared" si="27"/>
        <v>2714408.48</v>
      </c>
      <c r="AD95" s="1115">
        <v>112316.86</v>
      </c>
      <c r="AE95" s="1114">
        <v>0</v>
      </c>
      <c r="AF95" s="1114">
        <v>261127.07</v>
      </c>
      <c r="AG95" s="1114">
        <v>-0.4</v>
      </c>
      <c r="AH95" s="1542">
        <v>0</v>
      </c>
      <c r="AI95" s="1115">
        <v>373443.53</v>
      </c>
    </row>
    <row r="96" spans="1:35" ht="15" customHeight="1">
      <c r="A96" s="741" t="s">
        <v>236</v>
      </c>
      <c r="B96" s="740" t="s">
        <v>237</v>
      </c>
      <c r="C96" s="970" t="s">
        <v>266</v>
      </c>
      <c r="D96" s="1110">
        <f t="shared" si="20"/>
        <v>796686.89</v>
      </c>
      <c r="E96" s="1111">
        <f t="shared" si="21"/>
        <v>363401.34</v>
      </c>
      <c r="F96" s="1112">
        <f t="shared" si="22"/>
        <v>494479.67</v>
      </c>
      <c r="G96" s="1549">
        <f t="shared" si="23"/>
        <v>75205.469999999987</v>
      </c>
      <c r="H96" s="1551">
        <f t="shared" si="24"/>
        <v>0</v>
      </c>
      <c r="I96" s="1551">
        <f t="shared" si="25"/>
        <v>1729773.3699999999</v>
      </c>
      <c r="J96" s="1552">
        <f t="shared" si="17"/>
        <v>75205.469999999987</v>
      </c>
      <c r="K96" s="1547">
        <f t="shared" si="18"/>
        <v>569685.14</v>
      </c>
      <c r="L96" s="1113"/>
      <c r="M96" s="1113"/>
      <c r="N96" s="1113"/>
      <c r="O96" s="1113"/>
      <c r="P96" s="1113"/>
      <c r="Q96" s="1113">
        <f t="shared" si="19"/>
        <v>0</v>
      </c>
      <c r="R96" s="1114">
        <v>47.93</v>
      </c>
      <c r="S96" s="1114">
        <v>16.649999999999999</v>
      </c>
      <c r="T96" s="1114">
        <v>0</v>
      </c>
      <c r="U96" s="1114">
        <v>-0.02</v>
      </c>
      <c r="V96" s="1542">
        <v>0</v>
      </c>
      <c r="W96" s="1115">
        <f t="shared" si="26"/>
        <v>64.56</v>
      </c>
      <c r="X96" s="1115">
        <v>656560.18999999994</v>
      </c>
      <c r="Y96" s="1114">
        <v>363384.69</v>
      </c>
      <c r="Z96" s="1114">
        <v>187088.94</v>
      </c>
      <c r="AA96" s="1114">
        <v>75207.179999999993</v>
      </c>
      <c r="AB96" s="1542">
        <v>0</v>
      </c>
      <c r="AC96" s="1115">
        <f t="shared" si="27"/>
        <v>1282240.9999999998</v>
      </c>
      <c r="AD96" s="1115">
        <v>140078.76999999999</v>
      </c>
      <c r="AE96" s="1114">
        <v>0</v>
      </c>
      <c r="AF96" s="1114">
        <v>307390.73</v>
      </c>
      <c r="AG96" s="1114">
        <v>-1.69</v>
      </c>
      <c r="AH96" s="1542">
        <v>0</v>
      </c>
      <c r="AI96" s="1115">
        <v>447467.81</v>
      </c>
    </row>
    <row r="97" spans="1:35" ht="15" customHeight="1">
      <c r="A97" s="741" t="s">
        <v>242</v>
      </c>
      <c r="B97" s="740" t="s">
        <v>243</v>
      </c>
      <c r="C97" s="970" t="s">
        <v>268</v>
      </c>
      <c r="D97" s="1110">
        <f t="shared" si="20"/>
        <v>2403224.88</v>
      </c>
      <c r="E97" s="1111">
        <f t="shared" si="21"/>
        <v>1268489.06</v>
      </c>
      <c r="F97" s="1112">
        <f t="shared" si="22"/>
        <v>814769.38</v>
      </c>
      <c r="G97" s="1549">
        <f t="shared" si="23"/>
        <v>8367.2099999999991</v>
      </c>
      <c r="H97" s="1551">
        <f t="shared" si="24"/>
        <v>0</v>
      </c>
      <c r="I97" s="1551">
        <f t="shared" si="25"/>
        <v>4494850.53</v>
      </c>
      <c r="J97" s="1552">
        <f t="shared" si="17"/>
        <v>8367.2099999999991</v>
      </c>
      <c r="K97" s="1547">
        <f t="shared" si="18"/>
        <v>823136.59</v>
      </c>
      <c r="L97" s="1113"/>
      <c r="M97" s="1113"/>
      <c r="N97" s="1113"/>
      <c r="O97" s="1113"/>
      <c r="P97" s="1113"/>
      <c r="Q97" s="1113">
        <f t="shared" si="19"/>
        <v>0</v>
      </c>
      <c r="R97" s="1114">
        <v>33.659999999999997</v>
      </c>
      <c r="S97" s="1114">
        <v>11.69</v>
      </c>
      <c r="T97" s="1114">
        <v>0</v>
      </c>
      <c r="U97" s="1114">
        <v>-0.01</v>
      </c>
      <c r="V97" s="1542">
        <v>0</v>
      </c>
      <c r="W97" s="1115">
        <f t="shared" si="26"/>
        <v>45.339999999999996</v>
      </c>
      <c r="X97" s="1115">
        <v>2334556.96</v>
      </c>
      <c r="Y97" s="1114">
        <v>1268477.3700000001</v>
      </c>
      <c r="Z97" s="1114">
        <v>660909.24</v>
      </c>
      <c r="AA97" s="1114">
        <v>8367.91</v>
      </c>
      <c r="AB97" s="1542">
        <v>0</v>
      </c>
      <c r="AC97" s="1115">
        <f t="shared" si="27"/>
        <v>4272311.4800000004</v>
      </c>
      <c r="AD97" s="1115">
        <v>68634.259999999995</v>
      </c>
      <c r="AE97" s="1114">
        <v>0</v>
      </c>
      <c r="AF97" s="1114">
        <v>153860.14000000001</v>
      </c>
      <c r="AG97" s="1114">
        <v>-0.69</v>
      </c>
      <c r="AH97" s="1542">
        <v>0</v>
      </c>
      <c r="AI97" s="1115">
        <v>222493.71</v>
      </c>
    </row>
    <row r="98" spans="1:35" ht="15" customHeight="1">
      <c r="A98" s="741" t="s">
        <v>244</v>
      </c>
      <c r="B98" s="740" t="s">
        <v>245</v>
      </c>
      <c r="C98" s="970" t="s">
        <v>268</v>
      </c>
      <c r="D98" s="1110">
        <f t="shared" si="20"/>
        <v>1250622.24</v>
      </c>
      <c r="E98" s="1111">
        <f t="shared" si="21"/>
        <v>608292.31999999995</v>
      </c>
      <c r="F98" s="1112">
        <f t="shared" si="22"/>
        <v>612135.46</v>
      </c>
      <c r="G98" s="1549">
        <f t="shared" si="23"/>
        <v>13722.529999999999</v>
      </c>
      <c r="H98" s="1551">
        <f t="shared" si="24"/>
        <v>0</v>
      </c>
      <c r="I98" s="1551">
        <f t="shared" si="25"/>
        <v>2484772.5500000003</v>
      </c>
      <c r="J98" s="1552">
        <f t="shared" si="17"/>
        <v>13722.529999999999</v>
      </c>
      <c r="K98" s="1547">
        <f t="shared" si="18"/>
        <v>625857.99</v>
      </c>
      <c r="L98" s="1113"/>
      <c r="M98" s="1113"/>
      <c r="N98" s="1113"/>
      <c r="O98" s="1113"/>
      <c r="P98" s="1113"/>
      <c r="Q98" s="1113">
        <f t="shared" si="19"/>
        <v>0</v>
      </c>
      <c r="R98" s="1114"/>
      <c r="S98" s="1114"/>
      <c r="T98" s="1114"/>
      <c r="U98" s="1114"/>
      <c r="V98" s="1542"/>
      <c r="W98" s="1115">
        <f t="shared" si="26"/>
        <v>0</v>
      </c>
      <c r="X98" s="1115">
        <v>1129985.82</v>
      </c>
      <c r="Y98" s="1114">
        <v>608292.31999999995</v>
      </c>
      <c r="Z98" s="1114">
        <v>318852.37</v>
      </c>
      <c r="AA98" s="1114">
        <v>13722.89</v>
      </c>
      <c r="AB98" s="1542">
        <v>0</v>
      </c>
      <c r="AC98" s="1115">
        <f t="shared" si="27"/>
        <v>2070853.4000000001</v>
      </c>
      <c r="AD98" s="1115">
        <v>120636.42</v>
      </c>
      <c r="AE98" s="1114">
        <v>0</v>
      </c>
      <c r="AF98" s="1114">
        <v>293283.09000000003</v>
      </c>
      <c r="AG98" s="1114">
        <v>-0.36</v>
      </c>
      <c r="AH98" s="1542">
        <v>0</v>
      </c>
      <c r="AI98" s="1115">
        <v>413919.15</v>
      </c>
    </row>
    <row r="99" spans="1:35" ht="15" customHeight="1">
      <c r="A99" s="741" t="s">
        <v>246</v>
      </c>
      <c r="B99" s="740" t="s">
        <v>310</v>
      </c>
      <c r="C99" s="970" t="s">
        <v>264</v>
      </c>
      <c r="D99" s="1110">
        <f t="shared" si="20"/>
        <v>1742423.63</v>
      </c>
      <c r="E99" s="1111">
        <f t="shared" si="21"/>
        <v>699284</v>
      </c>
      <c r="F99" s="1112">
        <f t="shared" si="22"/>
        <v>1478675.77</v>
      </c>
      <c r="G99" s="1549">
        <f t="shared" si="23"/>
        <v>10713.8</v>
      </c>
      <c r="H99" s="1551">
        <f t="shared" si="24"/>
        <v>-5930.69</v>
      </c>
      <c r="I99" s="1551">
        <f t="shared" si="25"/>
        <v>3925166.51</v>
      </c>
      <c r="J99" s="1552">
        <f t="shared" si="17"/>
        <v>4783.1099999999997</v>
      </c>
      <c r="K99" s="1547">
        <f t="shared" si="18"/>
        <v>1483458.8800000001</v>
      </c>
      <c r="L99" s="1113"/>
      <c r="M99" s="1113"/>
      <c r="N99" s="1113"/>
      <c r="O99" s="1113"/>
      <c r="P99" s="1113"/>
      <c r="Q99" s="1113">
        <f t="shared" si="19"/>
        <v>0</v>
      </c>
      <c r="R99" s="1114"/>
      <c r="S99" s="1114"/>
      <c r="T99" s="1114"/>
      <c r="U99" s="1114"/>
      <c r="V99" s="1542"/>
      <c r="W99" s="1115">
        <f t="shared" si="26"/>
        <v>0</v>
      </c>
      <c r="X99" s="1115">
        <v>1228849.27</v>
      </c>
      <c r="Y99" s="1114">
        <v>699284</v>
      </c>
      <c r="Z99" s="1114">
        <v>353680.04</v>
      </c>
      <c r="AA99" s="1114">
        <v>6900.19</v>
      </c>
      <c r="AB99" s="1542">
        <v>0</v>
      </c>
      <c r="AC99" s="1115">
        <f t="shared" si="27"/>
        <v>2288713.5</v>
      </c>
      <c r="AD99" s="1115">
        <v>513574.36</v>
      </c>
      <c r="AE99" s="1114">
        <v>0</v>
      </c>
      <c r="AF99" s="1114">
        <v>1124995.73</v>
      </c>
      <c r="AG99" s="1114">
        <v>3813.61</v>
      </c>
      <c r="AH99" s="1542">
        <v>-5930.69</v>
      </c>
      <c r="AI99" s="1115">
        <v>1636453.01</v>
      </c>
    </row>
    <row r="100" spans="1:35" ht="15" customHeight="1">
      <c r="A100" s="741" t="s">
        <v>14</v>
      </c>
      <c r="B100" s="740" t="s">
        <v>15</v>
      </c>
      <c r="C100" s="970" t="s">
        <v>267</v>
      </c>
      <c r="D100" s="1110">
        <f t="shared" si="20"/>
        <v>7207369.2300000004</v>
      </c>
      <c r="E100" s="1111">
        <f t="shared" si="21"/>
        <v>2334773.9700000002</v>
      </c>
      <c r="F100" s="1112">
        <f t="shared" si="22"/>
        <v>8328442.6400000006</v>
      </c>
      <c r="G100" s="1549">
        <f t="shared" si="23"/>
        <v>127341.52</v>
      </c>
      <c r="H100" s="1551">
        <f t="shared" si="24"/>
        <v>-99588.02</v>
      </c>
      <c r="I100" s="1551">
        <f t="shared" si="25"/>
        <v>17898339.34</v>
      </c>
      <c r="J100" s="1552">
        <f t="shared" si="17"/>
        <v>27753.5</v>
      </c>
      <c r="K100" s="1547">
        <f t="shared" si="18"/>
        <v>8356196.1400000006</v>
      </c>
      <c r="L100" s="1113">
        <v>23369.07</v>
      </c>
      <c r="M100" s="1113">
        <v>0</v>
      </c>
      <c r="N100" s="1113">
        <v>8115.55</v>
      </c>
      <c r="O100" s="1113">
        <v>-7.0000000000000007E-2</v>
      </c>
      <c r="P100" s="1113">
        <v>0</v>
      </c>
      <c r="Q100" s="1113">
        <f t="shared" si="19"/>
        <v>31484.55</v>
      </c>
      <c r="R100" s="1114">
        <v>7566.22</v>
      </c>
      <c r="S100" s="1114">
        <v>2627.27</v>
      </c>
      <c r="T100" s="1114">
        <v>0</v>
      </c>
      <c r="U100" s="1114">
        <v>0</v>
      </c>
      <c r="V100" s="1542">
        <v>0</v>
      </c>
      <c r="W100" s="1115">
        <f t="shared" si="26"/>
        <v>10193.49</v>
      </c>
      <c r="X100" s="1115">
        <v>3930319.05</v>
      </c>
      <c r="Y100" s="1114">
        <v>2332146.7000000002</v>
      </c>
      <c r="Z100" s="1114">
        <v>1148735.1000000001</v>
      </c>
      <c r="AA100" s="1114">
        <v>48341.88</v>
      </c>
      <c r="AB100" s="1542">
        <v>0</v>
      </c>
      <c r="AC100" s="1115">
        <f t="shared" si="27"/>
        <v>7459542.7299999995</v>
      </c>
      <c r="AD100" s="1115">
        <v>3246114.89</v>
      </c>
      <c r="AE100" s="1114">
        <v>0</v>
      </c>
      <c r="AF100" s="1114">
        <v>7171591.9900000002</v>
      </c>
      <c r="AG100" s="1114">
        <v>78999.710000000006</v>
      </c>
      <c r="AH100" s="1542">
        <v>-99588.02</v>
      </c>
      <c r="AI100" s="1115">
        <v>10397118.57</v>
      </c>
    </row>
    <row r="101" spans="1:35" ht="15" customHeight="1">
      <c r="A101" s="741" t="s">
        <v>34</v>
      </c>
      <c r="B101" s="740" t="s">
        <v>35</v>
      </c>
      <c r="C101" s="970" t="s">
        <v>268</v>
      </c>
      <c r="D101" s="1110">
        <f t="shared" si="20"/>
        <v>1262222.44</v>
      </c>
      <c r="E101" s="1111">
        <f t="shared" si="21"/>
        <v>649273.44000000006</v>
      </c>
      <c r="F101" s="1112">
        <f t="shared" si="22"/>
        <v>482557.31999999995</v>
      </c>
      <c r="G101" s="1549">
        <f t="shared" si="23"/>
        <v>18792.63</v>
      </c>
      <c r="H101" s="1551">
        <f t="shared" si="24"/>
        <v>0</v>
      </c>
      <c r="I101" s="1551">
        <f t="shared" si="25"/>
        <v>2412845.8299999996</v>
      </c>
      <c r="J101" s="1552">
        <f t="shared" si="17"/>
        <v>18792.63</v>
      </c>
      <c r="K101" s="1547">
        <f t="shared" si="18"/>
        <v>501349.94999999995</v>
      </c>
      <c r="L101" s="1113"/>
      <c r="M101" s="1113"/>
      <c r="N101" s="1113"/>
      <c r="O101" s="1113"/>
      <c r="P101" s="1113"/>
      <c r="Q101" s="1113">
        <f t="shared" ref="Q101:Q124" si="28">SUM(L101:P101)</f>
        <v>0</v>
      </c>
      <c r="R101" s="1114">
        <v>193.13</v>
      </c>
      <c r="S101" s="1114">
        <v>67.06</v>
      </c>
      <c r="T101" s="1114">
        <v>0</v>
      </c>
      <c r="U101" s="1114">
        <v>0</v>
      </c>
      <c r="V101" s="1542">
        <v>0</v>
      </c>
      <c r="W101" s="1115">
        <f t="shared" si="26"/>
        <v>260.19</v>
      </c>
      <c r="X101" s="1115">
        <v>1201647.2</v>
      </c>
      <c r="Y101" s="1114">
        <v>649206.38</v>
      </c>
      <c r="Z101" s="1114">
        <v>339502.97</v>
      </c>
      <c r="AA101" s="1114">
        <v>18793.09</v>
      </c>
      <c r="AB101" s="1542">
        <v>0</v>
      </c>
      <c r="AC101" s="1115">
        <f t="shared" si="27"/>
        <v>2209149.6399999997</v>
      </c>
      <c r="AD101" s="1115">
        <v>60382.11</v>
      </c>
      <c r="AE101" s="1114">
        <v>0</v>
      </c>
      <c r="AF101" s="1114">
        <v>143054.35</v>
      </c>
      <c r="AG101" s="1114">
        <v>-0.46</v>
      </c>
      <c r="AH101" s="1542">
        <v>0</v>
      </c>
      <c r="AI101" s="1115">
        <v>203436</v>
      </c>
    </row>
    <row r="102" spans="1:35" ht="15" customHeight="1">
      <c r="A102" s="741" t="s">
        <v>52</v>
      </c>
      <c r="B102" s="740" t="s">
        <v>53</v>
      </c>
      <c r="C102" s="970" t="s">
        <v>265</v>
      </c>
      <c r="D102" s="1110">
        <f t="shared" si="20"/>
        <v>3397452.9</v>
      </c>
      <c r="E102" s="1111">
        <f t="shared" si="21"/>
        <v>1283189.31</v>
      </c>
      <c r="F102" s="1112">
        <f t="shared" si="22"/>
        <v>3066722.02</v>
      </c>
      <c r="G102" s="1549">
        <f t="shared" si="23"/>
        <v>16072.99</v>
      </c>
      <c r="H102" s="1551">
        <f t="shared" si="24"/>
        <v>0</v>
      </c>
      <c r="I102" s="1551">
        <f t="shared" si="25"/>
        <v>7763437.2199999997</v>
      </c>
      <c r="J102" s="1552">
        <f t="shared" si="17"/>
        <v>16072.99</v>
      </c>
      <c r="K102" s="1547">
        <f t="shared" si="18"/>
        <v>3082795.0100000002</v>
      </c>
      <c r="L102" s="1113"/>
      <c r="M102" s="1113"/>
      <c r="N102" s="1113"/>
      <c r="O102" s="1113"/>
      <c r="P102" s="1113"/>
      <c r="Q102" s="1113">
        <f t="shared" si="28"/>
        <v>0</v>
      </c>
      <c r="R102" s="1114"/>
      <c r="S102" s="1114"/>
      <c r="T102" s="1114"/>
      <c r="U102" s="1114"/>
      <c r="V102" s="1542"/>
      <c r="W102" s="1115">
        <f t="shared" si="26"/>
        <v>0</v>
      </c>
      <c r="X102" s="1115">
        <v>2367013.65</v>
      </c>
      <c r="Y102" s="1114">
        <v>1283189.31</v>
      </c>
      <c r="Z102" s="1114">
        <v>669561.18000000005</v>
      </c>
      <c r="AA102" s="1114">
        <v>16086.08</v>
      </c>
      <c r="AB102" s="1542">
        <v>0</v>
      </c>
      <c r="AC102" s="1115">
        <f t="shared" si="27"/>
        <v>4335850.22</v>
      </c>
      <c r="AD102" s="1115">
        <v>1030439.25</v>
      </c>
      <c r="AE102" s="1114">
        <v>0</v>
      </c>
      <c r="AF102" s="1114">
        <v>2397160.84</v>
      </c>
      <c r="AG102" s="1114">
        <v>-13.09</v>
      </c>
      <c r="AH102" s="1542">
        <v>0</v>
      </c>
      <c r="AI102" s="1115">
        <v>3427587</v>
      </c>
    </row>
    <row r="103" spans="1:35" ht="15" customHeight="1">
      <c r="A103" s="741" t="s">
        <v>54</v>
      </c>
      <c r="B103" s="740" t="s">
        <v>55</v>
      </c>
      <c r="C103" s="970" t="s">
        <v>264</v>
      </c>
      <c r="D103" s="1110">
        <f t="shared" si="20"/>
        <v>6512607.8099999996</v>
      </c>
      <c r="E103" s="1111">
        <f t="shared" si="21"/>
        <v>2862700.48</v>
      </c>
      <c r="F103" s="1112">
        <f t="shared" si="22"/>
        <v>4583380.57</v>
      </c>
      <c r="G103" s="1549">
        <f t="shared" si="23"/>
        <v>140101.69</v>
      </c>
      <c r="H103" s="1551">
        <f t="shared" si="24"/>
        <v>0</v>
      </c>
      <c r="I103" s="1551">
        <f t="shared" si="25"/>
        <v>14098790.550000001</v>
      </c>
      <c r="J103" s="1552">
        <f t="shared" si="17"/>
        <v>140101.69</v>
      </c>
      <c r="K103" s="1547">
        <f t="shared" si="18"/>
        <v>4723482.2600000007</v>
      </c>
      <c r="L103" s="1113"/>
      <c r="M103" s="1113"/>
      <c r="N103" s="1113"/>
      <c r="O103" s="1113"/>
      <c r="P103" s="1113"/>
      <c r="Q103" s="1113">
        <f t="shared" si="28"/>
        <v>0</v>
      </c>
      <c r="R103" s="1114">
        <v>3260.93</v>
      </c>
      <c r="S103" s="1114">
        <v>1132.31</v>
      </c>
      <c r="T103" s="1114">
        <v>0</v>
      </c>
      <c r="U103" s="1114">
        <v>-0.02</v>
      </c>
      <c r="V103" s="1542">
        <v>0</v>
      </c>
      <c r="W103" s="1115">
        <f t="shared" si="26"/>
        <v>4393.2199999999993</v>
      </c>
      <c r="X103" s="1115">
        <v>5087126.66</v>
      </c>
      <c r="Y103" s="1114">
        <v>2861568.17</v>
      </c>
      <c r="Z103" s="1114">
        <v>1458043.3</v>
      </c>
      <c r="AA103" s="1114">
        <v>90642.06</v>
      </c>
      <c r="AB103" s="1542">
        <v>0</v>
      </c>
      <c r="AC103" s="1115">
        <f t="shared" si="27"/>
        <v>9497380.1900000013</v>
      </c>
      <c r="AD103" s="1115">
        <v>1422220.22</v>
      </c>
      <c r="AE103" s="1114">
        <v>0</v>
      </c>
      <c r="AF103" s="1114">
        <v>3125337.27</v>
      </c>
      <c r="AG103" s="1114">
        <v>49459.65</v>
      </c>
      <c r="AH103" s="1542">
        <v>0</v>
      </c>
      <c r="AI103" s="1115">
        <v>4597017.1399999997</v>
      </c>
    </row>
    <row r="104" spans="1:35" ht="15" customHeight="1">
      <c r="A104" s="741" t="s">
        <v>66</v>
      </c>
      <c r="B104" s="740" t="s">
        <v>67</v>
      </c>
      <c r="C104" s="970" t="s">
        <v>265</v>
      </c>
      <c r="D104" s="1110">
        <f t="shared" si="20"/>
        <v>2488225.98</v>
      </c>
      <c r="E104" s="1111">
        <f t="shared" si="21"/>
        <v>1322741.8500000001</v>
      </c>
      <c r="F104" s="1112">
        <f t="shared" si="22"/>
        <v>821878.80999999994</v>
      </c>
      <c r="G104" s="1549">
        <f t="shared" si="23"/>
        <v>3891.23</v>
      </c>
      <c r="H104" s="1551">
        <f t="shared" si="24"/>
        <v>0</v>
      </c>
      <c r="I104" s="1551">
        <f t="shared" si="25"/>
        <v>4636737.87</v>
      </c>
      <c r="J104" s="1552">
        <f t="shared" si="17"/>
        <v>3891.23</v>
      </c>
      <c r="K104" s="1547">
        <f t="shared" si="18"/>
        <v>825770.03999999992</v>
      </c>
      <c r="L104" s="1113"/>
      <c r="M104" s="1113"/>
      <c r="N104" s="1113"/>
      <c r="O104" s="1113"/>
      <c r="P104" s="1113"/>
      <c r="Q104" s="1113">
        <f t="shared" si="28"/>
        <v>0</v>
      </c>
      <c r="R104" s="1114"/>
      <c r="S104" s="1114"/>
      <c r="T104" s="1114"/>
      <c r="U104" s="1114"/>
      <c r="V104" s="1542"/>
      <c r="W104" s="1115">
        <f t="shared" si="26"/>
        <v>0</v>
      </c>
      <c r="X104" s="1115">
        <v>2428042.71</v>
      </c>
      <c r="Y104" s="1114">
        <v>1322741.8500000001</v>
      </c>
      <c r="Z104" s="1114">
        <v>688011.85</v>
      </c>
      <c r="AA104" s="1114">
        <v>3891.46</v>
      </c>
      <c r="AB104" s="1542">
        <v>0</v>
      </c>
      <c r="AC104" s="1115">
        <f t="shared" si="27"/>
        <v>4442687.87</v>
      </c>
      <c r="AD104" s="1115">
        <v>60183.27</v>
      </c>
      <c r="AE104" s="1114">
        <v>0</v>
      </c>
      <c r="AF104" s="1114">
        <v>133866.96</v>
      </c>
      <c r="AG104" s="1114">
        <v>-0.23</v>
      </c>
      <c r="AH104" s="1542">
        <v>0</v>
      </c>
      <c r="AI104" s="1115">
        <v>194050</v>
      </c>
    </row>
    <row r="105" spans="1:35" ht="15" customHeight="1">
      <c r="A105" s="741" t="s">
        <v>82</v>
      </c>
      <c r="B105" s="740" t="s">
        <v>311</v>
      </c>
      <c r="C105" s="970" t="s">
        <v>264</v>
      </c>
      <c r="D105" s="1110">
        <f t="shared" si="20"/>
        <v>660601.36</v>
      </c>
      <c r="E105" s="1111">
        <f t="shared" si="21"/>
        <v>304931.55</v>
      </c>
      <c r="F105" s="1112">
        <f t="shared" si="22"/>
        <v>381030.11</v>
      </c>
      <c r="G105" s="1549">
        <f t="shared" si="23"/>
        <v>2399.1699999999996</v>
      </c>
      <c r="H105" s="1551">
        <f t="shared" si="24"/>
        <v>0</v>
      </c>
      <c r="I105" s="1551">
        <f t="shared" si="25"/>
        <v>1348962.1900000002</v>
      </c>
      <c r="J105" s="1552">
        <f t="shared" si="17"/>
        <v>2399.1699999999996</v>
      </c>
      <c r="K105" s="1547">
        <f t="shared" si="18"/>
        <v>383429.27999999997</v>
      </c>
      <c r="L105" s="1113"/>
      <c r="M105" s="1113"/>
      <c r="N105" s="1113"/>
      <c r="O105" s="1113"/>
      <c r="P105" s="1113"/>
      <c r="Q105" s="1113">
        <f t="shared" si="28"/>
        <v>0</v>
      </c>
      <c r="R105" s="1114">
        <v>128.07</v>
      </c>
      <c r="S105" s="1114">
        <v>44.48</v>
      </c>
      <c r="T105" s="1114">
        <v>0</v>
      </c>
      <c r="U105" s="1114">
        <v>-0.01</v>
      </c>
      <c r="V105" s="1542">
        <v>0</v>
      </c>
      <c r="W105" s="1115">
        <f t="shared" si="26"/>
        <v>172.54</v>
      </c>
      <c r="X105" s="1115">
        <v>559204.24</v>
      </c>
      <c r="Y105" s="1114">
        <v>304887.07</v>
      </c>
      <c r="Z105" s="1114">
        <v>158500.07</v>
      </c>
      <c r="AA105" s="1114">
        <v>2052.23</v>
      </c>
      <c r="AB105" s="1542">
        <v>0</v>
      </c>
      <c r="AC105" s="1115">
        <f t="shared" si="27"/>
        <v>1024643.6100000001</v>
      </c>
      <c r="AD105" s="1115">
        <v>101269.05</v>
      </c>
      <c r="AE105" s="1114">
        <v>0</v>
      </c>
      <c r="AF105" s="1114">
        <v>222530.04</v>
      </c>
      <c r="AG105" s="1114">
        <v>346.95</v>
      </c>
      <c r="AH105" s="1542">
        <v>0</v>
      </c>
      <c r="AI105" s="1115">
        <v>324146.03999999998</v>
      </c>
    </row>
    <row r="106" spans="1:35" ht="15" customHeight="1">
      <c r="A106" s="741" t="s">
        <v>88</v>
      </c>
      <c r="B106" s="740" t="s">
        <v>89</v>
      </c>
      <c r="C106" s="970" t="s">
        <v>267</v>
      </c>
      <c r="D106" s="1110">
        <f t="shared" si="20"/>
        <v>1293483.57</v>
      </c>
      <c r="E106" s="1111">
        <f t="shared" si="21"/>
        <v>527571.14</v>
      </c>
      <c r="F106" s="1112">
        <f t="shared" si="22"/>
        <v>962406.08000000007</v>
      </c>
      <c r="G106" s="1549">
        <f t="shared" si="23"/>
        <v>4540.79</v>
      </c>
      <c r="H106" s="1551">
        <f t="shared" si="24"/>
        <v>0</v>
      </c>
      <c r="I106" s="1551">
        <f t="shared" si="25"/>
        <v>2788001.58</v>
      </c>
      <c r="J106" s="1552">
        <f t="shared" si="17"/>
        <v>4540.79</v>
      </c>
      <c r="K106" s="1547">
        <f t="shared" si="18"/>
        <v>966946.87000000011</v>
      </c>
      <c r="L106" s="1113">
        <v>41486.06</v>
      </c>
      <c r="M106" s="1113">
        <v>0</v>
      </c>
      <c r="N106" s="1113">
        <v>18732.240000000002</v>
      </c>
      <c r="O106" s="1113">
        <v>-0.06</v>
      </c>
      <c r="P106" s="1113">
        <v>0</v>
      </c>
      <c r="Q106" s="1113">
        <f t="shared" si="28"/>
        <v>60218.240000000005</v>
      </c>
      <c r="R106" s="1114">
        <v>1892.76</v>
      </c>
      <c r="S106" s="1114">
        <v>657.24</v>
      </c>
      <c r="T106" s="1114">
        <v>0</v>
      </c>
      <c r="U106" s="1114">
        <v>0</v>
      </c>
      <c r="V106" s="1542">
        <v>0</v>
      </c>
      <c r="W106" s="1115">
        <f t="shared" si="26"/>
        <v>2550</v>
      </c>
      <c r="X106" s="1115">
        <v>944245.56</v>
      </c>
      <c r="Y106" s="1114">
        <v>526913.9</v>
      </c>
      <c r="Z106" s="1114">
        <v>269855.93</v>
      </c>
      <c r="AA106" s="1114">
        <v>2039.05</v>
      </c>
      <c r="AB106" s="1542">
        <v>0</v>
      </c>
      <c r="AC106" s="1115">
        <f t="shared" si="27"/>
        <v>1743054.44</v>
      </c>
      <c r="AD106" s="1115">
        <v>305859.19</v>
      </c>
      <c r="AE106" s="1114">
        <v>0</v>
      </c>
      <c r="AF106" s="1114">
        <v>673817.91</v>
      </c>
      <c r="AG106" s="1114">
        <v>2501.8000000000002</v>
      </c>
      <c r="AH106" s="1542">
        <v>0</v>
      </c>
      <c r="AI106" s="1115">
        <v>982178.9</v>
      </c>
    </row>
    <row r="107" spans="1:35" ht="15" customHeight="1">
      <c r="A107" s="741" t="s">
        <v>90</v>
      </c>
      <c r="B107" s="740" t="s">
        <v>91</v>
      </c>
      <c r="C107" s="970" t="s">
        <v>268</v>
      </c>
      <c r="D107" s="1110">
        <f t="shared" si="20"/>
        <v>434303.63</v>
      </c>
      <c r="E107" s="1111">
        <f t="shared" si="21"/>
        <v>225427.20000000001</v>
      </c>
      <c r="F107" s="1112">
        <f t="shared" si="22"/>
        <v>141773.06</v>
      </c>
      <c r="G107" s="1549">
        <f t="shared" si="23"/>
        <v>1027.03</v>
      </c>
      <c r="H107" s="1551">
        <f t="shared" si="24"/>
        <v>0</v>
      </c>
      <c r="I107" s="1551">
        <f t="shared" si="25"/>
        <v>802530.92000000016</v>
      </c>
      <c r="J107" s="1552">
        <f t="shared" si="17"/>
        <v>1027.03</v>
      </c>
      <c r="K107" s="1547">
        <f t="shared" si="18"/>
        <v>142800.09</v>
      </c>
      <c r="L107" s="1113"/>
      <c r="M107" s="1113"/>
      <c r="N107" s="1113"/>
      <c r="O107" s="1113"/>
      <c r="P107" s="1113"/>
      <c r="Q107" s="1113">
        <f t="shared" si="28"/>
        <v>0</v>
      </c>
      <c r="R107" s="1114"/>
      <c r="S107" s="1114"/>
      <c r="T107" s="1114"/>
      <c r="U107" s="1114"/>
      <c r="V107" s="1542"/>
      <c r="W107" s="1115">
        <f t="shared" si="26"/>
        <v>0</v>
      </c>
      <c r="X107" s="1115">
        <v>424034.62</v>
      </c>
      <c r="Y107" s="1114">
        <v>225427.20000000001</v>
      </c>
      <c r="Z107" s="1114">
        <v>119130.42</v>
      </c>
      <c r="AA107" s="1114">
        <v>1027.24</v>
      </c>
      <c r="AB107" s="1542">
        <v>0</v>
      </c>
      <c r="AC107" s="1115">
        <f t="shared" si="27"/>
        <v>769619.4800000001</v>
      </c>
      <c r="AD107" s="1115">
        <v>10269.01</v>
      </c>
      <c r="AE107" s="1114">
        <v>0</v>
      </c>
      <c r="AF107" s="1114">
        <v>22642.639999999999</v>
      </c>
      <c r="AG107" s="1114">
        <v>-0.21</v>
      </c>
      <c r="AH107" s="1542">
        <v>0</v>
      </c>
      <c r="AI107" s="1115">
        <v>32911.440000000002</v>
      </c>
    </row>
    <row r="108" spans="1:35" ht="15" customHeight="1">
      <c r="A108" s="741" t="s">
        <v>106</v>
      </c>
      <c r="B108" s="740" t="s">
        <v>107</v>
      </c>
      <c r="C108" s="970" t="s">
        <v>264</v>
      </c>
      <c r="D108" s="1110">
        <f t="shared" si="20"/>
        <v>5907461.9899999993</v>
      </c>
      <c r="E108" s="1111">
        <f t="shared" si="21"/>
        <v>3064464.17</v>
      </c>
      <c r="F108" s="1112">
        <f t="shared" si="22"/>
        <v>2167994.52</v>
      </c>
      <c r="G108" s="1549">
        <f t="shared" si="23"/>
        <v>95918.319999999992</v>
      </c>
      <c r="H108" s="1551">
        <f t="shared" si="24"/>
        <v>0</v>
      </c>
      <c r="I108" s="1551">
        <f t="shared" si="25"/>
        <v>11235839</v>
      </c>
      <c r="J108" s="1552">
        <f t="shared" si="17"/>
        <v>95918.319999999992</v>
      </c>
      <c r="K108" s="1547">
        <f t="shared" si="18"/>
        <v>2263912.84</v>
      </c>
      <c r="L108" s="1113"/>
      <c r="M108" s="1113"/>
      <c r="N108" s="1113"/>
      <c r="O108" s="1113"/>
      <c r="P108" s="1113"/>
      <c r="Q108" s="1113">
        <f t="shared" si="28"/>
        <v>0</v>
      </c>
      <c r="R108" s="1114">
        <v>4001.89</v>
      </c>
      <c r="S108" s="1114">
        <v>1389.61</v>
      </c>
      <c r="T108" s="1114">
        <v>0</v>
      </c>
      <c r="U108" s="1114">
        <v>-0.02</v>
      </c>
      <c r="V108" s="1542">
        <v>0</v>
      </c>
      <c r="W108" s="1115">
        <f t="shared" si="26"/>
        <v>5391.48</v>
      </c>
      <c r="X108" s="1115">
        <v>5645982.54</v>
      </c>
      <c r="Y108" s="1114">
        <v>3063074.56</v>
      </c>
      <c r="Z108" s="1114">
        <v>1597517.16</v>
      </c>
      <c r="AA108" s="1114">
        <v>95921.18</v>
      </c>
      <c r="AB108" s="1542">
        <v>0</v>
      </c>
      <c r="AC108" s="1115">
        <f t="shared" si="27"/>
        <v>10402495.439999999</v>
      </c>
      <c r="AD108" s="1115">
        <v>257477.56</v>
      </c>
      <c r="AE108" s="1114">
        <v>0</v>
      </c>
      <c r="AF108" s="1114">
        <v>570477.36</v>
      </c>
      <c r="AG108" s="1114">
        <v>-2.84</v>
      </c>
      <c r="AH108" s="1542">
        <v>0</v>
      </c>
      <c r="AI108" s="1115">
        <v>827952.08</v>
      </c>
    </row>
    <row r="109" spans="1:35" ht="15" customHeight="1">
      <c r="A109" s="741" t="s">
        <v>116</v>
      </c>
      <c r="B109" s="740" t="s">
        <v>117</v>
      </c>
      <c r="C109" s="970" t="s">
        <v>266</v>
      </c>
      <c r="D109" s="1110">
        <f t="shared" si="20"/>
        <v>1461053.0399999998</v>
      </c>
      <c r="E109" s="1111">
        <f t="shared" si="21"/>
        <v>781503.47</v>
      </c>
      <c r="F109" s="1112">
        <f t="shared" si="22"/>
        <v>432072.38</v>
      </c>
      <c r="G109" s="1549">
        <f t="shared" si="23"/>
        <v>-12.430000000000001</v>
      </c>
      <c r="H109" s="1551">
        <f t="shared" si="24"/>
        <v>0</v>
      </c>
      <c r="I109" s="1551">
        <f t="shared" si="25"/>
        <v>2674616.46</v>
      </c>
      <c r="J109" s="1552">
        <f t="shared" si="17"/>
        <v>-12.430000000000001</v>
      </c>
      <c r="K109" s="1547">
        <f t="shared" si="18"/>
        <v>432059.95</v>
      </c>
      <c r="L109" s="1113"/>
      <c r="M109" s="1113"/>
      <c r="N109" s="1113"/>
      <c r="O109" s="1113"/>
      <c r="P109" s="1113"/>
      <c r="Q109" s="1113">
        <f t="shared" si="28"/>
        <v>0</v>
      </c>
      <c r="R109" s="1114">
        <v>5190.6400000000003</v>
      </c>
      <c r="S109" s="1114">
        <v>1802.38</v>
      </c>
      <c r="T109" s="1114">
        <v>0</v>
      </c>
      <c r="U109" s="1114">
        <v>0</v>
      </c>
      <c r="V109" s="1542">
        <v>0</v>
      </c>
      <c r="W109" s="1115">
        <f t="shared" si="26"/>
        <v>6993.02</v>
      </c>
      <c r="X109" s="1115">
        <v>1444978.68</v>
      </c>
      <c r="Y109" s="1114">
        <v>779701.09</v>
      </c>
      <c r="Z109" s="1114">
        <v>408074.78</v>
      </c>
      <c r="AA109" s="1114">
        <v>-11.55</v>
      </c>
      <c r="AB109" s="1542">
        <v>0</v>
      </c>
      <c r="AC109" s="1115">
        <f t="shared" si="27"/>
        <v>2632743</v>
      </c>
      <c r="AD109" s="1115">
        <v>10883.72</v>
      </c>
      <c r="AE109" s="1114">
        <v>0</v>
      </c>
      <c r="AF109" s="1114">
        <v>23997.599999999999</v>
      </c>
      <c r="AG109" s="1114">
        <v>-0.88</v>
      </c>
      <c r="AH109" s="1542">
        <v>0</v>
      </c>
      <c r="AI109" s="1115">
        <v>34880.44</v>
      </c>
    </row>
    <row r="110" spans="1:35" ht="15" customHeight="1">
      <c r="A110" s="741" t="s">
        <v>138</v>
      </c>
      <c r="B110" s="740" t="s">
        <v>139</v>
      </c>
      <c r="C110" s="970" t="s">
        <v>265</v>
      </c>
      <c r="D110" s="1110">
        <f t="shared" si="20"/>
        <v>3764326.05</v>
      </c>
      <c r="E110" s="1111">
        <f t="shared" si="21"/>
        <v>1843255.53</v>
      </c>
      <c r="F110" s="1112">
        <f t="shared" si="22"/>
        <v>1815793.15</v>
      </c>
      <c r="G110" s="1549">
        <f t="shared" si="23"/>
        <v>67720.78</v>
      </c>
      <c r="H110" s="1551">
        <f t="shared" si="24"/>
        <v>0</v>
      </c>
      <c r="I110" s="1551">
        <f t="shared" si="25"/>
        <v>7491095.5099999998</v>
      </c>
      <c r="J110" s="1552">
        <f t="shared" si="17"/>
        <v>67720.78</v>
      </c>
      <c r="K110" s="1547">
        <f t="shared" si="18"/>
        <v>1883513.93</v>
      </c>
      <c r="L110" s="1113"/>
      <c r="M110" s="1113"/>
      <c r="N110" s="1113"/>
      <c r="O110" s="1113"/>
      <c r="P110" s="1113"/>
      <c r="Q110" s="1113">
        <f t="shared" si="28"/>
        <v>0</v>
      </c>
      <c r="R110" s="1114">
        <v>5452.56</v>
      </c>
      <c r="S110" s="1114">
        <v>1893.34</v>
      </c>
      <c r="T110" s="1114">
        <v>0</v>
      </c>
      <c r="U110" s="1114">
        <v>-0.02</v>
      </c>
      <c r="V110" s="1542">
        <v>0</v>
      </c>
      <c r="W110" s="1115">
        <f t="shared" si="26"/>
        <v>7345.88</v>
      </c>
      <c r="X110" s="1115">
        <v>3405505.38</v>
      </c>
      <c r="Y110" s="1114">
        <v>1841362.19</v>
      </c>
      <c r="Z110" s="1114">
        <v>962442.05</v>
      </c>
      <c r="AA110" s="1114">
        <v>67731.320000000007</v>
      </c>
      <c r="AB110" s="1542">
        <v>0</v>
      </c>
      <c r="AC110" s="1115">
        <f t="shared" si="27"/>
        <v>6277040.9400000004</v>
      </c>
      <c r="AD110" s="1115">
        <v>353368.11</v>
      </c>
      <c r="AE110" s="1114">
        <v>0</v>
      </c>
      <c r="AF110" s="1114">
        <v>853351.1</v>
      </c>
      <c r="AG110" s="1114">
        <v>-10.52</v>
      </c>
      <c r="AH110" s="1542">
        <v>0</v>
      </c>
      <c r="AI110" s="1115">
        <v>1206708.69</v>
      </c>
    </row>
    <row r="111" spans="1:35" ht="15" customHeight="1">
      <c r="A111" s="741" t="s">
        <v>142</v>
      </c>
      <c r="B111" s="740" t="s">
        <v>143</v>
      </c>
      <c r="C111" s="970" t="s">
        <v>267</v>
      </c>
      <c r="D111" s="1110">
        <f t="shared" si="20"/>
        <v>1129162.03</v>
      </c>
      <c r="E111" s="1111">
        <f t="shared" si="21"/>
        <v>417507.93</v>
      </c>
      <c r="F111" s="1112">
        <f t="shared" si="22"/>
        <v>1084823.3599999999</v>
      </c>
      <c r="G111" s="1549">
        <f t="shared" si="23"/>
        <v>1198.3899999999999</v>
      </c>
      <c r="H111" s="1551">
        <f t="shared" si="24"/>
        <v>14255.25</v>
      </c>
      <c r="I111" s="1551">
        <f t="shared" si="25"/>
        <v>2646946.96</v>
      </c>
      <c r="J111" s="1552">
        <f t="shared" si="17"/>
        <v>15453.64</v>
      </c>
      <c r="K111" s="1547">
        <f t="shared" si="18"/>
        <v>1100276.9999999998</v>
      </c>
      <c r="L111" s="1113"/>
      <c r="M111" s="1113"/>
      <c r="N111" s="1113"/>
      <c r="O111" s="1113"/>
      <c r="P111" s="1113"/>
      <c r="Q111" s="1113">
        <f t="shared" si="28"/>
        <v>0</v>
      </c>
      <c r="R111" s="1114"/>
      <c r="S111" s="1114"/>
      <c r="T111" s="1114"/>
      <c r="U111" s="1114"/>
      <c r="V111" s="1542"/>
      <c r="W111" s="1115">
        <f t="shared" si="26"/>
        <v>0</v>
      </c>
      <c r="X111" s="1115">
        <v>729022.11</v>
      </c>
      <c r="Y111" s="1114">
        <v>417507.93</v>
      </c>
      <c r="Z111" s="1114">
        <v>210309.41</v>
      </c>
      <c r="AA111" s="1114">
        <v>665.66</v>
      </c>
      <c r="AB111" s="1542">
        <v>20.25</v>
      </c>
      <c r="AC111" s="1115">
        <f t="shared" si="27"/>
        <v>1357525.3599999999</v>
      </c>
      <c r="AD111" s="1115">
        <v>400139.92</v>
      </c>
      <c r="AE111" s="1114">
        <v>0</v>
      </c>
      <c r="AF111" s="1114">
        <v>874513.95</v>
      </c>
      <c r="AG111" s="1114">
        <v>532.73</v>
      </c>
      <c r="AH111" s="1542">
        <v>14235</v>
      </c>
      <c r="AI111" s="1115">
        <v>1289421.6000000001</v>
      </c>
    </row>
    <row r="112" spans="1:35" ht="15" customHeight="1">
      <c r="A112" s="741" t="s">
        <v>144</v>
      </c>
      <c r="B112" s="740" t="s">
        <v>145</v>
      </c>
      <c r="C112" s="970" t="s">
        <v>267</v>
      </c>
      <c r="D112" s="1110">
        <f t="shared" si="20"/>
        <v>435271.33999999997</v>
      </c>
      <c r="E112" s="1111">
        <f t="shared" si="21"/>
        <v>179028.54</v>
      </c>
      <c r="F112" s="1112">
        <f t="shared" si="22"/>
        <v>348969.18</v>
      </c>
      <c r="G112" s="1549">
        <f t="shared" si="23"/>
        <v>-6.84</v>
      </c>
      <c r="H112" s="1551">
        <f t="shared" si="24"/>
        <v>0</v>
      </c>
      <c r="I112" s="1551">
        <f t="shared" si="25"/>
        <v>963262.22</v>
      </c>
      <c r="J112" s="1552">
        <f t="shared" si="17"/>
        <v>-6.84</v>
      </c>
      <c r="K112" s="1547">
        <f t="shared" si="18"/>
        <v>348962.33999999997</v>
      </c>
      <c r="L112" s="1113"/>
      <c r="M112" s="1113"/>
      <c r="N112" s="1113"/>
      <c r="O112" s="1113"/>
      <c r="P112" s="1113"/>
      <c r="Q112" s="1113">
        <f t="shared" si="28"/>
        <v>0</v>
      </c>
      <c r="R112" s="1114">
        <v>1902.16</v>
      </c>
      <c r="S112" s="1114">
        <v>660.5</v>
      </c>
      <c r="T112" s="1114">
        <v>0</v>
      </c>
      <c r="U112" s="1114">
        <v>0</v>
      </c>
      <c r="V112" s="1542">
        <v>0</v>
      </c>
      <c r="W112" s="1115">
        <f t="shared" si="26"/>
        <v>2562.66</v>
      </c>
      <c r="X112" s="1115">
        <v>315235.33</v>
      </c>
      <c r="Y112" s="1114">
        <v>178368.04</v>
      </c>
      <c r="Z112" s="1114">
        <v>90541.53</v>
      </c>
      <c r="AA112" s="1114">
        <v>-3.9</v>
      </c>
      <c r="AB112" s="1542">
        <v>0</v>
      </c>
      <c r="AC112" s="1115">
        <f t="shared" si="27"/>
        <v>584141</v>
      </c>
      <c r="AD112" s="1115">
        <v>118133.85</v>
      </c>
      <c r="AE112" s="1114">
        <v>0</v>
      </c>
      <c r="AF112" s="1114">
        <v>258427.65</v>
      </c>
      <c r="AG112" s="1114">
        <v>-2.94</v>
      </c>
      <c r="AH112" s="1542">
        <v>0</v>
      </c>
      <c r="AI112" s="1115">
        <v>376558.56</v>
      </c>
    </row>
    <row r="113" spans="1:35" ht="15" customHeight="1">
      <c r="A113" s="741" t="s">
        <v>158</v>
      </c>
      <c r="B113" s="740" t="s">
        <v>159</v>
      </c>
      <c r="C113" s="970" t="s">
        <v>264</v>
      </c>
      <c r="D113" s="1110">
        <f t="shared" si="20"/>
        <v>11060617.790000001</v>
      </c>
      <c r="E113" s="1111">
        <f t="shared" si="21"/>
        <v>4708313.0999999996</v>
      </c>
      <c r="F113" s="1112">
        <f t="shared" si="22"/>
        <v>7966289.4000000004</v>
      </c>
      <c r="G113" s="1549">
        <f t="shared" si="23"/>
        <v>-16.77</v>
      </c>
      <c r="H113" s="1551">
        <f t="shared" si="24"/>
        <v>0</v>
      </c>
      <c r="I113" s="1551">
        <f t="shared" si="25"/>
        <v>23735203.52</v>
      </c>
      <c r="J113" s="1552">
        <f t="shared" si="17"/>
        <v>-16.77</v>
      </c>
      <c r="K113" s="1547">
        <f t="shared" si="18"/>
        <v>7966272.6300000008</v>
      </c>
      <c r="L113" s="1113"/>
      <c r="M113" s="1113"/>
      <c r="N113" s="1113"/>
      <c r="O113" s="1113"/>
      <c r="P113" s="1113"/>
      <c r="Q113" s="1113">
        <f t="shared" si="28"/>
        <v>0</v>
      </c>
      <c r="R113" s="1114">
        <v>28519.3</v>
      </c>
      <c r="S113" s="1114">
        <v>9902.9699999999993</v>
      </c>
      <c r="T113" s="1114">
        <v>0</v>
      </c>
      <c r="U113" s="1114">
        <v>-0.03</v>
      </c>
      <c r="V113" s="1542">
        <v>0</v>
      </c>
      <c r="W113" s="1115">
        <f t="shared" si="26"/>
        <v>38422.239999999998</v>
      </c>
      <c r="X113" s="1115">
        <v>8712193.6799999997</v>
      </c>
      <c r="Y113" s="1114">
        <v>4698410.13</v>
      </c>
      <c r="Z113" s="1114">
        <v>2459931.33</v>
      </c>
      <c r="AA113" s="1114">
        <v>-12.14</v>
      </c>
      <c r="AB113" s="1542">
        <v>0</v>
      </c>
      <c r="AC113" s="1115">
        <f t="shared" si="27"/>
        <v>15870522.999999998</v>
      </c>
      <c r="AD113" s="1115">
        <v>2319904.81</v>
      </c>
      <c r="AE113" s="1114">
        <v>0</v>
      </c>
      <c r="AF113" s="1114">
        <v>5506358.0700000003</v>
      </c>
      <c r="AG113" s="1114">
        <v>-4.5999999999999996</v>
      </c>
      <c r="AH113" s="1542">
        <v>0</v>
      </c>
      <c r="AI113" s="1115">
        <v>7826258.2800000003</v>
      </c>
    </row>
    <row r="114" spans="1:35" ht="15" customHeight="1">
      <c r="A114" s="741" t="s">
        <v>160</v>
      </c>
      <c r="B114" s="740" t="s">
        <v>161</v>
      </c>
      <c r="C114" s="970" t="s">
        <v>264</v>
      </c>
      <c r="D114" s="1110">
        <f t="shared" si="20"/>
        <v>14432256.870000001</v>
      </c>
      <c r="E114" s="1111">
        <f t="shared" si="21"/>
        <v>7541599.4299999997</v>
      </c>
      <c r="F114" s="1112">
        <f t="shared" si="22"/>
        <v>5050376.97</v>
      </c>
      <c r="G114" s="1549">
        <f t="shared" si="23"/>
        <v>211096.06</v>
      </c>
      <c r="H114" s="1551">
        <f t="shared" si="24"/>
        <v>0</v>
      </c>
      <c r="I114" s="1551">
        <f t="shared" si="25"/>
        <v>27235329.330000002</v>
      </c>
      <c r="J114" s="1552">
        <f t="shared" si="17"/>
        <v>211096.06</v>
      </c>
      <c r="K114" s="1547">
        <f t="shared" si="18"/>
        <v>5261473.0299999993</v>
      </c>
      <c r="L114" s="1113">
        <v>68394.210000000006</v>
      </c>
      <c r="M114" s="1113">
        <v>0</v>
      </c>
      <c r="N114" s="1113">
        <v>32780.19</v>
      </c>
      <c r="O114" s="1113">
        <v>-0.2</v>
      </c>
      <c r="P114" s="1113">
        <v>0</v>
      </c>
      <c r="Q114" s="1113">
        <f t="shared" si="28"/>
        <v>101174.20000000001</v>
      </c>
      <c r="R114" s="1114">
        <v>3656.26</v>
      </c>
      <c r="S114" s="1114">
        <v>1269.5899999999999</v>
      </c>
      <c r="T114" s="1114">
        <v>0</v>
      </c>
      <c r="U114" s="1114">
        <v>-0.01</v>
      </c>
      <c r="V114" s="1542">
        <v>0</v>
      </c>
      <c r="W114" s="1115">
        <f t="shared" si="26"/>
        <v>4925.84</v>
      </c>
      <c r="X114" s="1115">
        <v>13865360.98</v>
      </c>
      <c r="Y114" s="1114">
        <v>7540329.8399999999</v>
      </c>
      <c r="Z114" s="1114">
        <v>3926484.67</v>
      </c>
      <c r="AA114" s="1114">
        <v>211096.46</v>
      </c>
      <c r="AB114" s="1542">
        <v>0</v>
      </c>
      <c r="AC114" s="1115">
        <f t="shared" si="27"/>
        <v>25543271.950000003</v>
      </c>
      <c r="AD114" s="1115">
        <v>494845.42</v>
      </c>
      <c r="AE114" s="1114">
        <v>0</v>
      </c>
      <c r="AF114" s="1114">
        <v>1091112.1100000001</v>
      </c>
      <c r="AG114" s="1114">
        <v>-0.19</v>
      </c>
      <c r="AH114" s="1542">
        <v>0</v>
      </c>
      <c r="AI114" s="1115">
        <v>1585957.34</v>
      </c>
    </row>
    <row r="115" spans="1:35" ht="15" customHeight="1">
      <c r="A115" s="741" t="s">
        <v>166</v>
      </c>
      <c r="B115" s="740" t="s">
        <v>167</v>
      </c>
      <c r="C115" s="970" t="s">
        <v>268</v>
      </c>
      <c r="D115" s="1110">
        <f t="shared" si="20"/>
        <v>393552.36</v>
      </c>
      <c r="E115" s="1111">
        <f t="shared" si="21"/>
        <v>179881.21</v>
      </c>
      <c r="F115" s="1112">
        <f t="shared" si="22"/>
        <v>239726.15999999997</v>
      </c>
      <c r="G115" s="1549">
        <f t="shared" si="23"/>
        <v>125.63000000000001</v>
      </c>
      <c r="H115" s="1551">
        <f t="shared" si="24"/>
        <v>0</v>
      </c>
      <c r="I115" s="1551">
        <f t="shared" si="25"/>
        <v>813285.36</v>
      </c>
      <c r="J115" s="1552">
        <f t="shared" si="17"/>
        <v>125.63000000000001</v>
      </c>
      <c r="K115" s="1547">
        <f t="shared" si="18"/>
        <v>239851.78999999998</v>
      </c>
      <c r="L115" s="1113"/>
      <c r="M115" s="1113"/>
      <c r="N115" s="1113"/>
      <c r="O115" s="1113"/>
      <c r="P115" s="1113"/>
      <c r="Q115" s="1113">
        <f t="shared" si="28"/>
        <v>0</v>
      </c>
      <c r="R115" s="1114"/>
      <c r="S115" s="1114"/>
      <c r="T115" s="1114"/>
      <c r="U115" s="1114"/>
      <c r="V115" s="1542"/>
      <c r="W115" s="1115">
        <f t="shared" si="26"/>
        <v>0</v>
      </c>
      <c r="X115" s="1115">
        <v>326882.71999999997</v>
      </c>
      <c r="Y115" s="1114">
        <v>179881.21</v>
      </c>
      <c r="Z115" s="1114">
        <v>92954.51</v>
      </c>
      <c r="AA115" s="1114">
        <v>128.55000000000001</v>
      </c>
      <c r="AB115" s="1542">
        <v>0</v>
      </c>
      <c r="AC115" s="1115">
        <f t="shared" si="27"/>
        <v>599846.99</v>
      </c>
      <c r="AD115" s="1115">
        <v>66669.64</v>
      </c>
      <c r="AE115" s="1114">
        <v>0</v>
      </c>
      <c r="AF115" s="1114">
        <v>146771.65</v>
      </c>
      <c r="AG115" s="1114">
        <v>-2.92</v>
      </c>
      <c r="AH115" s="1542">
        <v>0</v>
      </c>
      <c r="AI115" s="1115">
        <v>213438.37</v>
      </c>
    </row>
    <row r="116" spans="1:35" ht="15" customHeight="1">
      <c r="A116" s="741" t="s">
        <v>176</v>
      </c>
      <c r="B116" s="740" t="s">
        <v>177</v>
      </c>
      <c r="C116" s="970" t="s">
        <v>266</v>
      </c>
      <c r="D116" s="1110">
        <f t="shared" si="20"/>
        <v>2878287.4</v>
      </c>
      <c r="E116" s="1111">
        <f t="shared" si="21"/>
        <v>1559568.09</v>
      </c>
      <c r="F116" s="1112">
        <f t="shared" si="22"/>
        <v>814042.69</v>
      </c>
      <c r="G116" s="1549">
        <f t="shared" si="23"/>
        <v>14483.01</v>
      </c>
      <c r="H116" s="1551">
        <f t="shared" si="24"/>
        <v>0</v>
      </c>
      <c r="I116" s="1551">
        <f t="shared" si="25"/>
        <v>5266381.1899999995</v>
      </c>
      <c r="J116" s="1552">
        <f t="shared" si="17"/>
        <v>14483.01</v>
      </c>
      <c r="K116" s="1547">
        <f t="shared" si="18"/>
        <v>828525.7</v>
      </c>
      <c r="L116" s="1113"/>
      <c r="M116" s="1113"/>
      <c r="N116" s="1113"/>
      <c r="O116" s="1113"/>
      <c r="P116" s="1113"/>
      <c r="Q116" s="1113">
        <f t="shared" si="28"/>
        <v>0</v>
      </c>
      <c r="R116" s="1115"/>
      <c r="S116" s="1114"/>
      <c r="T116" s="1115"/>
      <c r="U116" s="1115"/>
      <c r="V116" s="1115"/>
      <c r="W116" s="1115">
        <f t="shared" si="26"/>
        <v>0</v>
      </c>
      <c r="X116" s="1115">
        <v>2878287.4</v>
      </c>
      <c r="Y116" s="1114">
        <v>1559568.09</v>
      </c>
      <c r="Z116" s="1115">
        <v>814042.69</v>
      </c>
      <c r="AA116" s="1115">
        <v>14483.01</v>
      </c>
      <c r="AB116" s="1115">
        <v>0</v>
      </c>
      <c r="AC116" s="1115">
        <f t="shared" si="27"/>
        <v>5266381.1899999995</v>
      </c>
      <c r="AD116" s="1115"/>
      <c r="AE116" s="1114"/>
      <c r="AF116" s="1115"/>
      <c r="AG116" s="1115"/>
      <c r="AH116" s="1115"/>
      <c r="AI116" s="1115"/>
    </row>
    <row r="117" spans="1:35" ht="15" customHeight="1">
      <c r="A117" s="741" t="s">
        <v>180</v>
      </c>
      <c r="B117" s="740" t="s">
        <v>181</v>
      </c>
      <c r="C117" s="970" t="s">
        <v>264</v>
      </c>
      <c r="D117" s="1110">
        <f t="shared" si="20"/>
        <v>7283564.7699999996</v>
      </c>
      <c r="E117" s="1111">
        <f t="shared" si="21"/>
        <v>3437579.8</v>
      </c>
      <c r="F117" s="1112">
        <f t="shared" si="22"/>
        <v>4029282.29</v>
      </c>
      <c r="G117" s="1549">
        <f t="shared" si="23"/>
        <v>144410.12</v>
      </c>
      <c r="H117" s="1551">
        <f t="shared" si="24"/>
        <v>-35457</v>
      </c>
      <c r="I117" s="1551">
        <f t="shared" si="25"/>
        <v>14859379.979999999</v>
      </c>
      <c r="J117" s="1552">
        <f t="shared" si="17"/>
        <v>108953.12</v>
      </c>
      <c r="K117" s="1547">
        <f t="shared" si="18"/>
        <v>4138235.41</v>
      </c>
      <c r="L117" s="1113"/>
      <c r="M117" s="1113"/>
      <c r="N117" s="1113"/>
      <c r="O117" s="1113"/>
      <c r="P117" s="1113"/>
      <c r="Q117" s="1113">
        <f t="shared" si="28"/>
        <v>0</v>
      </c>
      <c r="R117" s="1114">
        <v>1357.39</v>
      </c>
      <c r="S117" s="1114">
        <v>471.34</v>
      </c>
      <c r="T117" s="1114">
        <v>0</v>
      </c>
      <c r="U117" s="1114">
        <v>-0.01</v>
      </c>
      <c r="V117" s="1542">
        <v>0</v>
      </c>
      <c r="W117" s="1115">
        <f t="shared" si="26"/>
        <v>1828.72</v>
      </c>
      <c r="X117" s="1115">
        <v>6268752.0999999996</v>
      </c>
      <c r="Y117" s="1114">
        <v>3437108.46</v>
      </c>
      <c r="Z117" s="1114">
        <v>1780363.11</v>
      </c>
      <c r="AA117" s="1114">
        <v>105179.01</v>
      </c>
      <c r="AB117" s="1542">
        <v>0</v>
      </c>
      <c r="AC117" s="1115">
        <f t="shared" si="27"/>
        <v>11591402.679999998</v>
      </c>
      <c r="AD117" s="1115">
        <v>1013455.28</v>
      </c>
      <c r="AE117" s="1114">
        <v>0</v>
      </c>
      <c r="AF117" s="1114">
        <v>2248919.1800000002</v>
      </c>
      <c r="AG117" s="1114">
        <v>39231.120000000003</v>
      </c>
      <c r="AH117" s="1542">
        <v>-35457</v>
      </c>
      <c r="AI117" s="1115">
        <v>3266148.58</v>
      </c>
    </row>
    <row r="118" spans="1:35" ht="15" customHeight="1">
      <c r="A118" s="741" t="s">
        <v>192</v>
      </c>
      <c r="B118" s="740" t="s">
        <v>193</v>
      </c>
      <c r="C118" s="970" t="s">
        <v>268</v>
      </c>
      <c r="D118" s="1110">
        <f t="shared" si="20"/>
        <v>423014.64999999997</v>
      </c>
      <c r="E118" s="1111">
        <f t="shared" si="21"/>
        <v>215113.53</v>
      </c>
      <c r="F118" s="1112">
        <f t="shared" si="22"/>
        <v>178239.64</v>
      </c>
      <c r="G118" s="1549">
        <f t="shared" si="23"/>
        <v>18839.39</v>
      </c>
      <c r="H118" s="1551">
        <f t="shared" si="24"/>
        <v>0</v>
      </c>
      <c r="I118" s="1551">
        <f t="shared" si="25"/>
        <v>835207.21</v>
      </c>
      <c r="J118" s="1552">
        <f t="shared" si="17"/>
        <v>18839.39</v>
      </c>
      <c r="K118" s="1547">
        <f t="shared" si="18"/>
        <v>197079.03000000003</v>
      </c>
      <c r="L118" s="1113"/>
      <c r="M118" s="1113"/>
      <c r="N118" s="1113"/>
      <c r="O118" s="1113"/>
      <c r="P118" s="1113"/>
      <c r="Q118" s="1113">
        <f t="shared" si="28"/>
        <v>0</v>
      </c>
      <c r="R118" s="1114"/>
      <c r="S118" s="1114"/>
      <c r="T118" s="1114"/>
      <c r="U118" s="1114"/>
      <c r="V118" s="1542"/>
      <c r="W118" s="1115">
        <f t="shared" si="26"/>
        <v>0</v>
      </c>
      <c r="X118" s="1115">
        <v>392566.91</v>
      </c>
      <c r="Y118" s="1114">
        <v>215113.53</v>
      </c>
      <c r="Z118" s="1114">
        <v>111466.44</v>
      </c>
      <c r="AA118" s="1114">
        <v>18840.16</v>
      </c>
      <c r="AB118" s="1542">
        <v>0</v>
      </c>
      <c r="AC118" s="1115">
        <f t="shared" si="27"/>
        <v>737987.03999999992</v>
      </c>
      <c r="AD118" s="1115">
        <v>30447.74</v>
      </c>
      <c r="AE118" s="1114">
        <v>0</v>
      </c>
      <c r="AF118" s="1114">
        <v>66773.2</v>
      </c>
      <c r="AG118" s="1114">
        <v>-0.77</v>
      </c>
      <c r="AH118" s="1542">
        <v>0</v>
      </c>
      <c r="AI118" s="1115">
        <v>97220.17</v>
      </c>
    </row>
    <row r="119" spans="1:35" ht="15" customHeight="1">
      <c r="A119" s="741" t="s">
        <v>196</v>
      </c>
      <c r="B119" s="740" t="s">
        <v>312</v>
      </c>
      <c r="C119" s="970" t="s">
        <v>266</v>
      </c>
      <c r="D119" s="1110">
        <f t="shared" si="20"/>
        <v>15813567.119999999</v>
      </c>
      <c r="E119" s="1111">
        <f t="shared" si="21"/>
        <v>8390102.2799999993</v>
      </c>
      <c r="F119" s="1112">
        <f t="shared" si="22"/>
        <v>4480600.1800000006</v>
      </c>
      <c r="G119" s="1549">
        <f t="shared" si="23"/>
        <v>-11.5</v>
      </c>
      <c r="H119" s="1551">
        <f t="shared" si="24"/>
        <v>0</v>
      </c>
      <c r="I119" s="1551">
        <f t="shared" si="25"/>
        <v>28684258.079999998</v>
      </c>
      <c r="J119" s="1552">
        <f t="shared" si="17"/>
        <v>-11.5</v>
      </c>
      <c r="K119" s="1547">
        <f t="shared" si="18"/>
        <v>4480588.6800000006</v>
      </c>
      <c r="L119" s="1113">
        <v>249497.37</v>
      </c>
      <c r="M119" s="1113">
        <v>0</v>
      </c>
      <c r="N119" s="1113">
        <v>86641.53</v>
      </c>
      <c r="O119" s="1113">
        <v>-0.02</v>
      </c>
      <c r="P119" s="1113">
        <v>0</v>
      </c>
      <c r="Q119" s="1113">
        <f t="shared" si="28"/>
        <v>336138.88</v>
      </c>
      <c r="R119" s="1114"/>
      <c r="S119" s="1114"/>
      <c r="T119" s="1114"/>
      <c r="U119" s="1114"/>
      <c r="V119" s="1542"/>
      <c r="W119" s="1115">
        <f t="shared" si="26"/>
        <v>0</v>
      </c>
      <c r="X119" s="1115">
        <v>15564069.75</v>
      </c>
      <c r="Y119" s="1114">
        <v>8390102.2799999993</v>
      </c>
      <c r="Z119" s="1114">
        <v>4393958.6500000004</v>
      </c>
      <c r="AA119" s="1114">
        <v>-11.48</v>
      </c>
      <c r="AB119" s="1542">
        <v>0</v>
      </c>
      <c r="AC119" s="1115">
        <f t="shared" si="27"/>
        <v>28348119.199999999</v>
      </c>
      <c r="AD119" s="1115"/>
      <c r="AE119" s="1114"/>
      <c r="AF119" s="1114"/>
      <c r="AG119" s="1114"/>
      <c r="AH119" s="1542"/>
      <c r="AI119" s="1115"/>
    </row>
    <row r="120" spans="1:35" ht="15" customHeight="1">
      <c r="A120" s="741" t="s">
        <v>200</v>
      </c>
      <c r="B120" s="740" t="s">
        <v>313</v>
      </c>
      <c r="C120" s="970" t="s">
        <v>265</v>
      </c>
      <c r="D120" s="1110">
        <f t="shared" si="20"/>
        <v>6473795.4300000006</v>
      </c>
      <c r="E120" s="1111">
        <f t="shared" si="21"/>
        <v>3127002.45</v>
      </c>
      <c r="F120" s="1112">
        <f t="shared" si="22"/>
        <v>3321171.98</v>
      </c>
      <c r="G120" s="1549">
        <f t="shared" si="23"/>
        <v>34494.04</v>
      </c>
      <c r="H120" s="1551">
        <f t="shared" si="24"/>
        <v>0</v>
      </c>
      <c r="I120" s="1551">
        <f t="shared" si="25"/>
        <v>12956463.900000002</v>
      </c>
      <c r="J120" s="1552">
        <f t="shared" si="17"/>
        <v>34494.04</v>
      </c>
      <c r="K120" s="1547">
        <f t="shared" si="18"/>
        <v>3355666.02</v>
      </c>
      <c r="L120" s="1113">
        <v>23129.37</v>
      </c>
      <c r="M120" s="1113">
        <v>0</v>
      </c>
      <c r="N120" s="1113">
        <v>8030.75</v>
      </c>
      <c r="O120" s="1113">
        <v>-7.0000000000000007E-2</v>
      </c>
      <c r="P120" s="1113">
        <v>0</v>
      </c>
      <c r="Q120" s="1113">
        <f t="shared" si="28"/>
        <v>31160.05</v>
      </c>
      <c r="R120" s="1114"/>
      <c r="S120" s="1114"/>
      <c r="T120" s="1114"/>
      <c r="U120" s="1114"/>
      <c r="V120" s="1542"/>
      <c r="W120" s="1115">
        <f t="shared" si="26"/>
        <v>0</v>
      </c>
      <c r="X120" s="1115">
        <v>5680803.5300000003</v>
      </c>
      <c r="Y120" s="1114">
        <v>3127002.45</v>
      </c>
      <c r="Z120" s="1114">
        <v>1615631.1</v>
      </c>
      <c r="AA120" s="1114">
        <v>34498.32</v>
      </c>
      <c r="AB120" s="1542">
        <v>0</v>
      </c>
      <c r="AC120" s="1115">
        <f t="shared" si="27"/>
        <v>10457935.4</v>
      </c>
      <c r="AD120" s="1115">
        <v>769862.53</v>
      </c>
      <c r="AE120" s="1114">
        <v>0</v>
      </c>
      <c r="AF120" s="1114">
        <v>1697510.13</v>
      </c>
      <c r="AG120" s="1114">
        <v>-4.21</v>
      </c>
      <c r="AH120" s="1542">
        <v>0</v>
      </c>
      <c r="AI120" s="1115">
        <v>2467368.4500000002</v>
      </c>
    </row>
    <row r="121" spans="1:35" ht="15" customHeight="1">
      <c r="A121" s="741" t="s">
        <v>222</v>
      </c>
      <c r="B121" s="740" t="s">
        <v>223</v>
      </c>
      <c r="C121" s="970" t="s">
        <v>264</v>
      </c>
      <c r="D121" s="1110">
        <f t="shared" si="20"/>
        <v>3945820.1600000001</v>
      </c>
      <c r="E121" s="1111">
        <f t="shared" si="21"/>
        <v>1722333.09</v>
      </c>
      <c r="F121" s="1112">
        <f t="shared" si="22"/>
        <v>2703805.71</v>
      </c>
      <c r="G121" s="1549">
        <f t="shared" si="23"/>
        <v>435811.81</v>
      </c>
      <c r="H121" s="1551">
        <f t="shared" si="24"/>
        <v>0</v>
      </c>
      <c r="I121" s="1551">
        <f t="shared" si="25"/>
        <v>8807770.7699999996</v>
      </c>
      <c r="J121" s="1552">
        <f t="shared" si="17"/>
        <v>435811.81</v>
      </c>
      <c r="K121" s="1547">
        <f t="shared" si="18"/>
        <v>3139617.52</v>
      </c>
      <c r="L121" s="1113"/>
      <c r="M121" s="1113"/>
      <c r="N121" s="1113"/>
      <c r="O121" s="1113"/>
      <c r="P121" s="1113"/>
      <c r="Q121" s="1113">
        <f t="shared" si="28"/>
        <v>0</v>
      </c>
      <c r="R121" s="1114"/>
      <c r="S121" s="1114"/>
      <c r="T121" s="1114"/>
      <c r="U121" s="1114"/>
      <c r="V121" s="1542"/>
      <c r="W121" s="1115">
        <f t="shared" si="26"/>
        <v>0</v>
      </c>
      <c r="X121" s="1115">
        <v>3118285.33</v>
      </c>
      <c r="Y121" s="1114">
        <v>1722333.09</v>
      </c>
      <c r="Z121" s="1114">
        <v>887921.84</v>
      </c>
      <c r="AA121" s="1114">
        <v>435816.02</v>
      </c>
      <c r="AB121" s="1542">
        <v>0</v>
      </c>
      <c r="AC121" s="1115">
        <f t="shared" si="27"/>
        <v>6164356.2799999993</v>
      </c>
      <c r="AD121" s="1115">
        <v>827534.83</v>
      </c>
      <c r="AE121" s="1114">
        <v>0</v>
      </c>
      <c r="AF121" s="1114">
        <v>1815883.87</v>
      </c>
      <c r="AG121" s="1114">
        <v>-4.21</v>
      </c>
      <c r="AH121" s="1542">
        <v>0</v>
      </c>
      <c r="AI121" s="1115">
        <v>2643414.4900000002</v>
      </c>
    </row>
    <row r="122" spans="1:35" ht="15" customHeight="1">
      <c r="A122" s="741" t="s">
        <v>230</v>
      </c>
      <c r="B122" s="740" t="s">
        <v>231</v>
      </c>
      <c r="C122" s="970" t="s">
        <v>264</v>
      </c>
      <c r="D122" s="1110">
        <f t="shared" si="20"/>
        <v>11256064.609999999</v>
      </c>
      <c r="E122" s="1111">
        <f t="shared" si="21"/>
        <v>4525060.25</v>
      </c>
      <c r="F122" s="1112">
        <f t="shared" si="22"/>
        <v>9539686.6999999993</v>
      </c>
      <c r="G122" s="1549">
        <f t="shared" si="23"/>
        <v>50093.130000000005</v>
      </c>
      <c r="H122" s="1551">
        <f t="shared" si="24"/>
        <v>0</v>
      </c>
      <c r="I122" s="1551">
        <f t="shared" si="25"/>
        <v>25370904.690000001</v>
      </c>
      <c r="J122" s="1552">
        <f t="shared" si="17"/>
        <v>50093.130000000005</v>
      </c>
      <c r="K122" s="1547">
        <f t="shared" si="18"/>
        <v>9589779.8300000001</v>
      </c>
      <c r="L122" s="1113"/>
      <c r="M122" s="1113"/>
      <c r="N122" s="1113"/>
      <c r="O122" s="1113"/>
      <c r="P122" s="1113"/>
      <c r="Q122" s="1113">
        <f t="shared" si="28"/>
        <v>0</v>
      </c>
      <c r="R122" s="1114">
        <v>20044.86</v>
      </c>
      <c r="S122" s="1114">
        <v>6960.31</v>
      </c>
      <c r="T122" s="1114">
        <v>0</v>
      </c>
      <c r="U122" s="1114">
        <v>0</v>
      </c>
      <c r="V122" s="1542">
        <v>0</v>
      </c>
      <c r="W122" s="1115">
        <f t="shared" si="26"/>
        <v>27005.170000000002</v>
      </c>
      <c r="X122" s="1115">
        <v>7954571.0800000001</v>
      </c>
      <c r="Y122" s="1114">
        <v>4518099.9400000004</v>
      </c>
      <c r="Z122" s="1114">
        <v>2287885.48</v>
      </c>
      <c r="AA122" s="1114">
        <v>25762.55</v>
      </c>
      <c r="AB122" s="1542">
        <v>0</v>
      </c>
      <c r="AC122" s="1115">
        <f t="shared" si="27"/>
        <v>14786319.050000001</v>
      </c>
      <c r="AD122" s="1115">
        <v>3281448.67</v>
      </c>
      <c r="AE122" s="1114">
        <v>0</v>
      </c>
      <c r="AF122" s="1114">
        <v>7251801.2199999997</v>
      </c>
      <c r="AG122" s="1114">
        <v>24330.58</v>
      </c>
      <c r="AH122" s="1542">
        <v>0</v>
      </c>
      <c r="AI122" s="1115">
        <v>10557580.470000001</v>
      </c>
    </row>
    <row r="123" spans="1:35" ht="15" customHeight="1">
      <c r="A123" s="741" t="s">
        <v>238</v>
      </c>
      <c r="B123" s="740" t="s">
        <v>239</v>
      </c>
      <c r="C123" s="970" t="s">
        <v>264</v>
      </c>
      <c r="D123" s="1110">
        <f t="shared" si="20"/>
        <v>366716.29</v>
      </c>
      <c r="E123" s="1111">
        <f t="shared" si="21"/>
        <v>155770.85999999999</v>
      </c>
      <c r="F123" s="1112">
        <f t="shared" si="22"/>
        <v>268948.62</v>
      </c>
      <c r="G123" s="1549">
        <f t="shared" si="23"/>
        <v>257227.12</v>
      </c>
      <c r="H123" s="1551">
        <f t="shared" si="24"/>
        <v>0</v>
      </c>
      <c r="I123" s="1551">
        <f t="shared" si="25"/>
        <v>1048662.8899999999</v>
      </c>
      <c r="J123" s="1552">
        <f t="shared" si="17"/>
        <v>257227.12</v>
      </c>
      <c r="K123" s="1547">
        <f t="shared" si="18"/>
        <v>526175.74</v>
      </c>
      <c r="L123" s="1113"/>
      <c r="M123" s="1113"/>
      <c r="N123" s="1113"/>
      <c r="O123" s="1113"/>
      <c r="P123" s="1113"/>
      <c r="Q123" s="1113">
        <f t="shared" si="28"/>
        <v>0</v>
      </c>
      <c r="R123" s="1114"/>
      <c r="S123" s="1114"/>
      <c r="T123" s="1114"/>
      <c r="U123" s="1114"/>
      <c r="V123" s="1542"/>
      <c r="W123" s="1115">
        <f t="shared" si="26"/>
        <v>0</v>
      </c>
      <c r="X123" s="1115">
        <v>283604.24</v>
      </c>
      <c r="Y123" s="1114">
        <v>155770.85999999999</v>
      </c>
      <c r="Z123" s="1114">
        <v>80595.11</v>
      </c>
      <c r="AA123" s="1114">
        <v>205472.09</v>
      </c>
      <c r="AB123" s="1542">
        <v>0</v>
      </c>
      <c r="AC123" s="1115">
        <f t="shared" si="27"/>
        <v>725442.29999999993</v>
      </c>
      <c r="AD123" s="1115">
        <v>83112.05</v>
      </c>
      <c r="AE123" s="1114">
        <v>0</v>
      </c>
      <c r="AF123" s="1114">
        <v>188353.51</v>
      </c>
      <c r="AG123" s="1114">
        <v>51755.03</v>
      </c>
      <c r="AH123" s="1542">
        <v>0</v>
      </c>
      <c r="AI123" s="1115">
        <v>323220.59000000003</v>
      </c>
    </row>
    <row r="124" spans="1:35" ht="15" customHeight="1">
      <c r="A124" s="741" t="s">
        <v>240</v>
      </c>
      <c r="B124" s="740" t="s">
        <v>241</v>
      </c>
      <c r="C124" s="970" t="s">
        <v>267</v>
      </c>
      <c r="D124" s="1110">
        <f t="shared" si="20"/>
        <v>1320749.58</v>
      </c>
      <c r="E124" s="1111">
        <f t="shared" si="21"/>
        <v>549022.15</v>
      </c>
      <c r="F124" s="1112">
        <f t="shared" si="22"/>
        <v>1064178.67</v>
      </c>
      <c r="G124" s="1549">
        <f t="shared" si="23"/>
        <v>7416.8899999999994</v>
      </c>
      <c r="H124" s="1551">
        <f t="shared" si="24"/>
        <v>0</v>
      </c>
      <c r="I124" s="1551">
        <f t="shared" si="25"/>
        <v>2941367.29</v>
      </c>
      <c r="J124" s="1552">
        <f t="shared" si="17"/>
        <v>7416.8899999999994</v>
      </c>
      <c r="K124" s="1547">
        <f t="shared" si="18"/>
        <v>1071595.5599999998</v>
      </c>
      <c r="L124" s="1113"/>
      <c r="M124" s="1113"/>
      <c r="N124" s="1113"/>
      <c r="O124" s="1113"/>
      <c r="P124" s="1113"/>
      <c r="Q124" s="1113">
        <f t="shared" si="28"/>
        <v>0</v>
      </c>
      <c r="R124" s="1114">
        <v>68.38</v>
      </c>
      <c r="S124" s="1114">
        <v>23.75</v>
      </c>
      <c r="T124" s="1114">
        <v>0</v>
      </c>
      <c r="U124" s="1114">
        <v>0</v>
      </c>
      <c r="V124" s="1542">
        <v>0</v>
      </c>
      <c r="W124" s="1115">
        <f t="shared" si="26"/>
        <v>92.13</v>
      </c>
      <c r="X124" s="1115">
        <v>960937.97</v>
      </c>
      <c r="Y124" s="1114">
        <v>548998.40000000002</v>
      </c>
      <c r="Z124" s="1114">
        <v>276968.93</v>
      </c>
      <c r="AA124" s="1114">
        <v>4202.04</v>
      </c>
      <c r="AB124" s="1542">
        <v>0</v>
      </c>
      <c r="AC124" s="1115">
        <f t="shared" si="27"/>
        <v>1791107.34</v>
      </c>
      <c r="AD124" s="1115">
        <v>359743.23</v>
      </c>
      <c r="AE124" s="1114">
        <v>0</v>
      </c>
      <c r="AF124" s="1114">
        <v>787209.74</v>
      </c>
      <c r="AG124" s="1114">
        <v>3214.85</v>
      </c>
      <c r="AH124" s="1542">
        <v>0</v>
      </c>
      <c r="AI124" s="1115">
        <v>1150167.82</v>
      </c>
    </row>
    <row r="125" spans="1:35">
      <c r="L125" s="1081"/>
      <c r="M125" s="1081"/>
      <c r="N125" s="1081"/>
      <c r="O125" s="1081"/>
      <c r="P125" s="1081"/>
      <c r="Q125" s="1081"/>
      <c r="R125" s="1082"/>
      <c r="S125" s="1082"/>
      <c r="T125" s="1082"/>
      <c r="U125" s="1082"/>
      <c r="V125" s="1082"/>
      <c r="W125" s="1082"/>
      <c r="X125" s="1543"/>
      <c r="AD125" s="1543"/>
    </row>
    <row r="126" spans="1:35" s="403" customFormat="1">
      <c r="A126" s="403" t="s">
        <v>1044</v>
      </c>
      <c r="B126" s="742"/>
      <c r="C126" s="742"/>
      <c r="D126" s="1083"/>
      <c r="E126" s="1083"/>
      <c r="F126" s="1083"/>
      <c r="G126" s="1083"/>
      <c r="H126" s="1083"/>
      <c r="I126" s="1083"/>
      <c r="J126" s="1083"/>
      <c r="K126" s="1083"/>
      <c r="L126" s="1083"/>
      <c r="M126" s="1083"/>
      <c r="N126" s="1083"/>
      <c r="O126" s="1083"/>
      <c r="P126" s="1083"/>
      <c r="Q126" s="1083"/>
      <c r="R126" s="1084"/>
      <c r="S126" s="1084"/>
      <c r="T126" s="1084"/>
      <c r="U126" s="1084"/>
      <c r="V126" s="1084"/>
      <c r="W126" s="1084"/>
      <c r="X126" s="1084"/>
      <c r="AD126" s="1084"/>
    </row>
    <row r="127" spans="1:35" s="403" customFormat="1">
      <c r="D127" s="1083"/>
      <c r="E127" s="1083"/>
      <c r="F127" s="1083"/>
      <c r="G127" s="1083"/>
      <c r="H127" s="1083"/>
      <c r="I127" s="1083"/>
      <c r="J127" s="1083"/>
      <c r="K127" s="1083"/>
      <c r="L127" s="1083"/>
      <c r="M127" s="1083"/>
      <c r="N127" s="1083"/>
      <c r="O127" s="1083"/>
      <c r="P127" s="1083"/>
      <c r="Q127" s="1083"/>
      <c r="R127" s="1084"/>
      <c r="S127" s="1084"/>
      <c r="T127" s="1084"/>
      <c r="U127" s="1084"/>
      <c r="V127" s="1084"/>
      <c r="W127" s="1084"/>
      <c r="X127" s="1084"/>
      <c r="AD127" s="1084"/>
    </row>
    <row r="128" spans="1:35" s="428" customFormat="1">
      <c r="A128" s="428" t="s">
        <v>248</v>
      </c>
      <c r="D128" s="1085"/>
      <c r="E128" s="1085"/>
      <c r="F128" s="1085"/>
      <c r="G128" s="1085"/>
      <c r="H128" s="1085"/>
      <c r="I128" s="1085"/>
      <c r="J128" s="1085"/>
      <c r="K128" s="1085"/>
      <c r="L128" s="1085"/>
      <c r="M128" s="1085"/>
      <c r="N128" s="1085"/>
      <c r="O128" s="1085"/>
      <c r="P128" s="1085"/>
      <c r="Q128" s="1085"/>
      <c r="R128" s="1086"/>
      <c r="S128" s="1086"/>
      <c r="T128" s="1086"/>
      <c r="U128" s="1086"/>
      <c r="V128" s="1086"/>
      <c r="W128" s="1086"/>
      <c r="X128" s="1086"/>
      <c r="AD128" s="1086"/>
    </row>
    <row r="129" spans="1:3">
      <c r="A129" s="429" t="s">
        <v>249</v>
      </c>
      <c r="B129" s="430" t="s">
        <v>250</v>
      </c>
      <c r="C129" s="430"/>
    </row>
  </sheetData>
  <autoFilter ref="A3:C3"/>
  <hyperlinks>
    <hyperlink ref="B129" r:id="rId1"/>
  </hyperlinks>
  <pageMargins left="0.7" right="0.7" top="0.75" bottom="0.75" header="0.3" footer="0.3"/>
  <pageSetup orientation="portrait" r:id="rId2"/>
</worksheet>
</file>

<file path=xl/worksheets/sheet46.xml><?xml version="1.0" encoding="utf-8"?>
<worksheet xmlns="http://schemas.openxmlformats.org/spreadsheetml/2006/main" xmlns:r="http://schemas.openxmlformats.org/officeDocument/2006/relationships">
  <dimension ref="A1:AC129"/>
  <sheetViews>
    <sheetView workbookViewId="0">
      <pane xSplit="3" ySplit="4" topLeftCell="E5" activePane="bottomRight" state="frozen"/>
      <selection pane="topRight" activeCell="D1" sqref="D1"/>
      <selection pane="bottomLeft" activeCell="A5" sqref="A5"/>
      <selection pane="bottomRight" activeCell="L5" sqref="L5:P5"/>
    </sheetView>
  </sheetViews>
  <sheetFormatPr defaultRowHeight="15.75"/>
  <cols>
    <col min="1" max="1" width="9.375" style="271" customWidth="1"/>
    <col min="2" max="2" width="29.75" style="271" customWidth="1"/>
    <col min="3" max="3" width="18.625" style="271" customWidth="1"/>
    <col min="4" max="4" width="12.75" style="271" customWidth="1"/>
    <col min="5" max="5" width="8.375" style="271" bestFit="1" customWidth="1"/>
    <col min="6" max="6" width="11.5" style="271" bestFit="1" customWidth="1"/>
    <col min="7" max="7" width="13.375" style="271" customWidth="1"/>
    <col min="8" max="8" width="11.875" style="271" customWidth="1"/>
    <col min="9" max="9" width="13.375" style="271" customWidth="1"/>
    <col min="10" max="11" width="13.625" style="271" customWidth="1"/>
    <col min="12" max="12" width="10.875" style="271" bestFit="1" customWidth="1"/>
    <col min="13" max="13" width="10.875" style="733" bestFit="1" customWidth="1"/>
    <col min="14" max="14" width="9.25" style="271" bestFit="1" customWidth="1"/>
    <col min="15" max="16" width="9.25" style="271" customWidth="1"/>
    <col min="17" max="17" width="11" style="271" bestFit="1" customWidth="1"/>
    <col min="18" max="18" width="8" style="271" bestFit="1" customWidth="1"/>
    <col min="19" max="19" width="12.25" style="271" customWidth="1"/>
    <col min="20" max="20" width="10.875" style="271" customWidth="1"/>
    <col min="21" max="23" width="10.125" style="271" customWidth="1"/>
    <col min="24" max="24" width="13" style="271" customWidth="1"/>
    <col min="25" max="25" width="12.25" style="271" customWidth="1"/>
    <col min="26" max="26" width="12.625" style="271" customWidth="1"/>
    <col min="27" max="27" width="10.125" style="271" customWidth="1"/>
    <col min="28" max="28" width="12.75" style="271" customWidth="1"/>
    <col min="29" max="29" width="11.875" style="271" customWidth="1"/>
    <col min="30" max="16384" width="9" style="271"/>
  </cols>
  <sheetData>
    <row r="1" spans="1:29">
      <c r="A1" s="64" t="s">
        <v>1046</v>
      </c>
      <c r="J1" s="748"/>
      <c r="K1" s="748"/>
      <c r="L1" s="748"/>
      <c r="N1" s="748"/>
      <c r="O1" s="748"/>
      <c r="P1" s="748"/>
    </row>
    <row r="2" spans="1:29">
      <c r="J2" s="748"/>
      <c r="K2" s="748"/>
      <c r="L2" s="748"/>
      <c r="N2" s="748"/>
      <c r="O2" s="748"/>
      <c r="P2" s="748"/>
    </row>
    <row r="3" spans="1:29" s="749" customFormat="1" ht="47.25">
      <c r="A3" s="752" t="s">
        <v>4</v>
      </c>
      <c r="B3" s="753" t="s">
        <v>5</v>
      </c>
      <c r="C3" s="971" t="s">
        <v>251</v>
      </c>
      <c r="D3" s="754" t="s">
        <v>314</v>
      </c>
      <c r="E3" s="755" t="s">
        <v>315</v>
      </c>
      <c r="F3" s="747" t="s">
        <v>316</v>
      </c>
      <c r="G3" s="756" t="s">
        <v>1040</v>
      </c>
      <c r="H3" s="1554" t="s">
        <v>1041</v>
      </c>
      <c r="I3" s="1554" t="s">
        <v>281</v>
      </c>
      <c r="J3" s="1078" t="s">
        <v>1042</v>
      </c>
      <c r="K3" s="1078" t="s">
        <v>1043</v>
      </c>
      <c r="L3" s="837" t="s">
        <v>319</v>
      </c>
      <c r="M3" s="1087" t="s">
        <v>598</v>
      </c>
      <c r="N3" s="838" t="s">
        <v>320</v>
      </c>
      <c r="O3" s="1553" t="s">
        <v>1047</v>
      </c>
      <c r="P3" s="1553" t="s">
        <v>1048</v>
      </c>
      <c r="Q3" s="839" t="s">
        <v>321</v>
      </c>
      <c r="R3" s="837" t="s">
        <v>322</v>
      </c>
      <c r="S3" s="838" t="s">
        <v>323</v>
      </c>
      <c r="T3" s="838" t="s">
        <v>324</v>
      </c>
      <c r="U3" s="1553" t="s">
        <v>1049</v>
      </c>
      <c r="V3" s="1553" t="s">
        <v>1050</v>
      </c>
      <c r="W3" s="1553" t="s">
        <v>325</v>
      </c>
      <c r="X3" s="837" t="s">
        <v>1075</v>
      </c>
      <c r="Y3" s="838" t="s">
        <v>1076</v>
      </c>
      <c r="Z3" s="838" t="s">
        <v>1077</v>
      </c>
      <c r="AA3" s="1553" t="s">
        <v>1078</v>
      </c>
      <c r="AB3" s="1553" t="s">
        <v>1079</v>
      </c>
      <c r="AC3" s="1553" t="s">
        <v>1080</v>
      </c>
    </row>
    <row r="4" spans="1:29">
      <c r="A4" s="745">
        <v>999</v>
      </c>
      <c r="B4" s="750" t="s">
        <v>9</v>
      </c>
      <c r="C4" s="972"/>
      <c r="D4" s="1096">
        <f t="shared" ref="D4:K4" si="0">SUM(D5:D124)</f>
        <v>14853685.819999998</v>
      </c>
      <c r="E4" s="1097">
        <f t="shared" si="0"/>
        <v>2269</v>
      </c>
      <c r="F4" s="1098">
        <f t="shared" si="0"/>
        <v>14853685.819999998</v>
      </c>
      <c r="G4" s="1099">
        <f t="shared" si="0"/>
        <v>725756.4600000002</v>
      </c>
      <c r="H4" s="1099">
        <f t="shared" si="0"/>
        <v>31474868.359999999</v>
      </c>
      <c r="I4" s="1099">
        <f t="shared" si="0"/>
        <v>61910265.459999993</v>
      </c>
      <c r="J4" s="1098">
        <f t="shared" si="0"/>
        <v>32200624.82</v>
      </c>
      <c r="K4" s="1098">
        <f t="shared" si="0"/>
        <v>47054310.640000001</v>
      </c>
      <c r="L4" s="1090">
        <f>SUM(L7:L126)</f>
        <v>0</v>
      </c>
      <c r="M4" s="1088">
        <f>SUM(M7:M126)</f>
        <v>0</v>
      </c>
      <c r="N4" s="1088">
        <f>SUM(N7:N126)</f>
        <v>0</v>
      </c>
      <c r="O4" s="1088">
        <f t="shared" ref="O4:P4" si="1">SUM(O7:O126)</f>
        <v>703000.23</v>
      </c>
      <c r="P4" s="1088">
        <f t="shared" si="1"/>
        <v>0</v>
      </c>
      <c r="Q4" s="1089">
        <f t="shared" ref="Q4:U4" si="2">SUM(Q5:Q124)</f>
        <v>725756.4600000002</v>
      </c>
      <c r="R4" s="1090">
        <f t="shared" si="2"/>
        <v>0</v>
      </c>
      <c r="S4" s="1088">
        <f t="shared" si="2"/>
        <v>2269</v>
      </c>
      <c r="T4" s="1088">
        <f t="shared" si="2"/>
        <v>0</v>
      </c>
      <c r="U4" s="1088">
        <f t="shared" si="2"/>
        <v>0</v>
      </c>
      <c r="V4" s="1088">
        <f t="shared" ref="V4:AA4" si="3">SUM(V5:V124)</f>
        <v>0</v>
      </c>
      <c r="W4" s="1088">
        <f t="shared" si="3"/>
        <v>2269</v>
      </c>
      <c r="X4" s="1090">
        <f t="shared" si="3"/>
        <v>14853685.819999998</v>
      </c>
      <c r="Y4" s="1088">
        <f t="shared" si="3"/>
        <v>0</v>
      </c>
      <c r="Z4" s="1088">
        <f t="shared" si="3"/>
        <v>14853685.819999998</v>
      </c>
      <c r="AA4" s="1088">
        <f t="shared" si="3"/>
        <v>0</v>
      </c>
      <c r="AB4" s="1088">
        <f t="shared" ref="AB4:AC4" si="4">SUM(AB5:AB124)</f>
        <v>31474868.359999999</v>
      </c>
      <c r="AC4" s="1088">
        <f t="shared" si="4"/>
        <v>61182240</v>
      </c>
    </row>
    <row r="5" spans="1:29" ht="15" customHeight="1">
      <c r="A5" s="746" t="s">
        <v>10</v>
      </c>
      <c r="B5" s="751" t="s">
        <v>11</v>
      </c>
      <c r="C5" s="973" t="s">
        <v>264</v>
      </c>
      <c r="D5" s="1100">
        <f>L5+R5+X5</f>
        <v>50920.480000000003</v>
      </c>
      <c r="E5" s="1100">
        <f>M5+S5+Y5</f>
        <v>0</v>
      </c>
      <c r="F5" s="1100">
        <f>N5+T5+Z5</f>
        <v>50920.480000000003</v>
      </c>
      <c r="G5" s="1102">
        <f>O5+U5+AA5</f>
        <v>2112</v>
      </c>
      <c r="H5" s="1102">
        <f>P5+V5+AB5</f>
        <v>77712.039999999994</v>
      </c>
      <c r="I5" s="1555">
        <f>SUM(D5:H5)</f>
        <v>181665</v>
      </c>
      <c r="J5" s="1101">
        <f>G5+H5</f>
        <v>79824.039999999994</v>
      </c>
      <c r="K5" s="1555">
        <f>F5+J5</f>
        <v>130744.51999999999</v>
      </c>
      <c r="L5" s="1095">
        <v>0</v>
      </c>
      <c r="M5" s="1091">
        <v>0</v>
      </c>
      <c r="N5" s="1091">
        <v>0</v>
      </c>
      <c r="O5" s="1091">
        <v>2112</v>
      </c>
      <c r="P5" s="1091">
        <v>0</v>
      </c>
      <c r="Q5" s="1092">
        <f>SUM(L5:P5)</f>
        <v>2112</v>
      </c>
      <c r="R5" s="1093"/>
      <c r="S5" s="1094"/>
      <c r="T5" s="1094"/>
      <c r="U5" s="1094"/>
      <c r="V5" s="1094"/>
      <c r="W5" s="1094">
        <f>SUM(R5:V5)</f>
        <v>0</v>
      </c>
      <c r="X5" s="1093">
        <v>50920.480000000003</v>
      </c>
      <c r="Y5" s="1094">
        <v>0</v>
      </c>
      <c r="Z5" s="1094">
        <v>50920.480000000003</v>
      </c>
      <c r="AA5" s="1094">
        <v>0</v>
      </c>
      <c r="AB5" s="1094">
        <v>77712.039999999994</v>
      </c>
      <c r="AC5" s="1094">
        <f>SUM(X5:AB5)</f>
        <v>179553</v>
      </c>
    </row>
    <row r="6" spans="1:29" ht="15" customHeight="1">
      <c r="A6" s="746" t="s">
        <v>12</v>
      </c>
      <c r="B6" s="751" t="s">
        <v>13</v>
      </c>
      <c r="C6" s="973" t="s">
        <v>265</v>
      </c>
      <c r="D6" s="1100">
        <f t="shared" ref="D6:D69" si="5">L6+R6+X6</f>
        <v>256078.79</v>
      </c>
      <c r="E6" s="1100">
        <f t="shared" ref="E6:E69" si="6">M6+S6+Y6</f>
        <v>0</v>
      </c>
      <c r="F6" s="1100">
        <f t="shared" ref="F6:F69" si="7">N6+T6+Z6</f>
        <v>256078.79</v>
      </c>
      <c r="G6" s="1102">
        <f t="shared" ref="G6:G69" si="8">O6+U6+AA6</f>
        <v>20644.23</v>
      </c>
      <c r="H6" s="1102">
        <f t="shared" ref="H6:H69" si="9">P6+V6+AB6</f>
        <v>739680.42</v>
      </c>
      <c r="I6" s="1555">
        <f t="shared" ref="I6:I69" si="10">SUM(D6:H6)</f>
        <v>1272482.23</v>
      </c>
      <c r="J6" s="1101">
        <f t="shared" ref="J6:J69" si="11">G6+H6</f>
        <v>760324.65</v>
      </c>
      <c r="K6" s="1555">
        <f t="shared" ref="K6:K69" si="12">F6+J6</f>
        <v>1016403.4400000001</v>
      </c>
      <c r="L6" s="1103">
        <v>0</v>
      </c>
      <c r="M6" s="1091">
        <v>0</v>
      </c>
      <c r="N6" s="1091">
        <v>0</v>
      </c>
      <c r="O6" s="1091">
        <v>20644.23</v>
      </c>
      <c r="P6" s="1091">
        <v>0</v>
      </c>
      <c r="Q6" s="1092">
        <f t="shared" ref="Q6:Q69" si="13">SUM(L6:P6)</f>
        <v>20644.23</v>
      </c>
      <c r="R6" s="1093"/>
      <c r="S6" s="1094"/>
      <c r="T6" s="1094"/>
      <c r="U6" s="1094"/>
      <c r="V6" s="1094"/>
      <c r="W6" s="1094">
        <f t="shared" ref="W6:W69" si="14">SUM(R6:V6)</f>
        <v>0</v>
      </c>
      <c r="X6" s="1093">
        <v>256078.79</v>
      </c>
      <c r="Y6" s="1094">
        <v>0</v>
      </c>
      <c r="Z6" s="1094">
        <v>256078.79</v>
      </c>
      <c r="AA6" s="1094">
        <v>0</v>
      </c>
      <c r="AB6" s="1094">
        <v>739680.42</v>
      </c>
      <c r="AC6" s="1094">
        <f t="shared" ref="AC6:AC69" si="15">SUM(X6:AB6)</f>
        <v>1251838</v>
      </c>
    </row>
    <row r="7" spans="1:29" ht="15" customHeight="1">
      <c r="A7" s="746" t="s">
        <v>16</v>
      </c>
      <c r="B7" s="751" t="s">
        <v>297</v>
      </c>
      <c r="C7" s="973" t="s">
        <v>265</v>
      </c>
      <c r="D7" s="1100">
        <f t="shared" si="5"/>
        <v>90053.63</v>
      </c>
      <c r="E7" s="1100">
        <f t="shared" si="6"/>
        <v>0</v>
      </c>
      <c r="F7" s="1100">
        <f t="shared" si="7"/>
        <v>90053.63</v>
      </c>
      <c r="G7" s="1102">
        <f t="shared" si="8"/>
        <v>0</v>
      </c>
      <c r="H7" s="1102">
        <f t="shared" si="9"/>
        <v>136258.74</v>
      </c>
      <c r="I7" s="1555">
        <f t="shared" si="10"/>
        <v>316366</v>
      </c>
      <c r="J7" s="1101">
        <f t="shared" si="11"/>
        <v>136258.74</v>
      </c>
      <c r="K7" s="1555">
        <f t="shared" si="12"/>
        <v>226312.37</v>
      </c>
      <c r="L7" s="1104"/>
      <c r="M7" s="1094"/>
      <c r="N7" s="1094"/>
      <c r="O7" s="1094"/>
      <c r="P7" s="1094"/>
      <c r="Q7" s="1092">
        <f t="shared" si="13"/>
        <v>0</v>
      </c>
      <c r="R7" s="1093"/>
      <c r="S7" s="1094"/>
      <c r="T7" s="1094"/>
      <c r="U7" s="1094"/>
      <c r="V7" s="1094"/>
      <c r="W7" s="1094">
        <f t="shared" si="14"/>
        <v>0</v>
      </c>
      <c r="X7" s="1093">
        <v>90053.63</v>
      </c>
      <c r="Y7" s="1094">
        <v>0</v>
      </c>
      <c r="Z7" s="1094">
        <v>90053.63</v>
      </c>
      <c r="AA7" s="1094">
        <v>0</v>
      </c>
      <c r="AB7" s="1094">
        <v>136258.74</v>
      </c>
      <c r="AC7" s="1094">
        <f t="shared" si="15"/>
        <v>316366</v>
      </c>
    </row>
    <row r="8" spans="1:29" ht="15" customHeight="1">
      <c r="A8" s="746" t="s">
        <v>18</v>
      </c>
      <c r="B8" s="751" t="s">
        <v>19</v>
      </c>
      <c r="C8" s="973" t="s">
        <v>266</v>
      </c>
      <c r="D8" s="1100">
        <f t="shared" si="5"/>
        <v>52949.45</v>
      </c>
      <c r="E8" s="1100">
        <f t="shared" si="6"/>
        <v>0</v>
      </c>
      <c r="F8" s="1100">
        <f t="shared" si="7"/>
        <v>52949.45</v>
      </c>
      <c r="G8" s="1102">
        <f t="shared" si="8"/>
        <v>0</v>
      </c>
      <c r="H8" s="1102">
        <f t="shared" si="9"/>
        <v>72200.100000000006</v>
      </c>
      <c r="I8" s="1555">
        <f t="shared" si="10"/>
        <v>178099</v>
      </c>
      <c r="J8" s="1101">
        <f t="shared" si="11"/>
        <v>72200.100000000006</v>
      </c>
      <c r="K8" s="1555">
        <f t="shared" si="12"/>
        <v>125149.55</v>
      </c>
      <c r="L8" s="1104"/>
      <c r="M8" s="1094"/>
      <c r="N8" s="1094"/>
      <c r="O8" s="1094"/>
      <c r="P8" s="1094"/>
      <c r="Q8" s="1092">
        <f t="shared" si="13"/>
        <v>0</v>
      </c>
      <c r="R8" s="1093"/>
      <c r="S8" s="1094"/>
      <c r="T8" s="1094"/>
      <c r="U8" s="1094"/>
      <c r="V8" s="1094"/>
      <c r="W8" s="1094">
        <f t="shared" si="14"/>
        <v>0</v>
      </c>
      <c r="X8" s="1093">
        <v>52949.45</v>
      </c>
      <c r="Y8" s="1094">
        <v>0</v>
      </c>
      <c r="Z8" s="1094">
        <v>52949.45</v>
      </c>
      <c r="AA8" s="1094">
        <v>0</v>
      </c>
      <c r="AB8" s="1094">
        <v>72200.100000000006</v>
      </c>
      <c r="AC8" s="1094">
        <f t="shared" si="15"/>
        <v>178099</v>
      </c>
    </row>
    <row r="9" spans="1:29" ht="15" customHeight="1">
      <c r="A9" s="746" t="s">
        <v>20</v>
      </c>
      <c r="B9" s="751" t="s">
        <v>21</v>
      </c>
      <c r="C9" s="973" t="s">
        <v>265</v>
      </c>
      <c r="D9" s="1100">
        <f t="shared" si="5"/>
        <v>47410.8</v>
      </c>
      <c r="E9" s="1100">
        <f t="shared" si="6"/>
        <v>0</v>
      </c>
      <c r="F9" s="1100">
        <f t="shared" si="7"/>
        <v>47410.8</v>
      </c>
      <c r="G9" s="1102">
        <f t="shared" si="8"/>
        <v>0</v>
      </c>
      <c r="H9" s="1102">
        <f t="shared" si="9"/>
        <v>69860.399999999994</v>
      </c>
      <c r="I9" s="1555">
        <f t="shared" si="10"/>
        <v>164682</v>
      </c>
      <c r="J9" s="1101">
        <f t="shared" si="11"/>
        <v>69860.399999999994</v>
      </c>
      <c r="K9" s="1555">
        <f t="shared" si="12"/>
        <v>117271.2</v>
      </c>
      <c r="L9" s="1104"/>
      <c r="M9" s="1094"/>
      <c r="N9" s="1094"/>
      <c r="O9" s="1094"/>
      <c r="P9" s="1094"/>
      <c r="Q9" s="1092">
        <f t="shared" si="13"/>
        <v>0</v>
      </c>
      <c r="R9" s="1093"/>
      <c r="S9" s="1094"/>
      <c r="T9" s="1094"/>
      <c r="U9" s="1094"/>
      <c r="V9" s="1094"/>
      <c r="W9" s="1094">
        <f t="shared" si="14"/>
        <v>0</v>
      </c>
      <c r="X9" s="1093">
        <v>47410.8</v>
      </c>
      <c r="Y9" s="1094">
        <v>0</v>
      </c>
      <c r="Z9" s="1094">
        <v>47410.8</v>
      </c>
      <c r="AA9" s="1094">
        <v>0</v>
      </c>
      <c r="AB9" s="1094">
        <v>69860.399999999994</v>
      </c>
      <c r="AC9" s="1094">
        <f t="shared" si="15"/>
        <v>164682</v>
      </c>
    </row>
    <row r="10" spans="1:29" ht="15" customHeight="1">
      <c r="A10" s="746" t="s">
        <v>22</v>
      </c>
      <c r="B10" s="751" t="s">
        <v>23</v>
      </c>
      <c r="C10" s="973" t="s">
        <v>265</v>
      </c>
      <c r="D10" s="1100">
        <f t="shared" si="5"/>
        <v>32376.61</v>
      </c>
      <c r="E10" s="1100">
        <f t="shared" si="6"/>
        <v>0</v>
      </c>
      <c r="F10" s="1100">
        <f t="shared" si="7"/>
        <v>32376.61</v>
      </c>
      <c r="G10" s="1102">
        <f t="shared" si="8"/>
        <v>0</v>
      </c>
      <c r="H10" s="1102">
        <f t="shared" si="9"/>
        <v>55776.78</v>
      </c>
      <c r="I10" s="1555">
        <f t="shared" si="10"/>
        <v>120530</v>
      </c>
      <c r="J10" s="1101">
        <f t="shared" si="11"/>
        <v>55776.78</v>
      </c>
      <c r="K10" s="1555">
        <f t="shared" si="12"/>
        <v>88153.39</v>
      </c>
      <c r="L10" s="1104"/>
      <c r="M10" s="1094"/>
      <c r="N10" s="1094"/>
      <c r="O10" s="1094"/>
      <c r="P10" s="1094"/>
      <c r="Q10" s="1092">
        <f t="shared" si="13"/>
        <v>0</v>
      </c>
      <c r="R10" s="1093"/>
      <c r="S10" s="1094"/>
      <c r="T10" s="1094"/>
      <c r="U10" s="1094"/>
      <c r="V10" s="1094"/>
      <c r="W10" s="1094">
        <f t="shared" si="14"/>
        <v>0</v>
      </c>
      <c r="X10" s="1093">
        <v>32376.61</v>
      </c>
      <c r="Y10" s="1094">
        <v>0</v>
      </c>
      <c r="Z10" s="1094">
        <v>32376.61</v>
      </c>
      <c r="AA10" s="1094">
        <v>0</v>
      </c>
      <c r="AB10" s="1094">
        <v>55776.78</v>
      </c>
      <c r="AC10" s="1094">
        <f t="shared" si="15"/>
        <v>120530</v>
      </c>
    </row>
    <row r="11" spans="1:29" ht="15" customHeight="1">
      <c r="A11" s="746" t="s">
        <v>24</v>
      </c>
      <c r="B11" s="751" t="s">
        <v>25</v>
      </c>
      <c r="C11" s="973" t="s">
        <v>267</v>
      </c>
      <c r="D11" s="1100">
        <f t="shared" si="5"/>
        <v>655131.59</v>
      </c>
      <c r="E11" s="1100">
        <f t="shared" si="6"/>
        <v>0</v>
      </c>
      <c r="F11" s="1100">
        <f t="shared" si="7"/>
        <v>655131.59</v>
      </c>
      <c r="G11" s="1102">
        <f t="shared" si="8"/>
        <v>0</v>
      </c>
      <c r="H11" s="1102">
        <f t="shared" si="9"/>
        <v>1449666.82</v>
      </c>
      <c r="I11" s="1555">
        <f t="shared" si="10"/>
        <v>2759930</v>
      </c>
      <c r="J11" s="1101">
        <f t="shared" si="11"/>
        <v>1449666.82</v>
      </c>
      <c r="K11" s="1555">
        <f t="shared" si="12"/>
        <v>2104798.41</v>
      </c>
      <c r="L11" s="1104"/>
      <c r="M11" s="1094"/>
      <c r="N11" s="1094"/>
      <c r="O11" s="1094"/>
      <c r="P11" s="1094"/>
      <c r="Q11" s="1092">
        <f t="shared" si="13"/>
        <v>0</v>
      </c>
      <c r="R11" s="1093"/>
      <c r="S11" s="1094"/>
      <c r="T11" s="1094"/>
      <c r="U11" s="1094"/>
      <c r="V11" s="1094"/>
      <c r="W11" s="1094">
        <f t="shared" si="14"/>
        <v>0</v>
      </c>
      <c r="X11" s="1093">
        <v>655131.59</v>
      </c>
      <c r="Y11" s="1094">
        <v>0</v>
      </c>
      <c r="Z11" s="1094">
        <v>655131.59</v>
      </c>
      <c r="AA11" s="1094">
        <v>0</v>
      </c>
      <c r="AB11" s="1094">
        <v>1449666.82</v>
      </c>
      <c r="AC11" s="1094">
        <f t="shared" si="15"/>
        <v>2759930</v>
      </c>
    </row>
    <row r="12" spans="1:29" ht="15" customHeight="1">
      <c r="A12" s="746" t="s">
        <v>26</v>
      </c>
      <c r="B12" s="751" t="s">
        <v>706</v>
      </c>
      <c r="C12" s="973" t="s">
        <v>265</v>
      </c>
      <c r="D12" s="1100">
        <f t="shared" si="5"/>
        <v>159949.97</v>
      </c>
      <c r="E12" s="1100">
        <f t="shared" si="6"/>
        <v>0</v>
      </c>
      <c r="F12" s="1100">
        <f t="shared" si="7"/>
        <v>159949.97</v>
      </c>
      <c r="G12" s="1102">
        <f t="shared" si="8"/>
        <v>7366.869999999999</v>
      </c>
      <c r="H12" s="1102">
        <f t="shared" si="9"/>
        <v>281536.06</v>
      </c>
      <c r="I12" s="1555">
        <f t="shared" si="10"/>
        <v>608802.87</v>
      </c>
      <c r="J12" s="1101">
        <f t="shared" si="11"/>
        <v>288902.93</v>
      </c>
      <c r="K12" s="1555">
        <f t="shared" si="12"/>
        <v>448852.9</v>
      </c>
      <c r="L12" s="1103">
        <v>0</v>
      </c>
      <c r="M12" s="1091">
        <v>0</v>
      </c>
      <c r="N12" s="1091">
        <v>0</v>
      </c>
      <c r="O12" s="1091">
        <v>7366.869999999999</v>
      </c>
      <c r="P12" s="1091">
        <v>0</v>
      </c>
      <c r="Q12" s="1092">
        <f t="shared" si="13"/>
        <v>7366.869999999999</v>
      </c>
      <c r="R12" s="1093"/>
      <c r="S12" s="1094"/>
      <c r="T12" s="1094"/>
      <c r="U12" s="1094"/>
      <c r="V12" s="1094"/>
      <c r="W12" s="1094">
        <f t="shared" si="14"/>
        <v>0</v>
      </c>
      <c r="X12" s="1093">
        <v>159949.97</v>
      </c>
      <c r="Y12" s="1094">
        <v>0</v>
      </c>
      <c r="Z12" s="1094">
        <v>159949.97</v>
      </c>
      <c r="AA12" s="1094">
        <v>0</v>
      </c>
      <c r="AB12" s="1094">
        <v>281536.06</v>
      </c>
      <c r="AC12" s="1094">
        <f t="shared" si="15"/>
        <v>601436</v>
      </c>
    </row>
    <row r="13" spans="1:29" ht="15" customHeight="1">
      <c r="A13" s="746" t="s">
        <v>27</v>
      </c>
      <c r="B13" s="751" t="s">
        <v>28</v>
      </c>
      <c r="C13" s="973" t="s">
        <v>265</v>
      </c>
      <c r="D13" s="1100">
        <f t="shared" si="5"/>
        <v>16618.07</v>
      </c>
      <c r="E13" s="1100">
        <f t="shared" si="6"/>
        <v>0</v>
      </c>
      <c r="F13" s="1100">
        <f t="shared" si="7"/>
        <v>16618.07</v>
      </c>
      <c r="G13" s="1102">
        <f t="shared" si="8"/>
        <v>0</v>
      </c>
      <c r="H13" s="1102">
        <f t="shared" si="9"/>
        <v>32335.86</v>
      </c>
      <c r="I13" s="1555">
        <f t="shared" si="10"/>
        <v>65572</v>
      </c>
      <c r="J13" s="1101">
        <f t="shared" si="11"/>
        <v>32335.86</v>
      </c>
      <c r="K13" s="1555">
        <f t="shared" si="12"/>
        <v>48953.93</v>
      </c>
      <c r="L13" s="1103"/>
      <c r="M13" s="1091"/>
      <c r="N13" s="1091"/>
      <c r="O13" s="1091"/>
      <c r="P13" s="1091"/>
      <c r="Q13" s="1092">
        <f t="shared" si="13"/>
        <v>0</v>
      </c>
      <c r="R13" s="1093"/>
      <c r="S13" s="1094"/>
      <c r="T13" s="1094"/>
      <c r="U13" s="1094"/>
      <c r="V13" s="1094"/>
      <c r="W13" s="1094">
        <f t="shared" si="14"/>
        <v>0</v>
      </c>
      <c r="X13" s="1093">
        <v>16618.07</v>
      </c>
      <c r="Y13" s="1094">
        <v>0</v>
      </c>
      <c r="Z13" s="1094">
        <v>16618.07</v>
      </c>
      <c r="AA13" s="1094">
        <v>0</v>
      </c>
      <c r="AB13" s="1094">
        <v>32335.86</v>
      </c>
      <c r="AC13" s="1094">
        <f t="shared" si="15"/>
        <v>65572</v>
      </c>
    </row>
    <row r="14" spans="1:29" ht="15" customHeight="1">
      <c r="A14" s="746" t="s">
        <v>29</v>
      </c>
      <c r="B14" s="751" t="s">
        <v>1012</v>
      </c>
      <c r="C14" s="973" t="s">
        <v>265</v>
      </c>
      <c r="D14" s="1100">
        <f t="shared" si="5"/>
        <v>40322.43</v>
      </c>
      <c r="E14" s="1100">
        <f t="shared" si="6"/>
        <v>0</v>
      </c>
      <c r="F14" s="1100">
        <f t="shared" si="7"/>
        <v>40322.43</v>
      </c>
      <c r="G14" s="1102">
        <f t="shared" si="8"/>
        <v>0</v>
      </c>
      <c r="H14" s="1102">
        <f t="shared" si="9"/>
        <v>83616.14</v>
      </c>
      <c r="I14" s="1555">
        <f t="shared" si="10"/>
        <v>164261</v>
      </c>
      <c r="J14" s="1101">
        <f t="shared" si="11"/>
        <v>83616.14</v>
      </c>
      <c r="K14" s="1555">
        <f t="shared" si="12"/>
        <v>123938.57</v>
      </c>
      <c r="L14" s="1104"/>
      <c r="M14" s="1094"/>
      <c r="N14" s="1094"/>
      <c r="O14" s="1094"/>
      <c r="P14" s="1094"/>
      <c r="Q14" s="1092">
        <f t="shared" si="13"/>
        <v>0</v>
      </c>
      <c r="R14" s="1093"/>
      <c r="S14" s="1094"/>
      <c r="T14" s="1094"/>
      <c r="U14" s="1094"/>
      <c r="V14" s="1094"/>
      <c r="W14" s="1094">
        <f t="shared" si="14"/>
        <v>0</v>
      </c>
      <c r="X14" s="1093">
        <v>40322.43</v>
      </c>
      <c r="Y14" s="1094">
        <v>0</v>
      </c>
      <c r="Z14" s="1094">
        <v>40322.43</v>
      </c>
      <c r="AA14" s="1094">
        <v>0</v>
      </c>
      <c r="AB14" s="1094">
        <v>83616.14</v>
      </c>
      <c r="AC14" s="1094">
        <f t="shared" si="15"/>
        <v>164261</v>
      </c>
    </row>
    <row r="15" spans="1:29" ht="15" customHeight="1">
      <c r="A15" s="746" t="s">
        <v>30</v>
      </c>
      <c r="B15" s="751" t="s">
        <v>31</v>
      </c>
      <c r="C15" s="973" t="s">
        <v>268</v>
      </c>
      <c r="D15" s="1100">
        <f t="shared" si="5"/>
        <v>32662.32</v>
      </c>
      <c r="E15" s="1100">
        <f t="shared" si="6"/>
        <v>0</v>
      </c>
      <c r="F15" s="1100">
        <f t="shared" si="7"/>
        <v>32662.32</v>
      </c>
      <c r="G15" s="1102">
        <f t="shared" si="8"/>
        <v>0</v>
      </c>
      <c r="H15" s="1102">
        <f t="shared" si="9"/>
        <v>55993.36</v>
      </c>
      <c r="I15" s="1555">
        <f t="shared" si="10"/>
        <v>121318</v>
      </c>
      <c r="J15" s="1101">
        <f t="shared" si="11"/>
        <v>55993.36</v>
      </c>
      <c r="K15" s="1555">
        <f t="shared" si="12"/>
        <v>88655.679999999993</v>
      </c>
      <c r="L15" s="1104"/>
      <c r="M15" s="1094"/>
      <c r="N15" s="1094"/>
      <c r="O15" s="1094"/>
      <c r="P15" s="1094"/>
      <c r="Q15" s="1092">
        <f t="shared" si="13"/>
        <v>0</v>
      </c>
      <c r="R15" s="1093"/>
      <c r="S15" s="1094"/>
      <c r="T15" s="1094"/>
      <c r="U15" s="1094"/>
      <c r="V15" s="1094"/>
      <c r="W15" s="1094">
        <f t="shared" si="14"/>
        <v>0</v>
      </c>
      <c r="X15" s="1093">
        <v>32662.32</v>
      </c>
      <c r="Y15" s="1094">
        <v>0</v>
      </c>
      <c r="Z15" s="1094">
        <v>32662.32</v>
      </c>
      <c r="AA15" s="1094">
        <v>0</v>
      </c>
      <c r="AB15" s="1094">
        <v>55993.36</v>
      </c>
      <c r="AC15" s="1094">
        <f t="shared" si="15"/>
        <v>121318</v>
      </c>
    </row>
    <row r="16" spans="1:29" ht="15" customHeight="1">
      <c r="A16" s="746" t="s">
        <v>32</v>
      </c>
      <c r="B16" s="751" t="s">
        <v>33</v>
      </c>
      <c r="C16" s="973" t="s">
        <v>265</v>
      </c>
      <c r="D16" s="1100">
        <f t="shared" si="5"/>
        <v>22218.17</v>
      </c>
      <c r="E16" s="1100">
        <f t="shared" si="6"/>
        <v>0</v>
      </c>
      <c r="F16" s="1100">
        <f t="shared" si="7"/>
        <v>22218.17</v>
      </c>
      <c r="G16" s="1102">
        <f t="shared" si="8"/>
        <v>0</v>
      </c>
      <c r="H16" s="1102">
        <f t="shared" si="9"/>
        <v>44095.66</v>
      </c>
      <c r="I16" s="1555">
        <f t="shared" si="10"/>
        <v>88532</v>
      </c>
      <c r="J16" s="1101">
        <f t="shared" si="11"/>
        <v>44095.66</v>
      </c>
      <c r="K16" s="1555">
        <f t="shared" si="12"/>
        <v>66313.83</v>
      </c>
      <c r="L16" s="1104"/>
      <c r="M16" s="1094"/>
      <c r="N16" s="1094"/>
      <c r="O16" s="1094"/>
      <c r="P16" s="1094"/>
      <c r="Q16" s="1092">
        <f t="shared" si="13"/>
        <v>0</v>
      </c>
      <c r="R16" s="1093"/>
      <c r="S16" s="1094"/>
      <c r="T16" s="1094"/>
      <c r="U16" s="1094"/>
      <c r="V16" s="1094"/>
      <c r="W16" s="1094">
        <f t="shared" si="14"/>
        <v>0</v>
      </c>
      <c r="X16" s="1093">
        <v>22218.17</v>
      </c>
      <c r="Y16" s="1094">
        <v>0</v>
      </c>
      <c r="Z16" s="1094">
        <v>22218.17</v>
      </c>
      <c r="AA16" s="1094">
        <v>0</v>
      </c>
      <c r="AB16" s="1094">
        <v>44095.66</v>
      </c>
      <c r="AC16" s="1094">
        <f t="shared" si="15"/>
        <v>88532</v>
      </c>
    </row>
    <row r="17" spans="1:29" ht="15" customHeight="1">
      <c r="A17" s="746" t="s">
        <v>36</v>
      </c>
      <c r="B17" s="751" t="s">
        <v>37</v>
      </c>
      <c r="C17" s="973" t="s">
        <v>264</v>
      </c>
      <c r="D17" s="1100">
        <f t="shared" si="5"/>
        <v>43545.04</v>
      </c>
      <c r="E17" s="1100">
        <f t="shared" si="6"/>
        <v>0</v>
      </c>
      <c r="F17" s="1100">
        <f t="shared" si="7"/>
        <v>43545.04</v>
      </c>
      <c r="G17" s="1102">
        <f t="shared" si="8"/>
        <v>0</v>
      </c>
      <c r="H17" s="1102">
        <f t="shared" si="9"/>
        <v>62778.92</v>
      </c>
      <c r="I17" s="1555">
        <f t="shared" si="10"/>
        <v>149869</v>
      </c>
      <c r="J17" s="1101">
        <f t="shared" si="11"/>
        <v>62778.92</v>
      </c>
      <c r="K17" s="1555">
        <f t="shared" si="12"/>
        <v>106323.95999999999</v>
      </c>
      <c r="L17" s="1103"/>
      <c r="M17" s="1091"/>
      <c r="N17" s="1091"/>
      <c r="O17" s="1091"/>
      <c r="P17" s="1091"/>
      <c r="Q17" s="1092">
        <f t="shared" si="13"/>
        <v>0</v>
      </c>
      <c r="R17" s="1093"/>
      <c r="S17" s="1094"/>
      <c r="T17" s="1094"/>
      <c r="U17" s="1094"/>
      <c r="V17" s="1094"/>
      <c r="W17" s="1094">
        <f t="shared" si="14"/>
        <v>0</v>
      </c>
      <c r="X17" s="1093">
        <v>43545.04</v>
      </c>
      <c r="Y17" s="1094">
        <v>0</v>
      </c>
      <c r="Z17" s="1094">
        <v>43545.04</v>
      </c>
      <c r="AA17" s="1094">
        <v>0</v>
      </c>
      <c r="AB17" s="1094">
        <v>62778.92</v>
      </c>
      <c r="AC17" s="1094">
        <f t="shared" si="15"/>
        <v>149869</v>
      </c>
    </row>
    <row r="18" spans="1:29" ht="15" customHeight="1">
      <c r="A18" s="746" t="s">
        <v>38</v>
      </c>
      <c r="B18" s="751" t="s">
        <v>39</v>
      </c>
      <c r="C18" s="973" t="s">
        <v>268</v>
      </c>
      <c r="D18" s="1100">
        <f t="shared" si="5"/>
        <v>72001.7</v>
      </c>
      <c r="E18" s="1100">
        <f t="shared" si="6"/>
        <v>0</v>
      </c>
      <c r="F18" s="1100">
        <f t="shared" si="7"/>
        <v>72001.7</v>
      </c>
      <c r="G18" s="1102">
        <f t="shared" si="8"/>
        <v>0</v>
      </c>
      <c r="H18" s="1102">
        <f t="shared" si="9"/>
        <v>122792.6</v>
      </c>
      <c r="I18" s="1555">
        <f t="shared" si="10"/>
        <v>266796</v>
      </c>
      <c r="J18" s="1101">
        <f t="shared" si="11"/>
        <v>122792.6</v>
      </c>
      <c r="K18" s="1555">
        <f t="shared" si="12"/>
        <v>194794.3</v>
      </c>
      <c r="L18" s="1104"/>
      <c r="M18" s="1094"/>
      <c r="N18" s="1094"/>
      <c r="O18" s="1094"/>
      <c r="P18" s="1094"/>
      <c r="Q18" s="1092">
        <f t="shared" si="13"/>
        <v>0</v>
      </c>
      <c r="R18" s="1093"/>
      <c r="S18" s="1094"/>
      <c r="T18" s="1094"/>
      <c r="U18" s="1094"/>
      <c r="V18" s="1094"/>
      <c r="W18" s="1094">
        <f t="shared" si="14"/>
        <v>0</v>
      </c>
      <c r="X18" s="1093">
        <v>72001.7</v>
      </c>
      <c r="Y18" s="1094">
        <v>0</v>
      </c>
      <c r="Z18" s="1094">
        <v>72001.7</v>
      </c>
      <c r="AA18" s="1094">
        <v>0</v>
      </c>
      <c r="AB18" s="1094">
        <v>122792.6</v>
      </c>
      <c r="AC18" s="1094">
        <f t="shared" si="15"/>
        <v>266796</v>
      </c>
    </row>
    <row r="19" spans="1:29" ht="15" customHeight="1">
      <c r="A19" s="746" t="s">
        <v>40</v>
      </c>
      <c r="B19" s="751" t="s">
        <v>41</v>
      </c>
      <c r="C19" s="973" t="s">
        <v>266</v>
      </c>
      <c r="D19" s="1100">
        <f t="shared" si="5"/>
        <v>39242.78</v>
      </c>
      <c r="E19" s="1100">
        <f t="shared" si="6"/>
        <v>0</v>
      </c>
      <c r="F19" s="1100">
        <f t="shared" si="7"/>
        <v>39242.78</v>
      </c>
      <c r="G19" s="1102">
        <f t="shared" si="8"/>
        <v>0</v>
      </c>
      <c r="H19" s="1102">
        <f t="shared" si="9"/>
        <v>59041.440000000002</v>
      </c>
      <c r="I19" s="1555">
        <f t="shared" si="10"/>
        <v>137527</v>
      </c>
      <c r="J19" s="1101">
        <f t="shared" si="11"/>
        <v>59041.440000000002</v>
      </c>
      <c r="K19" s="1555">
        <f t="shared" si="12"/>
        <v>98284.22</v>
      </c>
      <c r="L19" s="1104"/>
      <c r="M19" s="1094"/>
      <c r="N19" s="1094"/>
      <c r="O19" s="1094"/>
      <c r="P19" s="1094"/>
      <c r="Q19" s="1092">
        <f t="shared" si="13"/>
        <v>0</v>
      </c>
      <c r="R19" s="1093"/>
      <c r="S19" s="1094"/>
      <c r="T19" s="1094"/>
      <c r="U19" s="1094"/>
      <c r="V19" s="1094"/>
      <c r="W19" s="1094">
        <f t="shared" si="14"/>
        <v>0</v>
      </c>
      <c r="X19" s="1093">
        <v>39242.78</v>
      </c>
      <c r="Y19" s="1094">
        <v>0</v>
      </c>
      <c r="Z19" s="1094">
        <v>39242.78</v>
      </c>
      <c r="AA19" s="1094">
        <v>0</v>
      </c>
      <c r="AB19" s="1094">
        <v>59041.440000000002</v>
      </c>
      <c r="AC19" s="1094">
        <f t="shared" si="15"/>
        <v>137527</v>
      </c>
    </row>
    <row r="20" spans="1:29" ht="15" customHeight="1">
      <c r="A20" s="746" t="s">
        <v>42</v>
      </c>
      <c r="B20" s="751" t="s">
        <v>43</v>
      </c>
      <c r="C20" s="973" t="s">
        <v>265</v>
      </c>
      <c r="D20" s="1100">
        <f t="shared" si="5"/>
        <v>129037.04</v>
      </c>
      <c r="E20" s="1100">
        <f t="shared" si="6"/>
        <v>0</v>
      </c>
      <c r="F20" s="1100">
        <f t="shared" si="7"/>
        <v>129037.04</v>
      </c>
      <c r="G20" s="1102">
        <f t="shared" si="8"/>
        <v>8334.9</v>
      </c>
      <c r="H20" s="1102">
        <f t="shared" si="9"/>
        <v>218470.92</v>
      </c>
      <c r="I20" s="1555">
        <f t="shared" si="10"/>
        <v>484879.9</v>
      </c>
      <c r="J20" s="1101">
        <f t="shared" si="11"/>
        <v>226805.82</v>
      </c>
      <c r="K20" s="1555">
        <f t="shared" si="12"/>
        <v>355842.86</v>
      </c>
      <c r="L20" s="1103">
        <v>0</v>
      </c>
      <c r="M20" s="1091">
        <v>0</v>
      </c>
      <c r="N20" s="1091">
        <v>0</v>
      </c>
      <c r="O20" s="1091">
        <v>8334.9</v>
      </c>
      <c r="P20" s="1091">
        <v>0</v>
      </c>
      <c r="Q20" s="1092">
        <f t="shared" si="13"/>
        <v>8334.9</v>
      </c>
      <c r="R20" s="1093"/>
      <c r="S20" s="1094"/>
      <c r="T20" s="1094"/>
      <c r="U20" s="1094"/>
      <c r="V20" s="1094"/>
      <c r="W20" s="1094">
        <f t="shared" si="14"/>
        <v>0</v>
      </c>
      <c r="X20" s="1093">
        <v>129037.04</v>
      </c>
      <c r="Y20" s="1094">
        <v>0</v>
      </c>
      <c r="Z20" s="1094">
        <v>129037.04</v>
      </c>
      <c r="AA20" s="1094">
        <v>0</v>
      </c>
      <c r="AB20" s="1094">
        <v>218470.92</v>
      </c>
      <c r="AC20" s="1094">
        <f t="shared" si="15"/>
        <v>476545</v>
      </c>
    </row>
    <row r="21" spans="1:29" ht="15" customHeight="1">
      <c r="A21" s="746" t="s">
        <v>44</v>
      </c>
      <c r="B21" s="751" t="s">
        <v>45</v>
      </c>
      <c r="C21" s="973" t="s">
        <v>266</v>
      </c>
      <c r="D21" s="1100">
        <f t="shared" si="5"/>
        <v>87802.49</v>
      </c>
      <c r="E21" s="1100">
        <f t="shared" si="6"/>
        <v>0</v>
      </c>
      <c r="F21" s="1100">
        <f t="shared" si="7"/>
        <v>87802.49</v>
      </c>
      <c r="G21" s="1102">
        <f t="shared" si="8"/>
        <v>4230</v>
      </c>
      <c r="H21" s="1102">
        <f t="shared" si="9"/>
        <v>116269.02</v>
      </c>
      <c r="I21" s="1555">
        <f t="shared" si="10"/>
        <v>296104</v>
      </c>
      <c r="J21" s="1101">
        <f t="shared" si="11"/>
        <v>120499.02</v>
      </c>
      <c r="K21" s="1555">
        <f t="shared" si="12"/>
        <v>208301.51</v>
      </c>
      <c r="L21" s="1104">
        <v>0</v>
      </c>
      <c r="M21" s="1094">
        <v>0</v>
      </c>
      <c r="N21" s="1094">
        <v>0</v>
      </c>
      <c r="O21" s="1094">
        <v>4230</v>
      </c>
      <c r="P21" s="1094">
        <v>0</v>
      </c>
      <c r="Q21" s="1092">
        <f t="shared" si="13"/>
        <v>4230</v>
      </c>
      <c r="R21" s="1093"/>
      <c r="S21" s="1094"/>
      <c r="T21" s="1094"/>
      <c r="U21" s="1094"/>
      <c r="V21" s="1094"/>
      <c r="W21" s="1094">
        <f t="shared" si="14"/>
        <v>0</v>
      </c>
      <c r="X21" s="1093">
        <v>87802.49</v>
      </c>
      <c r="Y21" s="1094">
        <v>0</v>
      </c>
      <c r="Z21" s="1094">
        <v>87802.49</v>
      </c>
      <c r="AA21" s="1094">
        <v>0</v>
      </c>
      <c r="AB21" s="1094">
        <v>116269.02</v>
      </c>
      <c r="AC21" s="1094">
        <f t="shared" si="15"/>
        <v>291874</v>
      </c>
    </row>
    <row r="22" spans="1:29" ht="15" customHeight="1">
      <c r="A22" s="746" t="s">
        <v>46</v>
      </c>
      <c r="B22" s="751" t="s">
        <v>47</v>
      </c>
      <c r="C22" s="973" t="s">
        <v>268</v>
      </c>
      <c r="D22" s="1100">
        <f t="shared" si="5"/>
        <v>80813.38</v>
      </c>
      <c r="E22" s="1100">
        <f t="shared" si="6"/>
        <v>0</v>
      </c>
      <c r="F22" s="1100">
        <f t="shared" si="7"/>
        <v>80813.38</v>
      </c>
      <c r="G22" s="1102">
        <f t="shared" si="8"/>
        <v>0</v>
      </c>
      <c r="H22" s="1102">
        <f t="shared" si="9"/>
        <v>142383.24</v>
      </c>
      <c r="I22" s="1555">
        <f t="shared" si="10"/>
        <v>304010</v>
      </c>
      <c r="J22" s="1101">
        <f t="shared" si="11"/>
        <v>142383.24</v>
      </c>
      <c r="K22" s="1555">
        <f t="shared" si="12"/>
        <v>223196.62</v>
      </c>
      <c r="L22" s="1104"/>
      <c r="M22" s="1094"/>
      <c r="N22" s="1094"/>
      <c r="O22" s="1094"/>
      <c r="P22" s="1094"/>
      <c r="Q22" s="1092">
        <f t="shared" si="13"/>
        <v>0</v>
      </c>
      <c r="R22" s="1093"/>
      <c r="S22" s="1094"/>
      <c r="T22" s="1094"/>
      <c r="U22" s="1094"/>
      <c r="V22" s="1094"/>
      <c r="W22" s="1094">
        <f t="shared" si="14"/>
        <v>0</v>
      </c>
      <c r="X22" s="1093">
        <v>80813.38</v>
      </c>
      <c r="Y22" s="1094">
        <v>0</v>
      </c>
      <c r="Z22" s="1094">
        <v>80813.38</v>
      </c>
      <c r="AA22" s="1094">
        <v>0</v>
      </c>
      <c r="AB22" s="1094">
        <v>142383.24</v>
      </c>
      <c r="AC22" s="1094">
        <f t="shared" si="15"/>
        <v>304010</v>
      </c>
    </row>
    <row r="23" spans="1:29" ht="15" customHeight="1">
      <c r="A23" s="746" t="s">
        <v>48</v>
      </c>
      <c r="B23" s="751" t="s">
        <v>269</v>
      </c>
      <c r="C23" s="973" t="s">
        <v>266</v>
      </c>
      <c r="D23" s="1100">
        <f t="shared" si="5"/>
        <v>57348.13</v>
      </c>
      <c r="E23" s="1100">
        <f t="shared" si="6"/>
        <v>0</v>
      </c>
      <c r="F23" s="1100">
        <f t="shared" si="7"/>
        <v>57348.13</v>
      </c>
      <c r="G23" s="1102">
        <f t="shared" si="8"/>
        <v>0</v>
      </c>
      <c r="H23" s="1102">
        <f t="shared" si="9"/>
        <v>83602.740000000005</v>
      </c>
      <c r="I23" s="1555">
        <f t="shared" si="10"/>
        <v>198299</v>
      </c>
      <c r="J23" s="1101">
        <f t="shared" si="11"/>
        <v>83602.740000000005</v>
      </c>
      <c r="K23" s="1555">
        <f t="shared" si="12"/>
        <v>140950.87</v>
      </c>
      <c r="L23" s="1104"/>
      <c r="M23" s="1094"/>
      <c r="N23" s="1094"/>
      <c r="O23" s="1094"/>
      <c r="P23" s="1094"/>
      <c r="Q23" s="1092">
        <f t="shared" si="13"/>
        <v>0</v>
      </c>
      <c r="R23" s="1093"/>
      <c r="S23" s="1094"/>
      <c r="T23" s="1094"/>
      <c r="U23" s="1094"/>
      <c r="V23" s="1094"/>
      <c r="W23" s="1094">
        <f t="shared" si="14"/>
        <v>0</v>
      </c>
      <c r="X23" s="1093">
        <v>57348.13</v>
      </c>
      <c r="Y23" s="1094">
        <v>0</v>
      </c>
      <c r="Z23" s="1094">
        <v>57348.13</v>
      </c>
      <c r="AA23" s="1094">
        <v>0</v>
      </c>
      <c r="AB23" s="1094">
        <v>83602.740000000005</v>
      </c>
      <c r="AC23" s="1094">
        <f t="shared" si="15"/>
        <v>198299</v>
      </c>
    </row>
    <row r="24" spans="1:29" ht="15" customHeight="1">
      <c r="A24" s="746" t="s">
        <v>50</v>
      </c>
      <c r="B24" s="751" t="s">
        <v>51</v>
      </c>
      <c r="C24" s="973" t="s">
        <v>265</v>
      </c>
      <c r="D24" s="1100">
        <f t="shared" si="5"/>
        <v>35015.89</v>
      </c>
      <c r="E24" s="1100">
        <f t="shared" si="6"/>
        <v>0</v>
      </c>
      <c r="F24" s="1100">
        <f t="shared" si="7"/>
        <v>35015.89</v>
      </c>
      <c r="G24" s="1102">
        <f t="shared" si="8"/>
        <v>0</v>
      </c>
      <c r="H24" s="1102">
        <f t="shared" si="9"/>
        <v>54800.22</v>
      </c>
      <c r="I24" s="1555">
        <f t="shared" si="10"/>
        <v>124832</v>
      </c>
      <c r="J24" s="1101">
        <f t="shared" si="11"/>
        <v>54800.22</v>
      </c>
      <c r="K24" s="1555">
        <f t="shared" si="12"/>
        <v>89816.11</v>
      </c>
      <c r="L24" s="1104"/>
      <c r="M24" s="1094"/>
      <c r="N24" s="1094"/>
      <c r="O24" s="1094"/>
      <c r="P24" s="1094"/>
      <c r="Q24" s="1092">
        <f t="shared" si="13"/>
        <v>0</v>
      </c>
      <c r="R24" s="1093"/>
      <c r="S24" s="1094"/>
      <c r="T24" s="1094"/>
      <c r="U24" s="1094"/>
      <c r="V24" s="1094"/>
      <c r="W24" s="1094">
        <f t="shared" si="14"/>
        <v>0</v>
      </c>
      <c r="X24" s="1093">
        <v>35015.89</v>
      </c>
      <c r="Y24" s="1094">
        <v>0</v>
      </c>
      <c r="Z24" s="1094">
        <v>35015.89</v>
      </c>
      <c r="AA24" s="1094">
        <v>0</v>
      </c>
      <c r="AB24" s="1094">
        <v>54800.22</v>
      </c>
      <c r="AC24" s="1094">
        <f t="shared" si="15"/>
        <v>124832</v>
      </c>
    </row>
    <row r="25" spans="1:29" ht="15" customHeight="1">
      <c r="A25" s="746" t="s">
        <v>56</v>
      </c>
      <c r="B25" s="751" t="s">
        <v>295</v>
      </c>
      <c r="C25" s="973" t="s">
        <v>266</v>
      </c>
      <c r="D25" s="1100">
        <f t="shared" si="5"/>
        <v>408045.44</v>
      </c>
      <c r="E25" s="1100">
        <f t="shared" si="6"/>
        <v>0</v>
      </c>
      <c r="F25" s="1100">
        <f t="shared" si="7"/>
        <v>408045.44</v>
      </c>
      <c r="G25" s="1102">
        <f t="shared" si="8"/>
        <v>145739.69</v>
      </c>
      <c r="H25" s="1102">
        <f t="shared" si="9"/>
        <v>837972.12</v>
      </c>
      <c r="I25" s="1555">
        <f t="shared" si="10"/>
        <v>1799802.69</v>
      </c>
      <c r="J25" s="1101">
        <f t="shared" si="11"/>
        <v>983711.81</v>
      </c>
      <c r="K25" s="1555">
        <f t="shared" si="12"/>
        <v>1391757.25</v>
      </c>
      <c r="L25" s="1103">
        <v>0</v>
      </c>
      <c r="M25" s="1091">
        <v>0</v>
      </c>
      <c r="N25" s="1091">
        <v>0</v>
      </c>
      <c r="O25" s="1091">
        <v>145739.69</v>
      </c>
      <c r="P25" s="1091">
        <v>0</v>
      </c>
      <c r="Q25" s="1092">
        <f t="shared" si="13"/>
        <v>145739.69</v>
      </c>
      <c r="R25" s="1093"/>
      <c r="S25" s="1094"/>
      <c r="T25" s="1094"/>
      <c r="U25" s="1094"/>
      <c r="V25" s="1094"/>
      <c r="W25" s="1094">
        <f t="shared" si="14"/>
        <v>0</v>
      </c>
      <c r="X25" s="1093">
        <v>408045.44</v>
      </c>
      <c r="Y25" s="1094">
        <v>0</v>
      </c>
      <c r="Z25" s="1094">
        <v>408045.44</v>
      </c>
      <c r="AA25" s="1094">
        <v>0</v>
      </c>
      <c r="AB25" s="1094">
        <v>837972.12</v>
      </c>
      <c r="AC25" s="1094">
        <f t="shared" si="15"/>
        <v>1654063</v>
      </c>
    </row>
    <row r="26" spans="1:29" ht="15" customHeight="1">
      <c r="A26" s="746" t="s">
        <v>58</v>
      </c>
      <c r="B26" s="751" t="s">
        <v>59</v>
      </c>
      <c r="C26" s="973" t="s">
        <v>267</v>
      </c>
      <c r="D26" s="1100">
        <f t="shared" si="5"/>
        <v>43400.62</v>
      </c>
      <c r="E26" s="1100">
        <f t="shared" si="6"/>
        <v>0</v>
      </c>
      <c r="F26" s="1100">
        <f t="shared" si="7"/>
        <v>43400.62</v>
      </c>
      <c r="G26" s="1102">
        <f t="shared" si="8"/>
        <v>0</v>
      </c>
      <c r="H26" s="1102">
        <f t="shared" si="9"/>
        <v>103968.76</v>
      </c>
      <c r="I26" s="1555">
        <f t="shared" si="10"/>
        <v>190770</v>
      </c>
      <c r="J26" s="1101">
        <f t="shared" si="11"/>
        <v>103968.76</v>
      </c>
      <c r="K26" s="1555">
        <f t="shared" si="12"/>
        <v>147369.38</v>
      </c>
      <c r="L26" s="1104"/>
      <c r="M26" s="1094"/>
      <c r="N26" s="1094"/>
      <c r="O26" s="1094"/>
      <c r="P26" s="1094"/>
      <c r="Q26" s="1092">
        <f t="shared" si="13"/>
        <v>0</v>
      </c>
      <c r="R26" s="1093"/>
      <c r="S26" s="1094"/>
      <c r="T26" s="1094"/>
      <c r="U26" s="1094"/>
      <c r="V26" s="1094"/>
      <c r="W26" s="1094">
        <f t="shared" si="14"/>
        <v>0</v>
      </c>
      <c r="X26" s="1093">
        <v>43400.62</v>
      </c>
      <c r="Y26" s="1094">
        <v>0</v>
      </c>
      <c r="Z26" s="1094">
        <v>43400.62</v>
      </c>
      <c r="AA26" s="1094">
        <v>0</v>
      </c>
      <c r="AB26" s="1094">
        <v>103968.76</v>
      </c>
      <c r="AC26" s="1094">
        <f t="shared" si="15"/>
        <v>190770</v>
      </c>
    </row>
    <row r="27" spans="1:29" ht="15" customHeight="1">
      <c r="A27" s="746" t="s">
        <v>60</v>
      </c>
      <c r="B27" s="751" t="s">
        <v>61</v>
      </c>
      <c r="C27" s="973" t="s">
        <v>265</v>
      </c>
      <c r="D27" s="1100">
        <f t="shared" si="5"/>
        <v>14439.28</v>
      </c>
      <c r="E27" s="1100">
        <f t="shared" si="6"/>
        <v>0</v>
      </c>
      <c r="F27" s="1100">
        <f t="shared" si="7"/>
        <v>14439.28</v>
      </c>
      <c r="G27" s="1102">
        <f t="shared" si="8"/>
        <v>0</v>
      </c>
      <c r="H27" s="1102">
        <f t="shared" si="9"/>
        <v>35666.44</v>
      </c>
      <c r="I27" s="1555">
        <f t="shared" si="10"/>
        <v>64545</v>
      </c>
      <c r="J27" s="1101">
        <f t="shared" si="11"/>
        <v>35666.44</v>
      </c>
      <c r="K27" s="1555">
        <f t="shared" si="12"/>
        <v>50105.72</v>
      </c>
      <c r="L27" s="1104"/>
      <c r="M27" s="1094"/>
      <c r="N27" s="1094"/>
      <c r="O27" s="1094"/>
      <c r="P27" s="1094"/>
      <c r="Q27" s="1092">
        <f t="shared" si="13"/>
        <v>0</v>
      </c>
      <c r="R27" s="1093"/>
      <c r="S27" s="1094"/>
      <c r="T27" s="1094"/>
      <c r="U27" s="1094"/>
      <c r="V27" s="1094"/>
      <c r="W27" s="1094">
        <f t="shared" si="14"/>
        <v>0</v>
      </c>
      <c r="X27" s="1093">
        <v>14439.28</v>
      </c>
      <c r="Y27" s="1094">
        <v>0</v>
      </c>
      <c r="Z27" s="1094">
        <v>14439.28</v>
      </c>
      <c r="AA27" s="1094">
        <v>0</v>
      </c>
      <c r="AB27" s="1094">
        <v>35666.44</v>
      </c>
      <c r="AC27" s="1094">
        <f t="shared" si="15"/>
        <v>64545</v>
      </c>
    </row>
    <row r="28" spans="1:29" ht="15" customHeight="1">
      <c r="A28" s="746" t="s">
        <v>62</v>
      </c>
      <c r="B28" s="751" t="s">
        <v>63</v>
      </c>
      <c r="C28" s="973" t="s">
        <v>267</v>
      </c>
      <c r="D28" s="1100">
        <f t="shared" si="5"/>
        <v>167325.23000000001</v>
      </c>
      <c r="E28" s="1100">
        <f t="shared" si="6"/>
        <v>0</v>
      </c>
      <c r="F28" s="1100">
        <f t="shared" si="7"/>
        <v>167325.23000000001</v>
      </c>
      <c r="G28" s="1102">
        <f t="shared" si="8"/>
        <v>0</v>
      </c>
      <c r="H28" s="1102">
        <f t="shared" si="9"/>
        <v>250905.54</v>
      </c>
      <c r="I28" s="1555">
        <f t="shared" si="10"/>
        <v>585556</v>
      </c>
      <c r="J28" s="1101">
        <f t="shared" si="11"/>
        <v>250905.54</v>
      </c>
      <c r="K28" s="1555">
        <f t="shared" si="12"/>
        <v>418230.77</v>
      </c>
      <c r="L28" s="1104"/>
      <c r="M28" s="1094"/>
      <c r="N28" s="1094"/>
      <c r="O28" s="1094"/>
      <c r="P28" s="1094"/>
      <c r="Q28" s="1092">
        <f t="shared" si="13"/>
        <v>0</v>
      </c>
      <c r="R28" s="1093"/>
      <c r="S28" s="1094"/>
      <c r="T28" s="1094"/>
      <c r="U28" s="1094"/>
      <c r="V28" s="1094"/>
      <c r="W28" s="1094">
        <f t="shared" si="14"/>
        <v>0</v>
      </c>
      <c r="X28" s="1093">
        <v>167325.23000000001</v>
      </c>
      <c r="Y28" s="1094">
        <v>0</v>
      </c>
      <c r="Z28" s="1094">
        <v>167325.23000000001</v>
      </c>
      <c r="AA28" s="1094">
        <v>0</v>
      </c>
      <c r="AB28" s="1094">
        <v>250905.54</v>
      </c>
      <c r="AC28" s="1094">
        <f t="shared" si="15"/>
        <v>585556</v>
      </c>
    </row>
    <row r="29" spans="1:29" ht="15" customHeight="1">
      <c r="A29" s="746" t="s">
        <v>64</v>
      </c>
      <c r="B29" s="751" t="s">
        <v>65</v>
      </c>
      <c r="C29" s="973" t="s">
        <v>266</v>
      </c>
      <c r="D29" s="1100">
        <f t="shared" si="5"/>
        <v>29283.39</v>
      </c>
      <c r="E29" s="1100">
        <f t="shared" si="6"/>
        <v>0</v>
      </c>
      <c r="F29" s="1100">
        <f t="shared" si="7"/>
        <v>29283.39</v>
      </c>
      <c r="G29" s="1102">
        <f t="shared" si="8"/>
        <v>0</v>
      </c>
      <c r="H29" s="1102">
        <f t="shared" si="9"/>
        <v>47205.22</v>
      </c>
      <c r="I29" s="1555">
        <f t="shared" si="10"/>
        <v>105772</v>
      </c>
      <c r="J29" s="1101">
        <f t="shared" si="11"/>
        <v>47205.22</v>
      </c>
      <c r="K29" s="1555">
        <f t="shared" si="12"/>
        <v>76488.61</v>
      </c>
      <c r="L29" s="1104"/>
      <c r="M29" s="1094"/>
      <c r="N29" s="1094"/>
      <c r="O29" s="1094"/>
      <c r="P29" s="1094"/>
      <c r="Q29" s="1092">
        <f t="shared" si="13"/>
        <v>0</v>
      </c>
      <c r="R29" s="1093"/>
      <c r="S29" s="1094"/>
      <c r="T29" s="1094"/>
      <c r="U29" s="1094"/>
      <c r="V29" s="1094"/>
      <c r="W29" s="1094">
        <f t="shared" si="14"/>
        <v>0</v>
      </c>
      <c r="X29" s="1093">
        <v>29283.39</v>
      </c>
      <c r="Y29" s="1094">
        <v>0</v>
      </c>
      <c r="Z29" s="1094">
        <v>29283.39</v>
      </c>
      <c r="AA29" s="1094">
        <v>0</v>
      </c>
      <c r="AB29" s="1094">
        <v>47205.22</v>
      </c>
      <c r="AC29" s="1094">
        <f t="shared" si="15"/>
        <v>105772</v>
      </c>
    </row>
    <row r="30" spans="1:29" ht="15" customHeight="1">
      <c r="A30" s="746" t="s">
        <v>68</v>
      </c>
      <c r="B30" s="751" t="s">
        <v>69</v>
      </c>
      <c r="C30" s="973" t="s">
        <v>268</v>
      </c>
      <c r="D30" s="1100">
        <f t="shared" si="5"/>
        <v>32798.1</v>
      </c>
      <c r="E30" s="1100">
        <f t="shared" si="6"/>
        <v>0</v>
      </c>
      <c r="F30" s="1100">
        <f t="shared" si="7"/>
        <v>32798.1</v>
      </c>
      <c r="G30" s="1102">
        <f t="shared" si="8"/>
        <v>0</v>
      </c>
      <c r="H30" s="1102">
        <f t="shared" si="9"/>
        <v>62039.8</v>
      </c>
      <c r="I30" s="1555">
        <f t="shared" si="10"/>
        <v>127636</v>
      </c>
      <c r="J30" s="1101">
        <f t="shared" si="11"/>
        <v>62039.8</v>
      </c>
      <c r="K30" s="1555">
        <f t="shared" si="12"/>
        <v>94837.9</v>
      </c>
      <c r="L30" s="1104"/>
      <c r="M30" s="1094"/>
      <c r="N30" s="1094"/>
      <c r="O30" s="1094"/>
      <c r="P30" s="1094"/>
      <c r="Q30" s="1092">
        <f t="shared" si="13"/>
        <v>0</v>
      </c>
      <c r="R30" s="1093"/>
      <c r="S30" s="1094"/>
      <c r="T30" s="1094"/>
      <c r="U30" s="1094"/>
      <c r="V30" s="1094"/>
      <c r="W30" s="1094">
        <f t="shared" si="14"/>
        <v>0</v>
      </c>
      <c r="X30" s="1093">
        <v>32798.1</v>
      </c>
      <c r="Y30" s="1094">
        <v>0</v>
      </c>
      <c r="Z30" s="1094">
        <v>32798.1</v>
      </c>
      <c r="AA30" s="1094">
        <v>0</v>
      </c>
      <c r="AB30" s="1094">
        <v>62039.8</v>
      </c>
      <c r="AC30" s="1094">
        <f t="shared" si="15"/>
        <v>127636</v>
      </c>
    </row>
    <row r="31" spans="1:29" ht="15" customHeight="1">
      <c r="A31" s="746" t="s">
        <v>70</v>
      </c>
      <c r="B31" s="751" t="s">
        <v>71</v>
      </c>
      <c r="C31" s="973" t="s">
        <v>264</v>
      </c>
      <c r="D31" s="1100">
        <f t="shared" si="5"/>
        <v>45280.45</v>
      </c>
      <c r="E31" s="1100">
        <f t="shared" si="6"/>
        <v>2269</v>
      </c>
      <c r="F31" s="1100">
        <f t="shared" si="7"/>
        <v>45280.45</v>
      </c>
      <c r="G31" s="1102">
        <f t="shared" si="8"/>
        <v>0</v>
      </c>
      <c r="H31" s="1102">
        <f t="shared" si="9"/>
        <v>62843.1</v>
      </c>
      <c r="I31" s="1555">
        <f t="shared" si="10"/>
        <v>155673</v>
      </c>
      <c r="J31" s="1101">
        <f t="shared" si="11"/>
        <v>62843.1</v>
      </c>
      <c r="K31" s="1555">
        <f t="shared" si="12"/>
        <v>108123.54999999999</v>
      </c>
      <c r="L31" s="1104"/>
      <c r="M31" s="1094"/>
      <c r="N31" s="1094"/>
      <c r="O31" s="1094"/>
      <c r="P31" s="1094"/>
      <c r="Q31" s="1092">
        <f t="shared" si="13"/>
        <v>0</v>
      </c>
      <c r="R31" s="1095">
        <v>0</v>
      </c>
      <c r="S31" s="1091">
        <v>2269</v>
      </c>
      <c r="T31" s="1091">
        <v>0</v>
      </c>
      <c r="U31" s="1091">
        <v>0</v>
      </c>
      <c r="V31" s="1091">
        <v>0</v>
      </c>
      <c r="W31" s="1094">
        <f t="shared" si="14"/>
        <v>2269</v>
      </c>
      <c r="X31" s="1095">
        <v>45280.45</v>
      </c>
      <c r="Y31" s="1091">
        <v>0</v>
      </c>
      <c r="Z31" s="1091">
        <v>45280.45</v>
      </c>
      <c r="AA31" s="1091">
        <v>0</v>
      </c>
      <c r="AB31" s="1091">
        <v>62843.1</v>
      </c>
      <c r="AC31" s="1094">
        <f t="shared" si="15"/>
        <v>153404</v>
      </c>
    </row>
    <row r="32" spans="1:29" ht="15" customHeight="1">
      <c r="A32" s="746" t="s">
        <v>72</v>
      </c>
      <c r="B32" s="751" t="s">
        <v>73</v>
      </c>
      <c r="C32" s="973" t="s">
        <v>266</v>
      </c>
      <c r="D32" s="1100">
        <f t="shared" si="5"/>
        <v>14903.24</v>
      </c>
      <c r="E32" s="1100">
        <f t="shared" si="6"/>
        <v>0</v>
      </c>
      <c r="F32" s="1100">
        <f t="shared" si="7"/>
        <v>14903.24</v>
      </c>
      <c r="G32" s="1102">
        <f t="shared" si="8"/>
        <v>0</v>
      </c>
      <c r="H32" s="1102">
        <f t="shared" si="9"/>
        <v>25674.52</v>
      </c>
      <c r="I32" s="1555">
        <f t="shared" si="10"/>
        <v>55481</v>
      </c>
      <c r="J32" s="1101">
        <f t="shared" si="11"/>
        <v>25674.52</v>
      </c>
      <c r="K32" s="1555">
        <f t="shared" si="12"/>
        <v>40577.760000000002</v>
      </c>
      <c r="L32" s="1104"/>
      <c r="M32" s="1094"/>
      <c r="N32" s="1094"/>
      <c r="O32" s="1094"/>
      <c r="P32" s="1094"/>
      <c r="Q32" s="1092">
        <f t="shared" si="13"/>
        <v>0</v>
      </c>
      <c r="R32" s="1093"/>
      <c r="S32" s="1094"/>
      <c r="T32" s="1094"/>
      <c r="U32" s="1094"/>
      <c r="V32" s="1094"/>
      <c r="W32" s="1094">
        <f t="shared" si="14"/>
        <v>0</v>
      </c>
      <c r="X32" s="1093">
        <v>14903.24</v>
      </c>
      <c r="Y32" s="1094">
        <v>0</v>
      </c>
      <c r="Z32" s="1094">
        <v>14903.24</v>
      </c>
      <c r="AA32" s="1094">
        <v>0</v>
      </c>
      <c r="AB32" s="1094">
        <v>25674.52</v>
      </c>
      <c r="AC32" s="1094">
        <f t="shared" si="15"/>
        <v>55481</v>
      </c>
    </row>
    <row r="33" spans="1:29" ht="15" customHeight="1">
      <c r="A33" s="746" t="s">
        <v>74</v>
      </c>
      <c r="B33" s="751" t="s">
        <v>302</v>
      </c>
      <c r="C33" s="973" t="s">
        <v>267</v>
      </c>
      <c r="D33" s="1100">
        <f t="shared" si="5"/>
        <v>803063.02</v>
      </c>
      <c r="E33" s="1100">
        <f t="shared" si="6"/>
        <v>0</v>
      </c>
      <c r="F33" s="1100">
        <f t="shared" si="7"/>
        <v>803063.02</v>
      </c>
      <c r="G33" s="1102">
        <f t="shared" si="8"/>
        <v>0</v>
      </c>
      <c r="H33" s="1102">
        <f t="shared" si="9"/>
        <v>2048131.96</v>
      </c>
      <c r="I33" s="1555">
        <f t="shared" si="10"/>
        <v>3654258</v>
      </c>
      <c r="J33" s="1101">
        <f t="shared" si="11"/>
        <v>2048131.96</v>
      </c>
      <c r="K33" s="1555">
        <f t="shared" si="12"/>
        <v>2851194.98</v>
      </c>
      <c r="L33" s="1104"/>
      <c r="M33" s="1094"/>
      <c r="N33" s="1094"/>
      <c r="O33" s="1094"/>
      <c r="P33" s="1094"/>
      <c r="Q33" s="1092">
        <f t="shared" si="13"/>
        <v>0</v>
      </c>
      <c r="R33" s="1093"/>
      <c r="S33" s="1094"/>
      <c r="T33" s="1094"/>
      <c r="U33" s="1094"/>
      <c r="V33" s="1094"/>
      <c r="W33" s="1094">
        <f t="shared" si="14"/>
        <v>0</v>
      </c>
      <c r="X33" s="1093">
        <v>803063.02</v>
      </c>
      <c r="Y33" s="1094">
        <v>0</v>
      </c>
      <c r="Z33" s="1094">
        <v>803063.02</v>
      </c>
      <c r="AA33" s="1094">
        <v>0</v>
      </c>
      <c r="AB33" s="1094">
        <v>2048131.96</v>
      </c>
      <c r="AC33" s="1094">
        <f t="shared" si="15"/>
        <v>3654258</v>
      </c>
    </row>
    <row r="34" spans="1:29" ht="15" customHeight="1">
      <c r="A34" s="746" t="s">
        <v>76</v>
      </c>
      <c r="B34" s="751" t="s">
        <v>77</v>
      </c>
      <c r="C34" s="973" t="s">
        <v>267</v>
      </c>
      <c r="D34" s="1100">
        <f t="shared" si="5"/>
        <v>57841.66</v>
      </c>
      <c r="E34" s="1100">
        <f t="shared" si="6"/>
        <v>0</v>
      </c>
      <c r="F34" s="1100">
        <f t="shared" si="7"/>
        <v>57841.66</v>
      </c>
      <c r="G34" s="1102">
        <f t="shared" si="8"/>
        <v>14047.75</v>
      </c>
      <c r="H34" s="1102">
        <f t="shared" si="9"/>
        <v>157339.68</v>
      </c>
      <c r="I34" s="1555">
        <f t="shared" si="10"/>
        <v>287070.75</v>
      </c>
      <c r="J34" s="1101">
        <f t="shared" si="11"/>
        <v>171387.43</v>
      </c>
      <c r="K34" s="1555">
        <f t="shared" si="12"/>
        <v>229229.09</v>
      </c>
      <c r="L34" s="1103">
        <v>0</v>
      </c>
      <c r="M34" s="1091">
        <v>0</v>
      </c>
      <c r="N34" s="1091">
        <v>0</v>
      </c>
      <c r="O34" s="1091">
        <v>14047.75</v>
      </c>
      <c r="P34" s="1091">
        <v>0</v>
      </c>
      <c r="Q34" s="1092">
        <f t="shared" si="13"/>
        <v>14047.75</v>
      </c>
      <c r="R34" s="1093"/>
      <c r="S34" s="1094"/>
      <c r="T34" s="1094"/>
      <c r="U34" s="1094"/>
      <c r="V34" s="1094"/>
      <c r="W34" s="1094">
        <f t="shared" si="14"/>
        <v>0</v>
      </c>
      <c r="X34" s="1093">
        <v>57841.66</v>
      </c>
      <c r="Y34" s="1094">
        <v>0</v>
      </c>
      <c r="Z34" s="1094">
        <v>57841.66</v>
      </c>
      <c r="AA34" s="1094">
        <v>0</v>
      </c>
      <c r="AB34" s="1094">
        <v>157339.68</v>
      </c>
      <c r="AC34" s="1094">
        <f t="shared" si="15"/>
        <v>273023</v>
      </c>
    </row>
    <row r="35" spans="1:29" ht="15" customHeight="1">
      <c r="A35" s="746" t="s">
        <v>78</v>
      </c>
      <c r="B35" s="751" t="s">
        <v>79</v>
      </c>
      <c r="C35" s="973" t="s">
        <v>268</v>
      </c>
      <c r="D35" s="1100">
        <f t="shared" si="5"/>
        <v>38634.69</v>
      </c>
      <c r="E35" s="1100">
        <f t="shared" si="6"/>
        <v>0</v>
      </c>
      <c r="F35" s="1100">
        <f t="shared" si="7"/>
        <v>38634.69</v>
      </c>
      <c r="G35" s="1102">
        <f t="shared" si="8"/>
        <v>0</v>
      </c>
      <c r="H35" s="1102">
        <f t="shared" si="9"/>
        <v>56379.62</v>
      </c>
      <c r="I35" s="1555">
        <f t="shared" si="10"/>
        <v>133649</v>
      </c>
      <c r="J35" s="1101">
        <f t="shared" si="11"/>
        <v>56379.62</v>
      </c>
      <c r="K35" s="1555">
        <f t="shared" si="12"/>
        <v>95014.31</v>
      </c>
      <c r="L35" s="1104"/>
      <c r="M35" s="1094"/>
      <c r="N35" s="1094"/>
      <c r="O35" s="1094"/>
      <c r="P35" s="1094"/>
      <c r="Q35" s="1092">
        <f t="shared" si="13"/>
        <v>0</v>
      </c>
      <c r="R35" s="1093"/>
      <c r="S35" s="1094"/>
      <c r="T35" s="1094"/>
      <c r="U35" s="1094"/>
      <c r="V35" s="1094"/>
      <c r="W35" s="1094">
        <f t="shared" si="14"/>
        <v>0</v>
      </c>
      <c r="X35" s="1093">
        <v>38634.69</v>
      </c>
      <c r="Y35" s="1094">
        <v>0</v>
      </c>
      <c r="Z35" s="1094">
        <v>38634.69</v>
      </c>
      <c r="AA35" s="1094">
        <v>0</v>
      </c>
      <c r="AB35" s="1094">
        <v>56379.62</v>
      </c>
      <c r="AC35" s="1094">
        <f t="shared" si="15"/>
        <v>133649</v>
      </c>
    </row>
    <row r="36" spans="1:29" ht="15" customHeight="1">
      <c r="A36" s="746" t="s">
        <v>80</v>
      </c>
      <c r="B36" s="751" t="s">
        <v>81</v>
      </c>
      <c r="C36" s="973" t="s">
        <v>266</v>
      </c>
      <c r="D36" s="1100">
        <f t="shared" si="5"/>
        <v>55764.32</v>
      </c>
      <c r="E36" s="1100">
        <f t="shared" si="6"/>
        <v>0</v>
      </c>
      <c r="F36" s="1100">
        <f t="shared" si="7"/>
        <v>55764.32</v>
      </c>
      <c r="G36" s="1102">
        <f t="shared" si="8"/>
        <v>0</v>
      </c>
      <c r="H36" s="1102">
        <f t="shared" si="9"/>
        <v>144016.35999999999</v>
      </c>
      <c r="I36" s="1555">
        <f t="shared" si="10"/>
        <v>255545</v>
      </c>
      <c r="J36" s="1101">
        <f t="shared" si="11"/>
        <v>144016.35999999999</v>
      </c>
      <c r="K36" s="1555">
        <f t="shared" si="12"/>
        <v>199780.68</v>
      </c>
      <c r="L36" s="1104"/>
      <c r="M36" s="1094"/>
      <c r="N36" s="1094"/>
      <c r="O36" s="1094"/>
      <c r="P36" s="1094"/>
      <c r="Q36" s="1092">
        <f t="shared" si="13"/>
        <v>0</v>
      </c>
      <c r="R36" s="1093"/>
      <c r="S36" s="1094"/>
      <c r="T36" s="1094"/>
      <c r="U36" s="1094"/>
      <c r="V36" s="1094"/>
      <c r="W36" s="1094">
        <f t="shared" si="14"/>
        <v>0</v>
      </c>
      <c r="X36" s="1093">
        <v>55764.32</v>
      </c>
      <c r="Y36" s="1094">
        <v>0</v>
      </c>
      <c r="Z36" s="1094">
        <v>55764.32</v>
      </c>
      <c r="AA36" s="1094">
        <v>0</v>
      </c>
      <c r="AB36" s="1094">
        <v>144016.35999999999</v>
      </c>
      <c r="AC36" s="1094">
        <f t="shared" si="15"/>
        <v>255545</v>
      </c>
    </row>
    <row r="37" spans="1:29" ht="15" customHeight="1">
      <c r="A37" s="746" t="s">
        <v>84</v>
      </c>
      <c r="B37" s="751" t="s">
        <v>308</v>
      </c>
      <c r="C37" s="973" t="s">
        <v>265</v>
      </c>
      <c r="D37" s="1100">
        <f t="shared" si="5"/>
        <v>91065.35</v>
      </c>
      <c r="E37" s="1100">
        <f t="shared" si="6"/>
        <v>0</v>
      </c>
      <c r="F37" s="1100">
        <f t="shared" si="7"/>
        <v>91065.35</v>
      </c>
      <c r="G37" s="1102">
        <f t="shared" si="8"/>
        <v>0</v>
      </c>
      <c r="H37" s="1102">
        <f t="shared" si="9"/>
        <v>148645.29999999999</v>
      </c>
      <c r="I37" s="1555">
        <f t="shared" si="10"/>
        <v>330776</v>
      </c>
      <c r="J37" s="1101">
        <f t="shared" si="11"/>
        <v>148645.29999999999</v>
      </c>
      <c r="K37" s="1555">
        <f t="shared" si="12"/>
        <v>239710.65</v>
      </c>
      <c r="L37" s="1104"/>
      <c r="M37" s="1094"/>
      <c r="N37" s="1094"/>
      <c r="O37" s="1094"/>
      <c r="P37" s="1094"/>
      <c r="Q37" s="1092">
        <f t="shared" si="13"/>
        <v>0</v>
      </c>
      <c r="R37" s="1093"/>
      <c r="S37" s="1094"/>
      <c r="T37" s="1094"/>
      <c r="U37" s="1094"/>
      <c r="V37" s="1094"/>
      <c r="W37" s="1094">
        <f t="shared" si="14"/>
        <v>0</v>
      </c>
      <c r="X37" s="1093">
        <v>91065.35</v>
      </c>
      <c r="Y37" s="1094">
        <v>0</v>
      </c>
      <c r="Z37" s="1094">
        <v>91065.35</v>
      </c>
      <c r="AA37" s="1094">
        <v>0</v>
      </c>
      <c r="AB37" s="1094">
        <v>148645.29999999999</v>
      </c>
      <c r="AC37" s="1094">
        <f t="shared" si="15"/>
        <v>330776</v>
      </c>
    </row>
    <row r="38" spans="1:29" ht="15" customHeight="1">
      <c r="A38" s="746" t="s">
        <v>86</v>
      </c>
      <c r="B38" s="751" t="s">
        <v>87</v>
      </c>
      <c r="C38" s="973" t="s">
        <v>267</v>
      </c>
      <c r="D38" s="1100">
        <f t="shared" si="5"/>
        <v>65924.7</v>
      </c>
      <c r="E38" s="1100">
        <f t="shared" si="6"/>
        <v>0</v>
      </c>
      <c r="F38" s="1100">
        <f t="shared" si="7"/>
        <v>65924.7</v>
      </c>
      <c r="G38" s="1102">
        <f t="shared" si="8"/>
        <v>0</v>
      </c>
      <c r="H38" s="1102">
        <f t="shared" si="9"/>
        <v>120295.6</v>
      </c>
      <c r="I38" s="1555">
        <f t="shared" si="10"/>
        <v>252145</v>
      </c>
      <c r="J38" s="1101">
        <f t="shared" si="11"/>
        <v>120295.6</v>
      </c>
      <c r="K38" s="1555">
        <f t="shared" si="12"/>
        <v>186220.3</v>
      </c>
      <c r="L38" s="1104"/>
      <c r="M38" s="1094"/>
      <c r="N38" s="1094"/>
      <c r="O38" s="1094"/>
      <c r="P38" s="1094"/>
      <c r="Q38" s="1092">
        <f t="shared" si="13"/>
        <v>0</v>
      </c>
      <c r="R38" s="1093"/>
      <c r="S38" s="1094"/>
      <c r="T38" s="1094"/>
      <c r="U38" s="1094"/>
      <c r="V38" s="1094"/>
      <c r="W38" s="1094">
        <f t="shared" si="14"/>
        <v>0</v>
      </c>
      <c r="X38" s="1093">
        <v>65924.7</v>
      </c>
      <c r="Y38" s="1094">
        <v>0</v>
      </c>
      <c r="Z38" s="1094">
        <v>65924.7</v>
      </c>
      <c r="AA38" s="1094">
        <v>0</v>
      </c>
      <c r="AB38" s="1094">
        <v>120295.6</v>
      </c>
      <c r="AC38" s="1094">
        <f t="shared" si="15"/>
        <v>252145</v>
      </c>
    </row>
    <row r="39" spans="1:29" ht="15" customHeight="1">
      <c r="A39" s="746" t="s">
        <v>92</v>
      </c>
      <c r="B39" s="751" t="s">
        <v>93</v>
      </c>
      <c r="C39" s="973" t="s">
        <v>268</v>
      </c>
      <c r="D39" s="1100">
        <f t="shared" si="5"/>
        <v>27383.75</v>
      </c>
      <c r="E39" s="1100">
        <f t="shared" si="6"/>
        <v>0</v>
      </c>
      <c r="F39" s="1100">
        <f t="shared" si="7"/>
        <v>27383.75</v>
      </c>
      <c r="G39" s="1102">
        <f t="shared" si="8"/>
        <v>0</v>
      </c>
      <c r="H39" s="1102">
        <f t="shared" si="9"/>
        <v>43800.5</v>
      </c>
      <c r="I39" s="1555">
        <f t="shared" si="10"/>
        <v>98568</v>
      </c>
      <c r="J39" s="1101">
        <f t="shared" si="11"/>
        <v>43800.5</v>
      </c>
      <c r="K39" s="1555">
        <f t="shared" si="12"/>
        <v>71184.25</v>
      </c>
      <c r="L39" s="1104"/>
      <c r="M39" s="1094"/>
      <c r="N39" s="1094"/>
      <c r="O39" s="1094"/>
      <c r="P39" s="1094"/>
      <c r="Q39" s="1092">
        <f t="shared" si="13"/>
        <v>0</v>
      </c>
      <c r="R39" s="1093"/>
      <c r="S39" s="1094"/>
      <c r="T39" s="1094"/>
      <c r="U39" s="1094"/>
      <c r="V39" s="1094"/>
      <c r="W39" s="1094">
        <f t="shared" si="14"/>
        <v>0</v>
      </c>
      <c r="X39" s="1093">
        <v>27383.75</v>
      </c>
      <c r="Y39" s="1094">
        <v>0</v>
      </c>
      <c r="Z39" s="1094">
        <v>27383.75</v>
      </c>
      <c r="AA39" s="1094">
        <v>0</v>
      </c>
      <c r="AB39" s="1094">
        <v>43800.5</v>
      </c>
      <c r="AC39" s="1094">
        <f t="shared" si="15"/>
        <v>98568</v>
      </c>
    </row>
    <row r="40" spans="1:29" ht="15" customHeight="1">
      <c r="A40" s="746" t="s">
        <v>94</v>
      </c>
      <c r="B40" s="751" t="s">
        <v>95</v>
      </c>
      <c r="C40" s="973" t="s">
        <v>264</v>
      </c>
      <c r="D40" s="1100">
        <f t="shared" si="5"/>
        <v>85087.05</v>
      </c>
      <c r="E40" s="1100">
        <f t="shared" si="6"/>
        <v>0</v>
      </c>
      <c r="F40" s="1100">
        <f t="shared" si="7"/>
        <v>85087.05</v>
      </c>
      <c r="G40" s="1102">
        <f t="shared" si="8"/>
        <v>866.13</v>
      </c>
      <c r="H40" s="1102">
        <f t="shared" si="9"/>
        <v>162178.9</v>
      </c>
      <c r="I40" s="1555">
        <f t="shared" si="10"/>
        <v>333219.13</v>
      </c>
      <c r="J40" s="1101">
        <f t="shared" si="11"/>
        <v>163045.03</v>
      </c>
      <c r="K40" s="1555">
        <f t="shared" si="12"/>
        <v>248132.08000000002</v>
      </c>
      <c r="L40" s="1103">
        <v>0</v>
      </c>
      <c r="M40" s="1091">
        <v>0</v>
      </c>
      <c r="N40" s="1091">
        <v>0</v>
      </c>
      <c r="O40" s="1091">
        <v>866.13</v>
      </c>
      <c r="P40" s="1091">
        <v>0</v>
      </c>
      <c r="Q40" s="1092">
        <f t="shared" si="13"/>
        <v>866.13</v>
      </c>
      <c r="R40" s="1093"/>
      <c r="S40" s="1094"/>
      <c r="T40" s="1094"/>
      <c r="U40" s="1094"/>
      <c r="V40" s="1094"/>
      <c r="W40" s="1094">
        <f t="shared" si="14"/>
        <v>0</v>
      </c>
      <c r="X40" s="1093">
        <v>85087.05</v>
      </c>
      <c r="Y40" s="1094">
        <v>0</v>
      </c>
      <c r="Z40" s="1094">
        <v>85087.05</v>
      </c>
      <c r="AA40" s="1094">
        <v>0</v>
      </c>
      <c r="AB40" s="1094">
        <v>162178.9</v>
      </c>
      <c r="AC40" s="1094">
        <f t="shared" si="15"/>
        <v>332353</v>
      </c>
    </row>
    <row r="41" spans="1:29" ht="15" customHeight="1">
      <c r="A41" s="746" t="s">
        <v>96</v>
      </c>
      <c r="B41" s="751" t="s">
        <v>97</v>
      </c>
      <c r="C41" s="973" t="s">
        <v>266</v>
      </c>
      <c r="D41" s="1100">
        <f t="shared" si="5"/>
        <v>56301.7</v>
      </c>
      <c r="E41" s="1100">
        <f t="shared" si="6"/>
        <v>0</v>
      </c>
      <c r="F41" s="1100">
        <f t="shared" si="7"/>
        <v>56301.7</v>
      </c>
      <c r="G41" s="1102">
        <f t="shared" si="8"/>
        <v>0</v>
      </c>
      <c r="H41" s="1102">
        <f t="shared" si="9"/>
        <v>139058.6</v>
      </c>
      <c r="I41" s="1555">
        <f t="shared" si="10"/>
        <v>251662</v>
      </c>
      <c r="J41" s="1101">
        <f t="shared" si="11"/>
        <v>139058.6</v>
      </c>
      <c r="K41" s="1555">
        <f t="shared" si="12"/>
        <v>195360.3</v>
      </c>
      <c r="L41" s="1103"/>
      <c r="M41" s="1091"/>
      <c r="N41" s="1091"/>
      <c r="O41" s="1091"/>
      <c r="P41" s="1091"/>
      <c r="Q41" s="1092">
        <f t="shared" si="13"/>
        <v>0</v>
      </c>
      <c r="R41" s="1093"/>
      <c r="S41" s="1094"/>
      <c r="T41" s="1094"/>
      <c r="U41" s="1094"/>
      <c r="V41" s="1094"/>
      <c r="W41" s="1094">
        <f t="shared" si="14"/>
        <v>0</v>
      </c>
      <c r="X41" s="1093">
        <v>56301.7</v>
      </c>
      <c r="Y41" s="1094">
        <v>0</v>
      </c>
      <c r="Z41" s="1094">
        <v>56301.7</v>
      </c>
      <c r="AA41" s="1094">
        <v>0</v>
      </c>
      <c r="AB41" s="1094">
        <v>139058.6</v>
      </c>
      <c r="AC41" s="1094">
        <f t="shared" si="15"/>
        <v>251662</v>
      </c>
    </row>
    <row r="42" spans="1:29" ht="15" customHeight="1">
      <c r="A42" s="746" t="s">
        <v>98</v>
      </c>
      <c r="B42" s="751" t="s">
        <v>99</v>
      </c>
      <c r="C42" s="973" t="s">
        <v>268</v>
      </c>
      <c r="D42" s="1100">
        <f t="shared" si="5"/>
        <v>48818.14</v>
      </c>
      <c r="E42" s="1100">
        <f t="shared" si="6"/>
        <v>0</v>
      </c>
      <c r="F42" s="1100">
        <f t="shared" si="7"/>
        <v>48818.14</v>
      </c>
      <c r="G42" s="1102">
        <f t="shared" si="8"/>
        <v>0</v>
      </c>
      <c r="H42" s="1102">
        <f t="shared" si="9"/>
        <v>89597.72</v>
      </c>
      <c r="I42" s="1555">
        <f t="shared" si="10"/>
        <v>187234</v>
      </c>
      <c r="J42" s="1101">
        <f t="shared" si="11"/>
        <v>89597.72</v>
      </c>
      <c r="K42" s="1555">
        <f t="shared" si="12"/>
        <v>138415.85999999999</v>
      </c>
      <c r="L42" s="1104"/>
      <c r="M42" s="1094"/>
      <c r="N42" s="1094"/>
      <c r="O42" s="1094"/>
      <c r="P42" s="1094"/>
      <c r="Q42" s="1092">
        <f t="shared" si="13"/>
        <v>0</v>
      </c>
      <c r="R42" s="1093"/>
      <c r="S42" s="1094"/>
      <c r="T42" s="1094"/>
      <c r="U42" s="1094"/>
      <c r="V42" s="1094"/>
      <c r="W42" s="1094">
        <f t="shared" si="14"/>
        <v>0</v>
      </c>
      <c r="X42" s="1093">
        <v>48818.14</v>
      </c>
      <c r="Y42" s="1094">
        <v>0</v>
      </c>
      <c r="Z42" s="1094">
        <v>48818.14</v>
      </c>
      <c r="AA42" s="1094">
        <v>0</v>
      </c>
      <c r="AB42" s="1094">
        <v>89597.72</v>
      </c>
      <c r="AC42" s="1094">
        <f t="shared" si="15"/>
        <v>187234</v>
      </c>
    </row>
    <row r="43" spans="1:29" ht="15" customHeight="1">
      <c r="A43" s="746" t="s">
        <v>100</v>
      </c>
      <c r="B43" s="751" t="s">
        <v>101</v>
      </c>
      <c r="C43" s="973" t="s">
        <v>267</v>
      </c>
      <c r="D43" s="1100">
        <f t="shared" si="5"/>
        <v>32246.5</v>
      </c>
      <c r="E43" s="1100">
        <f t="shared" si="6"/>
        <v>0</v>
      </c>
      <c r="F43" s="1100">
        <f t="shared" si="7"/>
        <v>32246.5</v>
      </c>
      <c r="G43" s="1102">
        <f t="shared" si="8"/>
        <v>0</v>
      </c>
      <c r="H43" s="1102">
        <f t="shared" si="9"/>
        <v>62746</v>
      </c>
      <c r="I43" s="1555">
        <f t="shared" si="10"/>
        <v>127239</v>
      </c>
      <c r="J43" s="1101">
        <f t="shared" si="11"/>
        <v>62746</v>
      </c>
      <c r="K43" s="1555">
        <f t="shared" si="12"/>
        <v>94992.5</v>
      </c>
      <c r="L43" s="1103"/>
      <c r="M43" s="1091"/>
      <c r="N43" s="1091"/>
      <c r="O43" s="1091"/>
      <c r="P43" s="1091"/>
      <c r="Q43" s="1092">
        <f t="shared" si="13"/>
        <v>0</v>
      </c>
      <c r="R43" s="1093"/>
      <c r="S43" s="1094"/>
      <c r="T43" s="1094"/>
      <c r="U43" s="1094"/>
      <c r="V43" s="1094"/>
      <c r="W43" s="1094">
        <f t="shared" si="14"/>
        <v>0</v>
      </c>
      <c r="X43" s="1093">
        <v>32246.5</v>
      </c>
      <c r="Y43" s="1094">
        <v>0</v>
      </c>
      <c r="Z43" s="1094">
        <v>32246.5</v>
      </c>
      <c r="AA43" s="1094">
        <v>0</v>
      </c>
      <c r="AB43" s="1094">
        <v>62746</v>
      </c>
      <c r="AC43" s="1094">
        <f t="shared" si="15"/>
        <v>127239</v>
      </c>
    </row>
    <row r="44" spans="1:29" ht="15" customHeight="1">
      <c r="A44" s="746" t="s">
        <v>102</v>
      </c>
      <c r="B44" s="751" t="s">
        <v>103</v>
      </c>
      <c r="C44" s="973" t="s">
        <v>264</v>
      </c>
      <c r="D44" s="1100">
        <f t="shared" si="5"/>
        <v>44996.86</v>
      </c>
      <c r="E44" s="1100">
        <f t="shared" si="6"/>
        <v>0</v>
      </c>
      <c r="F44" s="1100">
        <f t="shared" si="7"/>
        <v>44996.86</v>
      </c>
      <c r="G44" s="1102">
        <f t="shared" si="8"/>
        <v>0</v>
      </c>
      <c r="H44" s="1102">
        <f t="shared" si="9"/>
        <v>67505.279999999999</v>
      </c>
      <c r="I44" s="1555">
        <f t="shared" si="10"/>
        <v>157499</v>
      </c>
      <c r="J44" s="1101">
        <f t="shared" si="11"/>
        <v>67505.279999999999</v>
      </c>
      <c r="K44" s="1555">
        <f t="shared" si="12"/>
        <v>112502.14</v>
      </c>
      <c r="L44" s="1104"/>
      <c r="M44" s="1094"/>
      <c r="N44" s="1094"/>
      <c r="O44" s="1094"/>
      <c r="P44" s="1094"/>
      <c r="Q44" s="1092">
        <f t="shared" si="13"/>
        <v>0</v>
      </c>
      <c r="R44" s="1093"/>
      <c r="S44" s="1094"/>
      <c r="T44" s="1094"/>
      <c r="U44" s="1094"/>
      <c r="V44" s="1094"/>
      <c r="W44" s="1094">
        <f t="shared" si="14"/>
        <v>0</v>
      </c>
      <c r="X44" s="1093">
        <v>44996.86</v>
      </c>
      <c r="Y44" s="1094">
        <v>0</v>
      </c>
      <c r="Z44" s="1094">
        <v>44996.86</v>
      </c>
      <c r="AA44" s="1094">
        <v>0</v>
      </c>
      <c r="AB44" s="1094">
        <v>67505.279999999999</v>
      </c>
      <c r="AC44" s="1094">
        <f t="shared" si="15"/>
        <v>157499</v>
      </c>
    </row>
    <row r="45" spans="1:29" ht="15" customHeight="1">
      <c r="A45" s="746" t="s">
        <v>104</v>
      </c>
      <c r="B45" s="751" t="s">
        <v>309</v>
      </c>
      <c r="C45" s="973" t="s">
        <v>265</v>
      </c>
      <c r="D45" s="1100">
        <f t="shared" si="5"/>
        <v>112146.22</v>
      </c>
      <c r="E45" s="1100">
        <f t="shared" si="6"/>
        <v>0</v>
      </c>
      <c r="F45" s="1100">
        <f t="shared" si="7"/>
        <v>112146.22</v>
      </c>
      <c r="G45" s="1102">
        <f t="shared" si="8"/>
        <v>0</v>
      </c>
      <c r="H45" s="1102">
        <f t="shared" si="9"/>
        <v>181462.56</v>
      </c>
      <c r="I45" s="1555">
        <f t="shared" si="10"/>
        <v>405755</v>
      </c>
      <c r="J45" s="1101">
        <f t="shared" si="11"/>
        <v>181462.56</v>
      </c>
      <c r="K45" s="1555">
        <f t="shared" si="12"/>
        <v>293608.78000000003</v>
      </c>
      <c r="L45" s="1104"/>
      <c r="M45" s="1094"/>
      <c r="N45" s="1094"/>
      <c r="O45" s="1094"/>
      <c r="P45" s="1094"/>
      <c r="Q45" s="1092">
        <f t="shared" si="13"/>
        <v>0</v>
      </c>
      <c r="R45" s="1093"/>
      <c r="S45" s="1094"/>
      <c r="T45" s="1094"/>
      <c r="U45" s="1094"/>
      <c r="V45" s="1094"/>
      <c r="W45" s="1094">
        <f t="shared" si="14"/>
        <v>0</v>
      </c>
      <c r="X45" s="1093">
        <v>112146.22</v>
      </c>
      <c r="Y45" s="1094">
        <v>0</v>
      </c>
      <c r="Z45" s="1094">
        <v>112146.22</v>
      </c>
      <c r="AA45" s="1094">
        <v>0</v>
      </c>
      <c r="AB45" s="1094">
        <v>181462.56</v>
      </c>
      <c r="AC45" s="1094">
        <f t="shared" si="15"/>
        <v>405755</v>
      </c>
    </row>
    <row r="46" spans="1:29" ht="15" customHeight="1">
      <c r="A46" s="746" t="s">
        <v>108</v>
      </c>
      <c r="B46" s="751" t="s">
        <v>109</v>
      </c>
      <c r="C46" s="973" t="s">
        <v>266</v>
      </c>
      <c r="D46" s="1100">
        <f t="shared" si="5"/>
        <v>170195.22</v>
      </c>
      <c r="E46" s="1100">
        <f t="shared" si="6"/>
        <v>0</v>
      </c>
      <c r="F46" s="1100">
        <f t="shared" si="7"/>
        <v>170195.22</v>
      </c>
      <c r="G46" s="1102">
        <f t="shared" si="8"/>
        <v>0</v>
      </c>
      <c r="H46" s="1102">
        <f t="shared" si="9"/>
        <v>310087.56</v>
      </c>
      <c r="I46" s="1555">
        <f t="shared" si="10"/>
        <v>650478</v>
      </c>
      <c r="J46" s="1101">
        <f t="shared" si="11"/>
        <v>310087.56</v>
      </c>
      <c r="K46" s="1555">
        <f t="shared" si="12"/>
        <v>480282.78</v>
      </c>
      <c r="L46" s="1104"/>
      <c r="M46" s="1094"/>
      <c r="N46" s="1094"/>
      <c r="O46" s="1094"/>
      <c r="P46" s="1094"/>
      <c r="Q46" s="1092">
        <f t="shared" si="13"/>
        <v>0</v>
      </c>
      <c r="R46" s="1093"/>
      <c r="S46" s="1094"/>
      <c r="T46" s="1094"/>
      <c r="U46" s="1094"/>
      <c r="V46" s="1094"/>
      <c r="W46" s="1094">
        <f t="shared" si="14"/>
        <v>0</v>
      </c>
      <c r="X46" s="1093">
        <v>170195.22</v>
      </c>
      <c r="Y46" s="1094">
        <v>0</v>
      </c>
      <c r="Z46" s="1094">
        <v>170195.22</v>
      </c>
      <c r="AA46" s="1094">
        <v>0</v>
      </c>
      <c r="AB46" s="1094">
        <v>310087.56</v>
      </c>
      <c r="AC46" s="1094">
        <f t="shared" si="15"/>
        <v>650478</v>
      </c>
    </row>
    <row r="47" spans="1:29" ht="15" customHeight="1">
      <c r="A47" s="746" t="s">
        <v>110</v>
      </c>
      <c r="B47" s="751" t="s">
        <v>111</v>
      </c>
      <c r="C47" s="973" t="s">
        <v>266</v>
      </c>
      <c r="D47" s="1100">
        <f t="shared" si="5"/>
        <v>415816.93</v>
      </c>
      <c r="E47" s="1100">
        <f t="shared" si="6"/>
        <v>0</v>
      </c>
      <c r="F47" s="1100">
        <f t="shared" si="7"/>
        <v>415816.93</v>
      </c>
      <c r="G47" s="1102">
        <f t="shared" si="8"/>
        <v>56265.98</v>
      </c>
      <c r="H47" s="1102">
        <f t="shared" si="9"/>
        <v>819957.14</v>
      </c>
      <c r="I47" s="1555">
        <f t="shared" si="10"/>
        <v>1707856.98</v>
      </c>
      <c r="J47" s="1101">
        <f t="shared" si="11"/>
        <v>876223.12</v>
      </c>
      <c r="K47" s="1555">
        <f t="shared" si="12"/>
        <v>1292040.05</v>
      </c>
      <c r="L47" s="1103">
        <v>0</v>
      </c>
      <c r="M47" s="1091">
        <v>0</v>
      </c>
      <c r="N47" s="1091">
        <v>0</v>
      </c>
      <c r="O47" s="1091">
        <v>56265.98</v>
      </c>
      <c r="P47" s="1091">
        <v>0</v>
      </c>
      <c r="Q47" s="1092">
        <f t="shared" si="13"/>
        <v>56265.98</v>
      </c>
      <c r="R47" s="1093"/>
      <c r="S47" s="1094"/>
      <c r="T47" s="1094"/>
      <c r="U47" s="1094"/>
      <c r="V47" s="1094"/>
      <c r="W47" s="1094">
        <f t="shared" si="14"/>
        <v>0</v>
      </c>
      <c r="X47" s="1093">
        <v>415816.93</v>
      </c>
      <c r="Y47" s="1094">
        <v>0</v>
      </c>
      <c r="Z47" s="1094">
        <v>415816.93</v>
      </c>
      <c r="AA47" s="1094">
        <v>0</v>
      </c>
      <c r="AB47" s="1094">
        <v>819957.14</v>
      </c>
      <c r="AC47" s="1094">
        <f t="shared" si="15"/>
        <v>1651591</v>
      </c>
    </row>
    <row r="48" spans="1:29" ht="15" customHeight="1">
      <c r="A48" s="746" t="s">
        <v>112</v>
      </c>
      <c r="B48" s="751" t="s">
        <v>300</v>
      </c>
      <c r="C48" s="973" t="s">
        <v>265</v>
      </c>
      <c r="D48" s="1100">
        <f t="shared" si="5"/>
        <v>26132.16</v>
      </c>
      <c r="E48" s="1100">
        <f t="shared" si="6"/>
        <v>0</v>
      </c>
      <c r="F48" s="1100">
        <f t="shared" si="7"/>
        <v>26132.16</v>
      </c>
      <c r="G48" s="1102">
        <f t="shared" si="8"/>
        <v>60544.92</v>
      </c>
      <c r="H48" s="1102">
        <f t="shared" si="9"/>
        <v>42155.68</v>
      </c>
      <c r="I48" s="1555">
        <f t="shared" si="10"/>
        <v>154964.91999999998</v>
      </c>
      <c r="J48" s="1101">
        <f t="shared" si="11"/>
        <v>102700.6</v>
      </c>
      <c r="K48" s="1555">
        <f t="shared" si="12"/>
        <v>128832.76000000001</v>
      </c>
      <c r="L48" s="1103">
        <v>0</v>
      </c>
      <c r="M48" s="1091">
        <v>0</v>
      </c>
      <c r="N48" s="1091">
        <v>0</v>
      </c>
      <c r="O48" s="1091">
        <v>60544.92</v>
      </c>
      <c r="P48" s="1091">
        <v>0</v>
      </c>
      <c r="Q48" s="1092">
        <f t="shared" si="13"/>
        <v>60544.92</v>
      </c>
      <c r="R48" s="1093"/>
      <c r="S48" s="1094"/>
      <c r="T48" s="1094"/>
      <c r="U48" s="1094"/>
      <c r="V48" s="1094"/>
      <c r="W48" s="1094">
        <f t="shared" si="14"/>
        <v>0</v>
      </c>
      <c r="X48" s="1093">
        <v>26132.16</v>
      </c>
      <c r="Y48" s="1094">
        <v>0</v>
      </c>
      <c r="Z48" s="1094">
        <v>26132.16</v>
      </c>
      <c r="AA48" s="1094">
        <v>0</v>
      </c>
      <c r="AB48" s="1094">
        <v>42155.68</v>
      </c>
      <c r="AC48" s="1094">
        <f t="shared" si="15"/>
        <v>94420</v>
      </c>
    </row>
    <row r="49" spans="1:29" ht="15" customHeight="1">
      <c r="A49" s="746" t="s">
        <v>114</v>
      </c>
      <c r="B49" s="751" t="s">
        <v>115</v>
      </c>
      <c r="C49" s="973" t="s">
        <v>265</v>
      </c>
      <c r="D49" s="1100">
        <f t="shared" si="5"/>
        <v>32199.17</v>
      </c>
      <c r="E49" s="1100">
        <f t="shared" si="6"/>
        <v>0</v>
      </c>
      <c r="F49" s="1100">
        <f t="shared" si="7"/>
        <v>32199.17</v>
      </c>
      <c r="G49" s="1102">
        <f t="shared" si="8"/>
        <v>0</v>
      </c>
      <c r="H49" s="1102">
        <f t="shared" si="9"/>
        <v>31160.66</v>
      </c>
      <c r="I49" s="1555">
        <f t="shared" si="10"/>
        <v>95559</v>
      </c>
      <c r="J49" s="1101">
        <f t="shared" si="11"/>
        <v>31160.66</v>
      </c>
      <c r="K49" s="1555">
        <f t="shared" si="12"/>
        <v>63359.83</v>
      </c>
      <c r="L49" s="1103"/>
      <c r="M49" s="1091"/>
      <c r="N49" s="1091"/>
      <c r="O49" s="1091"/>
      <c r="P49" s="1091"/>
      <c r="Q49" s="1092">
        <f t="shared" si="13"/>
        <v>0</v>
      </c>
      <c r="R49" s="1093"/>
      <c r="S49" s="1094"/>
      <c r="T49" s="1094"/>
      <c r="U49" s="1094"/>
      <c r="V49" s="1094"/>
      <c r="W49" s="1094">
        <f t="shared" si="14"/>
        <v>0</v>
      </c>
      <c r="X49" s="1093">
        <v>32199.17</v>
      </c>
      <c r="Y49" s="1094">
        <v>0</v>
      </c>
      <c r="Z49" s="1094">
        <v>32199.17</v>
      </c>
      <c r="AA49" s="1094">
        <v>0</v>
      </c>
      <c r="AB49" s="1094">
        <v>31160.66</v>
      </c>
      <c r="AC49" s="1094">
        <f t="shared" si="15"/>
        <v>95559</v>
      </c>
    </row>
    <row r="50" spans="1:29" ht="15" customHeight="1">
      <c r="A50" s="746" t="s">
        <v>118</v>
      </c>
      <c r="B50" s="751" t="s">
        <v>119</v>
      </c>
      <c r="C50" s="973" t="s">
        <v>264</v>
      </c>
      <c r="D50" s="1100">
        <f t="shared" si="5"/>
        <v>74179.199999999997</v>
      </c>
      <c r="E50" s="1100">
        <f t="shared" si="6"/>
        <v>0</v>
      </c>
      <c r="F50" s="1100">
        <f t="shared" si="7"/>
        <v>74179.199999999997</v>
      </c>
      <c r="G50" s="1102">
        <f t="shared" si="8"/>
        <v>0</v>
      </c>
      <c r="H50" s="1102">
        <f t="shared" si="9"/>
        <v>201082.6</v>
      </c>
      <c r="I50" s="1555">
        <f t="shared" si="10"/>
        <v>349441</v>
      </c>
      <c r="J50" s="1101">
        <f t="shared" si="11"/>
        <v>201082.6</v>
      </c>
      <c r="K50" s="1555">
        <f t="shared" si="12"/>
        <v>275261.8</v>
      </c>
      <c r="L50" s="1104"/>
      <c r="M50" s="1094"/>
      <c r="N50" s="1094"/>
      <c r="O50" s="1094"/>
      <c r="P50" s="1094"/>
      <c r="Q50" s="1092">
        <f t="shared" si="13"/>
        <v>0</v>
      </c>
      <c r="R50" s="1093"/>
      <c r="S50" s="1094"/>
      <c r="T50" s="1094"/>
      <c r="U50" s="1094"/>
      <c r="V50" s="1094"/>
      <c r="W50" s="1094">
        <f t="shared" si="14"/>
        <v>0</v>
      </c>
      <c r="X50" s="1093">
        <v>74179.199999999997</v>
      </c>
      <c r="Y50" s="1094">
        <v>0</v>
      </c>
      <c r="Z50" s="1094">
        <v>74179.199999999997</v>
      </c>
      <c r="AA50" s="1094">
        <v>0</v>
      </c>
      <c r="AB50" s="1094">
        <v>201082.6</v>
      </c>
      <c r="AC50" s="1094">
        <f t="shared" si="15"/>
        <v>349441</v>
      </c>
    </row>
    <row r="51" spans="1:29" ht="15" customHeight="1">
      <c r="A51" s="746" t="s">
        <v>120</v>
      </c>
      <c r="B51" s="751" t="s">
        <v>121</v>
      </c>
      <c r="C51" s="973" t="s">
        <v>264</v>
      </c>
      <c r="D51" s="1100">
        <f t="shared" si="5"/>
        <v>109825.93</v>
      </c>
      <c r="E51" s="1100">
        <f t="shared" si="6"/>
        <v>0</v>
      </c>
      <c r="F51" s="1100">
        <f t="shared" si="7"/>
        <v>109825.93</v>
      </c>
      <c r="G51" s="1102">
        <f t="shared" si="8"/>
        <v>18540.830000000002</v>
      </c>
      <c r="H51" s="1102">
        <f t="shared" si="9"/>
        <v>263461.14</v>
      </c>
      <c r="I51" s="1555">
        <f t="shared" si="10"/>
        <v>501653.83</v>
      </c>
      <c r="J51" s="1101">
        <f t="shared" si="11"/>
        <v>282001.97000000003</v>
      </c>
      <c r="K51" s="1555">
        <f t="shared" si="12"/>
        <v>391827.9</v>
      </c>
      <c r="L51" s="1103">
        <v>0</v>
      </c>
      <c r="M51" s="1091">
        <v>0</v>
      </c>
      <c r="N51" s="1091">
        <v>0</v>
      </c>
      <c r="O51" s="1091">
        <v>18540.830000000002</v>
      </c>
      <c r="P51" s="1091">
        <v>0</v>
      </c>
      <c r="Q51" s="1092">
        <f t="shared" si="13"/>
        <v>18540.830000000002</v>
      </c>
      <c r="R51" s="1093"/>
      <c r="S51" s="1094"/>
      <c r="T51" s="1094"/>
      <c r="U51" s="1094"/>
      <c r="V51" s="1094"/>
      <c r="W51" s="1094">
        <f t="shared" si="14"/>
        <v>0</v>
      </c>
      <c r="X51" s="1093">
        <v>109825.93</v>
      </c>
      <c r="Y51" s="1094">
        <v>0</v>
      </c>
      <c r="Z51" s="1094">
        <v>109825.93</v>
      </c>
      <c r="AA51" s="1094">
        <v>0</v>
      </c>
      <c r="AB51" s="1094">
        <v>263461.14</v>
      </c>
      <c r="AC51" s="1094">
        <f t="shared" si="15"/>
        <v>483113</v>
      </c>
    </row>
    <row r="52" spans="1:29" ht="15" customHeight="1">
      <c r="A52" s="746" t="s">
        <v>122</v>
      </c>
      <c r="B52" s="751" t="s">
        <v>271</v>
      </c>
      <c r="C52" s="973" t="s">
        <v>266</v>
      </c>
      <c r="D52" s="1100">
        <f t="shared" si="5"/>
        <v>42884.46</v>
      </c>
      <c r="E52" s="1100">
        <f t="shared" si="6"/>
        <v>0</v>
      </c>
      <c r="F52" s="1100">
        <f t="shared" si="7"/>
        <v>42884.46</v>
      </c>
      <c r="G52" s="1102">
        <f t="shared" si="8"/>
        <v>0</v>
      </c>
      <c r="H52" s="1102">
        <f t="shared" si="9"/>
        <v>61740.08</v>
      </c>
      <c r="I52" s="1555">
        <f t="shared" si="10"/>
        <v>147509</v>
      </c>
      <c r="J52" s="1101">
        <f t="shared" si="11"/>
        <v>61740.08</v>
      </c>
      <c r="K52" s="1555">
        <f t="shared" si="12"/>
        <v>104624.54000000001</v>
      </c>
      <c r="L52" s="1104"/>
      <c r="M52" s="1094"/>
      <c r="N52" s="1094"/>
      <c r="O52" s="1094"/>
      <c r="P52" s="1094"/>
      <c r="Q52" s="1092">
        <f t="shared" si="13"/>
        <v>0</v>
      </c>
      <c r="R52" s="1093"/>
      <c r="S52" s="1094"/>
      <c r="T52" s="1094"/>
      <c r="U52" s="1094"/>
      <c r="V52" s="1094"/>
      <c r="W52" s="1094">
        <f t="shared" si="14"/>
        <v>0</v>
      </c>
      <c r="X52" s="1093">
        <v>42884.46</v>
      </c>
      <c r="Y52" s="1094">
        <v>0</v>
      </c>
      <c r="Z52" s="1094">
        <v>42884.46</v>
      </c>
      <c r="AA52" s="1094">
        <v>0</v>
      </c>
      <c r="AB52" s="1094">
        <v>61740.08</v>
      </c>
      <c r="AC52" s="1094">
        <f t="shared" si="15"/>
        <v>147509</v>
      </c>
    </row>
    <row r="53" spans="1:29" ht="15" customHeight="1">
      <c r="A53" s="746" t="s">
        <v>124</v>
      </c>
      <c r="B53" s="751" t="s">
        <v>125</v>
      </c>
      <c r="C53" s="973" t="s">
        <v>267</v>
      </c>
      <c r="D53" s="1100">
        <f t="shared" si="5"/>
        <v>25362.25</v>
      </c>
      <c r="E53" s="1100">
        <f t="shared" si="6"/>
        <v>0</v>
      </c>
      <c r="F53" s="1100">
        <f t="shared" si="7"/>
        <v>25362.25</v>
      </c>
      <c r="G53" s="1102">
        <f t="shared" si="8"/>
        <v>0</v>
      </c>
      <c r="H53" s="1102">
        <f t="shared" si="9"/>
        <v>49350.5</v>
      </c>
      <c r="I53" s="1555">
        <f t="shared" si="10"/>
        <v>100075</v>
      </c>
      <c r="J53" s="1101">
        <f t="shared" si="11"/>
        <v>49350.5</v>
      </c>
      <c r="K53" s="1555">
        <f t="shared" si="12"/>
        <v>74712.75</v>
      </c>
      <c r="L53" s="1103"/>
      <c r="M53" s="1091"/>
      <c r="N53" s="1091"/>
      <c r="O53" s="1091"/>
      <c r="P53" s="1091"/>
      <c r="Q53" s="1092">
        <f t="shared" si="13"/>
        <v>0</v>
      </c>
      <c r="R53" s="1093"/>
      <c r="S53" s="1094"/>
      <c r="T53" s="1094"/>
      <c r="U53" s="1094"/>
      <c r="V53" s="1094"/>
      <c r="W53" s="1094">
        <f t="shared" si="14"/>
        <v>0</v>
      </c>
      <c r="X53" s="1093">
        <v>25362.25</v>
      </c>
      <c r="Y53" s="1094">
        <v>0</v>
      </c>
      <c r="Z53" s="1094">
        <v>25362.25</v>
      </c>
      <c r="AA53" s="1094">
        <v>0</v>
      </c>
      <c r="AB53" s="1094">
        <v>49350.5</v>
      </c>
      <c r="AC53" s="1094">
        <f t="shared" si="15"/>
        <v>100075</v>
      </c>
    </row>
    <row r="54" spans="1:29" ht="15" customHeight="1">
      <c r="A54" s="746" t="s">
        <v>126</v>
      </c>
      <c r="B54" s="751" t="s">
        <v>127</v>
      </c>
      <c r="C54" s="973" t="s">
        <v>266</v>
      </c>
      <c r="D54" s="1100">
        <f t="shared" si="5"/>
        <v>34253.43</v>
      </c>
      <c r="E54" s="1100">
        <f t="shared" si="6"/>
        <v>0</v>
      </c>
      <c r="F54" s="1100">
        <f t="shared" si="7"/>
        <v>34253.43</v>
      </c>
      <c r="G54" s="1102">
        <f t="shared" si="8"/>
        <v>0</v>
      </c>
      <c r="H54" s="1102">
        <f t="shared" si="9"/>
        <v>66651.14</v>
      </c>
      <c r="I54" s="1555">
        <f t="shared" si="10"/>
        <v>135158</v>
      </c>
      <c r="J54" s="1101">
        <f t="shared" si="11"/>
        <v>66651.14</v>
      </c>
      <c r="K54" s="1555">
        <f t="shared" si="12"/>
        <v>100904.57</v>
      </c>
      <c r="L54" s="1103"/>
      <c r="M54" s="1091"/>
      <c r="N54" s="1091"/>
      <c r="O54" s="1091"/>
      <c r="P54" s="1091"/>
      <c r="Q54" s="1092">
        <f t="shared" si="13"/>
        <v>0</v>
      </c>
      <c r="R54" s="1093"/>
      <c r="S54" s="1094"/>
      <c r="T54" s="1094"/>
      <c r="U54" s="1094"/>
      <c r="V54" s="1094"/>
      <c r="W54" s="1094">
        <f t="shared" si="14"/>
        <v>0</v>
      </c>
      <c r="X54" s="1093">
        <v>34253.43</v>
      </c>
      <c r="Y54" s="1094">
        <v>0</v>
      </c>
      <c r="Z54" s="1094">
        <v>34253.43</v>
      </c>
      <c r="AA54" s="1094">
        <v>0</v>
      </c>
      <c r="AB54" s="1094">
        <v>66651.14</v>
      </c>
      <c r="AC54" s="1094">
        <f t="shared" si="15"/>
        <v>135158</v>
      </c>
    </row>
    <row r="55" spans="1:29" ht="15" customHeight="1">
      <c r="A55" s="746" t="s">
        <v>128</v>
      </c>
      <c r="B55" s="751" t="s">
        <v>129</v>
      </c>
      <c r="C55" s="973" t="s">
        <v>266</v>
      </c>
      <c r="D55" s="1100">
        <f t="shared" si="5"/>
        <v>27574.33</v>
      </c>
      <c r="E55" s="1100">
        <f t="shared" si="6"/>
        <v>0</v>
      </c>
      <c r="F55" s="1100">
        <f t="shared" si="7"/>
        <v>27574.33</v>
      </c>
      <c r="G55" s="1102">
        <f t="shared" si="8"/>
        <v>0</v>
      </c>
      <c r="H55" s="1102">
        <f t="shared" si="9"/>
        <v>40443.339999999997</v>
      </c>
      <c r="I55" s="1555">
        <f t="shared" si="10"/>
        <v>95592</v>
      </c>
      <c r="J55" s="1101">
        <f t="shared" si="11"/>
        <v>40443.339999999997</v>
      </c>
      <c r="K55" s="1555">
        <f t="shared" si="12"/>
        <v>68017.67</v>
      </c>
      <c r="L55" s="1103"/>
      <c r="M55" s="1091"/>
      <c r="N55" s="1091"/>
      <c r="O55" s="1091"/>
      <c r="P55" s="1091"/>
      <c r="Q55" s="1092">
        <f t="shared" si="13"/>
        <v>0</v>
      </c>
      <c r="R55" s="1093"/>
      <c r="S55" s="1094"/>
      <c r="T55" s="1094"/>
      <c r="U55" s="1094"/>
      <c r="V55" s="1094"/>
      <c r="W55" s="1094">
        <f t="shared" si="14"/>
        <v>0</v>
      </c>
      <c r="X55" s="1093">
        <v>27574.33</v>
      </c>
      <c r="Y55" s="1094">
        <v>0</v>
      </c>
      <c r="Z55" s="1094">
        <v>27574.33</v>
      </c>
      <c r="AA55" s="1094">
        <v>0</v>
      </c>
      <c r="AB55" s="1094">
        <v>40443.339999999997</v>
      </c>
      <c r="AC55" s="1094">
        <f t="shared" si="15"/>
        <v>95592</v>
      </c>
    </row>
    <row r="56" spans="1:29" ht="15" customHeight="1">
      <c r="A56" s="746" t="s">
        <v>130</v>
      </c>
      <c r="B56" s="751" t="s">
        <v>131</v>
      </c>
      <c r="C56" s="973" t="s">
        <v>268</v>
      </c>
      <c r="D56" s="1100">
        <f t="shared" si="5"/>
        <v>56419.28</v>
      </c>
      <c r="E56" s="1100">
        <f t="shared" si="6"/>
        <v>0</v>
      </c>
      <c r="F56" s="1100">
        <f t="shared" si="7"/>
        <v>56419.28</v>
      </c>
      <c r="G56" s="1102">
        <f t="shared" si="8"/>
        <v>0</v>
      </c>
      <c r="H56" s="1102">
        <f t="shared" si="9"/>
        <v>95194.44</v>
      </c>
      <c r="I56" s="1555">
        <f t="shared" si="10"/>
        <v>208033</v>
      </c>
      <c r="J56" s="1101">
        <f t="shared" si="11"/>
        <v>95194.44</v>
      </c>
      <c r="K56" s="1555">
        <f t="shared" si="12"/>
        <v>151613.72</v>
      </c>
      <c r="L56" s="1104"/>
      <c r="M56" s="1094"/>
      <c r="N56" s="1094"/>
      <c r="O56" s="1094"/>
      <c r="P56" s="1094"/>
      <c r="Q56" s="1092">
        <f t="shared" si="13"/>
        <v>0</v>
      </c>
      <c r="R56" s="1093"/>
      <c r="S56" s="1094"/>
      <c r="T56" s="1094"/>
      <c r="U56" s="1094"/>
      <c r="V56" s="1094"/>
      <c r="W56" s="1094">
        <f t="shared" si="14"/>
        <v>0</v>
      </c>
      <c r="X56" s="1093">
        <v>56419.28</v>
      </c>
      <c r="Y56" s="1094">
        <v>0</v>
      </c>
      <c r="Z56" s="1094">
        <v>56419.28</v>
      </c>
      <c r="AA56" s="1094">
        <v>0</v>
      </c>
      <c r="AB56" s="1094">
        <v>95194.44</v>
      </c>
      <c r="AC56" s="1094">
        <f t="shared" si="15"/>
        <v>208033</v>
      </c>
    </row>
    <row r="57" spans="1:29" ht="15" customHeight="1">
      <c r="A57" s="746" t="s">
        <v>132</v>
      </c>
      <c r="B57" s="751" t="s">
        <v>133</v>
      </c>
      <c r="C57" s="973" t="s">
        <v>267</v>
      </c>
      <c r="D57" s="1100">
        <f t="shared" si="5"/>
        <v>606332.19999999995</v>
      </c>
      <c r="E57" s="1100">
        <f t="shared" si="6"/>
        <v>0</v>
      </c>
      <c r="F57" s="1100">
        <f t="shared" si="7"/>
        <v>606332.19999999995</v>
      </c>
      <c r="G57" s="1102">
        <f t="shared" si="8"/>
        <v>0</v>
      </c>
      <c r="H57" s="1102">
        <f t="shared" si="9"/>
        <v>2092495.6</v>
      </c>
      <c r="I57" s="1555">
        <f t="shared" si="10"/>
        <v>3305160</v>
      </c>
      <c r="J57" s="1101">
        <f t="shared" si="11"/>
        <v>2092495.6</v>
      </c>
      <c r="K57" s="1555">
        <f t="shared" si="12"/>
        <v>2698827.8</v>
      </c>
      <c r="L57" s="1104"/>
      <c r="M57" s="1094"/>
      <c r="N57" s="1094"/>
      <c r="O57" s="1094"/>
      <c r="P57" s="1094"/>
      <c r="Q57" s="1092">
        <f t="shared" si="13"/>
        <v>0</v>
      </c>
      <c r="R57" s="1093"/>
      <c r="S57" s="1094"/>
      <c r="T57" s="1094"/>
      <c r="U57" s="1094"/>
      <c r="V57" s="1094"/>
      <c r="W57" s="1094">
        <f t="shared" si="14"/>
        <v>0</v>
      </c>
      <c r="X57" s="1093">
        <v>606332.19999999995</v>
      </c>
      <c r="Y57" s="1094">
        <v>0</v>
      </c>
      <c r="Z57" s="1094">
        <v>606332.19999999995</v>
      </c>
      <c r="AA57" s="1094">
        <v>0</v>
      </c>
      <c r="AB57" s="1094">
        <v>2092495.6</v>
      </c>
      <c r="AC57" s="1094">
        <f t="shared" si="15"/>
        <v>3305160</v>
      </c>
    </row>
    <row r="58" spans="1:29" ht="15" customHeight="1">
      <c r="A58" s="746" t="s">
        <v>134</v>
      </c>
      <c r="B58" s="751" t="s">
        <v>135</v>
      </c>
      <c r="C58" s="973" t="s">
        <v>267</v>
      </c>
      <c r="D58" s="1100">
        <f t="shared" si="5"/>
        <v>86704.49</v>
      </c>
      <c r="E58" s="1100">
        <f t="shared" si="6"/>
        <v>0</v>
      </c>
      <c r="F58" s="1100">
        <f t="shared" si="7"/>
        <v>86704.49</v>
      </c>
      <c r="G58" s="1102">
        <f t="shared" si="8"/>
        <v>0</v>
      </c>
      <c r="H58" s="1102">
        <f t="shared" si="9"/>
        <v>152153.01999999999</v>
      </c>
      <c r="I58" s="1555">
        <f t="shared" si="10"/>
        <v>325562</v>
      </c>
      <c r="J58" s="1101">
        <f t="shared" si="11"/>
        <v>152153.01999999999</v>
      </c>
      <c r="K58" s="1555">
        <f t="shared" si="12"/>
        <v>238857.51</v>
      </c>
      <c r="L58" s="1103"/>
      <c r="M58" s="1091"/>
      <c r="N58" s="1091"/>
      <c r="O58" s="1091"/>
      <c r="P58" s="1091"/>
      <c r="Q58" s="1092">
        <f t="shared" si="13"/>
        <v>0</v>
      </c>
      <c r="R58" s="1093"/>
      <c r="S58" s="1094"/>
      <c r="T58" s="1094"/>
      <c r="U58" s="1094"/>
      <c r="V58" s="1094"/>
      <c r="W58" s="1094">
        <f t="shared" si="14"/>
        <v>0</v>
      </c>
      <c r="X58" s="1093">
        <v>86704.49</v>
      </c>
      <c r="Y58" s="1094">
        <v>0</v>
      </c>
      <c r="Z58" s="1094">
        <v>86704.49</v>
      </c>
      <c r="AA58" s="1094">
        <v>0</v>
      </c>
      <c r="AB58" s="1094">
        <v>152153.01999999999</v>
      </c>
      <c r="AC58" s="1094">
        <f t="shared" si="15"/>
        <v>325562</v>
      </c>
    </row>
    <row r="59" spans="1:29" ht="15" customHeight="1">
      <c r="A59" s="746" t="s">
        <v>136</v>
      </c>
      <c r="B59" s="751" t="s">
        <v>137</v>
      </c>
      <c r="C59" s="973" t="s">
        <v>266</v>
      </c>
      <c r="D59" s="1100">
        <f t="shared" si="5"/>
        <v>30941.51</v>
      </c>
      <c r="E59" s="1100">
        <f t="shared" si="6"/>
        <v>0</v>
      </c>
      <c r="F59" s="1100">
        <f t="shared" si="7"/>
        <v>30941.51</v>
      </c>
      <c r="G59" s="1102">
        <f t="shared" si="8"/>
        <v>0</v>
      </c>
      <c r="H59" s="1102">
        <f t="shared" si="9"/>
        <v>45480.98</v>
      </c>
      <c r="I59" s="1555">
        <f t="shared" si="10"/>
        <v>107364</v>
      </c>
      <c r="J59" s="1101">
        <f t="shared" si="11"/>
        <v>45480.98</v>
      </c>
      <c r="K59" s="1555">
        <f t="shared" si="12"/>
        <v>76422.490000000005</v>
      </c>
      <c r="L59" s="1104"/>
      <c r="M59" s="1094"/>
      <c r="N59" s="1094"/>
      <c r="O59" s="1094"/>
      <c r="P59" s="1094"/>
      <c r="Q59" s="1092">
        <f t="shared" si="13"/>
        <v>0</v>
      </c>
      <c r="R59" s="1093"/>
      <c r="S59" s="1094"/>
      <c r="T59" s="1094"/>
      <c r="U59" s="1094"/>
      <c r="V59" s="1094"/>
      <c r="W59" s="1094">
        <f t="shared" si="14"/>
        <v>0</v>
      </c>
      <c r="X59" s="1093">
        <v>30941.51</v>
      </c>
      <c r="Y59" s="1094">
        <v>0</v>
      </c>
      <c r="Z59" s="1094">
        <v>30941.51</v>
      </c>
      <c r="AA59" s="1094">
        <v>0</v>
      </c>
      <c r="AB59" s="1094">
        <v>45480.98</v>
      </c>
      <c r="AC59" s="1094">
        <f t="shared" si="15"/>
        <v>107364</v>
      </c>
    </row>
    <row r="60" spans="1:29" ht="15" customHeight="1">
      <c r="A60" s="746" t="s">
        <v>140</v>
      </c>
      <c r="B60" s="751" t="s">
        <v>141</v>
      </c>
      <c r="C60" s="973" t="s">
        <v>267</v>
      </c>
      <c r="D60" s="1100">
        <f t="shared" si="5"/>
        <v>28234.41</v>
      </c>
      <c r="E60" s="1100">
        <f t="shared" si="6"/>
        <v>0</v>
      </c>
      <c r="F60" s="1100">
        <f t="shared" si="7"/>
        <v>28234.41</v>
      </c>
      <c r="G60" s="1102">
        <f t="shared" si="8"/>
        <v>0</v>
      </c>
      <c r="H60" s="1102">
        <f t="shared" si="9"/>
        <v>52780.18</v>
      </c>
      <c r="I60" s="1555">
        <f t="shared" si="10"/>
        <v>109249</v>
      </c>
      <c r="J60" s="1101">
        <f t="shared" si="11"/>
        <v>52780.18</v>
      </c>
      <c r="K60" s="1555">
        <f t="shared" si="12"/>
        <v>81014.59</v>
      </c>
      <c r="L60" s="1104"/>
      <c r="M60" s="1094"/>
      <c r="N60" s="1094"/>
      <c r="O60" s="1094"/>
      <c r="P60" s="1094"/>
      <c r="Q60" s="1092">
        <f t="shared" si="13"/>
        <v>0</v>
      </c>
      <c r="R60" s="1093"/>
      <c r="S60" s="1094"/>
      <c r="T60" s="1094"/>
      <c r="U60" s="1094"/>
      <c r="V60" s="1094"/>
      <c r="W60" s="1094">
        <f t="shared" si="14"/>
        <v>0</v>
      </c>
      <c r="X60" s="1093">
        <v>28234.41</v>
      </c>
      <c r="Y60" s="1094">
        <v>0</v>
      </c>
      <c r="Z60" s="1094">
        <v>28234.41</v>
      </c>
      <c r="AA60" s="1094">
        <v>0</v>
      </c>
      <c r="AB60" s="1094">
        <v>52780.18</v>
      </c>
      <c r="AC60" s="1094">
        <f t="shared" si="15"/>
        <v>109249</v>
      </c>
    </row>
    <row r="61" spans="1:29" ht="15" customHeight="1">
      <c r="A61" s="746" t="s">
        <v>146</v>
      </c>
      <c r="B61" s="751" t="s">
        <v>147</v>
      </c>
      <c r="C61" s="973" t="s">
        <v>264</v>
      </c>
      <c r="D61" s="1100">
        <f t="shared" si="5"/>
        <v>43097.48</v>
      </c>
      <c r="E61" s="1100">
        <f t="shared" si="6"/>
        <v>0</v>
      </c>
      <c r="F61" s="1100">
        <f t="shared" si="7"/>
        <v>43097.48</v>
      </c>
      <c r="G61" s="1102">
        <f t="shared" si="8"/>
        <v>0</v>
      </c>
      <c r="H61" s="1102">
        <f t="shared" si="9"/>
        <v>59802.04</v>
      </c>
      <c r="I61" s="1555">
        <f t="shared" si="10"/>
        <v>145997</v>
      </c>
      <c r="J61" s="1101">
        <f t="shared" si="11"/>
        <v>59802.04</v>
      </c>
      <c r="K61" s="1555">
        <f t="shared" si="12"/>
        <v>102899.52</v>
      </c>
      <c r="L61" s="1103"/>
      <c r="M61" s="1091"/>
      <c r="N61" s="1091"/>
      <c r="O61" s="1091"/>
      <c r="P61" s="1091"/>
      <c r="Q61" s="1092">
        <f t="shared" si="13"/>
        <v>0</v>
      </c>
      <c r="R61" s="1093"/>
      <c r="S61" s="1094"/>
      <c r="T61" s="1094"/>
      <c r="U61" s="1094"/>
      <c r="V61" s="1094"/>
      <c r="W61" s="1094">
        <f t="shared" si="14"/>
        <v>0</v>
      </c>
      <c r="X61" s="1093">
        <v>43097.48</v>
      </c>
      <c r="Y61" s="1094">
        <v>0</v>
      </c>
      <c r="Z61" s="1094">
        <v>43097.48</v>
      </c>
      <c r="AA61" s="1094">
        <v>0</v>
      </c>
      <c r="AB61" s="1094">
        <v>59802.04</v>
      </c>
      <c r="AC61" s="1094">
        <f t="shared" si="15"/>
        <v>145997</v>
      </c>
    </row>
    <row r="62" spans="1:29" ht="15" customHeight="1">
      <c r="A62" s="746" t="s">
        <v>148</v>
      </c>
      <c r="B62" s="751" t="s">
        <v>149</v>
      </c>
      <c r="C62" s="973" t="s">
        <v>265</v>
      </c>
      <c r="D62" s="1100">
        <f t="shared" si="5"/>
        <v>106849.62</v>
      </c>
      <c r="E62" s="1100">
        <f t="shared" si="6"/>
        <v>0</v>
      </c>
      <c r="F62" s="1100">
        <f t="shared" si="7"/>
        <v>106849.62</v>
      </c>
      <c r="G62" s="1102">
        <f t="shared" si="8"/>
        <v>626.49</v>
      </c>
      <c r="H62" s="1102">
        <f t="shared" si="9"/>
        <v>155958.76</v>
      </c>
      <c r="I62" s="1555">
        <f t="shared" si="10"/>
        <v>370284.49</v>
      </c>
      <c r="J62" s="1101">
        <f t="shared" si="11"/>
        <v>156585.25</v>
      </c>
      <c r="K62" s="1555">
        <f t="shared" si="12"/>
        <v>263434.87</v>
      </c>
      <c r="L62" s="1104">
        <v>0</v>
      </c>
      <c r="M62" s="1094">
        <v>0</v>
      </c>
      <c r="N62" s="1094">
        <v>0</v>
      </c>
      <c r="O62" s="1094">
        <v>626.49</v>
      </c>
      <c r="P62" s="1094">
        <v>0</v>
      </c>
      <c r="Q62" s="1092">
        <f t="shared" si="13"/>
        <v>626.49</v>
      </c>
      <c r="R62" s="1093"/>
      <c r="S62" s="1094"/>
      <c r="T62" s="1094"/>
      <c r="U62" s="1094"/>
      <c r="V62" s="1094"/>
      <c r="W62" s="1094">
        <f t="shared" si="14"/>
        <v>0</v>
      </c>
      <c r="X62" s="1093">
        <v>106849.62</v>
      </c>
      <c r="Y62" s="1094">
        <v>0</v>
      </c>
      <c r="Z62" s="1094">
        <v>106849.62</v>
      </c>
      <c r="AA62" s="1094">
        <v>0</v>
      </c>
      <c r="AB62" s="1094">
        <v>155958.76</v>
      </c>
      <c r="AC62" s="1094">
        <f t="shared" si="15"/>
        <v>369658</v>
      </c>
    </row>
    <row r="63" spans="1:29" ht="15" customHeight="1">
      <c r="A63" s="746" t="s">
        <v>150</v>
      </c>
      <c r="B63" s="751" t="s">
        <v>151</v>
      </c>
      <c r="C63" s="973" t="s">
        <v>266</v>
      </c>
      <c r="D63" s="1100">
        <f t="shared" si="5"/>
        <v>24843.18</v>
      </c>
      <c r="E63" s="1100">
        <f t="shared" si="6"/>
        <v>0</v>
      </c>
      <c r="F63" s="1100">
        <f t="shared" si="7"/>
        <v>24843.18</v>
      </c>
      <c r="G63" s="1102">
        <f t="shared" si="8"/>
        <v>0</v>
      </c>
      <c r="H63" s="1102">
        <f t="shared" si="9"/>
        <v>57691.64</v>
      </c>
      <c r="I63" s="1555">
        <f t="shared" si="10"/>
        <v>107378</v>
      </c>
      <c r="J63" s="1101">
        <f t="shared" si="11"/>
        <v>57691.64</v>
      </c>
      <c r="K63" s="1555">
        <f t="shared" si="12"/>
        <v>82534.820000000007</v>
      </c>
      <c r="L63" s="1104"/>
      <c r="M63" s="1094"/>
      <c r="N63" s="1094"/>
      <c r="O63" s="1094"/>
      <c r="P63" s="1094"/>
      <c r="Q63" s="1092">
        <f t="shared" si="13"/>
        <v>0</v>
      </c>
      <c r="R63" s="1093"/>
      <c r="S63" s="1094"/>
      <c r="T63" s="1094"/>
      <c r="U63" s="1094"/>
      <c r="V63" s="1094"/>
      <c r="W63" s="1094">
        <f t="shared" si="14"/>
        <v>0</v>
      </c>
      <c r="X63" s="1093">
        <v>24843.18</v>
      </c>
      <c r="Y63" s="1094">
        <v>0</v>
      </c>
      <c r="Z63" s="1094">
        <v>24843.18</v>
      </c>
      <c r="AA63" s="1094">
        <v>0</v>
      </c>
      <c r="AB63" s="1094">
        <v>57691.64</v>
      </c>
      <c r="AC63" s="1094">
        <f t="shared" si="15"/>
        <v>107378</v>
      </c>
    </row>
    <row r="64" spans="1:29" ht="15" customHeight="1">
      <c r="A64" s="746" t="s">
        <v>152</v>
      </c>
      <c r="B64" s="751" t="s">
        <v>153</v>
      </c>
      <c r="C64" s="973" t="s">
        <v>268</v>
      </c>
      <c r="D64" s="1100">
        <f t="shared" si="5"/>
        <v>125416.51</v>
      </c>
      <c r="E64" s="1100">
        <f t="shared" si="6"/>
        <v>0</v>
      </c>
      <c r="F64" s="1100">
        <f t="shared" si="7"/>
        <v>125416.51</v>
      </c>
      <c r="G64" s="1102">
        <f t="shared" si="8"/>
        <v>0</v>
      </c>
      <c r="H64" s="1102">
        <f t="shared" si="9"/>
        <v>197235.98</v>
      </c>
      <c r="I64" s="1555">
        <f t="shared" si="10"/>
        <v>448069</v>
      </c>
      <c r="J64" s="1101">
        <f t="shared" si="11"/>
        <v>197235.98</v>
      </c>
      <c r="K64" s="1555">
        <f t="shared" si="12"/>
        <v>322652.49</v>
      </c>
      <c r="L64" s="1104"/>
      <c r="M64" s="1094"/>
      <c r="N64" s="1094"/>
      <c r="O64" s="1094"/>
      <c r="P64" s="1094"/>
      <c r="Q64" s="1092">
        <f t="shared" si="13"/>
        <v>0</v>
      </c>
      <c r="R64" s="1093"/>
      <c r="S64" s="1094"/>
      <c r="T64" s="1094"/>
      <c r="U64" s="1094"/>
      <c r="V64" s="1094"/>
      <c r="W64" s="1094">
        <f t="shared" si="14"/>
        <v>0</v>
      </c>
      <c r="X64" s="1093">
        <v>125416.51</v>
      </c>
      <c r="Y64" s="1094">
        <v>0</v>
      </c>
      <c r="Z64" s="1094">
        <v>125416.51</v>
      </c>
      <c r="AA64" s="1094">
        <v>0</v>
      </c>
      <c r="AB64" s="1094">
        <v>197235.98</v>
      </c>
      <c r="AC64" s="1094">
        <f t="shared" si="15"/>
        <v>448069</v>
      </c>
    </row>
    <row r="65" spans="1:29" ht="15" customHeight="1">
      <c r="A65" s="746" t="s">
        <v>154</v>
      </c>
      <c r="B65" s="751" t="s">
        <v>155</v>
      </c>
      <c r="C65" s="973" t="s">
        <v>265</v>
      </c>
      <c r="D65" s="1100">
        <f t="shared" si="5"/>
        <v>0</v>
      </c>
      <c r="E65" s="1100">
        <f t="shared" si="6"/>
        <v>0</v>
      </c>
      <c r="F65" s="1100">
        <f t="shared" si="7"/>
        <v>0</v>
      </c>
      <c r="G65" s="1102">
        <f t="shared" si="8"/>
        <v>0</v>
      </c>
      <c r="H65" s="1102">
        <f t="shared" si="9"/>
        <v>0</v>
      </c>
      <c r="I65" s="1555">
        <f t="shared" si="10"/>
        <v>0</v>
      </c>
      <c r="J65" s="1101">
        <f t="shared" si="11"/>
        <v>0</v>
      </c>
      <c r="K65" s="1555">
        <f t="shared" si="12"/>
        <v>0</v>
      </c>
      <c r="L65" s="1104"/>
      <c r="M65" s="1094"/>
      <c r="N65" s="1094"/>
      <c r="O65" s="1094"/>
      <c r="P65" s="1094"/>
      <c r="Q65" s="1092">
        <f t="shared" si="13"/>
        <v>0</v>
      </c>
      <c r="R65" s="1093"/>
      <c r="S65" s="1094"/>
      <c r="T65" s="1094"/>
      <c r="U65" s="1094"/>
      <c r="V65" s="1094"/>
      <c r="W65" s="1094">
        <f t="shared" si="14"/>
        <v>0</v>
      </c>
      <c r="X65" s="1093"/>
      <c r="Y65" s="1094"/>
      <c r="Z65" s="1094"/>
      <c r="AA65" s="1094"/>
      <c r="AB65" s="1094"/>
      <c r="AC65" s="1094">
        <f t="shared" si="15"/>
        <v>0</v>
      </c>
    </row>
    <row r="66" spans="1:29" ht="15" customHeight="1">
      <c r="A66" s="746" t="s">
        <v>156</v>
      </c>
      <c r="B66" s="751" t="s">
        <v>157</v>
      </c>
      <c r="C66" s="973" t="s">
        <v>266</v>
      </c>
      <c r="D66" s="1100">
        <f t="shared" si="5"/>
        <v>64312.03</v>
      </c>
      <c r="E66" s="1100">
        <f t="shared" si="6"/>
        <v>0</v>
      </c>
      <c r="F66" s="1100">
        <f t="shared" si="7"/>
        <v>64312.03</v>
      </c>
      <c r="G66" s="1102">
        <f t="shared" si="8"/>
        <v>15026.51</v>
      </c>
      <c r="H66" s="1102">
        <f t="shared" si="9"/>
        <v>64785.94</v>
      </c>
      <c r="I66" s="1555">
        <f t="shared" si="10"/>
        <v>208436.51</v>
      </c>
      <c r="J66" s="1101">
        <f t="shared" si="11"/>
        <v>79812.45</v>
      </c>
      <c r="K66" s="1555">
        <f t="shared" si="12"/>
        <v>144124.47999999998</v>
      </c>
      <c r="L66" s="1103">
        <v>0</v>
      </c>
      <c r="M66" s="1091">
        <v>0</v>
      </c>
      <c r="N66" s="1091">
        <v>0</v>
      </c>
      <c r="O66" s="1091">
        <v>15026.51</v>
      </c>
      <c r="P66" s="1091">
        <v>0</v>
      </c>
      <c r="Q66" s="1092">
        <f t="shared" si="13"/>
        <v>15026.51</v>
      </c>
      <c r="R66" s="1093"/>
      <c r="S66" s="1094"/>
      <c r="T66" s="1094"/>
      <c r="U66" s="1094"/>
      <c r="V66" s="1094"/>
      <c r="W66" s="1094">
        <f t="shared" si="14"/>
        <v>0</v>
      </c>
      <c r="X66" s="1093">
        <v>64312.03</v>
      </c>
      <c r="Y66" s="1094">
        <v>0</v>
      </c>
      <c r="Z66" s="1094">
        <v>64312.03</v>
      </c>
      <c r="AA66" s="1094">
        <v>0</v>
      </c>
      <c r="AB66" s="1094">
        <v>64785.94</v>
      </c>
      <c r="AC66" s="1094">
        <f t="shared" si="15"/>
        <v>193410</v>
      </c>
    </row>
    <row r="67" spans="1:29" ht="15" customHeight="1">
      <c r="A67" s="746" t="s">
        <v>162</v>
      </c>
      <c r="B67" s="751" t="s">
        <v>163</v>
      </c>
      <c r="C67" s="973" t="s">
        <v>264</v>
      </c>
      <c r="D67" s="1100">
        <f t="shared" si="5"/>
        <v>69762.36</v>
      </c>
      <c r="E67" s="1100">
        <f t="shared" si="6"/>
        <v>0</v>
      </c>
      <c r="F67" s="1100">
        <f t="shared" si="7"/>
        <v>69762.36</v>
      </c>
      <c r="G67" s="1102">
        <f t="shared" si="8"/>
        <v>0</v>
      </c>
      <c r="H67" s="1102">
        <f t="shared" si="9"/>
        <v>120155.28</v>
      </c>
      <c r="I67" s="1555">
        <f t="shared" si="10"/>
        <v>259680</v>
      </c>
      <c r="J67" s="1101">
        <f t="shared" si="11"/>
        <v>120155.28</v>
      </c>
      <c r="K67" s="1555">
        <f t="shared" si="12"/>
        <v>189917.64</v>
      </c>
      <c r="L67" s="1104"/>
      <c r="M67" s="1094"/>
      <c r="N67" s="1094"/>
      <c r="O67" s="1094"/>
      <c r="P67" s="1094"/>
      <c r="Q67" s="1092">
        <f t="shared" si="13"/>
        <v>0</v>
      </c>
      <c r="R67" s="1093"/>
      <c r="S67" s="1094"/>
      <c r="T67" s="1094"/>
      <c r="U67" s="1094"/>
      <c r="V67" s="1094"/>
      <c r="W67" s="1094">
        <f t="shared" si="14"/>
        <v>0</v>
      </c>
      <c r="X67" s="1093">
        <v>69762.36</v>
      </c>
      <c r="Y67" s="1094">
        <v>0</v>
      </c>
      <c r="Z67" s="1094">
        <v>69762.36</v>
      </c>
      <c r="AA67" s="1094">
        <v>0</v>
      </c>
      <c r="AB67" s="1094">
        <v>120155.28</v>
      </c>
      <c r="AC67" s="1094">
        <f t="shared" si="15"/>
        <v>259680</v>
      </c>
    </row>
    <row r="68" spans="1:29" ht="15" customHeight="1">
      <c r="A68" s="746" t="s">
        <v>164</v>
      </c>
      <c r="B68" s="751" t="s">
        <v>165</v>
      </c>
      <c r="C68" s="973" t="s">
        <v>266</v>
      </c>
      <c r="D68" s="1100">
        <f t="shared" si="5"/>
        <v>18734.54</v>
      </c>
      <c r="E68" s="1100">
        <f t="shared" si="6"/>
        <v>0</v>
      </c>
      <c r="F68" s="1100">
        <f t="shared" si="7"/>
        <v>18734.54</v>
      </c>
      <c r="G68" s="1102">
        <f t="shared" si="8"/>
        <v>0</v>
      </c>
      <c r="H68" s="1102">
        <f t="shared" si="9"/>
        <v>35472.92</v>
      </c>
      <c r="I68" s="1555">
        <f t="shared" si="10"/>
        <v>72942</v>
      </c>
      <c r="J68" s="1101">
        <f t="shared" si="11"/>
        <v>35472.92</v>
      </c>
      <c r="K68" s="1555">
        <f t="shared" si="12"/>
        <v>54207.46</v>
      </c>
      <c r="L68" s="1104"/>
      <c r="M68" s="1094"/>
      <c r="N68" s="1094"/>
      <c r="O68" s="1094"/>
      <c r="P68" s="1094"/>
      <c r="Q68" s="1092">
        <f t="shared" si="13"/>
        <v>0</v>
      </c>
      <c r="R68" s="1093"/>
      <c r="S68" s="1094"/>
      <c r="T68" s="1094"/>
      <c r="U68" s="1094"/>
      <c r="V68" s="1094"/>
      <c r="W68" s="1094">
        <f t="shared" si="14"/>
        <v>0</v>
      </c>
      <c r="X68" s="1093">
        <v>18734.54</v>
      </c>
      <c r="Y68" s="1094">
        <v>0</v>
      </c>
      <c r="Z68" s="1094">
        <v>18734.54</v>
      </c>
      <c r="AA68" s="1094">
        <v>0</v>
      </c>
      <c r="AB68" s="1094">
        <v>35472.92</v>
      </c>
      <c r="AC68" s="1094">
        <f t="shared" si="15"/>
        <v>72942</v>
      </c>
    </row>
    <row r="69" spans="1:29" ht="15" customHeight="1">
      <c r="A69" s="746" t="s">
        <v>168</v>
      </c>
      <c r="B69" s="751" t="s">
        <v>169</v>
      </c>
      <c r="C69" s="973" t="s">
        <v>266</v>
      </c>
      <c r="D69" s="1100">
        <f t="shared" si="5"/>
        <v>29348.59</v>
      </c>
      <c r="E69" s="1100">
        <f t="shared" si="6"/>
        <v>0</v>
      </c>
      <c r="F69" s="1100">
        <f t="shared" si="7"/>
        <v>29348.59</v>
      </c>
      <c r="G69" s="1102">
        <f t="shared" si="8"/>
        <v>0</v>
      </c>
      <c r="H69" s="1102">
        <f t="shared" si="9"/>
        <v>37642.82</v>
      </c>
      <c r="I69" s="1555">
        <f t="shared" si="10"/>
        <v>96340</v>
      </c>
      <c r="J69" s="1101">
        <f t="shared" si="11"/>
        <v>37642.82</v>
      </c>
      <c r="K69" s="1555">
        <f t="shared" si="12"/>
        <v>66991.41</v>
      </c>
      <c r="L69" s="1104"/>
      <c r="M69" s="1094"/>
      <c r="N69" s="1094"/>
      <c r="O69" s="1094"/>
      <c r="P69" s="1094"/>
      <c r="Q69" s="1092">
        <f t="shared" si="13"/>
        <v>0</v>
      </c>
      <c r="R69" s="1093"/>
      <c r="S69" s="1094"/>
      <c r="T69" s="1094"/>
      <c r="U69" s="1094"/>
      <c r="V69" s="1094"/>
      <c r="W69" s="1094">
        <f t="shared" si="14"/>
        <v>0</v>
      </c>
      <c r="X69" s="1093">
        <v>29348.59</v>
      </c>
      <c r="Y69" s="1094">
        <v>0</v>
      </c>
      <c r="Z69" s="1094">
        <v>29348.59</v>
      </c>
      <c r="AA69" s="1094">
        <v>0</v>
      </c>
      <c r="AB69" s="1094">
        <v>37642.82</v>
      </c>
      <c r="AC69" s="1094">
        <f t="shared" si="15"/>
        <v>96340</v>
      </c>
    </row>
    <row r="70" spans="1:29" ht="15" customHeight="1">
      <c r="A70" s="746" t="s">
        <v>170</v>
      </c>
      <c r="B70" s="751" t="s">
        <v>171</v>
      </c>
      <c r="C70" s="973" t="s">
        <v>267</v>
      </c>
      <c r="D70" s="1100">
        <f t="shared" ref="D70:D124" si="16">L70+R70+X70</f>
        <v>15850.33</v>
      </c>
      <c r="E70" s="1100">
        <f t="shared" ref="E70:E124" si="17">M70+S70+Y70</f>
        <v>0</v>
      </c>
      <c r="F70" s="1100">
        <f t="shared" ref="F70:F124" si="18">N70+T70+Z70</f>
        <v>15850.33</v>
      </c>
      <c r="G70" s="1102">
        <f t="shared" ref="G70:G124" si="19">O70+U70+AA70</f>
        <v>0</v>
      </c>
      <c r="H70" s="1102">
        <f t="shared" ref="H70:H124" si="20">P70+V70+AB70</f>
        <v>27990.34</v>
      </c>
      <c r="I70" s="1555">
        <f t="shared" ref="I70:I124" si="21">SUM(D70:H70)</f>
        <v>59691</v>
      </c>
      <c r="J70" s="1101">
        <f t="shared" ref="J70:J124" si="22">G70+H70</f>
        <v>27990.34</v>
      </c>
      <c r="K70" s="1555">
        <f t="shared" ref="K70:K124" si="23">F70+J70</f>
        <v>43840.67</v>
      </c>
      <c r="L70" s="1104"/>
      <c r="M70" s="1094"/>
      <c r="N70" s="1094"/>
      <c r="O70" s="1094"/>
      <c r="P70" s="1094"/>
      <c r="Q70" s="1092">
        <f t="shared" ref="Q70:Q124" si="24">SUM(L70:P70)</f>
        <v>0</v>
      </c>
      <c r="R70" s="1093"/>
      <c r="S70" s="1094"/>
      <c r="T70" s="1094"/>
      <c r="U70" s="1094"/>
      <c r="V70" s="1094"/>
      <c r="W70" s="1094">
        <f t="shared" ref="W70:W124" si="25">SUM(R70:V70)</f>
        <v>0</v>
      </c>
      <c r="X70" s="1093">
        <v>15850.33</v>
      </c>
      <c r="Y70" s="1094">
        <v>0</v>
      </c>
      <c r="Z70" s="1094">
        <v>15850.33</v>
      </c>
      <c r="AA70" s="1094">
        <v>0</v>
      </c>
      <c r="AB70" s="1094">
        <v>27990.34</v>
      </c>
      <c r="AC70" s="1094">
        <f t="shared" ref="AC70:AC124" si="26">SUM(X70:AB70)</f>
        <v>59691</v>
      </c>
    </row>
    <row r="71" spans="1:29" ht="15" customHeight="1">
      <c r="A71" s="746" t="s">
        <v>172</v>
      </c>
      <c r="B71" s="751" t="s">
        <v>173</v>
      </c>
      <c r="C71" s="973" t="s">
        <v>267</v>
      </c>
      <c r="D71" s="1100">
        <f t="shared" si="16"/>
        <v>20516.71</v>
      </c>
      <c r="E71" s="1100">
        <f t="shared" si="17"/>
        <v>0</v>
      </c>
      <c r="F71" s="1100">
        <f t="shared" si="18"/>
        <v>20516.71</v>
      </c>
      <c r="G71" s="1102">
        <f t="shared" si="19"/>
        <v>0</v>
      </c>
      <c r="H71" s="1102">
        <f t="shared" si="20"/>
        <v>35658.58</v>
      </c>
      <c r="I71" s="1555">
        <f t="shared" si="21"/>
        <v>76692</v>
      </c>
      <c r="J71" s="1101">
        <f t="shared" si="22"/>
        <v>35658.58</v>
      </c>
      <c r="K71" s="1555">
        <f t="shared" si="23"/>
        <v>56175.29</v>
      </c>
      <c r="L71" s="1104"/>
      <c r="M71" s="1094"/>
      <c r="N71" s="1094"/>
      <c r="O71" s="1094"/>
      <c r="P71" s="1094"/>
      <c r="Q71" s="1092">
        <f t="shared" si="24"/>
        <v>0</v>
      </c>
      <c r="R71" s="1093"/>
      <c r="S71" s="1094"/>
      <c r="T71" s="1094"/>
      <c r="U71" s="1094"/>
      <c r="V71" s="1094"/>
      <c r="W71" s="1094">
        <f t="shared" si="25"/>
        <v>0</v>
      </c>
      <c r="X71" s="1093">
        <v>20516.71</v>
      </c>
      <c r="Y71" s="1094">
        <v>0</v>
      </c>
      <c r="Z71" s="1094">
        <v>20516.71</v>
      </c>
      <c r="AA71" s="1094">
        <v>0</v>
      </c>
      <c r="AB71" s="1094">
        <v>35658.58</v>
      </c>
      <c r="AC71" s="1094">
        <f t="shared" si="26"/>
        <v>76692</v>
      </c>
    </row>
    <row r="72" spans="1:29" ht="15" customHeight="1">
      <c r="A72" s="746" t="s">
        <v>174</v>
      </c>
      <c r="B72" s="751" t="s">
        <v>175</v>
      </c>
      <c r="C72" s="973" t="s">
        <v>268</v>
      </c>
      <c r="D72" s="1100">
        <f t="shared" si="16"/>
        <v>17908.810000000001</v>
      </c>
      <c r="E72" s="1100">
        <f t="shared" si="17"/>
        <v>0</v>
      </c>
      <c r="F72" s="1100">
        <f t="shared" si="18"/>
        <v>17908.810000000001</v>
      </c>
      <c r="G72" s="1102">
        <f t="shared" si="19"/>
        <v>0</v>
      </c>
      <c r="H72" s="1102">
        <f t="shared" si="20"/>
        <v>30580.38</v>
      </c>
      <c r="I72" s="1555">
        <f t="shared" si="21"/>
        <v>66398</v>
      </c>
      <c r="J72" s="1101">
        <f t="shared" si="22"/>
        <v>30580.38</v>
      </c>
      <c r="K72" s="1555">
        <f t="shared" si="23"/>
        <v>48489.19</v>
      </c>
      <c r="L72" s="1103"/>
      <c r="M72" s="1091"/>
      <c r="N72" s="1091"/>
      <c r="O72" s="1091"/>
      <c r="P72" s="1091"/>
      <c r="Q72" s="1092">
        <f t="shared" si="24"/>
        <v>0</v>
      </c>
      <c r="R72" s="1093"/>
      <c r="S72" s="1094"/>
      <c r="T72" s="1094"/>
      <c r="U72" s="1094"/>
      <c r="V72" s="1094"/>
      <c r="W72" s="1094">
        <f t="shared" si="25"/>
        <v>0</v>
      </c>
      <c r="X72" s="1093">
        <v>17908.810000000001</v>
      </c>
      <c r="Y72" s="1094">
        <v>0</v>
      </c>
      <c r="Z72" s="1094">
        <v>17908.810000000001</v>
      </c>
      <c r="AA72" s="1094">
        <v>0</v>
      </c>
      <c r="AB72" s="1094">
        <v>30580.38</v>
      </c>
      <c r="AC72" s="1094">
        <f t="shared" si="26"/>
        <v>66398</v>
      </c>
    </row>
    <row r="73" spans="1:29" ht="15" customHeight="1">
      <c r="A73" s="746" t="s">
        <v>178</v>
      </c>
      <c r="B73" s="751" t="s">
        <v>179</v>
      </c>
      <c r="C73" s="973" t="s">
        <v>265</v>
      </c>
      <c r="D73" s="1100">
        <f t="shared" si="16"/>
        <v>65686.11</v>
      </c>
      <c r="E73" s="1100">
        <f t="shared" si="17"/>
        <v>0</v>
      </c>
      <c r="F73" s="1100">
        <f t="shared" si="18"/>
        <v>65686.11</v>
      </c>
      <c r="G73" s="1102">
        <f t="shared" si="19"/>
        <v>0</v>
      </c>
      <c r="H73" s="1102">
        <f t="shared" si="20"/>
        <v>114886.78</v>
      </c>
      <c r="I73" s="1555">
        <f t="shared" si="21"/>
        <v>246259</v>
      </c>
      <c r="J73" s="1101">
        <f t="shared" si="22"/>
        <v>114886.78</v>
      </c>
      <c r="K73" s="1555">
        <f t="shared" si="23"/>
        <v>180572.89</v>
      </c>
      <c r="L73" s="1104"/>
      <c r="M73" s="1094"/>
      <c r="N73" s="1094"/>
      <c r="O73" s="1094"/>
      <c r="P73" s="1094"/>
      <c r="Q73" s="1092">
        <f t="shared" si="24"/>
        <v>0</v>
      </c>
      <c r="R73" s="1093"/>
      <c r="S73" s="1094"/>
      <c r="T73" s="1094"/>
      <c r="U73" s="1094"/>
      <c r="V73" s="1094"/>
      <c r="W73" s="1094">
        <f t="shared" si="25"/>
        <v>0</v>
      </c>
      <c r="X73" s="1093">
        <v>65686.11</v>
      </c>
      <c r="Y73" s="1094">
        <v>0</v>
      </c>
      <c r="Z73" s="1094">
        <v>65686.11</v>
      </c>
      <c r="AA73" s="1094">
        <v>0</v>
      </c>
      <c r="AB73" s="1094">
        <v>114886.78</v>
      </c>
      <c r="AC73" s="1094">
        <f t="shared" si="26"/>
        <v>246259</v>
      </c>
    </row>
    <row r="74" spans="1:29" ht="15" customHeight="1">
      <c r="A74" s="746" t="s">
        <v>182</v>
      </c>
      <c r="B74" s="751" t="s">
        <v>183</v>
      </c>
      <c r="C74" s="973" t="s">
        <v>266</v>
      </c>
      <c r="D74" s="1100">
        <f t="shared" si="16"/>
        <v>39372.93</v>
      </c>
      <c r="E74" s="1100">
        <f t="shared" si="17"/>
        <v>0</v>
      </c>
      <c r="F74" s="1100">
        <f t="shared" si="18"/>
        <v>39372.93</v>
      </c>
      <c r="G74" s="1102">
        <f t="shared" si="19"/>
        <v>0</v>
      </c>
      <c r="H74" s="1102">
        <f t="shared" si="20"/>
        <v>80270.14</v>
      </c>
      <c r="I74" s="1555">
        <f t="shared" si="21"/>
        <v>159016</v>
      </c>
      <c r="J74" s="1101">
        <f t="shared" si="22"/>
        <v>80270.14</v>
      </c>
      <c r="K74" s="1555">
        <f t="shared" si="23"/>
        <v>119643.07</v>
      </c>
      <c r="L74" s="1104"/>
      <c r="M74" s="1094"/>
      <c r="N74" s="1094"/>
      <c r="O74" s="1094"/>
      <c r="P74" s="1094"/>
      <c r="Q74" s="1092">
        <f t="shared" si="24"/>
        <v>0</v>
      </c>
      <c r="R74" s="1093"/>
      <c r="S74" s="1094"/>
      <c r="T74" s="1094"/>
      <c r="U74" s="1094"/>
      <c r="V74" s="1094"/>
      <c r="W74" s="1094">
        <f t="shared" si="25"/>
        <v>0</v>
      </c>
      <c r="X74" s="1093">
        <v>39372.93</v>
      </c>
      <c r="Y74" s="1094">
        <v>0</v>
      </c>
      <c r="Z74" s="1094">
        <v>39372.93</v>
      </c>
      <c r="AA74" s="1094">
        <v>0</v>
      </c>
      <c r="AB74" s="1094">
        <v>80270.14</v>
      </c>
      <c r="AC74" s="1094">
        <f t="shared" si="26"/>
        <v>159016</v>
      </c>
    </row>
    <row r="75" spans="1:29" ht="15" customHeight="1">
      <c r="A75" s="746" t="s">
        <v>184</v>
      </c>
      <c r="B75" s="751" t="s">
        <v>185</v>
      </c>
      <c r="C75" s="973" t="s">
        <v>266</v>
      </c>
      <c r="D75" s="1100">
        <f t="shared" si="16"/>
        <v>54111.42</v>
      </c>
      <c r="E75" s="1100">
        <f t="shared" si="17"/>
        <v>0</v>
      </c>
      <c r="F75" s="1100">
        <f t="shared" si="18"/>
        <v>54111.42</v>
      </c>
      <c r="G75" s="1102">
        <f t="shared" si="19"/>
        <v>0</v>
      </c>
      <c r="H75" s="1102">
        <f t="shared" si="20"/>
        <v>78583.16</v>
      </c>
      <c r="I75" s="1555">
        <f t="shared" si="21"/>
        <v>186806</v>
      </c>
      <c r="J75" s="1101">
        <f t="shared" si="22"/>
        <v>78583.16</v>
      </c>
      <c r="K75" s="1555">
        <f t="shared" si="23"/>
        <v>132694.58000000002</v>
      </c>
      <c r="L75" s="1104"/>
      <c r="M75" s="1094"/>
      <c r="N75" s="1094"/>
      <c r="O75" s="1094"/>
      <c r="P75" s="1094"/>
      <c r="Q75" s="1092">
        <f t="shared" si="24"/>
        <v>0</v>
      </c>
      <c r="R75" s="1093"/>
      <c r="S75" s="1094"/>
      <c r="T75" s="1094"/>
      <c r="U75" s="1094"/>
      <c r="V75" s="1094"/>
      <c r="W75" s="1094">
        <f t="shared" si="25"/>
        <v>0</v>
      </c>
      <c r="X75" s="1093">
        <v>54111.42</v>
      </c>
      <c r="Y75" s="1094">
        <v>0</v>
      </c>
      <c r="Z75" s="1094">
        <v>54111.42</v>
      </c>
      <c r="AA75" s="1094">
        <v>0</v>
      </c>
      <c r="AB75" s="1094">
        <v>78583.16</v>
      </c>
      <c r="AC75" s="1094">
        <f t="shared" si="26"/>
        <v>186806</v>
      </c>
    </row>
    <row r="76" spans="1:29" ht="15" customHeight="1">
      <c r="A76" s="746" t="s">
        <v>186</v>
      </c>
      <c r="B76" s="751" t="s">
        <v>187</v>
      </c>
      <c r="C76" s="973" t="s">
        <v>264</v>
      </c>
      <c r="D76" s="1100">
        <f t="shared" si="16"/>
        <v>40793.410000000003</v>
      </c>
      <c r="E76" s="1100">
        <f t="shared" si="17"/>
        <v>0</v>
      </c>
      <c r="F76" s="1100">
        <f t="shared" si="18"/>
        <v>40793.410000000003</v>
      </c>
      <c r="G76" s="1102">
        <f t="shared" si="19"/>
        <v>0</v>
      </c>
      <c r="H76" s="1102">
        <f t="shared" si="20"/>
        <v>104537.18</v>
      </c>
      <c r="I76" s="1555">
        <f t="shared" si="21"/>
        <v>186124</v>
      </c>
      <c r="J76" s="1101">
        <f t="shared" si="22"/>
        <v>104537.18</v>
      </c>
      <c r="K76" s="1555">
        <f t="shared" si="23"/>
        <v>145330.59</v>
      </c>
      <c r="L76" s="1104"/>
      <c r="M76" s="1094"/>
      <c r="N76" s="1094"/>
      <c r="O76" s="1094"/>
      <c r="P76" s="1094"/>
      <c r="Q76" s="1092">
        <f t="shared" si="24"/>
        <v>0</v>
      </c>
      <c r="R76" s="1095"/>
      <c r="S76" s="1091"/>
      <c r="T76" s="1091"/>
      <c r="U76" s="1091"/>
      <c r="V76" s="1091"/>
      <c r="W76" s="1094">
        <f t="shared" si="25"/>
        <v>0</v>
      </c>
      <c r="X76" s="1095">
        <v>40793.410000000003</v>
      </c>
      <c r="Y76" s="1091">
        <v>0</v>
      </c>
      <c r="Z76" s="1091">
        <v>40793.410000000003</v>
      </c>
      <c r="AA76" s="1091">
        <v>0</v>
      </c>
      <c r="AB76" s="1091">
        <v>104537.18</v>
      </c>
      <c r="AC76" s="1094">
        <f t="shared" si="26"/>
        <v>186124</v>
      </c>
    </row>
    <row r="77" spans="1:29" ht="15" customHeight="1">
      <c r="A77" s="746" t="s">
        <v>188</v>
      </c>
      <c r="B77" s="751" t="s">
        <v>189</v>
      </c>
      <c r="C77" s="973" t="s">
        <v>267</v>
      </c>
      <c r="D77" s="1100">
        <f t="shared" si="16"/>
        <v>925883.51</v>
      </c>
      <c r="E77" s="1100">
        <f t="shared" si="17"/>
        <v>0</v>
      </c>
      <c r="F77" s="1100">
        <f t="shared" si="18"/>
        <v>925883.51</v>
      </c>
      <c r="G77" s="1102">
        <f t="shared" si="19"/>
        <v>0</v>
      </c>
      <c r="H77" s="1102">
        <f t="shared" si="20"/>
        <v>1731294.98</v>
      </c>
      <c r="I77" s="1555">
        <f t="shared" si="21"/>
        <v>3583062</v>
      </c>
      <c r="J77" s="1101">
        <f t="shared" si="22"/>
        <v>1731294.98</v>
      </c>
      <c r="K77" s="1555">
        <f t="shared" si="23"/>
        <v>2657178.4900000002</v>
      </c>
      <c r="L77" s="1104"/>
      <c r="M77" s="1094"/>
      <c r="N77" s="1094"/>
      <c r="O77" s="1094"/>
      <c r="P77" s="1094"/>
      <c r="Q77" s="1092">
        <f t="shared" si="24"/>
        <v>0</v>
      </c>
      <c r="R77" s="1093"/>
      <c r="S77" s="1094"/>
      <c r="T77" s="1094"/>
      <c r="U77" s="1094"/>
      <c r="V77" s="1094"/>
      <c r="W77" s="1094">
        <f t="shared" si="25"/>
        <v>0</v>
      </c>
      <c r="X77" s="1093">
        <v>925883.51</v>
      </c>
      <c r="Y77" s="1094">
        <v>0</v>
      </c>
      <c r="Z77" s="1094">
        <v>925883.51</v>
      </c>
      <c r="AA77" s="1094">
        <v>0</v>
      </c>
      <c r="AB77" s="1094">
        <v>1731294.98</v>
      </c>
      <c r="AC77" s="1094">
        <f t="shared" si="26"/>
        <v>3583062</v>
      </c>
    </row>
    <row r="78" spans="1:29" ht="15" customHeight="1">
      <c r="A78" s="746" t="s">
        <v>190</v>
      </c>
      <c r="B78" s="751" t="s">
        <v>191</v>
      </c>
      <c r="C78" s="973" t="s">
        <v>268</v>
      </c>
      <c r="D78" s="1100">
        <f t="shared" si="16"/>
        <v>46176.56</v>
      </c>
      <c r="E78" s="1100">
        <f t="shared" si="17"/>
        <v>0</v>
      </c>
      <c r="F78" s="1100">
        <f t="shared" si="18"/>
        <v>46176.56</v>
      </c>
      <c r="G78" s="1102">
        <f t="shared" si="19"/>
        <v>0</v>
      </c>
      <c r="H78" s="1102">
        <f t="shared" si="20"/>
        <v>76382.880000000005</v>
      </c>
      <c r="I78" s="1555">
        <f t="shared" si="21"/>
        <v>168736</v>
      </c>
      <c r="J78" s="1101">
        <f t="shared" si="22"/>
        <v>76382.880000000005</v>
      </c>
      <c r="K78" s="1555">
        <f t="shared" si="23"/>
        <v>122559.44</v>
      </c>
      <c r="L78" s="1104"/>
      <c r="M78" s="1094"/>
      <c r="N78" s="1094"/>
      <c r="O78" s="1094"/>
      <c r="P78" s="1094"/>
      <c r="Q78" s="1092">
        <f t="shared" si="24"/>
        <v>0</v>
      </c>
      <c r="R78" s="1093"/>
      <c r="S78" s="1094"/>
      <c r="T78" s="1094"/>
      <c r="U78" s="1094"/>
      <c r="V78" s="1094"/>
      <c r="W78" s="1094">
        <f t="shared" si="25"/>
        <v>0</v>
      </c>
      <c r="X78" s="1093">
        <v>46176.56</v>
      </c>
      <c r="Y78" s="1094">
        <v>0</v>
      </c>
      <c r="Z78" s="1094">
        <v>46176.56</v>
      </c>
      <c r="AA78" s="1094">
        <v>0</v>
      </c>
      <c r="AB78" s="1094">
        <v>76382.880000000005</v>
      </c>
      <c r="AC78" s="1094">
        <f t="shared" si="26"/>
        <v>168736</v>
      </c>
    </row>
    <row r="79" spans="1:29" ht="15" customHeight="1">
      <c r="A79" s="746" t="s">
        <v>194</v>
      </c>
      <c r="B79" s="751" t="s">
        <v>195</v>
      </c>
      <c r="C79" s="973" t="s">
        <v>267</v>
      </c>
      <c r="D79" s="1100">
        <f t="shared" si="16"/>
        <v>21635.95</v>
      </c>
      <c r="E79" s="1100">
        <f t="shared" si="17"/>
        <v>0</v>
      </c>
      <c r="F79" s="1100">
        <f t="shared" si="18"/>
        <v>21635.95</v>
      </c>
      <c r="G79" s="1102">
        <f t="shared" si="19"/>
        <v>0</v>
      </c>
      <c r="H79" s="1102">
        <f t="shared" si="20"/>
        <v>41346.1</v>
      </c>
      <c r="I79" s="1555">
        <f t="shared" si="21"/>
        <v>84618</v>
      </c>
      <c r="J79" s="1101">
        <f t="shared" si="22"/>
        <v>41346.1</v>
      </c>
      <c r="K79" s="1555">
        <f t="shared" si="23"/>
        <v>62982.05</v>
      </c>
      <c r="L79" s="1103"/>
      <c r="M79" s="1091"/>
      <c r="N79" s="1091"/>
      <c r="O79" s="1091"/>
      <c r="P79" s="1091"/>
      <c r="Q79" s="1092">
        <f t="shared" si="24"/>
        <v>0</v>
      </c>
      <c r="R79" s="1093"/>
      <c r="S79" s="1094"/>
      <c r="T79" s="1094"/>
      <c r="U79" s="1094"/>
      <c r="V79" s="1094"/>
      <c r="W79" s="1094">
        <f t="shared" si="25"/>
        <v>0</v>
      </c>
      <c r="X79" s="1093">
        <v>21635.95</v>
      </c>
      <c r="Y79" s="1094">
        <v>0</v>
      </c>
      <c r="Z79" s="1094">
        <v>21635.95</v>
      </c>
      <c r="AA79" s="1094">
        <v>0</v>
      </c>
      <c r="AB79" s="1094">
        <v>41346.1</v>
      </c>
      <c r="AC79" s="1094">
        <f t="shared" si="26"/>
        <v>84618</v>
      </c>
    </row>
    <row r="80" spans="1:29" ht="15" customHeight="1">
      <c r="A80" s="746" t="s">
        <v>198</v>
      </c>
      <c r="B80" s="751" t="s">
        <v>199</v>
      </c>
      <c r="C80" s="973" t="s">
        <v>266</v>
      </c>
      <c r="D80" s="1100">
        <f t="shared" si="16"/>
        <v>11368.89</v>
      </c>
      <c r="E80" s="1100">
        <f t="shared" si="17"/>
        <v>0</v>
      </c>
      <c r="F80" s="1100">
        <f t="shared" si="18"/>
        <v>11368.89</v>
      </c>
      <c r="G80" s="1102">
        <f t="shared" si="19"/>
        <v>0</v>
      </c>
      <c r="H80" s="1102">
        <f t="shared" si="20"/>
        <v>18468.22</v>
      </c>
      <c r="I80" s="1555">
        <f t="shared" si="21"/>
        <v>41206</v>
      </c>
      <c r="J80" s="1101">
        <f t="shared" si="22"/>
        <v>18468.22</v>
      </c>
      <c r="K80" s="1555">
        <f t="shared" si="23"/>
        <v>29837.11</v>
      </c>
      <c r="L80" s="1104"/>
      <c r="M80" s="1094"/>
      <c r="N80" s="1094"/>
      <c r="O80" s="1094"/>
      <c r="P80" s="1094"/>
      <c r="Q80" s="1092">
        <f t="shared" si="24"/>
        <v>0</v>
      </c>
      <c r="R80" s="1093"/>
      <c r="S80" s="1094"/>
      <c r="T80" s="1094"/>
      <c r="U80" s="1094"/>
      <c r="V80" s="1094"/>
      <c r="W80" s="1094">
        <f t="shared" si="25"/>
        <v>0</v>
      </c>
      <c r="X80" s="1093">
        <v>11368.89</v>
      </c>
      <c r="Y80" s="1094">
        <v>0</v>
      </c>
      <c r="Z80" s="1094">
        <v>11368.89</v>
      </c>
      <c r="AA80" s="1094">
        <v>0</v>
      </c>
      <c r="AB80" s="1094">
        <v>18468.22</v>
      </c>
      <c r="AC80" s="1094">
        <f t="shared" si="26"/>
        <v>41206</v>
      </c>
    </row>
    <row r="81" spans="1:29" ht="15" customHeight="1">
      <c r="A81" s="746" t="s">
        <v>202</v>
      </c>
      <c r="B81" s="751" t="s">
        <v>203</v>
      </c>
      <c r="C81" s="973" t="s">
        <v>265</v>
      </c>
      <c r="D81" s="1100">
        <f t="shared" si="16"/>
        <v>151372.71</v>
      </c>
      <c r="E81" s="1100">
        <f t="shared" si="17"/>
        <v>0</v>
      </c>
      <c r="F81" s="1100">
        <f t="shared" si="18"/>
        <v>151372.71</v>
      </c>
      <c r="G81" s="1102">
        <f t="shared" si="19"/>
        <v>0</v>
      </c>
      <c r="H81" s="1102">
        <f t="shared" si="20"/>
        <v>335848.58</v>
      </c>
      <c r="I81" s="1555">
        <f t="shared" si="21"/>
        <v>638594</v>
      </c>
      <c r="J81" s="1101">
        <f t="shared" si="22"/>
        <v>335848.58</v>
      </c>
      <c r="K81" s="1555">
        <f t="shared" si="23"/>
        <v>487221.29000000004</v>
      </c>
      <c r="L81" s="1104"/>
      <c r="M81" s="1094"/>
      <c r="N81" s="1094"/>
      <c r="O81" s="1094"/>
      <c r="P81" s="1094"/>
      <c r="Q81" s="1092">
        <f t="shared" si="24"/>
        <v>0</v>
      </c>
      <c r="R81" s="1093"/>
      <c r="S81" s="1094"/>
      <c r="T81" s="1094"/>
      <c r="U81" s="1094"/>
      <c r="V81" s="1094"/>
      <c r="W81" s="1094">
        <f t="shared" si="25"/>
        <v>0</v>
      </c>
      <c r="X81" s="1093">
        <v>151372.71</v>
      </c>
      <c r="Y81" s="1094">
        <v>0</v>
      </c>
      <c r="Z81" s="1094">
        <v>151372.71</v>
      </c>
      <c r="AA81" s="1094">
        <v>0</v>
      </c>
      <c r="AB81" s="1094">
        <v>335848.58</v>
      </c>
      <c r="AC81" s="1094">
        <f t="shared" si="26"/>
        <v>638594</v>
      </c>
    </row>
    <row r="82" spans="1:29" ht="15" customHeight="1">
      <c r="A82" s="746" t="s">
        <v>204</v>
      </c>
      <c r="B82" s="751" t="s">
        <v>205</v>
      </c>
      <c r="C82" s="973" t="s">
        <v>265</v>
      </c>
      <c r="D82" s="1100">
        <f t="shared" si="16"/>
        <v>27750.52</v>
      </c>
      <c r="E82" s="1100">
        <f t="shared" si="17"/>
        <v>0</v>
      </c>
      <c r="F82" s="1100">
        <f t="shared" si="18"/>
        <v>27750.52</v>
      </c>
      <c r="G82" s="1102">
        <f t="shared" si="19"/>
        <v>0</v>
      </c>
      <c r="H82" s="1102">
        <f t="shared" si="20"/>
        <v>37745.96</v>
      </c>
      <c r="I82" s="1555">
        <f t="shared" si="21"/>
        <v>93247</v>
      </c>
      <c r="J82" s="1101">
        <f t="shared" si="22"/>
        <v>37745.96</v>
      </c>
      <c r="K82" s="1555">
        <f t="shared" si="23"/>
        <v>65496.479999999996</v>
      </c>
      <c r="L82" s="1103"/>
      <c r="M82" s="1091"/>
      <c r="N82" s="1091"/>
      <c r="O82" s="1091"/>
      <c r="P82" s="1091"/>
      <c r="Q82" s="1092">
        <f t="shared" si="24"/>
        <v>0</v>
      </c>
      <c r="R82" s="1093"/>
      <c r="S82" s="1094"/>
      <c r="T82" s="1094"/>
      <c r="U82" s="1094"/>
      <c r="V82" s="1094"/>
      <c r="W82" s="1094">
        <f t="shared" si="25"/>
        <v>0</v>
      </c>
      <c r="X82" s="1093">
        <v>27750.52</v>
      </c>
      <c r="Y82" s="1094">
        <v>0</v>
      </c>
      <c r="Z82" s="1094">
        <v>27750.52</v>
      </c>
      <c r="AA82" s="1094">
        <v>0</v>
      </c>
      <c r="AB82" s="1094">
        <v>37745.96</v>
      </c>
      <c r="AC82" s="1094">
        <f t="shared" si="26"/>
        <v>93247</v>
      </c>
    </row>
    <row r="83" spans="1:29" ht="15" customHeight="1">
      <c r="A83" s="746" t="s">
        <v>206</v>
      </c>
      <c r="B83" s="751" t="s">
        <v>207</v>
      </c>
      <c r="C83" s="973" t="s">
        <v>267</v>
      </c>
      <c r="D83" s="1100">
        <f t="shared" si="16"/>
        <v>172263.25</v>
      </c>
      <c r="E83" s="1100">
        <f t="shared" si="17"/>
        <v>0</v>
      </c>
      <c r="F83" s="1100">
        <f t="shared" si="18"/>
        <v>172263.25</v>
      </c>
      <c r="G83" s="1102">
        <f t="shared" si="19"/>
        <v>0</v>
      </c>
      <c r="H83" s="1102">
        <f t="shared" si="20"/>
        <v>342997.5</v>
      </c>
      <c r="I83" s="1555">
        <f t="shared" si="21"/>
        <v>687524</v>
      </c>
      <c r="J83" s="1101">
        <f t="shared" si="22"/>
        <v>342997.5</v>
      </c>
      <c r="K83" s="1555">
        <f t="shared" si="23"/>
        <v>515260.75</v>
      </c>
      <c r="L83" s="1104"/>
      <c r="M83" s="1094"/>
      <c r="N83" s="1094"/>
      <c r="O83" s="1094"/>
      <c r="P83" s="1094"/>
      <c r="Q83" s="1092">
        <f t="shared" si="24"/>
        <v>0</v>
      </c>
      <c r="R83" s="1093"/>
      <c r="S83" s="1094"/>
      <c r="T83" s="1094"/>
      <c r="U83" s="1094"/>
      <c r="V83" s="1094"/>
      <c r="W83" s="1094">
        <f t="shared" si="25"/>
        <v>0</v>
      </c>
      <c r="X83" s="1093">
        <v>172263.25</v>
      </c>
      <c r="Y83" s="1094">
        <v>0</v>
      </c>
      <c r="Z83" s="1094">
        <v>172263.25</v>
      </c>
      <c r="AA83" s="1094">
        <v>0</v>
      </c>
      <c r="AB83" s="1094">
        <v>342997.5</v>
      </c>
      <c r="AC83" s="1094">
        <f t="shared" si="26"/>
        <v>687524</v>
      </c>
    </row>
    <row r="84" spans="1:29" ht="15" customHeight="1">
      <c r="A84" s="746" t="s">
        <v>208</v>
      </c>
      <c r="B84" s="751" t="s">
        <v>209</v>
      </c>
      <c r="C84" s="973" t="s">
        <v>268</v>
      </c>
      <c r="D84" s="1100">
        <f t="shared" si="16"/>
        <v>52872.43</v>
      </c>
      <c r="E84" s="1100">
        <f t="shared" si="17"/>
        <v>0</v>
      </c>
      <c r="F84" s="1100">
        <f t="shared" si="18"/>
        <v>52872.43</v>
      </c>
      <c r="G84" s="1102">
        <f t="shared" si="19"/>
        <v>0</v>
      </c>
      <c r="H84" s="1102">
        <f t="shared" si="20"/>
        <v>98280.14</v>
      </c>
      <c r="I84" s="1555">
        <f t="shared" si="21"/>
        <v>204025</v>
      </c>
      <c r="J84" s="1101">
        <f t="shared" si="22"/>
        <v>98280.14</v>
      </c>
      <c r="K84" s="1555">
        <f t="shared" si="23"/>
        <v>151152.57</v>
      </c>
      <c r="L84" s="1104"/>
      <c r="M84" s="1094"/>
      <c r="N84" s="1094"/>
      <c r="O84" s="1094"/>
      <c r="P84" s="1094"/>
      <c r="Q84" s="1092">
        <f t="shared" si="24"/>
        <v>0</v>
      </c>
      <c r="R84" s="1093"/>
      <c r="S84" s="1094"/>
      <c r="T84" s="1094"/>
      <c r="U84" s="1094"/>
      <c r="V84" s="1094"/>
      <c r="W84" s="1094">
        <f t="shared" si="25"/>
        <v>0</v>
      </c>
      <c r="X84" s="1093">
        <v>52872.43</v>
      </c>
      <c r="Y84" s="1094">
        <v>0</v>
      </c>
      <c r="Z84" s="1094">
        <v>52872.43</v>
      </c>
      <c r="AA84" s="1094">
        <v>0</v>
      </c>
      <c r="AB84" s="1094">
        <v>98280.14</v>
      </c>
      <c r="AC84" s="1094">
        <f t="shared" si="26"/>
        <v>204025</v>
      </c>
    </row>
    <row r="85" spans="1:29" ht="15" customHeight="1">
      <c r="A85" s="746" t="s">
        <v>210</v>
      </c>
      <c r="B85" s="751" t="s">
        <v>211</v>
      </c>
      <c r="C85" s="973" t="s">
        <v>268</v>
      </c>
      <c r="D85" s="1100">
        <f t="shared" si="16"/>
        <v>22309.74</v>
      </c>
      <c r="E85" s="1100">
        <f t="shared" si="17"/>
        <v>0</v>
      </c>
      <c r="F85" s="1100">
        <f t="shared" si="18"/>
        <v>22309.74</v>
      </c>
      <c r="G85" s="1102">
        <f t="shared" si="19"/>
        <v>0</v>
      </c>
      <c r="H85" s="1102">
        <f t="shared" si="20"/>
        <v>32836.519999999997</v>
      </c>
      <c r="I85" s="1555">
        <f t="shared" si="21"/>
        <v>77456</v>
      </c>
      <c r="J85" s="1101">
        <f t="shared" si="22"/>
        <v>32836.519999999997</v>
      </c>
      <c r="K85" s="1555">
        <f t="shared" si="23"/>
        <v>55146.259999999995</v>
      </c>
      <c r="L85" s="1104"/>
      <c r="M85" s="1094"/>
      <c r="N85" s="1094"/>
      <c r="O85" s="1094"/>
      <c r="P85" s="1094"/>
      <c r="Q85" s="1092">
        <f t="shared" si="24"/>
        <v>0</v>
      </c>
      <c r="R85" s="1093"/>
      <c r="S85" s="1094"/>
      <c r="T85" s="1094"/>
      <c r="U85" s="1094"/>
      <c r="V85" s="1094"/>
      <c r="W85" s="1094">
        <f t="shared" si="25"/>
        <v>0</v>
      </c>
      <c r="X85" s="1093">
        <v>22309.74</v>
      </c>
      <c r="Y85" s="1094">
        <v>0</v>
      </c>
      <c r="Z85" s="1094">
        <v>22309.74</v>
      </c>
      <c r="AA85" s="1094">
        <v>0</v>
      </c>
      <c r="AB85" s="1094">
        <v>32836.519999999997</v>
      </c>
      <c r="AC85" s="1094">
        <f t="shared" si="26"/>
        <v>77456</v>
      </c>
    </row>
    <row r="86" spans="1:29" ht="15" customHeight="1">
      <c r="A86" s="746" t="s">
        <v>212</v>
      </c>
      <c r="B86" s="751" t="s">
        <v>213</v>
      </c>
      <c r="C86" s="973" t="s">
        <v>267</v>
      </c>
      <c r="D86" s="1100">
        <f t="shared" si="16"/>
        <v>68837.039999999994</v>
      </c>
      <c r="E86" s="1100">
        <f t="shared" si="17"/>
        <v>0</v>
      </c>
      <c r="F86" s="1100">
        <f t="shared" si="18"/>
        <v>68837.039999999994</v>
      </c>
      <c r="G86" s="1102">
        <f t="shared" si="19"/>
        <v>0</v>
      </c>
      <c r="H86" s="1102">
        <f t="shared" si="20"/>
        <v>109339.92</v>
      </c>
      <c r="I86" s="1555">
        <f t="shared" si="21"/>
        <v>247014</v>
      </c>
      <c r="J86" s="1101">
        <f t="shared" si="22"/>
        <v>109339.92</v>
      </c>
      <c r="K86" s="1555">
        <f t="shared" si="23"/>
        <v>178176.96</v>
      </c>
      <c r="L86" s="1104"/>
      <c r="M86" s="1094"/>
      <c r="N86" s="1094"/>
      <c r="O86" s="1094"/>
      <c r="P86" s="1094"/>
      <c r="Q86" s="1092">
        <f t="shared" si="24"/>
        <v>0</v>
      </c>
      <c r="R86" s="1093"/>
      <c r="S86" s="1094"/>
      <c r="T86" s="1094"/>
      <c r="U86" s="1094"/>
      <c r="V86" s="1094"/>
      <c r="W86" s="1094">
        <f t="shared" si="25"/>
        <v>0</v>
      </c>
      <c r="X86" s="1093">
        <v>68837.039999999994</v>
      </c>
      <c r="Y86" s="1094">
        <v>0</v>
      </c>
      <c r="Z86" s="1094">
        <v>68837.039999999994</v>
      </c>
      <c r="AA86" s="1094">
        <v>0</v>
      </c>
      <c r="AB86" s="1094">
        <v>109339.92</v>
      </c>
      <c r="AC86" s="1094">
        <f t="shared" si="26"/>
        <v>247014</v>
      </c>
    </row>
    <row r="87" spans="1:29" ht="15" customHeight="1">
      <c r="A87" s="746" t="s">
        <v>214</v>
      </c>
      <c r="B87" s="751" t="s">
        <v>215</v>
      </c>
      <c r="C87" s="973" t="s">
        <v>268</v>
      </c>
      <c r="D87" s="1100">
        <f t="shared" si="16"/>
        <v>57512.88</v>
      </c>
      <c r="E87" s="1100">
        <f t="shared" si="17"/>
        <v>0</v>
      </c>
      <c r="F87" s="1100">
        <f t="shared" si="18"/>
        <v>57512.88</v>
      </c>
      <c r="G87" s="1102">
        <f t="shared" si="19"/>
        <v>0</v>
      </c>
      <c r="H87" s="1102">
        <f t="shared" si="20"/>
        <v>94020.24</v>
      </c>
      <c r="I87" s="1555">
        <f t="shared" si="21"/>
        <v>209046</v>
      </c>
      <c r="J87" s="1101">
        <f t="shared" si="22"/>
        <v>94020.24</v>
      </c>
      <c r="K87" s="1555">
        <f t="shared" si="23"/>
        <v>151533.12</v>
      </c>
      <c r="L87" s="1104"/>
      <c r="M87" s="1094"/>
      <c r="N87" s="1094"/>
      <c r="O87" s="1094"/>
      <c r="P87" s="1094"/>
      <c r="Q87" s="1092">
        <f t="shared" si="24"/>
        <v>0</v>
      </c>
      <c r="R87" s="1093"/>
      <c r="S87" s="1094"/>
      <c r="T87" s="1094"/>
      <c r="U87" s="1094"/>
      <c r="V87" s="1094"/>
      <c r="W87" s="1094">
        <f t="shared" si="25"/>
        <v>0</v>
      </c>
      <c r="X87" s="1093">
        <v>57512.88</v>
      </c>
      <c r="Y87" s="1094">
        <v>0</v>
      </c>
      <c r="Z87" s="1094">
        <v>57512.88</v>
      </c>
      <c r="AA87" s="1094">
        <v>0</v>
      </c>
      <c r="AB87" s="1094">
        <v>94020.24</v>
      </c>
      <c r="AC87" s="1094">
        <f t="shared" si="26"/>
        <v>209046</v>
      </c>
    </row>
    <row r="88" spans="1:29" ht="15" customHeight="1">
      <c r="A88" s="746" t="s">
        <v>216</v>
      </c>
      <c r="B88" s="751" t="s">
        <v>217</v>
      </c>
      <c r="C88" s="973" t="s">
        <v>264</v>
      </c>
      <c r="D88" s="1100">
        <f t="shared" si="16"/>
        <v>43345.5</v>
      </c>
      <c r="E88" s="1100">
        <f t="shared" si="17"/>
        <v>0</v>
      </c>
      <c r="F88" s="1100">
        <f t="shared" si="18"/>
        <v>43345.5</v>
      </c>
      <c r="G88" s="1102">
        <f t="shared" si="19"/>
        <v>0</v>
      </c>
      <c r="H88" s="1102">
        <f t="shared" si="20"/>
        <v>71060</v>
      </c>
      <c r="I88" s="1555">
        <f t="shared" si="21"/>
        <v>157751</v>
      </c>
      <c r="J88" s="1101">
        <f t="shared" si="22"/>
        <v>71060</v>
      </c>
      <c r="K88" s="1555">
        <f t="shared" si="23"/>
        <v>114405.5</v>
      </c>
      <c r="L88" s="1104"/>
      <c r="M88" s="1094"/>
      <c r="N88" s="1094"/>
      <c r="O88" s="1094"/>
      <c r="P88" s="1094"/>
      <c r="Q88" s="1092">
        <f t="shared" si="24"/>
        <v>0</v>
      </c>
      <c r="R88" s="1093"/>
      <c r="S88" s="1094"/>
      <c r="T88" s="1094"/>
      <c r="U88" s="1094"/>
      <c r="V88" s="1094"/>
      <c r="W88" s="1094">
        <f t="shared" si="25"/>
        <v>0</v>
      </c>
      <c r="X88" s="1093">
        <v>43345.5</v>
      </c>
      <c r="Y88" s="1094">
        <v>0</v>
      </c>
      <c r="Z88" s="1094">
        <v>43345.5</v>
      </c>
      <c r="AA88" s="1094">
        <v>0</v>
      </c>
      <c r="AB88" s="1094">
        <v>71060</v>
      </c>
      <c r="AC88" s="1094">
        <f t="shared" si="26"/>
        <v>157751</v>
      </c>
    </row>
    <row r="89" spans="1:29" ht="15" customHeight="1">
      <c r="A89" s="746" t="s">
        <v>218</v>
      </c>
      <c r="B89" s="751" t="s">
        <v>219</v>
      </c>
      <c r="C89" s="973" t="s">
        <v>267</v>
      </c>
      <c r="D89" s="1100">
        <f t="shared" si="16"/>
        <v>197032.01</v>
      </c>
      <c r="E89" s="1100">
        <f t="shared" si="17"/>
        <v>0</v>
      </c>
      <c r="F89" s="1100">
        <f t="shared" si="18"/>
        <v>197032.01</v>
      </c>
      <c r="G89" s="1102">
        <f t="shared" si="19"/>
        <v>0</v>
      </c>
      <c r="H89" s="1102">
        <f t="shared" si="20"/>
        <v>396172.98</v>
      </c>
      <c r="I89" s="1555">
        <f t="shared" si="21"/>
        <v>790237</v>
      </c>
      <c r="J89" s="1101">
        <f t="shared" si="22"/>
        <v>396172.98</v>
      </c>
      <c r="K89" s="1555">
        <f t="shared" si="23"/>
        <v>593204.99</v>
      </c>
      <c r="L89" s="1104"/>
      <c r="M89" s="1094"/>
      <c r="N89" s="1094"/>
      <c r="O89" s="1094"/>
      <c r="P89" s="1094"/>
      <c r="Q89" s="1092">
        <f t="shared" si="24"/>
        <v>0</v>
      </c>
      <c r="R89" s="1093"/>
      <c r="S89" s="1094"/>
      <c r="T89" s="1094"/>
      <c r="U89" s="1094"/>
      <c r="V89" s="1094"/>
      <c r="W89" s="1094">
        <f t="shared" si="25"/>
        <v>0</v>
      </c>
      <c r="X89" s="1093">
        <v>197032.01</v>
      </c>
      <c r="Y89" s="1094">
        <v>0</v>
      </c>
      <c r="Z89" s="1094">
        <v>197032.01</v>
      </c>
      <c r="AA89" s="1094">
        <v>0</v>
      </c>
      <c r="AB89" s="1094">
        <v>396172.98</v>
      </c>
      <c r="AC89" s="1094">
        <f t="shared" si="26"/>
        <v>790237</v>
      </c>
    </row>
    <row r="90" spans="1:29" ht="15" customHeight="1">
      <c r="A90" s="746" t="s">
        <v>220</v>
      </c>
      <c r="B90" s="751" t="s">
        <v>221</v>
      </c>
      <c r="C90" s="973" t="s">
        <v>267</v>
      </c>
      <c r="D90" s="1100">
        <f t="shared" si="16"/>
        <v>136962.92000000001</v>
      </c>
      <c r="E90" s="1100">
        <f t="shared" si="17"/>
        <v>0</v>
      </c>
      <c r="F90" s="1100">
        <f t="shared" si="18"/>
        <v>136962.92000000001</v>
      </c>
      <c r="G90" s="1102">
        <f t="shared" si="19"/>
        <v>0</v>
      </c>
      <c r="H90" s="1102">
        <f t="shared" si="20"/>
        <v>262396.15999999997</v>
      </c>
      <c r="I90" s="1555">
        <f t="shared" si="21"/>
        <v>536322</v>
      </c>
      <c r="J90" s="1101">
        <f t="shared" si="22"/>
        <v>262396.15999999997</v>
      </c>
      <c r="K90" s="1555">
        <f t="shared" si="23"/>
        <v>399359.07999999996</v>
      </c>
      <c r="L90" s="1104"/>
      <c r="M90" s="1094"/>
      <c r="N90" s="1094"/>
      <c r="O90" s="1094"/>
      <c r="P90" s="1094"/>
      <c r="Q90" s="1092">
        <f t="shared" si="24"/>
        <v>0</v>
      </c>
      <c r="R90" s="1093"/>
      <c r="S90" s="1094"/>
      <c r="T90" s="1094"/>
      <c r="U90" s="1094"/>
      <c r="V90" s="1094"/>
      <c r="W90" s="1094">
        <f t="shared" si="25"/>
        <v>0</v>
      </c>
      <c r="X90" s="1093">
        <v>136962.92000000001</v>
      </c>
      <c r="Y90" s="1094">
        <v>0</v>
      </c>
      <c r="Z90" s="1094">
        <v>136962.92000000001</v>
      </c>
      <c r="AA90" s="1094">
        <v>0</v>
      </c>
      <c r="AB90" s="1094">
        <v>262396.15999999997</v>
      </c>
      <c r="AC90" s="1094">
        <f t="shared" si="26"/>
        <v>536322</v>
      </c>
    </row>
    <row r="91" spans="1:29" ht="15" customHeight="1">
      <c r="A91" s="746" t="s">
        <v>224</v>
      </c>
      <c r="B91" s="751" t="s">
        <v>225</v>
      </c>
      <c r="C91" s="973" t="s">
        <v>264</v>
      </c>
      <c r="D91" s="1100">
        <f t="shared" si="16"/>
        <v>51066.22</v>
      </c>
      <c r="E91" s="1100">
        <f t="shared" si="17"/>
        <v>0</v>
      </c>
      <c r="F91" s="1100">
        <f t="shared" si="18"/>
        <v>51066.22</v>
      </c>
      <c r="G91" s="1102">
        <f t="shared" si="19"/>
        <v>0</v>
      </c>
      <c r="H91" s="1102">
        <f t="shared" si="20"/>
        <v>124182.56</v>
      </c>
      <c r="I91" s="1555">
        <f t="shared" si="21"/>
        <v>226315</v>
      </c>
      <c r="J91" s="1101">
        <f t="shared" si="22"/>
        <v>124182.56</v>
      </c>
      <c r="K91" s="1555">
        <f t="shared" si="23"/>
        <v>175248.78</v>
      </c>
      <c r="L91" s="1104"/>
      <c r="M91" s="1094"/>
      <c r="N91" s="1094"/>
      <c r="O91" s="1094"/>
      <c r="P91" s="1094"/>
      <c r="Q91" s="1092">
        <f t="shared" si="24"/>
        <v>0</v>
      </c>
      <c r="R91" s="1093"/>
      <c r="S91" s="1094"/>
      <c r="T91" s="1094"/>
      <c r="U91" s="1094"/>
      <c r="V91" s="1094"/>
      <c r="W91" s="1094">
        <f t="shared" si="25"/>
        <v>0</v>
      </c>
      <c r="X91" s="1093">
        <v>51066.22</v>
      </c>
      <c r="Y91" s="1094">
        <v>0</v>
      </c>
      <c r="Z91" s="1094">
        <v>51066.22</v>
      </c>
      <c r="AA91" s="1094">
        <v>0</v>
      </c>
      <c r="AB91" s="1094">
        <v>124182.56</v>
      </c>
      <c r="AC91" s="1094">
        <f t="shared" si="26"/>
        <v>226315</v>
      </c>
    </row>
    <row r="92" spans="1:29" ht="15" customHeight="1">
      <c r="A92" s="746" t="s">
        <v>226</v>
      </c>
      <c r="B92" s="751" t="s">
        <v>227</v>
      </c>
      <c r="C92" s="973" t="s">
        <v>264</v>
      </c>
      <c r="D92" s="1100">
        <f t="shared" si="16"/>
        <v>84387.75</v>
      </c>
      <c r="E92" s="1100">
        <f t="shared" si="17"/>
        <v>0</v>
      </c>
      <c r="F92" s="1100">
        <f t="shared" si="18"/>
        <v>84387.75</v>
      </c>
      <c r="G92" s="1102">
        <f t="shared" si="19"/>
        <v>9488.01</v>
      </c>
      <c r="H92" s="1102">
        <f t="shared" si="20"/>
        <v>113358.5</v>
      </c>
      <c r="I92" s="1555">
        <f t="shared" si="21"/>
        <v>291622.01</v>
      </c>
      <c r="J92" s="1101">
        <f t="shared" si="22"/>
        <v>122846.51</v>
      </c>
      <c r="K92" s="1555">
        <f t="shared" si="23"/>
        <v>207234.26</v>
      </c>
      <c r="L92" s="1104">
        <v>0</v>
      </c>
      <c r="M92" s="1094">
        <v>0</v>
      </c>
      <c r="N92" s="1094">
        <v>0</v>
      </c>
      <c r="O92" s="1094">
        <v>9488.01</v>
      </c>
      <c r="P92" s="1094">
        <v>0</v>
      </c>
      <c r="Q92" s="1092">
        <f t="shared" si="24"/>
        <v>9488.01</v>
      </c>
      <c r="R92" s="1093"/>
      <c r="S92" s="1094"/>
      <c r="T92" s="1094"/>
      <c r="U92" s="1094"/>
      <c r="V92" s="1094"/>
      <c r="W92" s="1094">
        <f t="shared" si="25"/>
        <v>0</v>
      </c>
      <c r="X92" s="1093">
        <v>84387.75</v>
      </c>
      <c r="Y92" s="1094">
        <v>0</v>
      </c>
      <c r="Z92" s="1094">
        <v>84387.75</v>
      </c>
      <c r="AA92" s="1094">
        <v>0</v>
      </c>
      <c r="AB92" s="1094">
        <v>113358.5</v>
      </c>
      <c r="AC92" s="1094">
        <f t="shared" si="26"/>
        <v>282134</v>
      </c>
    </row>
    <row r="93" spans="1:29" ht="15" customHeight="1">
      <c r="A93" s="746" t="s">
        <v>228</v>
      </c>
      <c r="B93" s="751" t="s">
        <v>229</v>
      </c>
      <c r="C93" s="973" t="s">
        <v>268</v>
      </c>
      <c r="D93" s="1100">
        <f t="shared" si="16"/>
        <v>109790.6</v>
      </c>
      <c r="E93" s="1100">
        <f t="shared" si="17"/>
        <v>0</v>
      </c>
      <c r="F93" s="1100">
        <f t="shared" si="18"/>
        <v>109790.6</v>
      </c>
      <c r="G93" s="1102">
        <f t="shared" si="19"/>
        <v>5974.84</v>
      </c>
      <c r="H93" s="1102">
        <f t="shared" si="20"/>
        <v>209412.8</v>
      </c>
      <c r="I93" s="1555">
        <f t="shared" si="21"/>
        <v>434968.83999999997</v>
      </c>
      <c r="J93" s="1101">
        <f t="shared" si="22"/>
        <v>215387.63999999998</v>
      </c>
      <c r="K93" s="1555">
        <f t="shared" si="23"/>
        <v>325178.23999999999</v>
      </c>
      <c r="L93" s="1103">
        <v>0</v>
      </c>
      <c r="M93" s="1091">
        <v>0</v>
      </c>
      <c r="N93" s="1091">
        <v>0</v>
      </c>
      <c r="O93" s="1091">
        <v>5974.84</v>
      </c>
      <c r="P93" s="1091">
        <v>0</v>
      </c>
      <c r="Q93" s="1092">
        <f t="shared" si="24"/>
        <v>5974.84</v>
      </c>
      <c r="R93" s="1093"/>
      <c r="S93" s="1094"/>
      <c r="T93" s="1094"/>
      <c r="U93" s="1094"/>
      <c r="V93" s="1094"/>
      <c r="W93" s="1094">
        <f t="shared" si="25"/>
        <v>0</v>
      </c>
      <c r="X93" s="1093">
        <v>109790.6</v>
      </c>
      <c r="Y93" s="1094">
        <v>0</v>
      </c>
      <c r="Z93" s="1094">
        <v>109790.6</v>
      </c>
      <c r="AA93" s="1094">
        <v>0</v>
      </c>
      <c r="AB93" s="1094">
        <v>209412.8</v>
      </c>
      <c r="AC93" s="1094">
        <f t="shared" si="26"/>
        <v>428994</v>
      </c>
    </row>
    <row r="94" spans="1:29" ht="15" customHeight="1">
      <c r="A94" s="746" t="s">
        <v>232</v>
      </c>
      <c r="B94" s="751" t="s">
        <v>233</v>
      </c>
      <c r="C94" s="973" t="s">
        <v>267</v>
      </c>
      <c r="D94" s="1100">
        <f t="shared" si="16"/>
        <v>26214.59</v>
      </c>
      <c r="E94" s="1100">
        <f t="shared" si="17"/>
        <v>0</v>
      </c>
      <c r="F94" s="1100">
        <f t="shared" si="18"/>
        <v>26214.59</v>
      </c>
      <c r="G94" s="1102">
        <f t="shared" si="19"/>
        <v>0</v>
      </c>
      <c r="H94" s="1102">
        <f t="shared" si="20"/>
        <v>51064.82</v>
      </c>
      <c r="I94" s="1555">
        <f t="shared" si="21"/>
        <v>103494</v>
      </c>
      <c r="J94" s="1101">
        <f t="shared" si="22"/>
        <v>51064.82</v>
      </c>
      <c r="K94" s="1555">
        <f t="shared" si="23"/>
        <v>77279.41</v>
      </c>
      <c r="L94" s="1104"/>
      <c r="M94" s="1094"/>
      <c r="N94" s="1094"/>
      <c r="O94" s="1094"/>
      <c r="P94" s="1094"/>
      <c r="Q94" s="1092">
        <f t="shared" si="24"/>
        <v>0</v>
      </c>
      <c r="R94" s="1093"/>
      <c r="S94" s="1094"/>
      <c r="T94" s="1094"/>
      <c r="U94" s="1094"/>
      <c r="V94" s="1094"/>
      <c r="W94" s="1094">
        <f t="shared" si="25"/>
        <v>0</v>
      </c>
      <c r="X94" s="1093">
        <v>26214.59</v>
      </c>
      <c r="Y94" s="1094">
        <v>0</v>
      </c>
      <c r="Z94" s="1094">
        <v>26214.59</v>
      </c>
      <c r="AA94" s="1094">
        <v>0</v>
      </c>
      <c r="AB94" s="1094">
        <v>51064.82</v>
      </c>
      <c r="AC94" s="1094">
        <f t="shared" si="26"/>
        <v>103494</v>
      </c>
    </row>
    <row r="95" spans="1:29" ht="15" customHeight="1">
      <c r="A95" s="746" t="s">
        <v>234</v>
      </c>
      <c r="B95" s="751" t="s">
        <v>235</v>
      </c>
      <c r="C95" s="973" t="s">
        <v>268</v>
      </c>
      <c r="D95" s="1100">
        <f t="shared" si="16"/>
        <v>72715.3</v>
      </c>
      <c r="E95" s="1100">
        <f t="shared" si="17"/>
        <v>0</v>
      </c>
      <c r="F95" s="1100">
        <f t="shared" si="18"/>
        <v>72715.3</v>
      </c>
      <c r="G95" s="1102">
        <f t="shared" si="19"/>
        <v>25085.3</v>
      </c>
      <c r="H95" s="1102">
        <f t="shared" si="20"/>
        <v>124489.4</v>
      </c>
      <c r="I95" s="1555">
        <f t="shared" si="21"/>
        <v>295005.3</v>
      </c>
      <c r="J95" s="1101">
        <f t="shared" si="22"/>
        <v>149574.69999999998</v>
      </c>
      <c r="K95" s="1555">
        <f t="shared" si="23"/>
        <v>222290</v>
      </c>
      <c r="L95" s="1103">
        <v>0</v>
      </c>
      <c r="M95" s="1091">
        <v>0</v>
      </c>
      <c r="N95" s="1091">
        <v>0</v>
      </c>
      <c r="O95" s="1091">
        <v>25085.3</v>
      </c>
      <c r="P95" s="1091">
        <v>0</v>
      </c>
      <c r="Q95" s="1092">
        <f t="shared" si="24"/>
        <v>25085.3</v>
      </c>
      <c r="R95" s="1093"/>
      <c r="S95" s="1094"/>
      <c r="T95" s="1094"/>
      <c r="U95" s="1094"/>
      <c r="V95" s="1094"/>
      <c r="W95" s="1094">
        <f t="shared" si="25"/>
        <v>0</v>
      </c>
      <c r="X95" s="1093">
        <v>72715.3</v>
      </c>
      <c r="Y95" s="1094">
        <v>0</v>
      </c>
      <c r="Z95" s="1094">
        <v>72715.3</v>
      </c>
      <c r="AA95" s="1094">
        <v>0</v>
      </c>
      <c r="AB95" s="1094">
        <v>124489.4</v>
      </c>
      <c r="AC95" s="1094">
        <f t="shared" si="26"/>
        <v>269920</v>
      </c>
    </row>
    <row r="96" spans="1:29" ht="15" customHeight="1">
      <c r="A96" s="746" t="s">
        <v>236</v>
      </c>
      <c r="B96" s="751" t="s">
        <v>237</v>
      </c>
      <c r="C96" s="973" t="s">
        <v>266</v>
      </c>
      <c r="D96" s="1100">
        <f t="shared" si="16"/>
        <v>44840.14</v>
      </c>
      <c r="E96" s="1100">
        <f t="shared" si="17"/>
        <v>0</v>
      </c>
      <c r="F96" s="1100">
        <f t="shared" si="18"/>
        <v>44840.14</v>
      </c>
      <c r="G96" s="1102">
        <f t="shared" si="19"/>
        <v>0</v>
      </c>
      <c r="H96" s="1102">
        <f t="shared" si="20"/>
        <v>73102.720000000001</v>
      </c>
      <c r="I96" s="1555">
        <f t="shared" si="21"/>
        <v>162783</v>
      </c>
      <c r="J96" s="1101">
        <f t="shared" si="22"/>
        <v>73102.720000000001</v>
      </c>
      <c r="K96" s="1555">
        <f t="shared" si="23"/>
        <v>117942.86</v>
      </c>
      <c r="L96" s="1104"/>
      <c r="M96" s="1094"/>
      <c r="N96" s="1094"/>
      <c r="O96" s="1094"/>
      <c r="P96" s="1094"/>
      <c r="Q96" s="1092">
        <f t="shared" si="24"/>
        <v>0</v>
      </c>
      <c r="R96" s="1093"/>
      <c r="S96" s="1094"/>
      <c r="T96" s="1094"/>
      <c r="U96" s="1094"/>
      <c r="V96" s="1094"/>
      <c r="W96" s="1094">
        <f t="shared" si="25"/>
        <v>0</v>
      </c>
      <c r="X96" s="1093">
        <v>44840.14</v>
      </c>
      <c r="Y96" s="1094">
        <v>0</v>
      </c>
      <c r="Z96" s="1094">
        <v>44840.14</v>
      </c>
      <c r="AA96" s="1094">
        <v>0</v>
      </c>
      <c r="AB96" s="1094">
        <v>73102.720000000001</v>
      </c>
      <c r="AC96" s="1094">
        <f t="shared" si="26"/>
        <v>162783</v>
      </c>
    </row>
    <row r="97" spans="1:29" ht="15" customHeight="1">
      <c r="A97" s="746" t="s">
        <v>242</v>
      </c>
      <c r="B97" s="751" t="s">
        <v>243</v>
      </c>
      <c r="C97" s="973" t="s">
        <v>268</v>
      </c>
      <c r="D97" s="1100">
        <f t="shared" si="16"/>
        <v>60910.1</v>
      </c>
      <c r="E97" s="1100">
        <f t="shared" si="17"/>
        <v>0</v>
      </c>
      <c r="F97" s="1100">
        <f t="shared" si="18"/>
        <v>60910.1</v>
      </c>
      <c r="G97" s="1102">
        <f t="shared" si="19"/>
        <v>0</v>
      </c>
      <c r="H97" s="1102">
        <f t="shared" si="20"/>
        <v>127778.8</v>
      </c>
      <c r="I97" s="1555">
        <f t="shared" si="21"/>
        <v>249599</v>
      </c>
      <c r="J97" s="1101">
        <f t="shared" si="22"/>
        <v>127778.8</v>
      </c>
      <c r="K97" s="1555">
        <f t="shared" si="23"/>
        <v>188688.9</v>
      </c>
      <c r="L97" s="1104"/>
      <c r="M97" s="1094"/>
      <c r="N97" s="1094"/>
      <c r="O97" s="1094"/>
      <c r="P97" s="1094"/>
      <c r="Q97" s="1092">
        <f t="shared" si="24"/>
        <v>0</v>
      </c>
      <c r="R97" s="1093"/>
      <c r="S97" s="1094"/>
      <c r="T97" s="1094"/>
      <c r="U97" s="1094"/>
      <c r="V97" s="1094"/>
      <c r="W97" s="1094">
        <f t="shared" si="25"/>
        <v>0</v>
      </c>
      <c r="X97" s="1093">
        <v>60910.1</v>
      </c>
      <c r="Y97" s="1094">
        <v>0</v>
      </c>
      <c r="Z97" s="1094">
        <v>60910.1</v>
      </c>
      <c r="AA97" s="1094">
        <v>0</v>
      </c>
      <c r="AB97" s="1094">
        <v>127778.8</v>
      </c>
      <c r="AC97" s="1094">
        <f t="shared" si="26"/>
        <v>249599</v>
      </c>
    </row>
    <row r="98" spans="1:29" ht="15" customHeight="1">
      <c r="A98" s="746" t="s">
        <v>244</v>
      </c>
      <c r="B98" s="751" t="s">
        <v>245</v>
      </c>
      <c r="C98" s="973" t="s">
        <v>268</v>
      </c>
      <c r="D98" s="1100">
        <f t="shared" si="16"/>
        <v>86597.06</v>
      </c>
      <c r="E98" s="1100">
        <f t="shared" si="17"/>
        <v>0</v>
      </c>
      <c r="F98" s="1100">
        <f t="shared" si="18"/>
        <v>86597.06</v>
      </c>
      <c r="G98" s="1102">
        <f t="shared" si="19"/>
        <v>0</v>
      </c>
      <c r="H98" s="1102">
        <f t="shared" si="20"/>
        <v>135773.88</v>
      </c>
      <c r="I98" s="1555">
        <f t="shared" si="21"/>
        <v>308968</v>
      </c>
      <c r="J98" s="1101">
        <f t="shared" si="22"/>
        <v>135773.88</v>
      </c>
      <c r="K98" s="1555">
        <f t="shared" si="23"/>
        <v>222370.94</v>
      </c>
      <c r="L98" s="1104"/>
      <c r="M98" s="1094"/>
      <c r="N98" s="1094"/>
      <c r="O98" s="1094"/>
      <c r="P98" s="1094"/>
      <c r="Q98" s="1092">
        <f t="shared" si="24"/>
        <v>0</v>
      </c>
      <c r="R98" s="1093"/>
      <c r="S98" s="1094"/>
      <c r="T98" s="1094"/>
      <c r="U98" s="1094"/>
      <c r="V98" s="1094"/>
      <c r="W98" s="1094">
        <f t="shared" si="25"/>
        <v>0</v>
      </c>
      <c r="X98" s="1093">
        <v>86597.06</v>
      </c>
      <c r="Y98" s="1094">
        <v>0</v>
      </c>
      <c r="Z98" s="1094">
        <v>86597.06</v>
      </c>
      <c r="AA98" s="1094">
        <v>0</v>
      </c>
      <c r="AB98" s="1094">
        <v>135773.88</v>
      </c>
      <c r="AC98" s="1094">
        <f t="shared" si="26"/>
        <v>308968</v>
      </c>
    </row>
    <row r="99" spans="1:29" ht="15" customHeight="1">
      <c r="A99" s="746" t="s">
        <v>246</v>
      </c>
      <c r="B99" s="751" t="s">
        <v>310</v>
      </c>
      <c r="C99" s="973" t="s">
        <v>264</v>
      </c>
      <c r="D99" s="1100">
        <f t="shared" si="16"/>
        <v>123010.07</v>
      </c>
      <c r="E99" s="1100">
        <f t="shared" si="17"/>
        <v>0</v>
      </c>
      <c r="F99" s="1100">
        <f t="shared" si="18"/>
        <v>123010.07</v>
      </c>
      <c r="G99" s="1102">
        <f t="shared" si="19"/>
        <v>0</v>
      </c>
      <c r="H99" s="1102">
        <f t="shared" si="20"/>
        <v>355594.86</v>
      </c>
      <c r="I99" s="1555">
        <f t="shared" si="21"/>
        <v>601615</v>
      </c>
      <c r="J99" s="1101">
        <f t="shared" si="22"/>
        <v>355594.86</v>
      </c>
      <c r="K99" s="1555">
        <f t="shared" si="23"/>
        <v>478604.93</v>
      </c>
      <c r="L99" s="1104"/>
      <c r="M99" s="1094"/>
      <c r="N99" s="1094"/>
      <c r="O99" s="1094"/>
      <c r="P99" s="1094"/>
      <c r="Q99" s="1092">
        <f t="shared" si="24"/>
        <v>0</v>
      </c>
      <c r="R99" s="1093"/>
      <c r="S99" s="1094"/>
      <c r="T99" s="1094"/>
      <c r="U99" s="1094"/>
      <c r="V99" s="1094"/>
      <c r="W99" s="1094">
        <f t="shared" si="25"/>
        <v>0</v>
      </c>
      <c r="X99" s="1093">
        <v>123010.07</v>
      </c>
      <c r="Y99" s="1094">
        <v>0</v>
      </c>
      <c r="Z99" s="1094">
        <v>123010.07</v>
      </c>
      <c r="AA99" s="1094">
        <v>0</v>
      </c>
      <c r="AB99" s="1094">
        <v>355594.86</v>
      </c>
      <c r="AC99" s="1094">
        <f t="shared" si="26"/>
        <v>601615</v>
      </c>
    </row>
    <row r="100" spans="1:29" ht="15" customHeight="1">
      <c r="A100" s="746" t="s">
        <v>14</v>
      </c>
      <c r="B100" s="751" t="s">
        <v>15</v>
      </c>
      <c r="C100" s="973" t="s">
        <v>267</v>
      </c>
      <c r="D100" s="1100">
        <f t="shared" si="16"/>
        <v>767807.22</v>
      </c>
      <c r="E100" s="1100">
        <f t="shared" si="17"/>
        <v>0</v>
      </c>
      <c r="F100" s="1100">
        <f t="shared" si="18"/>
        <v>767807.22</v>
      </c>
      <c r="G100" s="1102">
        <f t="shared" si="19"/>
        <v>0</v>
      </c>
      <c r="H100" s="1102">
        <f t="shared" si="20"/>
        <v>2262147.56</v>
      </c>
      <c r="I100" s="1555">
        <f t="shared" si="21"/>
        <v>3797762</v>
      </c>
      <c r="J100" s="1101">
        <f t="shared" si="22"/>
        <v>2262147.56</v>
      </c>
      <c r="K100" s="1555">
        <f t="shared" si="23"/>
        <v>3029954.7800000003</v>
      </c>
      <c r="L100" s="1104"/>
      <c r="M100" s="1094"/>
      <c r="N100" s="1094"/>
      <c r="O100" s="1094"/>
      <c r="P100" s="1094"/>
      <c r="Q100" s="1092">
        <f t="shared" si="24"/>
        <v>0</v>
      </c>
      <c r="R100" s="1093"/>
      <c r="S100" s="1094"/>
      <c r="T100" s="1094"/>
      <c r="U100" s="1094"/>
      <c r="V100" s="1094"/>
      <c r="W100" s="1094">
        <f t="shared" si="25"/>
        <v>0</v>
      </c>
      <c r="X100" s="1093">
        <v>767807.22</v>
      </c>
      <c r="Y100" s="1094">
        <v>0</v>
      </c>
      <c r="Z100" s="1094">
        <v>767807.22</v>
      </c>
      <c r="AA100" s="1094">
        <v>0</v>
      </c>
      <c r="AB100" s="1094">
        <v>2262147.56</v>
      </c>
      <c r="AC100" s="1094">
        <f t="shared" si="26"/>
        <v>3797762</v>
      </c>
    </row>
    <row r="101" spans="1:29" ht="15" customHeight="1">
      <c r="A101" s="746" t="s">
        <v>34</v>
      </c>
      <c r="B101" s="751" t="s">
        <v>35</v>
      </c>
      <c r="C101" s="973" t="s">
        <v>268</v>
      </c>
      <c r="D101" s="1100">
        <f t="shared" si="16"/>
        <v>34448.300000000003</v>
      </c>
      <c r="E101" s="1100">
        <f t="shared" si="17"/>
        <v>0</v>
      </c>
      <c r="F101" s="1100">
        <f t="shared" si="18"/>
        <v>34448.300000000003</v>
      </c>
      <c r="G101" s="1102">
        <f t="shared" si="19"/>
        <v>0</v>
      </c>
      <c r="H101" s="1102">
        <f t="shared" si="20"/>
        <v>61868.4</v>
      </c>
      <c r="I101" s="1555">
        <f t="shared" si="21"/>
        <v>130765</v>
      </c>
      <c r="J101" s="1101">
        <f t="shared" si="22"/>
        <v>61868.4</v>
      </c>
      <c r="K101" s="1555">
        <f t="shared" si="23"/>
        <v>96316.700000000012</v>
      </c>
      <c r="L101" s="1104"/>
      <c r="M101" s="1094"/>
      <c r="N101" s="1094"/>
      <c r="O101" s="1094"/>
      <c r="P101" s="1094"/>
      <c r="Q101" s="1092">
        <f t="shared" si="24"/>
        <v>0</v>
      </c>
      <c r="R101" s="1093"/>
      <c r="S101" s="1094"/>
      <c r="T101" s="1094"/>
      <c r="U101" s="1094"/>
      <c r="V101" s="1094"/>
      <c r="W101" s="1094">
        <f t="shared" si="25"/>
        <v>0</v>
      </c>
      <c r="X101" s="1093">
        <v>34448.300000000003</v>
      </c>
      <c r="Y101" s="1094">
        <v>0</v>
      </c>
      <c r="Z101" s="1094">
        <v>34448.300000000003</v>
      </c>
      <c r="AA101" s="1094">
        <v>0</v>
      </c>
      <c r="AB101" s="1094">
        <v>61868.4</v>
      </c>
      <c r="AC101" s="1094">
        <f t="shared" si="26"/>
        <v>130765</v>
      </c>
    </row>
    <row r="102" spans="1:29" ht="15" customHeight="1">
      <c r="A102" s="746" t="s">
        <v>52</v>
      </c>
      <c r="B102" s="751" t="s">
        <v>53</v>
      </c>
      <c r="C102" s="973" t="s">
        <v>265</v>
      </c>
      <c r="D102" s="1100">
        <f t="shared" si="16"/>
        <v>104551.89</v>
      </c>
      <c r="E102" s="1100">
        <f t="shared" si="17"/>
        <v>0</v>
      </c>
      <c r="F102" s="1100">
        <f t="shared" si="18"/>
        <v>104551.89</v>
      </c>
      <c r="G102" s="1102">
        <f t="shared" si="19"/>
        <v>0</v>
      </c>
      <c r="H102" s="1102">
        <f t="shared" si="20"/>
        <v>234543.22</v>
      </c>
      <c r="I102" s="1555">
        <f t="shared" si="21"/>
        <v>443647</v>
      </c>
      <c r="J102" s="1101">
        <f t="shared" si="22"/>
        <v>234543.22</v>
      </c>
      <c r="K102" s="1555">
        <f t="shared" si="23"/>
        <v>339095.11</v>
      </c>
      <c r="L102" s="1104"/>
      <c r="M102" s="1094"/>
      <c r="N102" s="1094"/>
      <c r="O102" s="1094"/>
      <c r="P102" s="1094"/>
      <c r="Q102" s="1092">
        <f t="shared" si="24"/>
        <v>0</v>
      </c>
      <c r="R102" s="1093"/>
      <c r="S102" s="1094"/>
      <c r="T102" s="1094"/>
      <c r="U102" s="1094"/>
      <c r="V102" s="1094"/>
      <c r="W102" s="1094">
        <f t="shared" si="25"/>
        <v>0</v>
      </c>
      <c r="X102" s="1093">
        <v>104551.89</v>
      </c>
      <c r="Y102" s="1094">
        <v>0</v>
      </c>
      <c r="Z102" s="1094">
        <v>104551.89</v>
      </c>
      <c r="AA102" s="1094">
        <v>0</v>
      </c>
      <c r="AB102" s="1094">
        <v>234543.22</v>
      </c>
      <c r="AC102" s="1094">
        <f t="shared" si="26"/>
        <v>443647</v>
      </c>
    </row>
    <row r="103" spans="1:29" ht="15" customHeight="1">
      <c r="A103" s="746" t="s">
        <v>54</v>
      </c>
      <c r="B103" s="751" t="s">
        <v>55</v>
      </c>
      <c r="C103" s="973" t="s">
        <v>264</v>
      </c>
      <c r="D103" s="1100">
        <f t="shared" si="16"/>
        <v>335047.03999999998</v>
      </c>
      <c r="E103" s="1100">
        <f t="shared" si="17"/>
        <v>0</v>
      </c>
      <c r="F103" s="1100">
        <f t="shared" si="18"/>
        <v>335047.03999999998</v>
      </c>
      <c r="G103" s="1102">
        <f t="shared" si="19"/>
        <v>0</v>
      </c>
      <c r="H103" s="1102">
        <f t="shared" si="20"/>
        <v>635598.92000000004</v>
      </c>
      <c r="I103" s="1555">
        <f t="shared" si="21"/>
        <v>1305693</v>
      </c>
      <c r="J103" s="1101">
        <f t="shared" si="22"/>
        <v>635598.92000000004</v>
      </c>
      <c r="K103" s="1555">
        <f t="shared" si="23"/>
        <v>970645.96</v>
      </c>
      <c r="L103" s="1104"/>
      <c r="M103" s="1094"/>
      <c r="N103" s="1094"/>
      <c r="O103" s="1094"/>
      <c r="P103" s="1094"/>
      <c r="Q103" s="1092">
        <f t="shared" si="24"/>
        <v>0</v>
      </c>
      <c r="R103" s="1093"/>
      <c r="S103" s="1094"/>
      <c r="T103" s="1094"/>
      <c r="U103" s="1094"/>
      <c r="V103" s="1094"/>
      <c r="W103" s="1094">
        <f t="shared" si="25"/>
        <v>0</v>
      </c>
      <c r="X103" s="1093">
        <v>335047.03999999998</v>
      </c>
      <c r="Y103" s="1094">
        <v>0</v>
      </c>
      <c r="Z103" s="1094">
        <v>335047.03999999998</v>
      </c>
      <c r="AA103" s="1094">
        <v>0</v>
      </c>
      <c r="AB103" s="1094">
        <v>635598.92000000004</v>
      </c>
      <c r="AC103" s="1094">
        <f t="shared" si="26"/>
        <v>1305693</v>
      </c>
    </row>
    <row r="104" spans="1:29" ht="15" customHeight="1">
      <c r="A104" s="746" t="s">
        <v>66</v>
      </c>
      <c r="B104" s="751" t="s">
        <v>67</v>
      </c>
      <c r="C104" s="973" t="s">
        <v>265</v>
      </c>
      <c r="D104" s="1100">
        <f t="shared" si="16"/>
        <v>146551.72</v>
      </c>
      <c r="E104" s="1100">
        <f t="shared" si="17"/>
        <v>0</v>
      </c>
      <c r="F104" s="1100">
        <f t="shared" si="18"/>
        <v>146551.72</v>
      </c>
      <c r="G104" s="1102">
        <f t="shared" si="19"/>
        <v>0</v>
      </c>
      <c r="H104" s="1102">
        <f t="shared" si="20"/>
        <v>282408.56</v>
      </c>
      <c r="I104" s="1555">
        <f t="shared" si="21"/>
        <v>575512</v>
      </c>
      <c r="J104" s="1101">
        <f t="shared" si="22"/>
        <v>282408.56</v>
      </c>
      <c r="K104" s="1555">
        <f t="shared" si="23"/>
        <v>428960.28</v>
      </c>
      <c r="L104" s="1104"/>
      <c r="M104" s="1094"/>
      <c r="N104" s="1094"/>
      <c r="O104" s="1094"/>
      <c r="P104" s="1094"/>
      <c r="Q104" s="1092">
        <f t="shared" si="24"/>
        <v>0</v>
      </c>
      <c r="R104" s="1093"/>
      <c r="S104" s="1094"/>
      <c r="T104" s="1094"/>
      <c r="U104" s="1094"/>
      <c r="V104" s="1094"/>
      <c r="W104" s="1094">
        <f t="shared" si="25"/>
        <v>0</v>
      </c>
      <c r="X104" s="1093">
        <v>146551.72</v>
      </c>
      <c r="Y104" s="1094">
        <v>0</v>
      </c>
      <c r="Z104" s="1094">
        <v>146551.72</v>
      </c>
      <c r="AA104" s="1094">
        <v>0</v>
      </c>
      <c r="AB104" s="1094">
        <v>282408.56</v>
      </c>
      <c r="AC104" s="1094">
        <f t="shared" si="26"/>
        <v>575512</v>
      </c>
    </row>
    <row r="105" spans="1:29" ht="15" customHeight="1">
      <c r="A105" s="746" t="s">
        <v>82</v>
      </c>
      <c r="B105" s="751" t="s">
        <v>311</v>
      </c>
      <c r="C105" s="973" t="s">
        <v>264</v>
      </c>
      <c r="D105" s="1100">
        <f t="shared" si="16"/>
        <v>25902.49</v>
      </c>
      <c r="E105" s="1100">
        <f t="shared" si="17"/>
        <v>0</v>
      </c>
      <c r="F105" s="1100">
        <f t="shared" si="18"/>
        <v>25902.49</v>
      </c>
      <c r="G105" s="1102">
        <f t="shared" si="19"/>
        <v>0</v>
      </c>
      <c r="H105" s="1102">
        <f t="shared" si="20"/>
        <v>41924.019999999997</v>
      </c>
      <c r="I105" s="1555">
        <f t="shared" si="21"/>
        <v>93729</v>
      </c>
      <c r="J105" s="1101">
        <f t="shared" si="22"/>
        <v>41924.019999999997</v>
      </c>
      <c r="K105" s="1555">
        <f t="shared" si="23"/>
        <v>67826.509999999995</v>
      </c>
      <c r="L105" s="1104"/>
      <c r="M105" s="1094"/>
      <c r="N105" s="1094"/>
      <c r="O105" s="1094"/>
      <c r="P105" s="1094"/>
      <c r="Q105" s="1092">
        <f t="shared" si="24"/>
        <v>0</v>
      </c>
      <c r="R105" s="1093"/>
      <c r="S105" s="1094"/>
      <c r="T105" s="1094"/>
      <c r="U105" s="1094"/>
      <c r="V105" s="1094"/>
      <c r="W105" s="1094">
        <f t="shared" si="25"/>
        <v>0</v>
      </c>
      <c r="X105" s="1093">
        <v>25902.49</v>
      </c>
      <c r="Y105" s="1094">
        <v>0</v>
      </c>
      <c r="Z105" s="1094">
        <v>25902.49</v>
      </c>
      <c r="AA105" s="1094">
        <v>0</v>
      </c>
      <c r="AB105" s="1094">
        <v>41924.019999999997</v>
      </c>
      <c r="AC105" s="1094">
        <f t="shared" si="26"/>
        <v>93729</v>
      </c>
    </row>
    <row r="106" spans="1:29" ht="15" customHeight="1">
      <c r="A106" s="746" t="s">
        <v>88</v>
      </c>
      <c r="B106" s="751" t="s">
        <v>89</v>
      </c>
      <c r="C106" s="973" t="s">
        <v>267</v>
      </c>
      <c r="D106" s="1100">
        <f t="shared" si="16"/>
        <v>37574.36</v>
      </c>
      <c r="E106" s="1100">
        <f t="shared" si="17"/>
        <v>0</v>
      </c>
      <c r="F106" s="1100">
        <f t="shared" si="18"/>
        <v>37574.36</v>
      </c>
      <c r="G106" s="1102">
        <f t="shared" si="19"/>
        <v>0</v>
      </c>
      <c r="H106" s="1102">
        <f t="shared" si="20"/>
        <v>62665.279999999999</v>
      </c>
      <c r="I106" s="1555">
        <f t="shared" si="21"/>
        <v>137814</v>
      </c>
      <c r="J106" s="1101">
        <f t="shared" si="22"/>
        <v>62665.279999999999</v>
      </c>
      <c r="K106" s="1555">
        <f t="shared" si="23"/>
        <v>100239.64</v>
      </c>
      <c r="L106" s="1104"/>
      <c r="M106" s="1094"/>
      <c r="N106" s="1094"/>
      <c r="O106" s="1094"/>
      <c r="P106" s="1094"/>
      <c r="Q106" s="1092">
        <f t="shared" si="24"/>
        <v>0</v>
      </c>
      <c r="R106" s="1093"/>
      <c r="S106" s="1094"/>
      <c r="T106" s="1094"/>
      <c r="U106" s="1094"/>
      <c r="V106" s="1094"/>
      <c r="W106" s="1094">
        <f t="shared" si="25"/>
        <v>0</v>
      </c>
      <c r="X106" s="1093">
        <v>37574.36</v>
      </c>
      <c r="Y106" s="1094">
        <v>0</v>
      </c>
      <c r="Z106" s="1094">
        <v>37574.36</v>
      </c>
      <c r="AA106" s="1094">
        <v>0</v>
      </c>
      <c r="AB106" s="1094">
        <v>62665.279999999999</v>
      </c>
      <c r="AC106" s="1094">
        <f t="shared" si="26"/>
        <v>137814</v>
      </c>
    </row>
    <row r="107" spans="1:29" ht="15" customHeight="1">
      <c r="A107" s="746" t="s">
        <v>90</v>
      </c>
      <c r="B107" s="751" t="s">
        <v>91</v>
      </c>
      <c r="C107" s="973" t="s">
        <v>268</v>
      </c>
      <c r="D107" s="1100">
        <f t="shared" si="16"/>
        <v>18344.23</v>
      </c>
      <c r="E107" s="1100">
        <f t="shared" si="17"/>
        <v>0</v>
      </c>
      <c r="F107" s="1100">
        <f t="shared" si="18"/>
        <v>18344.23</v>
      </c>
      <c r="G107" s="1102">
        <f t="shared" si="19"/>
        <v>0</v>
      </c>
      <c r="H107" s="1102">
        <f t="shared" si="20"/>
        <v>25282.54</v>
      </c>
      <c r="I107" s="1555">
        <f t="shared" si="21"/>
        <v>61971</v>
      </c>
      <c r="J107" s="1101">
        <f t="shared" si="22"/>
        <v>25282.54</v>
      </c>
      <c r="K107" s="1555">
        <f t="shared" si="23"/>
        <v>43626.770000000004</v>
      </c>
      <c r="L107" s="1104"/>
      <c r="M107" s="1094"/>
      <c r="N107" s="1094"/>
      <c r="O107" s="1094"/>
      <c r="P107" s="1094"/>
      <c r="Q107" s="1092">
        <f t="shared" si="24"/>
        <v>0</v>
      </c>
      <c r="R107" s="1093"/>
      <c r="S107" s="1094"/>
      <c r="T107" s="1094"/>
      <c r="U107" s="1094"/>
      <c r="V107" s="1094"/>
      <c r="W107" s="1094">
        <f t="shared" si="25"/>
        <v>0</v>
      </c>
      <c r="X107" s="1093">
        <v>18344.23</v>
      </c>
      <c r="Y107" s="1094">
        <v>0</v>
      </c>
      <c r="Z107" s="1094">
        <v>18344.23</v>
      </c>
      <c r="AA107" s="1094">
        <v>0</v>
      </c>
      <c r="AB107" s="1094">
        <v>25282.54</v>
      </c>
      <c r="AC107" s="1094">
        <f t="shared" si="26"/>
        <v>61971</v>
      </c>
    </row>
    <row r="108" spans="1:29" ht="15" customHeight="1">
      <c r="A108" s="746" t="s">
        <v>106</v>
      </c>
      <c r="B108" s="751" t="s">
        <v>107</v>
      </c>
      <c r="C108" s="973" t="s">
        <v>264</v>
      </c>
      <c r="D108" s="1100">
        <f t="shared" si="16"/>
        <v>196219.26</v>
      </c>
      <c r="E108" s="1100">
        <f t="shared" si="17"/>
        <v>0</v>
      </c>
      <c r="F108" s="1100">
        <f t="shared" si="18"/>
        <v>196219.26</v>
      </c>
      <c r="G108" s="1102">
        <f t="shared" si="19"/>
        <v>0</v>
      </c>
      <c r="H108" s="1102">
        <f t="shared" si="20"/>
        <v>289923.48</v>
      </c>
      <c r="I108" s="1555">
        <f t="shared" si="21"/>
        <v>682362</v>
      </c>
      <c r="J108" s="1101">
        <f t="shared" si="22"/>
        <v>289923.48</v>
      </c>
      <c r="K108" s="1555">
        <f t="shared" si="23"/>
        <v>486142.74</v>
      </c>
      <c r="L108" s="1104"/>
      <c r="M108" s="1094"/>
      <c r="N108" s="1094"/>
      <c r="O108" s="1094"/>
      <c r="P108" s="1094"/>
      <c r="Q108" s="1092">
        <f t="shared" si="24"/>
        <v>0</v>
      </c>
      <c r="R108" s="1093"/>
      <c r="S108" s="1094"/>
      <c r="T108" s="1094"/>
      <c r="U108" s="1094"/>
      <c r="V108" s="1094"/>
      <c r="W108" s="1094">
        <f t="shared" si="25"/>
        <v>0</v>
      </c>
      <c r="X108" s="1093">
        <v>196219.26</v>
      </c>
      <c r="Y108" s="1094">
        <v>0</v>
      </c>
      <c r="Z108" s="1094">
        <v>196219.26</v>
      </c>
      <c r="AA108" s="1094">
        <v>0</v>
      </c>
      <c r="AB108" s="1094">
        <v>289923.48</v>
      </c>
      <c r="AC108" s="1094">
        <f t="shared" si="26"/>
        <v>682362</v>
      </c>
    </row>
    <row r="109" spans="1:29" ht="15" customHeight="1">
      <c r="A109" s="746" t="s">
        <v>116</v>
      </c>
      <c r="B109" s="751" t="s">
        <v>117</v>
      </c>
      <c r="C109" s="973" t="s">
        <v>266</v>
      </c>
      <c r="D109" s="1100">
        <f t="shared" si="16"/>
        <v>97470.95</v>
      </c>
      <c r="E109" s="1100">
        <f t="shared" si="17"/>
        <v>0</v>
      </c>
      <c r="F109" s="1100">
        <f t="shared" si="18"/>
        <v>97470.95</v>
      </c>
      <c r="G109" s="1102">
        <f t="shared" si="19"/>
        <v>0</v>
      </c>
      <c r="H109" s="1102">
        <f t="shared" si="20"/>
        <v>133226.1</v>
      </c>
      <c r="I109" s="1555">
        <f t="shared" si="21"/>
        <v>328168</v>
      </c>
      <c r="J109" s="1101">
        <f t="shared" si="22"/>
        <v>133226.1</v>
      </c>
      <c r="K109" s="1555">
        <f t="shared" si="23"/>
        <v>230697.05</v>
      </c>
      <c r="L109" s="1104"/>
      <c r="M109" s="1094"/>
      <c r="N109" s="1094"/>
      <c r="O109" s="1094"/>
      <c r="P109" s="1094"/>
      <c r="Q109" s="1092">
        <f t="shared" si="24"/>
        <v>0</v>
      </c>
      <c r="R109" s="1093"/>
      <c r="S109" s="1094"/>
      <c r="T109" s="1094"/>
      <c r="U109" s="1094"/>
      <c r="V109" s="1094"/>
      <c r="W109" s="1094">
        <f t="shared" si="25"/>
        <v>0</v>
      </c>
      <c r="X109" s="1093">
        <v>97470.95</v>
      </c>
      <c r="Y109" s="1094">
        <v>0</v>
      </c>
      <c r="Z109" s="1094">
        <v>97470.95</v>
      </c>
      <c r="AA109" s="1094">
        <v>0</v>
      </c>
      <c r="AB109" s="1094">
        <v>133226.1</v>
      </c>
      <c r="AC109" s="1094">
        <f t="shared" si="26"/>
        <v>328168</v>
      </c>
    </row>
    <row r="110" spans="1:29" ht="15" customHeight="1">
      <c r="A110" s="746" t="s">
        <v>138</v>
      </c>
      <c r="B110" s="751" t="s">
        <v>139</v>
      </c>
      <c r="C110" s="973" t="s">
        <v>265</v>
      </c>
      <c r="D110" s="1100">
        <f t="shared" si="16"/>
        <v>377915.11</v>
      </c>
      <c r="E110" s="1100">
        <f t="shared" si="17"/>
        <v>0</v>
      </c>
      <c r="F110" s="1100">
        <f t="shared" si="18"/>
        <v>377915.11</v>
      </c>
      <c r="G110" s="1102">
        <f t="shared" si="19"/>
        <v>0</v>
      </c>
      <c r="H110" s="1102">
        <f t="shared" si="20"/>
        <v>820003.78</v>
      </c>
      <c r="I110" s="1555">
        <f t="shared" si="21"/>
        <v>1575834</v>
      </c>
      <c r="J110" s="1101">
        <f t="shared" si="22"/>
        <v>820003.78</v>
      </c>
      <c r="K110" s="1555">
        <f t="shared" si="23"/>
        <v>1197918.8900000001</v>
      </c>
      <c r="L110" s="1104"/>
      <c r="M110" s="1094"/>
      <c r="N110" s="1094"/>
      <c r="O110" s="1094"/>
      <c r="P110" s="1094"/>
      <c r="Q110" s="1092">
        <f t="shared" si="24"/>
        <v>0</v>
      </c>
      <c r="R110" s="1093"/>
      <c r="S110" s="1094"/>
      <c r="T110" s="1094"/>
      <c r="U110" s="1094"/>
      <c r="V110" s="1094"/>
      <c r="W110" s="1094">
        <f t="shared" si="25"/>
        <v>0</v>
      </c>
      <c r="X110" s="1093">
        <v>377915.11</v>
      </c>
      <c r="Y110" s="1094">
        <v>0</v>
      </c>
      <c r="Z110" s="1094">
        <v>377915.11</v>
      </c>
      <c r="AA110" s="1094">
        <v>0</v>
      </c>
      <c r="AB110" s="1094">
        <v>820003.78</v>
      </c>
      <c r="AC110" s="1094">
        <f t="shared" si="26"/>
        <v>1575834</v>
      </c>
    </row>
    <row r="111" spans="1:29" ht="15" customHeight="1">
      <c r="A111" s="746" t="s">
        <v>142</v>
      </c>
      <c r="B111" s="751" t="s">
        <v>143</v>
      </c>
      <c r="C111" s="973" t="s">
        <v>267</v>
      </c>
      <c r="D111" s="1100">
        <f t="shared" si="16"/>
        <v>64505.45</v>
      </c>
      <c r="E111" s="1100">
        <f t="shared" si="17"/>
        <v>0</v>
      </c>
      <c r="F111" s="1100">
        <f t="shared" si="18"/>
        <v>64505.45</v>
      </c>
      <c r="G111" s="1102">
        <f t="shared" si="19"/>
        <v>0</v>
      </c>
      <c r="H111" s="1102">
        <f t="shared" si="20"/>
        <v>149780.1</v>
      </c>
      <c r="I111" s="1555">
        <f t="shared" si="21"/>
        <v>278791</v>
      </c>
      <c r="J111" s="1101">
        <f t="shared" si="22"/>
        <v>149780.1</v>
      </c>
      <c r="K111" s="1555">
        <f t="shared" si="23"/>
        <v>214285.55</v>
      </c>
      <c r="L111" s="1104"/>
      <c r="M111" s="1094"/>
      <c r="N111" s="1094"/>
      <c r="O111" s="1094"/>
      <c r="P111" s="1094"/>
      <c r="Q111" s="1092">
        <f t="shared" si="24"/>
        <v>0</v>
      </c>
      <c r="R111" s="1093"/>
      <c r="S111" s="1094"/>
      <c r="T111" s="1094"/>
      <c r="U111" s="1094"/>
      <c r="V111" s="1094"/>
      <c r="W111" s="1094">
        <f t="shared" si="25"/>
        <v>0</v>
      </c>
      <c r="X111" s="1093">
        <v>64505.45</v>
      </c>
      <c r="Y111" s="1094">
        <v>0</v>
      </c>
      <c r="Z111" s="1094">
        <v>64505.45</v>
      </c>
      <c r="AA111" s="1094">
        <v>0</v>
      </c>
      <c r="AB111" s="1094">
        <v>149780.1</v>
      </c>
      <c r="AC111" s="1094">
        <f t="shared" si="26"/>
        <v>278791</v>
      </c>
    </row>
    <row r="112" spans="1:29" ht="15" customHeight="1">
      <c r="A112" s="746" t="s">
        <v>144</v>
      </c>
      <c r="B112" s="751" t="s">
        <v>145</v>
      </c>
      <c r="C112" s="973" t="s">
        <v>267</v>
      </c>
      <c r="D112" s="1100">
        <f t="shared" si="16"/>
        <v>48287.57</v>
      </c>
      <c r="E112" s="1100">
        <f t="shared" si="17"/>
        <v>0</v>
      </c>
      <c r="F112" s="1100">
        <f t="shared" si="18"/>
        <v>48287.57</v>
      </c>
      <c r="G112" s="1102">
        <f t="shared" si="19"/>
        <v>0</v>
      </c>
      <c r="H112" s="1102">
        <f t="shared" si="20"/>
        <v>182539.86</v>
      </c>
      <c r="I112" s="1555">
        <f t="shared" si="21"/>
        <v>279115</v>
      </c>
      <c r="J112" s="1101">
        <f t="shared" si="22"/>
        <v>182539.86</v>
      </c>
      <c r="K112" s="1555">
        <f t="shared" si="23"/>
        <v>230827.43</v>
      </c>
      <c r="L112" s="1104"/>
      <c r="M112" s="1094"/>
      <c r="N112" s="1094"/>
      <c r="O112" s="1094"/>
      <c r="P112" s="1094"/>
      <c r="Q112" s="1092">
        <f t="shared" si="24"/>
        <v>0</v>
      </c>
      <c r="R112" s="1093"/>
      <c r="S112" s="1094"/>
      <c r="T112" s="1094"/>
      <c r="U112" s="1094"/>
      <c r="V112" s="1094"/>
      <c r="W112" s="1094">
        <f t="shared" si="25"/>
        <v>0</v>
      </c>
      <c r="X112" s="1093">
        <v>48287.57</v>
      </c>
      <c r="Y112" s="1094">
        <v>0</v>
      </c>
      <c r="Z112" s="1094">
        <v>48287.57</v>
      </c>
      <c r="AA112" s="1094">
        <v>0</v>
      </c>
      <c r="AB112" s="1094">
        <v>182539.86</v>
      </c>
      <c r="AC112" s="1094">
        <f t="shared" si="26"/>
        <v>279115</v>
      </c>
    </row>
    <row r="113" spans="1:29" ht="15" customHeight="1">
      <c r="A113" s="746" t="s">
        <v>158</v>
      </c>
      <c r="B113" s="751" t="s">
        <v>159</v>
      </c>
      <c r="C113" s="973" t="s">
        <v>264</v>
      </c>
      <c r="D113" s="1100">
        <f t="shared" si="16"/>
        <v>173740.47</v>
      </c>
      <c r="E113" s="1100">
        <f t="shared" si="17"/>
        <v>0</v>
      </c>
      <c r="F113" s="1100">
        <f t="shared" si="18"/>
        <v>173740.47</v>
      </c>
      <c r="G113" s="1102">
        <f t="shared" si="19"/>
        <v>232201.02</v>
      </c>
      <c r="H113" s="1102">
        <f t="shared" si="20"/>
        <v>446634.06</v>
      </c>
      <c r="I113" s="1555">
        <f t="shared" si="21"/>
        <v>1026316.02</v>
      </c>
      <c r="J113" s="1101">
        <f t="shared" si="22"/>
        <v>678835.08</v>
      </c>
      <c r="K113" s="1555">
        <f t="shared" si="23"/>
        <v>852575.54999999993</v>
      </c>
      <c r="L113" s="1103">
        <v>0</v>
      </c>
      <c r="M113" s="1091">
        <v>0</v>
      </c>
      <c r="N113" s="1091">
        <v>0</v>
      </c>
      <c r="O113" s="1091">
        <v>232201.02</v>
      </c>
      <c r="P113" s="1091">
        <v>0</v>
      </c>
      <c r="Q113" s="1092">
        <f t="shared" si="24"/>
        <v>232201.02</v>
      </c>
      <c r="R113" s="1093"/>
      <c r="S113" s="1094"/>
      <c r="T113" s="1094"/>
      <c r="U113" s="1094"/>
      <c r="V113" s="1094"/>
      <c r="W113" s="1094">
        <f t="shared" si="25"/>
        <v>0</v>
      </c>
      <c r="X113" s="1093">
        <v>173740.47</v>
      </c>
      <c r="Y113" s="1094">
        <v>0</v>
      </c>
      <c r="Z113" s="1094">
        <v>173740.47</v>
      </c>
      <c r="AA113" s="1094">
        <v>0</v>
      </c>
      <c r="AB113" s="1094">
        <v>446634.06</v>
      </c>
      <c r="AC113" s="1094">
        <f t="shared" si="26"/>
        <v>794115</v>
      </c>
    </row>
    <row r="114" spans="1:29" ht="15" customHeight="1">
      <c r="A114" s="746" t="s">
        <v>160</v>
      </c>
      <c r="B114" s="751" t="s">
        <v>161</v>
      </c>
      <c r="C114" s="973" t="s">
        <v>264</v>
      </c>
      <c r="D114" s="1100">
        <f t="shared" si="16"/>
        <v>625130.96</v>
      </c>
      <c r="E114" s="1100">
        <f t="shared" si="17"/>
        <v>0</v>
      </c>
      <c r="F114" s="1100">
        <f t="shared" si="18"/>
        <v>625130.96</v>
      </c>
      <c r="G114" s="1102">
        <f t="shared" si="19"/>
        <v>0</v>
      </c>
      <c r="H114" s="1102">
        <f t="shared" si="20"/>
        <v>990081.08</v>
      </c>
      <c r="I114" s="1555">
        <f t="shared" si="21"/>
        <v>2240343</v>
      </c>
      <c r="J114" s="1101">
        <f t="shared" si="22"/>
        <v>990081.08</v>
      </c>
      <c r="K114" s="1555">
        <f t="shared" si="23"/>
        <v>1615212.04</v>
      </c>
      <c r="L114" s="1104"/>
      <c r="M114" s="1094"/>
      <c r="N114" s="1094"/>
      <c r="O114" s="1094"/>
      <c r="P114" s="1094"/>
      <c r="Q114" s="1092">
        <f t="shared" si="24"/>
        <v>0</v>
      </c>
      <c r="R114" s="1093"/>
      <c r="S114" s="1094"/>
      <c r="T114" s="1094"/>
      <c r="U114" s="1094"/>
      <c r="V114" s="1094"/>
      <c r="W114" s="1094">
        <f t="shared" si="25"/>
        <v>0</v>
      </c>
      <c r="X114" s="1093">
        <v>625130.96</v>
      </c>
      <c r="Y114" s="1094">
        <v>0</v>
      </c>
      <c r="Z114" s="1094">
        <v>625130.96</v>
      </c>
      <c r="AA114" s="1094">
        <v>0</v>
      </c>
      <c r="AB114" s="1094">
        <v>990081.08</v>
      </c>
      <c r="AC114" s="1094">
        <f t="shared" si="26"/>
        <v>2240343</v>
      </c>
    </row>
    <row r="115" spans="1:29" ht="15" customHeight="1">
      <c r="A115" s="746" t="s">
        <v>166</v>
      </c>
      <c r="B115" s="751" t="s">
        <v>167</v>
      </c>
      <c r="C115" s="973" t="s">
        <v>268</v>
      </c>
      <c r="D115" s="1100">
        <f t="shared" si="16"/>
        <v>29207.26</v>
      </c>
      <c r="E115" s="1100">
        <f t="shared" si="17"/>
        <v>0</v>
      </c>
      <c r="F115" s="1100">
        <f t="shared" si="18"/>
        <v>29207.26</v>
      </c>
      <c r="G115" s="1102">
        <f t="shared" si="19"/>
        <v>0</v>
      </c>
      <c r="H115" s="1102">
        <f t="shared" si="20"/>
        <v>52337.48</v>
      </c>
      <c r="I115" s="1555">
        <f t="shared" si="21"/>
        <v>110752</v>
      </c>
      <c r="J115" s="1101">
        <f t="shared" si="22"/>
        <v>52337.48</v>
      </c>
      <c r="K115" s="1555">
        <f t="shared" si="23"/>
        <v>81544.740000000005</v>
      </c>
      <c r="L115" s="1104"/>
      <c r="M115" s="1094"/>
      <c r="N115" s="1094"/>
      <c r="O115" s="1094"/>
      <c r="P115" s="1094"/>
      <c r="Q115" s="1092">
        <f t="shared" si="24"/>
        <v>0</v>
      </c>
      <c r="R115" s="1093"/>
      <c r="S115" s="1094"/>
      <c r="T115" s="1094"/>
      <c r="U115" s="1094"/>
      <c r="V115" s="1094"/>
      <c r="W115" s="1094">
        <f t="shared" si="25"/>
        <v>0</v>
      </c>
      <c r="X115" s="1093">
        <v>29207.26</v>
      </c>
      <c r="Y115" s="1094">
        <v>0</v>
      </c>
      <c r="Z115" s="1094">
        <v>29207.26</v>
      </c>
      <c r="AA115" s="1094">
        <v>0</v>
      </c>
      <c r="AB115" s="1094">
        <v>52337.48</v>
      </c>
      <c r="AC115" s="1094">
        <f t="shared" si="26"/>
        <v>110752</v>
      </c>
    </row>
    <row r="116" spans="1:29" ht="15" customHeight="1">
      <c r="A116" s="746" t="s">
        <v>176</v>
      </c>
      <c r="B116" s="751" t="s">
        <v>177</v>
      </c>
      <c r="C116" s="973" t="s">
        <v>266</v>
      </c>
      <c r="D116" s="1100">
        <f t="shared" si="16"/>
        <v>164012.53</v>
      </c>
      <c r="E116" s="1100">
        <f t="shared" si="17"/>
        <v>0</v>
      </c>
      <c r="F116" s="1100">
        <f t="shared" si="18"/>
        <v>164012.53</v>
      </c>
      <c r="G116" s="1102">
        <f t="shared" si="19"/>
        <v>0</v>
      </c>
      <c r="H116" s="1102">
        <f t="shared" si="20"/>
        <v>346271.94</v>
      </c>
      <c r="I116" s="1555">
        <f t="shared" si="21"/>
        <v>674297</v>
      </c>
      <c r="J116" s="1101">
        <f t="shared" si="22"/>
        <v>346271.94</v>
      </c>
      <c r="K116" s="1555">
        <f t="shared" si="23"/>
        <v>510284.47</v>
      </c>
      <c r="L116" s="1104"/>
      <c r="M116" s="1094"/>
      <c r="N116" s="1094"/>
      <c r="O116" s="1094"/>
      <c r="P116" s="1094"/>
      <c r="Q116" s="1092">
        <f t="shared" si="24"/>
        <v>0</v>
      </c>
      <c r="R116" s="1093"/>
      <c r="S116" s="1094"/>
      <c r="T116" s="1094"/>
      <c r="U116" s="1094"/>
      <c r="V116" s="1094"/>
      <c r="W116" s="1094">
        <f t="shared" si="25"/>
        <v>0</v>
      </c>
      <c r="X116" s="1093">
        <v>164012.53</v>
      </c>
      <c r="Y116" s="1094">
        <v>0</v>
      </c>
      <c r="Z116" s="1094">
        <v>164012.53</v>
      </c>
      <c r="AA116" s="1094">
        <v>0</v>
      </c>
      <c r="AB116" s="1094">
        <v>346271.94</v>
      </c>
      <c r="AC116" s="1094">
        <f t="shared" si="26"/>
        <v>674297</v>
      </c>
    </row>
    <row r="117" spans="1:29" ht="15" customHeight="1">
      <c r="A117" s="746" t="s">
        <v>180</v>
      </c>
      <c r="B117" s="751" t="s">
        <v>181</v>
      </c>
      <c r="C117" s="973" t="s">
        <v>264</v>
      </c>
      <c r="D117" s="1100">
        <f t="shared" si="16"/>
        <v>167766.84</v>
      </c>
      <c r="E117" s="1100">
        <f t="shared" si="17"/>
        <v>0</v>
      </c>
      <c r="F117" s="1100">
        <f t="shared" si="18"/>
        <v>167766.84</v>
      </c>
      <c r="G117" s="1102">
        <f t="shared" si="19"/>
        <v>43707.94</v>
      </c>
      <c r="H117" s="1102">
        <f t="shared" si="20"/>
        <v>309330.32</v>
      </c>
      <c r="I117" s="1555">
        <f t="shared" si="21"/>
        <v>688571.94</v>
      </c>
      <c r="J117" s="1101">
        <f t="shared" si="22"/>
        <v>353038.26</v>
      </c>
      <c r="K117" s="1555">
        <f t="shared" si="23"/>
        <v>520805.1</v>
      </c>
      <c r="L117" s="1103">
        <v>0</v>
      </c>
      <c r="M117" s="1091">
        <v>0</v>
      </c>
      <c r="N117" s="1091">
        <v>0</v>
      </c>
      <c r="O117" s="1091">
        <v>43707.94</v>
      </c>
      <c r="P117" s="1091">
        <v>0</v>
      </c>
      <c r="Q117" s="1092">
        <f t="shared" si="24"/>
        <v>43707.94</v>
      </c>
      <c r="R117" s="1093"/>
      <c r="S117" s="1094"/>
      <c r="T117" s="1094"/>
      <c r="U117" s="1094"/>
      <c r="V117" s="1094"/>
      <c r="W117" s="1094">
        <f t="shared" si="25"/>
        <v>0</v>
      </c>
      <c r="X117" s="1093">
        <v>167766.84</v>
      </c>
      <c r="Y117" s="1094">
        <v>0</v>
      </c>
      <c r="Z117" s="1094">
        <v>167766.84</v>
      </c>
      <c r="AA117" s="1094">
        <v>0</v>
      </c>
      <c r="AB117" s="1094">
        <v>309330.32</v>
      </c>
      <c r="AC117" s="1094">
        <f t="shared" si="26"/>
        <v>644864</v>
      </c>
    </row>
    <row r="118" spans="1:29" ht="15" customHeight="1">
      <c r="A118" s="746" t="s">
        <v>192</v>
      </c>
      <c r="B118" s="751" t="s">
        <v>193</v>
      </c>
      <c r="C118" s="973" t="s">
        <v>268</v>
      </c>
      <c r="D118" s="1100">
        <f t="shared" si="16"/>
        <v>20628.71</v>
      </c>
      <c r="E118" s="1100">
        <f t="shared" si="17"/>
        <v>0</v>
      </c>
      <c r="F118" s="1100">
        <f t="shared" si="18"/>
        <v>20628.71</v>
      </c>
      <c r="G118" s="1102">
        <f t="shared" si="19"/>
        <v>0</v>
      </c>
      <c r="H118" s="1102">
        <f t="shared" si="20"/>
        <v>36402.58</v>
      </c>
      <c r="I118" s="1555">
        <f t="shared" si="21"/>
        <v>77660</v>
      </c>
      <c r="J118" s="1101">
        <f t="shared" si="22"/>
        <v>36402.58</v>
      </c>
      <c r="K118" s="1555">
        <f t="shared" si="23"/>
        <v>57031.29</v>
      </c>
      <c r="L118" s="1103"/>
      <c r="M118" s="1091"/>
      <c r="N118" s="1091"/>
      <c r="O118" s="1091"/>
      <c r="P118" s="1091"/>
      <c r="Q118" s="1092">
        <f t="shared" si="24"/>
        <v>0</v>
      </c>
      <c r="R118" s="1093"/>
      <c r="S118" s="1094"/>
      <c r="T118" s="1094"/>
      <c r="U118" s="1094"/>
      <c r="V118" s="1094"/>
      <c r="W118" s="1094">
        <f t="shared" si="25"/>
        <v>0</v>
      </c>
      <c r="X118" s="1093">
        <v>20628.71</v>
      </c>
      <c r="Y118" s="1094">
        <v>0</v>
      </c>
      <c r="Z118" s="1094">
        <v>20628.71</v>
      </c>
      <c r="AA118" s="1094">
        <v>0</v>
      </c>
      <c r="AB118" s="1094">
        <v>36402.58</v>
      </c>
      <c r="AC118" s="1094">
        <f t="shared" si="26"/>
        <v>77660</v>
      </c>
    </row>
    <row r="119" spans="1:29" ht="15" customHeight="1">
      <c r="A119" s="746" t="s">
        <v>196</v>
      </c>
      <c r="B119" s="751" t="s">
        <v>312</v>
      </c>
      <c r="C119" s="973" t="s">
        <v>266</v>
      </c>
      <c r="D119" s="1100">
        <f t="shared" si="16"/>
        <v>799390.5</v>
      </c>
      <c r="E119" s="1100">
        <f t="shared" si="17"/>
        <v>0</v>
      </c>
      <c r="F119" s="1100">
        <f t="shared" si="18"/>
        <v>799390.5</v>
      </c>
      <c r="G119" s="1102">
        <f t="shared" si="19"/>
        <v>26731.119999999999</v>
      </c>
      <c r="H119" s="1102">
        <f t="shared" si="20"/>
        <v>2061926</v>
      </c>
      <c r="I119" s="1555">
        <f t="shared" si="21"/>
        <v>3687438.12</v>
      </c>
      <c r="J119" s="1101">
        <f t="shared" si="22"/>
        <v>2088657.12</v>
      </c>
      <c r="K119" s="1555">
        <f t="shared" si="23"/>
        <v>2888047.62</v>
      </c>
      <c r="L119" s="1103">
        <v>0</v>
      </c>
      <c r="M119" s="1091">
        <v>0</v>
      </c>
      <c r="N119" s="1091">
        <v>0</v>
      </c>
      <c r="O119" s="1091">
        <v>26731.119999999999</v>
      </c>
      <c r="P119" s="1091">
        <v>0</v>
      </c>
      <c r="Q119" s="1092">
        <f t="shared" si="24"/>
        <v>26731.119999999999</v>
      </c>
      <c r="R119" s="1093"/>
      <c r="S119" s="1094"/>
      <c r="T119" s="1094"/>
      <c r="U119" s="1094"/>
      <c r="V119" s="1094"/>
      <c r="W119" s="1094">
        <f t="shared" si="25"/>
        <v>0</v>
      </c>
      <c r="X119" s="1093">
        <v>799390.5</v>
      </c>
      <c r="Y119" s="1094">
        <v>0</v>
      </c>
      <c r="Z119" s="1094">
        <v>799390.5</v>
      </c>
      <c r="AA119" s="1094">
        <v>0</v>
      </c>
      <c r="AB119" s="1094">
        <v>2061926</v>
      </c>
      <c r="AC119" s="1094">
        <f t="shared" si="26"/>
        <v>3660707</v>
      </c>
    </row>
    <row r="120" spans="1:29" ht="15" customHeight="1">
      <c r="A120" s="746" t="s">
        <v>200</v>
      </c>
      <c r="B120" s="751" t="s">
        <v>313</v>
      </c>
      <c r="C120" s="973" t="s">
        <v>265</v>
      </c>
      <c r="D120" s="1100">
        <f t="shared" si="16"/>
        <v>288317.34999999998</v>
      </c>
      <c r="E120" s="1100">
        <f t="shared" si="17"/>
        <v>0</v>
      </c>
      <c r="F120" s="1100">
        <f t="shared" si="18"/>
        <v>288317.34999999998</v>
      </c>
      <c r="G120" s="1102">
        <f t="shared" si="19"/>
        <v>0</v>
      </c>
      <c r="H120" s="1102">
        <f t="shared" si="20"/>
        <v>620469.30000000005</v>
      </c>
      <c r="I120" s="1555">
        <f t="shared" si="21"/>
        <v>1197104</v>
      </c>
      <c r="J120" s="1101">
        <f t="shared" si="22"/>
        <v>620469.30000000005</v>
      </c>
      <c r="K120" s="1555">
        <f t="shared" si="23"/>
        <v>908786.65</v>
      </c>
      <c r="L120" s="1104"/>
      <c r="M120" s="1094"/>
      <c r="N120" s="1094"/>
      <c r="O120" s="1094"/>
      <c r="P120" s="1094"/>
      <c r="Q120" s="1092">
        <f t="shared" si="24"/>
        <v>0</v>
      </c>
      <c r="R120" s="1093"/>
      <c r="S120" s="1094"/>
      <c r="T120" s="1094"/>
      <c r="U120" s="1094"/>
      <c r="V120" s="1094"/>
      <c r="W120" s="1094">
        <f t="shared" si="25"/>
        <v>0</v>
      </c>
      <c r="X120" s="1093">
        <v>288317.34999999998</v>
      </c>
      <c r="Y120" s="1094">
        <v>0</v>
      </c>
      <c r="Z120" s="1094">
        <v>288317.34999999998</v>
      </c>
      <c r="AA120" s="1094">
        <v>0</v>
      </c>
      <c r="AB120" s="1094">
        <v>620469.30000000005</v>
      </c>
      <c r="AC120" s="1094">
        <f t="shared" si="26"/>
        <v>1197104</v>
      </c>
    </row>
    <row r="121" spans="1:29" ht="15" customHeight="1">
      <c r="A121" s="746" t="s">
        <v>222</v>
      </c>
      <c r="B121" s="751" t="s">
        <v>223</v>
      </c>
      <c r="C121" s="973" t="s">
        <v>264</v>
      </c>
      <c r="D121" s="1100">
        <f t="shared" si="16"/>
        <v>130572.02</v>
      </c>
      <c r="E121" s="1100">
        <f t="shared" si="17"/>
        <v>0</v>
      </c>
      <c r="F121" s="1100">
        <f t="shared" si="18"/>
        <v>130572.02</v>
      </c>
      <c r="G121" s="1102">
        <f t="shared" si="19"/>
        <v>28221.93</v>
      </c>
      <c r="H121" s="1102">
        <f t="shared" si="20"/>
        <v>265176.96000000002</v>
      </c>
      <c r="I121" s="1555">
        <f t="shared" si="21"/>
        <v>554542.93000000005</v>
      </c>
      <c r="J121" s="1101">
        <f t="shared" si="22"/>
        <v>293398.89</v>
      </c>
      <c r="K121" s="1555">
        <f t="shared" si="23"/>
        <v>423970.91000000003</v>
      </c>
      <c r="L121" s="1104">
        <v>0</v>
      </c>
      <c r="M121" s="1094">
        <v>0</v>
      </c>
      <c r="N121" s="1094">
        <v>0</v>
      </c>
      <c r="O121" s="1094">
        <v>28221.93</v>
      </c>
      <c r="P121" s="1094">
        <v>0</v>
      </c>
      <c r="Q121" s="1092">
        <f t="shared" si="24"/>
        <v>28221.93</v>
      </c>
      <c r="R121" s="1093"/>
      <c r="S121" s="1094"/>
      <c r="T121" s="1094"/>
      <c r="U121" s="1094"/>
      <c r="V121" s="1094"/>
      <c r="W121" s="1094">
        <f t="shared" si="25"/>
        <v>0</v>
      </c>
      <c r="X121" s="1093">
        <v>130572.02</v>
      </c>
      <c r="Y121" s="1094">
        <v>0</v>
      </c>
      <c r="Z121" s="1094">
        <v>130572.02</v>
      </c>
      <c r="AA121" s="1094">
        <v>0</v>
      </c>
      <c r="AB121" s="1094">
        <v>265176.96000000002</v>
      </c>
      <c r="AC121" s="1094">
        <f t="shared" si="26"/>
        <v>526321</v>
      </c>
    </row>
    <row r="122" spans="1:29" ht="15" customHeight="1">
      <c r="A122" s="746" t="s">
        <v>230</v>
      </c>
      <c r="B122" s="751" t="s">
        <v>231</v>
      </c>
      <c r="C122" s="973" t="s">
        <v>264</v>
      </c>
      <c r="D122" s="1100">
        <f t="shared" si="16"/>
        <v>696134.62</v>
      </c>
      <c r="E122" s="1100">
        <f t="shared" si="17"/>
        <v>0</v>
      </c>
      <c r="F122" s="1100">
        <f t="shared" si="18"/>
        <v>696134.62</v>
      </c>
      <c r="G122" s="1102">
        <f t="shared" si="19"/>
        <v>0</v>
      </c>
      <c r="H122" s="1102">
        <f t="shared" si="20"/>
        <v>1613487.76</v>
      </c>
      <c r="I122" s="1555">
        <f t="shared" si="21"/>
        <v>3005757</v>
      </c>
      <c r="J122" s="1101">
        <f t="shared" si="22"/>
        <v>1613487.76</v>
      </c>
      <c r="K122" s="1555">
        <f t="shared" si="23"/>
        <v>2309622.38</v>
      </c>
      <c r="L122" s="1104"/>
      <c r="M122" s="1094"/>
      <c r="N122" s="1094"/>
      <c r="O122" s="1094"/>
      <c r="P122" s="1094"/>
      <c r="Q122" s="1092">
        <f t="shared" si="24"/>
        <v>0</v>
      </c>
      <c r="R122" s="1093"/>
      <c r="S122" s="1094"/>
      <c r="T122" s="1094"/>
      <c r="U122" s="1094"/>
      <c r="V122" s="1094"/>
      <c r="W122" s="1094">
        <f t="shared" si="25"/>
        <v>0</v>
      </c>
      <c r="X122" s="1093">
        <v>696134.62</v>
      </c>
      <c r="Y122" s="1094">
        <v>0</v>
      </c>
      <c r="Z122" s="1094">
        <v>696134.62</v>
      </c>
      <c r="AA122" s="1094">
        <v>0</v>
      </c>
      <c r="AB122" s="1094">
        <v>1613487.76</v>
      </c>
      <c r="AC122" s="1094">
        <f t="shared" si="26"/>
        <v>3005757</v>
      </c>
    </row>
    <row r="123" spans="1:29" ht="15" customHeight="1">
      <c r="A123" s="746" t="s">
        <v>238</v>
      </c>
      <c r="B123" s="751" t="s">
        <v>239</v>
      </c>
      <c r="C123" s="973" t="s">
        <v>264</v>
      </c>
      <c r="D123" s="1100">
        <f t="shared" si="16"/>
        <v>77387.289999999994</v>
      </c>
      <c r="E123" s="1100">
        <f t="shared" si="17"/>
        <v>0</v>
      </c>
      <c r="F123" s="1100">
        <f t="shared" si="18"/>
        <v>77387.289999999994</v>
      </c>
      <c r="G123" s="1102">
        <f t="shared" si="19"/>
        <v>0</v>
      </c>
      <c r="H123" s="1102">
        <f t="shared" si="20"/>
        <v>148562.42000000001</v>
      </c>
      <c r="I123" s="1555">
        <f t="shared" si="21"/>
        <v>303337</v>
      </c>
      <c r="J123" s="1101">
        <f t="shared" si="22"/>
        <v>148562.42000000001</v>
      </c>
      <c r="K123" s="1555">
        <f t="shared" si="23"/>
        <v>225949.71000000002</v>
      </c>
      <c r="L123" s="1104"/>
      <c r="M123" s="1094"/>
      <c r="N123" s="1094"/>
      <c r="O123" s="1094"/>
      <c r="P123" s="1094"/>
      <c r="Q123" s="1092">
        <f t="shared" si="24"/>
        <v>0</v>
      </c>
      <c r="R123" s="1093"/>
      <c r="S123" s="1094"/>
      <c r="T123" s="1094"/>
      <c r="U123" s="1094"/>
      <c r="V123" s="1094"/>
      <c r="W123" s="1094">
        <f t="shared" si="25"/>
        <v>0</v>
      </c>
      <c r="X123" s="1093">
        <v>77387.289999999994</v>
      </c>
      <c r="Y123" s="1094">
        <v>0</v>
      </c>
      <c r="Z123" s="1094">
        <v>77387.289999999994</v>
      </c>
      <c r="AA123" s="1094">
        <v>0</v>
      </c>
      <c r="AB123" s="1094">
        <v>148562.42000000001</v>
      </c>
      <c r="AC123" s="1094">
        <f t="shared" si="26"/>
        <v>303337</v>
      </c>
    </row>
    <row r="124" spans="1:29" ht="15" customHeight="1">
      <c r="A124" s="746" t="s">
        <v>240</v>
      </c>
      <c r="B124" s="751" t="s">
        <v>241</v>
      </c>
      <c r="C124" s="973" t="s">
        <v>267</v>
      </c>
      <c r="D124" s="1100">
        <f t="shared" si="16"/>
        <v>52008.47</v>
      </c>
      <c r="E124" s="1100">
        <f t="shared" si="17"/>
        <v>0</v>
      </c>
      <c r="F124" s="1100">
        <f t="shared" si="18"/>
        <v>52008.47</v>
      </c>
      <c r="G124" s="1102">
        <f t="shared" si="19"/>
        <v>0</v>
      </c>
      <c r="H124" s="1102">
        <f t="shared" si="20"/>
        <v>107577.06</v>
      </c>
      <c r="I124" s="1555">
        <f t="shared" si="21"/>
        <v>211594</v>
      </c>
      <c r="J124" s="1101">
        <f t="shared" si="22"/>
        <v>107577.06</v>
      </c>
      <c r="K124" s="1555">
        <f t="shared" si="23"/>
        <v>159585.53</v>
      </c>
      <c r="L124" s="1104"/>
      <c r="M124" s="1094"/>
      <c r="N124" s="1094"/>
      <c r="O124" s="1094"/>
      <c r="P124" s="1094"/>
      <c r="Q124" s="1092">
        <f t="shared" si="24"/>
        <v>0</v>
      </c>
      <c r="R124" s="1093"/>
      <c r="S124" s="1094"/>
      <c r="T124" s="1094"/>
      <c r="U124" s="1094"/>
      <c r="V124" s="1094"/>
      <c r="W124" s="1094">
        <f t="shared" si="25"/>
        <v>0</v>
      </c>
      <c r="X124" s="1093">
        <v>52008.47</v>
      </c>
      <c r="Y124" s="1094">
        <v>0</v>
      </c>
      <c r="Z124" s="1094">
        <v>52008.47</v>
      </c>
      <c r="AA124" s="1094">
        <v>0</v>
      </c>
      <c r="AB124" s="1094">
        <v>107577.06</v>
      </c>
      <c r="AC124" s="1094">
        <f t="shared" si="26"/>
        <v>211594</v>
      </c>
    </row>
    <row r="126" spans="1:29" s="403" customFormat="1">
      <c r="A126" s="403" t="s">
        <v>822</v>
      </c>
      <c r="B126" s="742"/>
      <c r="C126" s="742"/>
      <c r="D126" s="692"/>
      <c r="M126" s="1083"/>
    </row>
    <row r="127" spans="1:29" s="403" customFormat="1">
      <c r="M127" s="1083"/>
    </row>
    <row r="128" spans="1:29" s="428" customFormat="1">
      <c r="A128" s="428" t="s">
        <v>248</v>
      </c>
      <c r="M128" s="1085"/>
    </row>
    <row r="129" spans="1:3">
      <c r="A129" s="429" t="s">
        <v>249</v>
      </c>
      <c r="B129" s="430" t="s">
        <v>250</v>
      </c>
      <c r="C129" s="430"/>
    </row>
  </sheetData>
  <autoFilter ref="A3:C3"/>
  <hyperlinks>
    <hyperlink ref="B129" r:id="rId1"/>
  </hyperlinks>
  <pageMargins left="0.7" right="0.7" top="0.75" bottom="0.75" header="0.3" footer="0.3"/>
  <pageSetup orientation="portrait" r:id="rId2"/>
</worksheet>
</file>

<file path=xl/worksheets/sheet47.xml><?xml version="1.0" encoding="utf-8"?>
<worksheet xmlns="http://schemas.openxmlformats.org/spreadsheetml/2006/main" xmlns:r="http://schemas.openxmlformats.org/officeDocument/2006/relationships">
  <dimension ref="A1:IG130"/>
  <sheetViews>
    <sheetView zoomScale="106" zoomScaleNormal="106" workbookViewId="0">
      <pane xSplit="3" ySplit="5" topLeftCell="F6" activePane="bottomRight" state="frozen"/>
      <selection pane="topRight" activeCell="D1" sqref="D1"/>
      <selection pane="bottomLeft" activeCell="A6" sqref="A6"/>
      <selection pane="bottomRight" activeCell="B27" sqref="B27"/>
    </sheetView>
  </sheetViews>
  <sheetFormatPr defaultRowHeight="15.75"/>
  <cols>
    <col min="1" max="1" width="9.5" style="271" customWidth="1"/>
    <col min="2" max="2" width="30.75" style="271" customWidth="1"/>
    <col min="3" max="3" width="16" style="271" customWidth="1"/>
    <col min="4" max="14" width="12.875" style="271" customWidth="1"/>
    <col min="15" max="15" width="12.75" style="271" customWidth="1"/>
    <col min="16" max="59" width="12.875" style="271" customWidth="1"/>
    <col min="60" max="119" width="12.875" style="748" customWidth="1"/>
    <col min="120" max="131" width="12.875" style="271" customWidth="1"/>
    <col min="132" max="16384" width="9" style="271"/>
  </cols>
  <sheetData>
    <row r="1" spans="1:241">
      <c r="A1" s="64" t="s">
        <v>1133</v>
      </c>
      <c r="D1" s="748"/>
    </row>
    <row r="2" spans="1:241">
      <c r="F2" s="748"/>
      <c r="G2" s="748"/>
    </row>
    <row r="3" spans="1:241" ht="11.25" customHeight="1">
      <c r="D3" s="748"/>
      <c r="E3" s="748"/>
      <c r="F3" s="748"/>
      <c r="G3" s="748"/>
      <c r="H3" s="748"/>
      <c r="I3" s="748"/>
      <c r="J3" s="748"/>
      <c r="K3" s="748"/>
      <c r="L3" s="840"/>
      <c r="M3" s="840"/>
      <c r="N3" s="840"/>
      <c r="O3" s="840"/>
      <c r="P3" s="840"/>
      <c r="Q3" s="840"/>
      <c r="R3" s="840"/>
      <c r="S3" s="840"/>
      <c r="T3" s="840"/>
      <c r="U3" s="840"/>
      <c r="V3" s="840"/>
      <c r="W3" s="840"/>
      <c r="X3" s="840"/>
      <c r="Y3" s="840"/>
      <c r="Z3" s="840"/>
      <c r="AA3" s="840"/>
      <c r="AB3" s="840"/>
      <c r="AC3" s="840"/>
      <c r="AD3" s="840"/>
      <c r="AE3" s="840"/>
      <c r="AF3" s="840"/>
      <c r="AG3" s="840"/>
      <c r="AH3" s="840"/>
      <c r="AI3" s="840"/>
      <c r="AJ3" s="840"/>
      <c r="AK3" s="840"/>
      <c r="AL3" s="840"/>
      <c r="AM3" s="840"/>
      <c r="AN3" s="840"/>
      <c r="AO3" s="840"/>
      <c r="AP3" s="840"/>
      <c r="AQ3" s="840"/>
      <c r="AR3" s="840"/>
      <c r="AS3" s="840"/>
      <c r="AT3" s="840"/>
      <c r="AU3" s="840"/>
      <c r="AV3" s="840"/>
      <c r="AW3" s="840"/>
      <c r="AX3" s="840"/>
      <c r="AY3" s="840"/>
      <c r="AZ3" s="840"/>
      <c r="BA3" s="840"/>
      <c r="BB3" s="840"/>
      <c r="BC3" s="840"/>
      <c r="BD3" s="840"/>
      <c r="BE3" s="840"/>
      <c r="BF3" s="840"/>
      <c r="BG3" s="840"/>
      <c r="BH3" s="1143"/>
      <c r="BI3" s="1143"/>
      <c r="BJ3" s="1143"/>
      <c r="BK3" s="1143"/>
      <c r="BL3" s="1143"/>
      <c r="BM3" s="1143"/>
      <c r="BN3" s="1143"/>
      <c r="BO3" s="1143"/>
      <c r="BP3" s="1143"/>
      <c r="BQ3" s="1143"/>
      <c r="BR3" s="1143"/>
      <c r="BS3" s="1143"/>
      <c r="BT3" s="1143"/>
      <c r="BU3" s="1143"/>
      <c r="BV3" s="1143"/>
      <c r="BW3" s="1143"/>
      <c r="BX3" s="1143"/>
      <c r="BY3" s="1143"/>
      <c r="BZ3" s="1143"/>
      <c r="CA3" s="1143"/>
      <c r="CB3" s="1143"/>
      <c r="CC3" s="1143"/>
      <c r="CD3" s="1143"/>
      <c r="CE3" s="1143"/>
      <c r="CF3" s="1143"/>
      <c r="CG3" s="1143"/>
      <c r="CH3" s="1143"/>
      <c r="CI3" s="1143"/>
      <c r="CJ3" s="1143"/>
      <c r="CK3" s="1143"/>
      <c r="CL3" s="1143"/>
      <c r="CM3" s="1143"/>
      <c r="CN3" s="1143"/>
      <c r="CO3" s="1143"/>
      <c r="CP3" s="1143"/>
      <c r="CQ3" s="1143"/>
      <c r="CR3" s="1143"/>
      <c r="CS3" s="1143"/>
      <c r="CT3" s="1143"/>
      <c r="CU3" s="1143"/>
      <c r="CV3" s="1143"/>
      <c r="CW3" s="1143"/>
      <c r="CX3" s="1143"/>
      <c r="CY3" s="1143"/>
      <c r="CZ3" s="1143"/>
      <c r="DA3" s="1143"/>
      <c r="DB3" s="1143"/>
      <c r="DC3" s="1143"/>
      <c r="DD3" s="1143"/>
      <c r="DE3" s="1143"/>
      <c r="DF3" s="1143"/>
      <c r="DG3" s="1143"/>
      <c r="DH3" s="1143"/>
      <c r="DI3" s="1143"/>
      <c r="DJ3" s="1143"/>
      <c r="DK3" s="1143"/>
      <c r="DL3" s="1143"/>
      <c r="DM3" s="1143"/>
      <c r="DN3" s="1143"/>
      <c r="DO3" s="1143"/>
      <c r="DP3" s="840"/>
      <c r="DQ3" s="840"/>
      <c r="DR3" s="840"/>
      <c r="DS3" s="840"/>
      <c r="DT3" s="840"/>
      <c r="DU3" s="840"/>
      <c r="DV3" s="840"/>
      <c r="DW3" s="840"/>
      <c r="DX3" s="840"/>
      <c r="DY3" s="840"/>
      <c r="DZ3" s="840"/>
      <c r="EA3" s="840"/>
      <c r="EB3" s="834"/>
      <c r="EC3" s="834"/>
      <c r="ED3" s="834"/>
      <c r="EE3" s="834"/>
      <c r="EF3" s="834"/>
      <c r="EG3" s="834"/>
      <c r="EH3" s="834"/>
      <c r="EI3" s="834"/>
      <c r="EJ3" s="834"/>
      <c r="EK3" s="834"/>
      <c r="EL3" s="834"/>
      <c r="EM3" s="834"/>
      <c r="EN3" s="834"/>
      <c r="EO3" s="834"/>
      <c r="EP3" s="834"/>
      <c r="EQ3" s="834"/>
      <c r="ER3" s="834"/>
      <c r="ES3" s="834"/>
      <c r="ET3" s="834"/>
      <c r="EU3" s="834"/>
      <c r="EV3" s="834"/>
      <c r="EW3" s="834"/>
      <c r="EX3" s="834"/>
      <c r="EY3" s="834"/>
      <c r="EZ3" s="834"/>
      <c r="FA3" s="834"/>
      <c r="FB3" s="834"/>
      <c r="FC3" s="834"/>
      <c r="FD3" s="834"/>
      <c r="FE3" s="834"/>
      <c r="FF3" s="834"/>
      <c r="FG3" s="834"/>
      <c r="FH3" s="834"/>
      <c r="FI3" s="834"/>
      <c r="FJ3" s="834"/>
      <c r="FK3" s="834"/>
      <c r="FL3" s="834"/>
      <c r="FM3" s="834"/>
      <c r="FN3" s="834"/>
      <c r="FO3" s="834"/>
      <c r="FP3" s="834"/>
      <c r="FQ3" s="834"/>
      <c r="FR3" s="834"/>
      <c r="FS3" s="834"/>
      <c r="FT3" s="834"/>
      <c r="FU3" s="834"/>
      <c r="FV3" s="834"/>
      <c r="FW3" s="834"/>
      <c r="FX3" s="834"/>
      <c r="FY3" s="834"/>
      <c r="FZ3" s="834"/>
      <c r="GA3" s="834"/>
      <c r="GB3" s="834"/>
      <c r="GC3" s="834"/>
      <c r="GD3" s="834"/>
      <c r="GE3" s="834"/>
      <c r="GF3" s="834"/>
      <c r="GG3" s="834"/>
      <c r="GH3" s="834"/>
      <c r="GI3" s="834"/>
      <c r="GJ3" s="834"/>
      <c r="GK3" s="834"/>
      <c r="GL3" s="834"/>
      <c r="GM3" s="834"/>
      <c r="GN3" s="834"/>
      <c r="GO3" s="834"/>
      <c r="GP3" s="834"/>
      <c r="GQ3" s="834"/>
      <c r="GR3" s="834"/>
      <c r="GS3" s="834"/>
      <c r="GT3" s="834"/>
      <c r="GU3" s="834"/>
      <c r="GV3" s="834"/>
      <c r="GW3" s="834"/>
      <c r="GX3" s="834"/>
      <c r="GY3" s="834"/>
      <c r="GZ3" s="834"/>
      <c r="HA3" s="834"/>
      <c r="HB3" s="834"/>
      <c r="HC3" s="834"/>
      <c r="HD3" s="834"/>
      <c r="HE3" s="834"/>
      <c r="HF3" s="834"/>
      <c r="HG3" s="834"/>
      <c r="HH3" s="834"/>
      <c r="HI3" s="834"/>
      <c r="HJ3" s="834"/>
      <c r="HK3" s="834"/>
      <c r="HL3" s="834"/>
      <c r="HM3" s="834"/>
      <c r="HN3" s="834"/>
      <c r="HO3" s="834"/>
      <c r="HP3" s="834"/>
      <c r="HQ3" s="834"/>
      <c r="HR3" s="834"/>
      <c r="HS3" s="834"/>
      <c r="HT3" s="834"/>
      <c r="HU3" s="834"/>
      <c r="HV3" s="834"/>
      <c r="HW3" s="834"/>
      <c r="HX3" s="834"/>
      <c r="HY3" s="834"/>
      <c r="HZ3" s="834"/>
      <c r="IA3" s="834"/>
      <c r="IB3" s="834"/>
      <c r="IC3" s="834"/>
      <c r="ID3" s="834"/>
      <c r="IE3" s="834"/>
      <c r="IF3" s="834"/>
      <c r="IG3" s="834"/>
    </row>
    <row r="4" spans="1:241" ht="34.5" customHeight="1">
      <c r="A4" s="847" t="s">
        <v>4</v>
      </c>
      <c r="B4" s="848" t="s">
        <v>5</v>
      </c>
      <c r="C4" s="848" t="s">
        <v>251</v>
      </c>
      <c r="D4" s="845" t="s">
        <v>314</v>
      </c>
      <c r="E4" s="845" t="s">
        <v>315</v>
      </c>
      <c r="F4" s="845" t="s">
        <v>316</v>
      </c>
      <c r="G4" s="845" t="s">
        <v>1040</v>
      </c>
      <c r="H4" s="845" t="s">
        <v>1041</v>
      </c>
      <c r="I4" s="845" t="s">
        <v>281</v>
      </c>
      <c r="J4" s="849" t="s">
        <v>413</v>
      </c>
      <c r="K4" s="849" t="s">
        <v>1043</v>
      </c>
      <c r="L4" s="845" t="s">
        <v>326</v>
      </c>
      <c r="M4" s="845" t="s">
        <v>327</v>
      </c>
      <c r="N4" s="845" t="s">
        <v>328</v>
      </c>
      <c r="O4" s="1569" t="s">
        <v>1128</v>
      </c>
      <c r="P4" s="1569" t="s">
        <v>1129</v>
      </c>
      <c r="Q4" s="1570" t="s">
        <v>329</v>
      </c>
      <c r="R4" s="845" t="s">
        <v>330</v>
      </c>
      <c r="S4" s="845" t="s">
        <v>331</v>
      </c>
      <c r="T4" s="845" t="s">
        <v>332</v>
      </c>
      <c r="U4" s="1569" t="s">
        <v>1131</v>
      </c>
      <c r="V4" s="1569" t="s">
        <v>1132</v>
      </c>
      <c r="W4" s="1570" t="s">
        <v>333</v>
      </c>
      <c r="X4" s="845" t="s">
        <v>875</v>
      </c>
      <c r="Y4" s="845" t="s">
        <v>876</v>
      </c>
      <c r="Z4" s="845" t="s">
        <v>877</v>
      </c>
      <c r="AA4" s="1569" t="s">
        <v>1134</v>
      </c>
      <c r="AB4" s="1569" t="s">
        <v>1135</v>
      </c>
      <c r="AC4" s="1570" t="s">
        <v>878</v>
      </c>
      <c r="AD4" s="845" t="s">
        <v>334</v>
      </c>
      <c r="AE4" s="845" t="s">
        <v>335</v>
      </c>
      <c r="AF4" s="845" t="s">
        <v>336</v>
      </c>
      <c r="AG4" s="1569" t="s">
        <v>1136</v>
      </c>
      <c r="AH4" s="1569" t="s">
        <v>1137</v>
      </c>
      <c r="AI4" s="1570" t="s">
        <v>337</v>
      </c>
      <c r="AJ4" s="845" t="s">
        <v>338</v>
      </c>
      <c r="AK4" s="845" t="s">
        <v>339</v>
      </c>
      <c r="AL4" s="845" t="s">
        <v>340</v>
      </c>
      <c r="AM4" s="1569" t="s">
        <v>1138</v>
      </c>
      <c r="AN4" s="1569" t="s">
        <v>1139</v>
      </c>
      <c r="AO4" s="1570" t="s">
        <v>341</v>
      </c>
      <c r="AP4" s="845" t="s">
        <v>783</v>
      </c>
      <c r="AQ4" s="845" t="s">
        <v>342</v>
      </c>
      <c r="AR4" s="845" t="s">
        <v>343</v>
      </c>
      <c r="AS4" s="1569" t="s">
        <v>1140</v>
      </c>
      <c r="AT4" s="1569" t="s">
        <v>1141</v>
      </c>
      <c r="AU4" s="1570" t="s">
        <v>344</v>
      </c>
      <c r="AV4" s="845" t="s">
        <v>345</v>
      </c>
      <c r="AW4" s="845" t="s">
        <v>346</v>
      </c>
      <c r="AX4" s="845" t="s">
        <v>347</v>
      </c>
      <c r="AY4" s="1569" t="s">
        <v>1142</v>
      </c>
      <c r="AZ4" s="1569" t="s">
        <v>1143</v>
      </c>
      <c r="BA4" s="1570" t="s">
        <v>348</v>
      </c>
      <c r="BB4" s="845" t="s">
        <v>349</v>
      </c>
      <c r="BC4" s="845" t="s">
        <v>350</v>
      </c>
      <c r="BD4" s="845" t="s">
        <v>351</v>
      </c>
      <c r="BE4" s="1569" t="s">
        <v>1144</v>
      </c>
      <c r="BF4" s="1569" t="s">
        <v>1145</v>
      </c>
      <c r="BG4" s="1570" t="s">
        <v>352</v>
      </c>
      <c r="BH4" s="1144" t="s">
        <v>353</v>
      </c>
      <c r="BI4" s="1144" t="s">
        <v>354</v>
      </c>
      <c r="BJ4" s="1144" t="s">
        <v>355</v>
      </c>
      <c r="BK4" s="1571" t="s">
        <v>1124</v>
      </c>
      <c r="BL4" s="1571" t="s">
        <v>1125</v>
      </c>
      <c r="BM4" s="1572" t="s">
        <v>356</v>
      </c>
      <c r="BN4" s="1144" t="s">
        <v>357</v>
      </c>
      <c r="BO4" s="1144" t="s">
        <v>358</v>
      </c>
      <c r="BP4" s="1144" t="s">
        <v>359</v>
      </c>
      <c r="BQ4" s="1571" t="s">
        <v>1127</v>
      </c>
      <c r="BR4" s="1571" t="s">
        <v>1126</v>
      </c>
      <c r="BS4" s="1572" t="s">
        <v>360</v>
      </c>
      <c r="BT4" s="1144" t="s">
        <v>361</v>
      </c>
      <c r="BU4" s="1144" t="s">
        <v>362</v>
      </c>
      <c r="BV4" s="1144" t="s">
        <v>363</v>
      </c>
      <c r="BW4" s="1571" t="s">
        <v>1146</v>
      </c>
      <c r="BX4" s="1571" t="s">
        <v>1147</v>
      </c>
      <c r="BY4" s="1572" t="s">
        <v>364</v>
      </c>
      <c r="BZ4" s="1144" t="s">
        <v>365</v>
      </c>
      <c r="CA4" s="1144" t="s">
        <v>366</v>
      </c>
      <c r="CB4" s="1144" t="s">
        <v>367</v>
      </c>
      <c r="CC4" s="1571" t="s">
        <v>1148</v>
      </c>
      <c r="CD4" s="1571" t="s">
        <v>1149</v>
      </c>
      <c r="CE4" s="1572" t="s">
        <v>368</v>
      </c>
      <c r="CF4" s="1144" t="s">
        <v>369</v>
      </c>
      <c r="CG4" s="1144" t="s">
        <v>370</v>
      </c>
      <c r="CH4" s="1144" t="s">
        <v>371</v>
      </c>
      <c r="CI4" s="1571" t="s">
        <v>1150</v>
      </c>
      <c r="CJ4" s="1571" t="s">
        <v>1151</v>
      </c>
      <c r="CK4" s="1572" t="s">
        <v>372</v>
      </c>
      <c r="CL4" s="1144" t="s">
        <v>373</v>
      </c>
      <c r="CM4" s="1144" t="s">
        <v>374</v>
      </c>
      <c r="CN4" s="1144" t="s">
        <v>375</v>
      </c>
      <c r="CO4" s="1571" t="s">
        <v>1152</v>
      </c>
      <c r="CP4" s="1571" t="s">
        <v>1153</v>
      </c>
      <c r="CQ4" s="1572" t="s">
        <v>376</v>
      </c>
      <c r="CR4" s="1144" t="s">
        <v>377</v>
      </c>
      <c r="CS4" s="1144" t="s">
        <v>378</v>
      </c>
      <c r="CT4" s="1144" t="s">
        <v>379</v>
      </c>
      <c r="CU4" s="1571" t="s">
        <v>1154</v>
      </c>
      <c r="CV4" s="1571" t="s">
        <v>1155</v>
      </c>
      <c r="CW4" s="1572" t="s">
        <v>380</v>
      </c>
      <c r="CX4" s="1144" t="s">
        <v>381</v>
      </c>
      <c r="CY4" s="1144" t="s">
        <v>382</v>
      </c>
      <c r="CZ4" s="1144" t="s">
        <v>383</v>
      </c>
      <c r="DA4" s="1571" t="s">
        <v>1156</v>
      </c>
      <c r="DB4" s="1571" t="s">
        <v>1157</v>
      </c>
      <c r="DC4" s="1572" t="s">
        <v>384</v>
      </c>
      <c r="DD4" s="1144" t="s">
        <v>385</v>
      </c>
      <c r="DE4" s="1144" t="s">
        <v>386</v>
      </c>
      <c r="DF4" s="1144" t="s">
        <v>387</v>
      </c>
      <c r="DG4" s="1571" t="s">
        <v>1158</v>
      </c>
      <c r="DH4" s="1571" t="s">
        <v>1159</v>
      </c>
      <c r="DI4" s="1572" t="s">
        <v>388</v>
      </c>
      <c r="DJ4" s="845" t="s">
        <v>879</v>
      </c>
      <c r="DK4" s="845" t="s">
        <v>880</v>
      </c>
      <c r="DL4" s="845" t="s">
        <v>881</v>
      </c>
      <c r="DM4" s="1569" t="s">
        <v>1160</v>
      </c>
      <c r="DN4" s="1569" t="s">
        <v>1161</v>
      </c>
      <c r="DO4" s="1570" t="s">
        <v>882</v>
      </c>
      <c r="DP4" s="845" t="s">
        <v>389</v>
      </c>
      <c r="DQ4" s="845" t="s">
        <v>390</v>
      </c>
      <c r="DR4" s="845" t="s">
        <v>391</v>
      </c>
      <c r="DS4" s="1569" t="s">
        <v>1162</v>
      </c>
      <c r="DT4" s="1569" t="s">
        <v>1163</v>
      </c>
      <c r="DU4" s="1570" t="s">
        <v>392</v>
      </c>
      <c r="DV4" s="845" t="s">
        <v>393</v>
      </c>
      <c r="DW4" s="845" t="s">
        <v>394</v>
      </c>
      <c r="DX4" s="845" t="s">
        <v>395</v>
      </c>
      <c r="DY4" s="1569" t="s">
        <v>1164</v>
      </c>
      <c r="DZ4" s="1569" t="s">
        <v>1165</v>
      </c>
      <c r="EA4" s="1570" t="s">
        <v>396</v>
      </c>
    </row>
    <row r="5" spans="1:241">
      <c r="A5" s="850">
        <v>999</v>
      </c>
      <c r="B5" s="851" t="s">
        <v>9</v>
      </c>
      <c r="C5" s="851"/>
      <c r="D5" s="852">
        <f t="shared" ref="D5:AR5" si="0">SUM(D6:D125)</f>
        <v>13503385.630000005</v>
      </c>
      <c r="E5" s="852">
        <f t="shared" si="0"/>
        <v>9489152.7100000009</v>
      </c>
      <c r="F5" s="852">
        <f t="shared" si="0"/>
        <v>4545030.5799999991</v>
      </c>
      <c r="G5" s="852">
        <f t="shared" si="0"/>
        <v>1366384.9599999993</v>
      </c>
      <c r="H5" s="852">
        <f t="shared" si="0"/>
        <v>2800849.9800000004</v>
      </c>
      <c r="I5" s="852">
        <f t="shared" si="0"/>
        <v>31704803.859999999</v>
      </c>
      <c r="J5" s="852">
        <f t="shared" si="0"/>
        <v>4167234.9400000013</v>
      </c>
      <c r="K5" s="852">
        <f t="shared" si="0"/>
        <v>8712265.5199999996</v>
      </c>
      <c r="L5" s="853">
        <f t="shared" si="0"/>
        <v>0</v>
      </c>
      <c r="M5" s="853">
        <f t="shared" si="0"/>
        <v>32819.22</v>
      </c>
      <c r="N5" s="853">
        <f t="shared" si="0"/>
        <v>0</v>
      </c>
      <c r="O5" s="853">
        <f t="shared" si="0"/>
        <v>2132.67</v>
      </c>
      <c r="P5" s="853">
        <f t="shared" si="0"/>
        <v>0</v>
      </c>
      <c r="Q5" s="853">
        <f t="shared" si="0"/>
        <v>34951.89</v>
      </c>
      <c r="R5" s="853">
        <f t="shared" si="0"/>
        <v>0</v>
      </c>
      <c r="S5" s="853">
        <f t="shared" si="0"/>
        <v>0</v>
      </c>
      <c r="T5" s="853">
        <f t="shared" si="0"/>
        <v>0</v>
      </c>
      <c r="U5" s="853">
        <f t="shared" si="0"/>
        <v>63675.14</v>
      </c>
      <c r="V5" s="853">
        <f t="shared" si="0"/>
        <v>252416.82</v>
      </c>
      <c r="W5" s="853">
        <f t="shared" si="0"/>
        <v>316091.95999999996</v>
      </c>
      <c r="X5" s="853">
        <f t="shared" ref="X5:AC5" si="1">SUM(X6:X125)</f>
        <v>0</v>
      </c>
      <c r="Y5" s="853">
        <f t="shared" si="1"/>
        <v>298706.18</v>
      </c>
      <c r="Z5" s="853">
        <f t="shared" si="1"/>
        <v>0</v>
      </c>
      <c r="AA5" s="853">
        <f t="shared" si="1"/>
        <v>-982</v>
      </c>
      <c r="AB5" s="853">
        <f t="shared" si="1"/>
        <v>960.05</v>
      </c>
      <c r="AC5" s="853">
        <f t="shared" si="1"/>
        <v>298684.23</v>
      </c>
      <c r="AD5" s="853">
        <f t="shared" si="0"/>
        <v>751681.89000000013</v>
      </c>
      <c r="AE5" s="853">
        <f t="shared" si="0"/>
        <v>4474.62</v>
      </c>
      <c r="AF5" s="853">
        <f t="shared" si="0"/>
        <v>138703.68999999997</v>
      </c>
      <c r="AG5" s="853">
        <f t="shared" si="0"/>
        <v>960.35000000000048</v>
      </c>
      <c r="AH5" s="853">
        <f t="shared" si="0"/>
        <v>2959.26</v>
      </c>
      <c r="AI5" s="853">
        <f t="shared" si="0"/>
        <v>898779.81</v>
      </c>
      <c r="AJ5" s="853">
        <f t="shared" si="0"/>
        <v>4024187.5800000005</v>
      </c>
      <c r="AK5" s="853">
        <f t="shared" si="0"/>
        <v>0</v>
      </c>
      <c r="AL5" s="853">
        <f t="shared" si="0"/>
        <v>1006047.1900000001</v>
      </c>
      <c r="AM5" s="853">
        <f t="shared" si="0"/>
        <v>1138642.6800000004</v>
      </c>
      <c r="AN5" s="853">
        <f t="shared" si="0"/>
        <v>2403461.38</v>
      </c>
      <c r="AO5" s="853">
        <f t="shared" si="0"/>
        <v>8572338.8299999982</v>
      </c>
      <c r="AP5" s="853">
        <f t="shared" si="0"/>
        <v>268531.49</v>
      </c>
      <c r="AQ5" s="853">
        <f t="shared" si="0"/>
        <v>73521.609999999986</v>
      </c>
      <c r="AR5" s="853">
        <f t="shared" si="0"/>
        <v>62743.77</v>
      </c>
      <c r="AS5" s="853">
        <f t="shared" ref="AS5:BR5" si="2">SUM(AS6:AS125)</f>
        <v>44.44</v>
      </c>
      <c r="AT5" s="853">
        <f t="shared" si="2"/>
        <v>1179.81</v>
      </c>
      <c r="AU5" s="853">
        <f t="shared" si="2"/>
        <v>406021.12</v>
      </c>
      <c r="AV5" s="853">
        <f t="shared" si="2"/>
        <v>377714.54999999993</v>
      </c>
      <c r="AW5" s="853">
        <f t="shared" si="2"/>
        <v>94428.76999999999</v>
      </c>
      <c r="AX5" s="853">
        <f t="shared" si="2"/>
        <v>0</v>
      </c>
      <c r="AY5" s="853">
        <f t="shared" si="2"/>
        <v>13326.79</v>
      </c>
      <c r="AZ5" s="853">
        <f t="shared" si="2"/>
        <v>0</v>
      </c>
      <c r="BA5" s="853">
        <f t="shared" si="2"/>
        <v>485470.11</v>
      </c>
      <c r="BB5" s="853">
        <f t="shared" si="2"/>
        <v>641502.22999999986</v>
      </c>
      <c r="BC5" s="853">
        <f t="shared" si="2"/>
        <v>160375.56</v>
      </c>
      <c r="BD5" s="853">
        <f t="shared" si="2"/>
        <v>0</v>
      </c>
      <c r="BE5" s="853">
        <f t="shared" si="2"/>
        <v>14448.18</v>
      </c>
      <c r="BF5" s="853">
        <f t="shared" si="2"/>
        <v>755.04</v>
      </c>
      <c r="BG5" s="853">
        <f t="shared" si="2"/>
        <v>817081.00999999978</v>
      </c>
      <c r="BH5" s="853">
        <f t="shared" si="2"/>
        <v>66615.719999999987</v>
      </c>
      <c r="BI5" s="853">
        <f t="shared" si="2"/>
        <v>120297.16000000005</v>
      </c>
      <c r="BJ5" s="853">
        <f t="shared" si="2"/>
        <v>0</v>
      </c>
      <c r="BK5" s="853">
        <f t="shared" si="2"/>
        <v>898.99</v>
      </c>
      <c r="BL5" s="853">
        <f t="shared" si="2"/>
        <v>3990.87</v>
      </c>
      <c r="BM5" s="853">
        <f t="shared" si="2"/>
        <v>191802.74000000002</v>
      </c>
      <c r="BN5" s="853">
        <f t="shared" si="2"/>
        <v>2571228.94</v>
      </c>
      <c r="BO5" s="853">
        <f t="shared" si="2"/>
        <v>325690.01999999984</v>
      </c>
      <c r="BP5" s="853">
        <f t="shared" si="2"/>
        <v>531388.12000000011</v>
      </c>
      <c r="BQ5" s="853">
        <f t="shared" si="2"/>
        <v>16383.329999999989</v>
      </c>
      <c r="BR5" s="853">
        <f t="shared" si="2"/>
        <v>7452.78</v>
      </c>
      <c r="BS5" s="853">
        <f t="shared" ref="BS5:CX5" si="3">SUM(BS6:BS125)</f>
        <v>3452143.19</v>
      </c>
      <c r="BT5" s="853">
        <f t="shared" si="3"/>
        <v>-22471.25</v>
      </c>
      <c r="BU5" s="853">
        <f t="shared" si="3"/>
        <v>-22471.25</v>
      </c>
      <c r="BV5" s="853">
        <f t="shared" si="3"/>
        <v>0</v>
      </c>
      <c r="BW5" s="853">
        <f t="shared" si="3"/>
        <v>0.41000000000000003</v>
      </c>
      <c r="BX5" s="853">
        <f t="shared" si="3"/>
        <v>0</v>
      </c>
      <c r="BY5" s="853">
        <f t="shared" si="3"/>
        <v>-44942.09</v>
      </c>
      <c r="BZ5" s="853">
        <f t="shared" si="3"/>
        <v>3413203.1100000003</v>
      </c>
      <c r="CA5" s="853">
        <f t="shared" si="3"/>
        <v>7994223.5900000017</v>
      </c>
      <c r="CB5" s="853">
        <f t="shared" si="3"/>
        <v>2092414.9500000002</v>
      </c>
      <c r="CC5" s="853">
        <f t="shared" si="3"/>
        <v>-10066.010000000006</v>
      </c>
      <c r="CD5" s="853">
        <f t="shared" si="3"/>
        <v>118841.73000000001</v>
      </c>
      <c r="CE5" s="853">
        <f t="shared" si="3"/>
        <v>13608617.369999995</v>
      </c>
      <c r="CF5" s="853">
        <f t="shared" si="3"/>
        <v>211758.52</v>
      </c>
      <c r="CG5" s="853">
        <f t="shared" si="3"/>
        <v>0</v>
      </c>
      <c r="CH5" s="853">
        <f t="shared" si="3"/>
        <v>379745.94000000012</v>
      </c>
      <c r="CI5" s="853">
        <f t="shared" si="3"/>
        <v>44907.460000000006</v>
      </c>
      <c r="CJ5" s="853">
        <f t="shared" si="3"/>
        <v>2725.8500000000004</v>
      </c>
      <c r="CK5" s="853">
        <f t="shared" si="3"/>
        <v>639137.76999999979</v>
      </c>
      <c r="CL5" s="853">
        <f t="shared" si="3"/>
        <v>5334.73</v>
      </c>
      <c r="CM5" s="853">
        <f t="shared" si="3"/>
        <v>0</v>
      </c>
      <c r="CN5" s="853">
        <f t="shared" si="3"/>
        <v>17080</v>
      </c>
      <c r="CO5" s="853">
        <f t="shared" si="3"/>
        <v>-135.88</v>
      </c>
      <c r="CP5" s="853">
        <f t="shared" si="3"/>
        <v>135.88</v>
      </c>
      <c r="CQ5" s="853">
        <f t="shared" si="3"/>
        <v>22414.730000000003</v>
      </c>
      <c r="CR5" s="853">
        <f t="shared" si="3"/>
        <v>-5198.38</v>
      </c>
      <c r="CS5" s="853">
        <f t="shared" si="3"/>
        <v>0</v>
      </c>
      <c r="CT5" s="853">
        <f t="shared" si="3"/>
        <v>0</v>
      </c>
      <c r="CU5" s="853">
        <f t="shared" si="3"/>
        <v>0</v>
      </c>
      <c r="CV5" s="853">
        <f t="shared" si="3"/>
        <v>0</v>
      </c>
      <c r="CW5" s="853">
        <f t="shared" si="3"/>
        <v>-5198.38</v>
      </c>
      <c r="CX5" s="853">
        <f t="shared" si="3"/>
        <v>-7736.49</v>
      </c>
      <c r="CY5" s="853">
        <f t="shared" ref="CY5:EA5" si="4">SUM(CY6:CY125)</f>
        <v>-7736.49</v>
      </c>
      <c r="CZ5" s="853">
        <f t="shared" si="4"/>
        <v>0</v>
      </c>
      <c r="DA5" s="853">
        <f t="shared" si="4"/>
        <v>0.06</v>
      </c>
      <c r="DB5" s="853">
        <f t="shared" si="4"/>
        <v>0</v>
      </c>
      <c r="DC5" s="853">
        <f t="shared" si="4"/>
        <v>-15472.92</v>
      </c>
      <c r="DD5" s="853">
        <f t="shared" si="4"/>
        <v>-100006.58</v>
      </c>
      <c r="DE5" s="853">
        <f t="shared" si="4"/>
        <v>0</v>
      </c>
      <c r="DF5" s="853">
        <f t="shared" si="4"/>
        <v>0</v>
      </c>
      <c r="DG5" s="853">
        <f t="shared" si="4"/>
        <v>0</v>
      </c>
      <c r="DH5" s="853">
        <f t="shared" si="4"/>
        <v>0</v>
      </c>
      <c r="DI5" s="853">
        <f t="shared" si="4"/>
        <v>-100006.58</v>
      </c>
      <c r="DJ5" s="853">
        <f t="shared" ref="DJ5:DO5" si="5">SUM(DJ6:DJ125)</f>
        <v>-5797</v>
      </c>
      <c r="DK5" s="853">
        <f t="shared" si="5"/>
        <v>0</v>
      </c>
      <c r="DL5" s="853">
        <f t="shared" si="5"/>
        <v>0</v>
      </c>
      <c r="DM5" s="853">
        <f t="shared" si="5"/>
        <v>0</v>
      </c>
      <c r="DN5" s="853">
        <f t="shared" si="5"/>
        <v>0</v>
      </c>
      <c r="DO5" s="853">
        <f t="shared" si="5"/>
        <v>-5797</v>
      </c>
      <c r="DP5" s="853">
        <f t="shared" si="4"/>
        <v>601194.05000000016</v>
      </c>
      <c r="DQ5" s="853">
        <f t="shared" si="4"/>
        <v>414823.72000000003</v>
      </c>
      <c r="DR5" s="853">
        <f t="shared" si="4"/>
        <v>186370.25</v>
      </c>
      <c r="DS5" s="853">
        <f t="shared" si="4"/>
        <v>48195.040000000001</v>
      </c>
      <c r="DT5" s="853">
        <f t="shared" si="4"/>
        <v>0</v>
      </c>
      <c r="DU5" s="853">
        <f t="shared" si="4"/>
        <v>1250583.06</v>
      </c>
      <c r="DV5" s="853">
        <f t="shared" si="4"/>
        <v>711642.52</v>
      </c>
      <c r="DW5" s="853">
        <f t="shared" si="4"/>
        <v>0</v>
      </c>
      <c r="DX5" s="853">
        <f t="shared" si="4"/>
        <v>130536.67000000001</v>
      </c>
      <c r="DY5" s="853">
        <f t="shared" si="4"/>
        <v>33953.31</v>
      </c>
      <c r="DZ5" s="853">
        <f t="shared" si="4"/>
        <v>5970.51</v>
      </c>
      <c r="EA5" s="853">
        <f t="shared" si="4"/>
        <v>882103.01</v>
      </c>
    </row>
    <row r="6" spans="1:241" ht="15" customHeight="1">
      <c r="A6" s="846" t="s">
        <v>10</v>
      </c>
      <c r="B6" s="841" t="s">
        <v>11</v>
      </c>
      <c r="C6" s="966" t="s">
        <v>264</v>
      </c>
      <c r="D6" s="842">
        <f>L6+R6+X6+AD6+AJ6+AP6+AV6+BB6+BH6+BN6+BT6+BZ6+CF6+CL6+CR6+CX6+DD6+DJ6+DP6+DV6</f>
        <v>66875.09</v>
      </c>
      <c r="E6" s="842">
        <f>M6+S6+Y6+AE6+AK6+AQ6+AW6+BC6+BI6+BO6+BU6+CA6+CG6+CM6+CS6+CY6+DE6+DK6+DQ6+DW6</f>
        <v>15835.010000000002</v>
      </c>
      <c r="F6" s="842">
        <f>N6+T6+Z6+AF6+AL6+AR6+AX6+BD6+BJ6+BP6+BV6+CB6+CH6+CN6+CT6+CZ6+DF6+DL6+DR6+DX6</f>
        <v>23600.07</v>
      </c>
      <c r="G6" s="842">
        <f>O6+U6+AA6+AG6+AM6+AS6+AY6+BE6+BK6+BQ6+BW6+CC6+CI6+CO6+CU6+DA6+DG6+DM6+DS6+DY6</f>
        <v>150.13</v>
      </c>
      <c r="H6" s="842">
        <f>P6+V6+AB6+AH6+AN6+AT6+AZ6+BF6+BL6+BR6+BX6+CD6+CJ6+CP6+CV6+DB6+DH6+DN6+DT6+DZ6</f>
        <v>0</v>
      </c>
      <c r="I6" s="1578">
        <f>SUM(D6:H6)</f>
        <v>106460.30000000002</v>
      </c>
      <c r="J6" s="843">
        <f>G6+H6</f>
        <v>150.13</v>
      </c>
      <c r="K6" s="1579">
        <f>F6+J6</f>
        <v>23750.2</v>
      </c>
      <c r="L6" s="1116">
        <v>0</v>
      </c>
      <c r="M6" s="1117">
        <v>1884</v>
      </c>
      <c r="N6" s="1117">
        <v>0</v>
      </c>
      <c r="O6" s="1117">
        <v>0</v>
      </c>
      <c r="P6" s="1117">
        <v>0</v>
      </c>
      <c r="Q6" s="1118">
        <f>SUM(L6:P6)</f>
        <v>1884</v>
      </c>
      <c r="R6" s="1129"/>
      <c r="S6" s="1130"/>
      <c r="T6" s="1130"/>
      <c r="U6" s="1130"/>
      <c r="V6" s="1131"/>
      <c r="W6" s="1132">
        <f>SUM(R6:V6)</f>
        <v>0</v>
      </c>
      <c r="X6" s="1231"/>
      <c r="Y6" s="1231"/>
      <c r="Z6" s="1231"/>
      <c r="AA6" s="1231"/>
      <c r="AB6" s="1231"/>
      <c r="AC6" s="1231">
        <f>SUM(X6:AB6)</f>
        <v>0</v>
      </c>
      <c r="AD6" s="1122">
        <v>622.37</v>
      </c>
      <c r="AE6" s="1123">
        <v>3.71</v>
      </c>
      <c r="AF6" s="1123">
        <v>114.85</v>
      </c>
      <c r="AG6" s="1123">
        <v>-0.01</v>
      </c>
      <c r="AH6" s="1123">
        <v>0</v>
      </c>
      <c r="AI6" s="1124">
        <f>SUM(AD6:AH6)</f>
        <v>740.92000000000007</v>
      </c>
      <c r="AJ6" s="1152">
        <v>40026.620000000003</v>
      </c>
      <c r="AK6" s="1153">
        <v>0</v>
      </c>
      <c r="AL6" s="1153">
        <v>10006.68</v>
      </c>
      <c r="AM6" s="1153">
        <v>0</v>
      </c>
      <c r="AN6" s="1153">
        <v>0</v>
      </c>
      <c r="AO6" s="1154">
        <f>SUM(AJ6:AN6)</f>
        <v>50033.3</v>
      </c>
      <c r="AP6" s="1125"/>
      <c r="AQ6" s="1126"/>
      <c r="AR6" s="1126"/>
      <c r="AS6" s="1126"/>
      <c r="AT6" s="1126"/>
      <c r="AU6" s="1137">
        <f>SUM(AP6:AT6)</f>
        <v>0</v>
      </c>
      <c r="AV6" s="1138"/>
      <c r="AW6" s="1139"/>
      <c r="AX6" s="1139"/>
      <c r="AY6" s="1139"/>
      <c r="AZ6" s="1139"/>
      <c r="BA6" s="1140">
        <f>SUM(AV6:AZ6)</f>
        <v>0</v>
      </c>
      <c r="BB6" s="1131">
        <v>1120.8699999999999</v>
      </c>
      <c r="BC6" s="1131">
        <v>280.22000000000003</v>
      </c>
      <c r="BD6" s="1131">
        <v>0</v>
      </c>
      <c r="BE6" s="1131">
        <v>0</v>
      </c>
      <c r="BF6" s="1131">
        <v>0</v>
      </c>
      <c r="BG6" s="1132">
        <f>SUM(BB6:BF6)</f>
        <v>1401.09</v>
      </c>
      <c r="BH6" s="1145"/>
      <c r="BI6" s="1146"/>
      <c r="BJ6" s="1146"/>
      <c r="BK6" s="1146"/>
      <c r="BL6" s="1146"/>
      <c r="BM6" s="1147">
        <f>SUM(BH6:BL6)</f>
        <v>0</v>
      </c>
      <c r="BN6" s="1145">
        <v>7927.77</v>
      </c>
      <c r="BO6" s="1146">
        <v>1004.22</v>
      </c>
      <c r="BP6" s="1146">
        <v>1638.44</v>
      </c>
      <c r="BQ6" s="1146">
        <v>150.13</v>
      </c>
      <c r="BR6" s="1146">
        <v>0</v>
      </c>
      <c r="BS6" s="1147">
        <f>SUM(BN6:BR6)</f>
        <v>10720.56</v>
      </c>
      <c r="BT6" s="1152">
        <v>-45</v>
      </c>
      <c r="BU6" s="1153">
        <v>-45</v>
      </c>
      <c r="BV6" s="1153">
        <v>0</v>
      </c>
      <c r="BW6" s="1153">
        <v>0</v>
      </c>
      <c r="BX6" s="1153">
        <v>0</v>
      </c>
      <c r="BY6" s="1154">
        <f>SUM(BT6:BX6)</f>
        <v>-90</v>
      </c>
      <c r="BZ6" s="1152">
        <v>3266.24</v>
      </c>
      <c r="CA6" s="1153">
        <v>9299.68</v>
      </c>
      <c r="CB6" s="1153">
        <v>2304.9299999999998</v>
      </c>
      <c r="CC6" s="1153">
        <v>-0.02</v>
      </c>
      <c r="CD6" s="1153">
        <v>0</v>
      </c>
      <c r="CE6" s="1154">
        <f>SUM(BZ6:CD6)</f>
        <v>14870.83</v>
      </c>
      <c r="CF6" s="1152">
        <v>3803.15</v>
      </c>
      <c r="CG6" s="1153">
        <v>0</v>
      </c>
      <c r="CH6" s="1153">
        <v>6820.18</v>
      </c>
      <c r="CI6" s="1153">
        <v>0</v>
      </c>
      <c r="CJ6" s="1153">
        <v>0</v>
      </c>
      <c r="CK6" s="1154">
        <f>SUM(CF6:CJ6)</f>
        <v>10623.33</v>
      </c>
      <c r="CL6" s="1145"/>
      <c r="CM6" s="1146"/>
      <c r="CN6" s="1146"/>
      <c r="CO6" s="1146"/>
      <c r="CP6" s="1146"/>
      <c r="CQ6" s="1147">
        <f>SUM(CL6:CP6)</f>
        <v>0</v>
      </c>
      <c r="CR6" s="1152"/>
      <c r="CS6" s="1153"/>
      <c r="CT6" s="1153"/>
      <c r="CU6" s="1153"/>
      <c r="CV6" s="1153"/>
      <c r="CW6" s="1154">
        <f>SUM(CR6:CV6)</f>
        <v>0</v>
      </c>
      <c r="CX6" s="1145"/>
      <c r="CY6" s="1146"/>
      <c r="CZ6" s="1146"/>
      <c r="DA6" s="1146"/>
      <c r="DB6" s="1146"/>
      <c r="DC6" s="1147">
        <f>SUM(CX6:DB6)</f>
        <v>0</v>
      </c>
      <c r="DD6" s="1152">
        <v>-1240</v>
      </c>
      <c r="DE6" s="1153">
        <v>0</v>
      </c>
      <c r="DF6" s="1153">
        <v>0</v>
      </c>
      <c r="DG6" s="1153">
        <v>0</v>
      </c>
      <c r="DH6" s="1153">
        <v>0</v>
      </c>
      <c r="DI6" s="1154">
        <f>SUM(DD6:DH6)</f>
        <v>-1240</v>
      </c>
      <c r="DJ6" s="1233"/>
      <c r="DK6" s="1233"/>
      <c r="DL6" s="1233"/>
      <c r="DM6" s="1233"/>
      <c r="DN6" s="1233"/>
      <c r="DO6" s="1233">
        <f>SUM(DJ6:DN6)</f>
        <v>0</v>
      </c>
      <c r="DP6" s="1152">
        <v>4939.42</v>
      </c>
      <c r="DQ6" s="1153">
        <v>3408.18</v>
      </c>
      <c r="DR6" s="1153">
        <v>1531.21</v>
      </c>
      <c r="DS6" s="1153">
        <v>-0.03</v>
      </c>
      <c r="DT6" s="1153">
        <v>0</v>
      </c>
      <c r="DU6" s="1155">
        <f>SUM(DP6:DT6)</f>
        <v>9878.7800000000007</v>
      </c>
      <c r="DV6" s="1152">
        <v>6453.65</v>
      </c>
      <c r="DW6" s="1153">
        <v>0</v>
      </c>
      <c r="DX6" s="1153">
        <v>1183.78</v>
      </c>
      <c r="DY6" s="1153">
        <v>0.06</v>
      </c>
      <c r="DZ6" s="1153">
        <v>0</v>
      </c>
      <c r="EA6" s="1154">
        <f>SUM(DV6:DZ6)</f>
        <v>7637.49</v>
      </c>
    </row>
    <row r="7" spans="1:241" ht="15" customHeight="1">
      <c r="A7" s="746" t="s">
        <v>12</v>
      </c>
      <c r="B7" s="844" t="s">
        <v>13</v>
      </c>
      <c r="C7" s="967" t="s">
        <v>265</v>
      </c>
      <c r="D7" s="842">
        <f t="shared" ref="D7:D70" si="6">L7+R7+X7+AD7+AJ7+AP7+AV7+BB7+BH7+BN7+BT7+BZ7+CF7+CL7+CR7+CX7+DD7+DJ7+DP7+DV7</f>
        <v>107864.96999999999</v>
      </c>
      <c r="E7" s="842">
        <f t="shared" ref="E7:E70" si="7">M7+S7+Y7+AE7+AK7+AQ7+AW7+BC7+BI7+BO7+BU7+CA7+CG7+CM7+CS7+CY7+DE7+DK7+DQ7+DW7</f>
        <v>87220.62</v>
      </c>
      <c r="F7" s="842">
        <f t="shared" ref="F7:F70" si="8">N7+T7+Z7+AF7+AL7+AR7+AX7+BD7+BJ7+BP7+BV7+CB7+CH7+CN7+CT7+CZ7+DF7+DL7+DR7+DX7</f>
        <v>25286.350000000002</v>
      </c>
      <c r="G7" s="842">
        <f t="shared" ref="G7:G70" si="9">O7+U7+AA7+AG7+AM7+AS7+AY7+BE7+BK7+BQ7+BW7+CC7+CI7+CO7+CU7+DA7+DG7+DM7+DS7+DY7</f>
        <v>1.0000000000000009E-2</v>
      </c>
      <c r="H7" s="842">
        <f t="shared" ref="H7:H70" si="10">P7+V7+AB7+AH7+AN7+AT7+AZ7+BF7+BL7+BR7+BX7+CD7+CJ7+CP7+CV7+DB7+DH7+DN7+DT7+DZ7</f>
        <v>98453.17</v>
      </c>
      <c r="I7" s="1578">
        <f t="shared" ref="I7:I70" si="11">SUM(D7:H7)</f>
        <v>318825.12</v>
      </c>
      <c r="J7" s="843">
        <f t="shared" ref="J7:J70" si="12">G7+H7</f>
        <v>98453.18</v>
      </c>
      <c r="K7" s="1579">
        <f t="shared" ref="K7:K70" si="13">F7+J7</f>
        <v>123739.53</v>
      </c>
      <c r="L7" s="1116"/>
      <c r="M7" s="1117"/>
      <c r="N7" s="1117"/>
      <c r="O7" s="1117"/>
      <c r="P7" s="1117"/>
      <c r="Q7" s="1118">
        <f t="shared" ref="Q7:Q70" si="14">SUM(L7:P7)</f>
        <v>0</v>
      </c>
      <c r="R7" s="1133"/>
      <c r="S7" s="1134"/>
      <c r="T7" s="1134"/>
      <c r="U7" s="1134"/>
      <c r="V7" s="1134"/>
      <c r="W7" s="1132">
        <f t="shared" ref="W7:W70" si="15">SUM(R7:V7)</f>
        <v>0</v>
      </c>
      <c r="X7" s="1231">
        <v>0</v>
      </c>
      <c r="Y7" s="1231">
        <v>37884.19</v>
      </c>
      <c r="Z7" s="1231">
        <v>0</v>
      </c>
      <c r="AA7" s="1231">
        <v>0</v>
      </c>
      <c r="AB7" s="1231">
        <v>0</v>
      </c>
      <c r="AC7" s="1231">
        <f t="shared" ref="AC7:AC70" si="16">SUM(X7:AB7)</f>
        <v>37884.19</v>
      </c>
      <c r="AD7" s="1127">
        <v>7063.59</v>
      </c>
      <c r="AE7" s="1128">
        <v>42.04</v>
      </c>
      <c r="AF7" s="1128">
        <v>1303.4100000000001</v>
      </c>
      <c r="AG7" s="1128">
        <v>-0.01</v>
      </c>
      <c r="AH7" s="1128">
        <v>0</v>
      </c>
      <c r="AI7" s="1124">
        <f t="shared" ref="AI7:AI70" si="17">SUM(AD7:AH7)</f>
        <v>8409.0300000000007</v>
      </c>
      <c r="AJ7" s="1148">
        <v>59428.480000000003</v>
      </c>
      <c r="AK7" s="1149">
        <v>0</v>
      </c>
      <c r="AL7" s="1149">
        <v>14857.12</v>
      </c>
      <c r="AM7" s="1149">
        <v>0</v>
      </c>
      <c r="AN7" s="1149">
        <v>98288.17</v>
      </c>
      <c r="AO7" s="1154">
        <f t="shared" ref="AO7:AO70" si="18">SUM(AJ7:AN7)</f>
        <v>172573.77000000002</v>
      </c>
      <c r="AP7" s="1125"/>
      <c r="AQ7" s="1126"/>
      <c r="AR7" s="1126"/>
      <c r="AS7" s="1126"/>
      <c r="AT7" s="1126"/>
      <c r="AU7" s="1137">
        <f t="shared" ref="AU7:AU70" si="19">SUM(AP7:AT7)</f>
        <v>0</v>
      </c>
      <c r="AV7" s="1141">
        <v>11304.46</v>
      </c>
      <c r="AW7" s="1142">
        <v>2826.11</v>
      </c>
      <c r="AX7" s="1142">
        <v>0</v>
      </c>
      <c r="AY7" s="1142">
        <v>0</v>
      </c>
      <c r="AZ7" s="1142">
        <v>0</v>
      </c>
      <c r="BA7" s="1140">
        <f t="shared" ref="BA7:BA70" si="20">SUM(AV7:AZ7)</f>
        <v>14130.57</v>
      </c>
      <c r="BB7" s="1131">
        <v>14091.72</v>
      </c>
      <c r="BC7" s="1131">
        <v>3522.92</v>
      </c>
      <c r="BD7" s="1131">
        <v>0</v>
      </c>
      <c r="BE7" s="1131">
        <v>0</v>
      </c>
      <c r="BF7" s="1131">
        <v>0</v>
      </c>
      <c r="BG7" s="1132">
        <f t="shared" ref="BG7:BG70" si="21">SUM(BB7:BF7)</f>
        <v>17614.64</v>
      </c>
      <c r="BH7" s="1148">
        <v>3321.65</v>
      </c>
      <c r="BI7" s="1149">
        <v>5998.35</v>
      </c>
      <c r="BJ7" s="1149">
        <v>0</v>
      </c>
      <c r="BK7" s="1149">
        <v>0</v>
      </c>
      <c r="BL7" s="1149">
        <v>165</v>
      </c>
      <c r="BM7" s="1147">
        <f t="shared" ref="BM7:BM70" si="22">SUM(BH7:BL7)</f>
        <v>9485</v>
      </c>
      <c r="BN7" s="1145"/>
      <c r="BO7" s="1146"/>
      <c r="BP7" s="1146"/>
      <c r="BQ7" s="1146"/>
      <c r="BR7" s="1146"/>
      <c r="BS7" s="1147">
        <f t="shared" ref="BS7:BS70" si="23">SUM(BN7:BR7)</f>
        <v>0</v>
      </c>
      <c r="BT7" s="1148"/>
      <c r="BU7" s="1149"/>
      <c r="BV7" s="1149"/>
      <c r="BW7" s="1149"/>
      <c r="BX7" s="1149"/>
      <c r="BY7" s="1154">
        <f t="shared" ref="BY7:BY70" si="24">SUM(BT7:BX7)</f>
        <v>0</v>
      </c>
      <c r="BZ7" s="1148">
        <v>12957.21</v>
      </c>
      <c r="CA7" s="1149">
        <v>36947.01</v>
      </c>
      <c r="CB7" s="1149">
        <v>9153.76</v>
      </c>
      <c r="CC7" s="1149">
        <v>-0.06</v>
      </c>
      <c r="CD7" s="1149">
        <v>0</v>
      </c>
      <c r="CE7" s="1154">
        <f t="shared" ref="CE7:CE70" si="25">SUM(BZ7:CD7)</f>
        <v>59057.920000000006</v>
      </c>
      <c r="CF7" s="1145"/>
      <c r="CG7" s="1146"/>
      <c r="CH7" s="1146"/>
      <c r="CI7" s="1146"/>
      <c r="CJ7" s="1146"/>
      <c r="CK7" s="1154">
        <f t="shared" ref="CK7:CK70" si="26">SUM(CF7:CJ7)</f>
        <v>0</v>
      </c>
      <c r="CL7" s="1145"/>
      <c r="CM7" s="1146"/>
      <c r="CN7" s="1146"/>
      <c r="CO7" s="1146"/>
      <c r="CP7" s="1146"/>
      <c r="CQ7" s="1147">
        <f t="shared" ref="CQ7:CQ70" si="27">SUM(CL7:CP7)</f>
        <v>0</v>
      </c>
      <c r="CR7" s="1145"/>
      <c r="CS7" s="1146"/>
      <c r="CT7" s="1146"/>
      <c r="CU7" s="1146"/>
      <c r="CV7" s="1146"/>
      <c r="CW7" s="1154">
        <f t="shared" ref="CW7:CW70" si="28">SUM(CR7:CV7)</f>
        <v>0</v>
      </c>
      <c r="CX7" s="1148"/>
      <c r="CY7" s="1149"/>
      <c r="CZ7" s="1149"/>
      <c r="DA7" s="1149"/>
      <c r="DB7" s="1149"/>
      <c r="DC7" s="1147">
        <f t="shared" ref="DC7:DC70" si="29">SUM(CX7:DB7)</f>
        <v>0</v>
      </c>
      <c r="DD7" s="1148">
        <v>-150</v>
      </c>
      <c r="DE7" s="1149">
        <v>0</v>
      </c>
      <c r="DF7" s="1149">
        <v>0</v>
      </c>
      <c r="DG7" s="1149">
        <v>0</v>
      </c>
      <c r="DH7" s="1149">
        <v>0</v>
      </c>
      <c r="DI7" s="1154">
        <f t="shared" ref="DI7:DI70" si="30">SUM(DD7:DH7)</f>
        <v>-150</v>
      </c>
      <c r="DJ7" s="1233"/>
      <c r="DK7" s="1233"/>
      <c r="DL7" s="1233"/>
      <c r="DM7" s="1233"/>
      <c r="DN7" s="1233"/>
      <c r="DO7" s="1233">
        <f t="shared" ref="DO7:DO70" si="31">SUM(DJ7:DN7)</f>
        <v>0</v>
      </c>
      <c r="DP7" s="1148"/>
      <c r="DQ7" s="1149"/>
      <c r="DR7" s="1149"/>
      <c r="DS7" s="1149"/>
      <c r="DT7" s="1149"/>
      <c r="DU7" s="1155">
        <f t="shared" ref="DU7:DU70" si="32">SUM(DP7:DT7)</f>
        <v>0</v>
      </c>
      <c r="DV7" s="1145">
        <v>-152.13999999999999</v>
      </c>
      <c r="DW7" s="1146">
        <v>0</v>
      </c>
      <c r="DX7" s="1146">
        <v>-27.94</v>
      </c>
      <c r="DY7" s="1146">
        <v>0.08</v>
      </c>
      <c r="DZ7" s="1146">
        <v>0</v>
      </c>
      <c r="EA7" s="1154">
        <f t="shared" ref="EA7:EA70" si="33">SUM(DV7:DZ7)</f>
        <v>-179.99999999999997</v>
      </c>
    </row>
    <row r="8" spans="1:241" ht="15" customHeight="1">
      <c r="A8" s="746" t="s">
        <v>16</v>
      </c>
      <c r="B8" s="844" t="s">
        <v>297</v>
      </c>
      <c r="C8" s="967" t="s">
        <v>265</v>
      </c>
      <c r="D8" s="842">
        <f t="shared" si="6"/>
        <v>108987.22000000002</v>
      </c>
      <c r="E8" s="842">
        <f t="shared" si="7"/>
        <v>31953.16</v>
      </c>
      <c r="F8" s="842">
        <f t="shared" si="8"/>
        <v>28504.3</v>
      </c>
      <c r="G8" s="842">
        <f t="shared" si="9"/>
        <v>1475.67</v>
      </c>
      <c r="H8" s="842">
        <f t="shared" si="10"/>
        <v>0</v>
      </c>
      <c r="I8" s="1578">
        <f t="shared" si="11"/>
        <v>170920.35</v>
      </c>
      <c r="J8" s="843">
        <f t="shared" si="12"/>
        <v>1475.67</v>
      </c>
      <c r="K8" s="1579">
        <f t="shared" si="13"/>
        <v>29979.97</v>
      </c>
      <c r="L8" s="1116"/>
      <c r="M8" s="1117"/>
      <c r="N8" s="1117"/>
      <c r="O8" s="1117"/>
      <c r="P8" s="1117"/>
      <c r="Q8" s="1118">
        <f t="shared" si="14"/>
        <v>0</v>
      </c>
      <c r="R8" s="1133"/>
      <c r="S8" s="1134"/>
      <c r="T8" s="1134"/>
      <c r="U8" s="1134"/>
      <c r="V8" s="1134"/>
      <c r="W8" s="1132">
        <f t="shared" si="15"/>
        <v>0</v>
      </c>
      <c r="X8" s="1231"/>
      <c r="Y8" s="1231"/>
      <c r="Z8" s="1231"/>
      <c r="AA8" s="1231"/>
      <c r="AB8" s="1231"/>
      <c r="AC8" s="1231">
        <f t="shared" si="16"/>
        <v>0</v>
      </c>
      <c r="AD8" s="1127">
        <v>4797.1000000000004</v>
      </c>
      <c r="AE8" s="1128">
        <v>28.56</v>
      </c>
      <c r="AF8" s="1128">
        <v>885.19</v>
      </c>
      <c r="AG8" s="1128">
        <v>-0.01</v>
      </c>
      <c r="AH8" s="1128">
        <v>0</v>
      </c>
      <c r="AI8" s="1124">
        <f t="shared" si="17"/>
        <v>5710.84</v>
      </c>
      <c r="AJ8" s="1148">
        <v>43806.65</v>
      </c>
      <c r="AK8" s="1149">
        <v>0</v>
      </c>
      <c r="AL8" s="1149">
        <v>10951.71</v>
      </c>
      <c r="AM8" s="1149">
        <v>0</v>
      </c>
      <c r="AN8" s="1149">
        <v>0</v>
      </c>
      <c r="AO8" s="1154">
        <f t="shared" si="18"/>
        <v>54758.36</v>
      </c>
      <c r="AP8" s="1125"/>
      <c r="AQ8" s="1126"/>
      <c r="AR8" s="1126"/>
      <c r="AS8" s="1126"/>
      <c r="AT8" s="1126"/>
      <c r="AU8" s="1137">
        <f t="shared" si="19"/>
        <v>0</v>
      </c>
      <c r="AV8" s="1141">
        <v>1677.01</v>
      </c>
      <c r="AW8" s="1142">
        <v>419.25</v>
      </c>
      <c r="AX8" s="1142">
        <v>0</v>
      </c>
      <c r="AY8" s="1142">
        <v>0</v>
      </c>
      <c r="AZ8" s="1142">
        <v>0</v>
      </c>
      <c r="BA8" s="1140">
        <f t="shared" si="20"/>
        <v>2096.2600000000002</v>
      </c>
      <c r="BB8" s="1131">
        <v>3048.35</v>
      </c>
      <c r="BC8" s="1131">
        <v>762.08</v>
      </c>
      <c r="BD8" s="1131">
        <v>0</v>
      </c>
      <c r="BE8" s="1131">
        <v>0</v>
      </c>
      <c r="BF8" s="1131">
        <v>0</v>
      </c>
      <c r="BG8" s="1132">
        <f t="shared" si="21"/>
        <v>3810.43</v>
      </c>
      <c r="BH8" s="1145">
        <v>7.66</v>
      </c>
      <c r="BI8" s="1146">
        <v>13.82</v>
      </c>
      <c r="BJ8" s="1146">
        <v>0</v>
      </c>
      <c r="BK8" s="1146">
        <v>0</v>
      </c>
      <c r="BL8" s="1146">
        <v>0</v>
      </c>
      <c r="BM8" s="1147">
        <f t="shared" si="22"/>
        <v>21.48</v>
      </c>
      <c r="BN8" s="1148">
        <v>13931.27</v>
      </c>
      <c r="BO8" s="1149">
        <v>1764.63</v>
      </c>
      <c r="BP8" s="1149">
        <v>2879.13</v>
      </c>
      <c r="BQ8" s="1149">
        <v>-0.03</v>
      </c>
      <c r="BR8" s="1149">
        <v>0</v>
      </c>
      <c r="BS8" s="1147">
        <f t="shared" si="23"/>
        <v>18575.000000000004</v>
      </c>
      <c r="BT8" s="1148">
        <v>-89</v>
      </c>
      <c r="BU8" s="1149">
        <v>-89</v>
      </c>
      <c r="BV8" s="1149">
        <v>0</v>
      </c>
      <c r="BW8" s="1149">
        <v>0</v>
      </c>
      <c r="BX8" s="1149">
        <v>0</v>
      </c>
      <c r="BY8" s="1154">
        <f t="shared" si="24"/>
        <v>-178</v>
      </c>
      <c r="BZ8" s="1148">
        <v>20342.030000000002</v>
      </c>
      <c r="CA8" s="1149">
        <v>22550.85</v>
      </c>
      <c r="CB8" s="1149">
        <v>7867.46</v>
      </c>
      <c r="CC8" s="1149">
        <v>1475.6100000000001</v>
      </c>
      <c r="CD8" s="1149">
        <v>0</v>
      </c>
      <c r="CE8" s="1154">
        <f t="shared" si="25"/>
        <v>52235.950000000004</v>
      </c>
      <c r="CF8" s="1148">
        <v>217.52</v>
      </c>
      <c r="CG8" s="1149">
        <v>0</v>
      </c>
      <c r="CH8" s="1149">
        <v>390.08</v>
      </c>
      <c r="CI8" s="1149">
        <v>0</v>
      </c>
      <c r="CJ8" s="1149">
        <v>0</v>
      </c>
      <c r="CK8" s="1154">
        <f t="shared" si="26"/>
        <v>607.6</v>
      </c>
      <c r="CL8" s="1145"/>
      <c r="CM8" s="1146"/>
      <c r="CN8" s="1146"/>
      <c r="CO8" s="1146"/>
      <c r="CP8" s="1146"/>
      <c r="CQ8" s="1147">
        <f t="shared" si="27"/>
        <v>0</v>
      </c>
      <c r="CR8" s="1148">
        <v>-1200</v>
      </c>
      <c r="CS8" s="1149">
        <v>0</v>
      </c>
      <c r="CT8" s="1149">
        <v>0</v>
      </c>
      <c r="CU8" s="1149">
        <v>0</v>
      </c>
      <c r="CV8" s="1149">
        <v>0</v>
      </c>
      <c r="CW8" s="1154">
        <f t="shared" si="28"/>
        <v>-1200</v>
      </c>
      <c r="CX8" s="1145"/>
      <c r="CY8" s="1146"/>
      <c r="CZ8" s="1146"/>
      <c r="DA8" s="1146"/>
      <c r="DB8" s="1146"/>
      <c r="DC8" s="1147">
        <f t="shared" si="29"/>
        <v>0</v>
      </c>
      <c r="DD8" s="1148">
        <v>-1200</v>
      </c>
      <c r="DE8" s="1149">
        <v>0</v>
      </c>
      <c r="DF8" s="1149">
        <v>0</v>
      </c>
      <c r="DG8" s="1149">
        <v>0</v>
      </c>
      <c r="DH8" s="1149">
        <v>0</v>
      </c>
      <c r="DI8" s="1154">
        <f t="shared" si="30"/>
        <v>-1200</v>
      </c>
      <c r="DJ8" s="1233"/>
      <c r="DK8" s="1233"/>
      <c r="DL8" s="1233"/>
      <c r="DM8" s="1233"/>
      <c r="DN8" s="1233"/>
      <c r="DO8" s="1233">
        <f t="shared" si="31"/>
        <v>0</v>
      </c>
      <c r="DP8" s="1148">
        <v>9424.61</v>
      </c>
      <c r="DQ8" s="1149">
        <v>6502.97</v>
      </c>
      <c r="DR8" s="1149">
        <v>2921.63</v>
      </c>
      <c r="DS8" s="1149">
        <v>0</v>
      </c>
      <c r="DT8" s="1149">
        <v>0</v>
      </c>
      <c r="DU8" s="1155">
        <f t="shared" si="32"/>
        <v>18849.210000000003</v>
      </c>
      <c r="DV8" s="1148">
        <v>14224.02</v>
      </c>
      <c r="DW8" s="1149">
        <v>0</v>
      </c>
      <c r="DX8" s="1149">
        <v>2609.1</v>
      </c>
      <c r="DY8" s="1149">
        <v>9.9999999999999992E-2</v>
      </c>
      <c r="DZ8" s="1149">
        <v>0</v>
      </c>
      <c r="EA8" s="1154">
        <f t="shared" si="33"/>
        <v>16833.219999999998</v>
      </c>
    </row>
    <row r="9" spans="1:241" ht="15" customHeight="1">
      <c r="A9" s="746" t="s">
        <v>18</v>
      </c>
      <c r="B9" s="844" t="s">
        <v>19</v>
      </c>
      <c r="C9" s="967" t="s">
        <v>266</v>
      </c>
      <c r="D9" s="842">
        <f t="shared" si="6"/>
        <v>32065.499999999996</v>
      </c>
      <c r="E9" s="842">
        <f t="shared" si="7"/>
        <v>36082.51</v>
      </c>
      <c r="F9" s="842">
        <f t="shared" si="8"/>
        <v>12009.210000000001</v>
      </c>
      <c r="G9" s="842">
        <f t="shared" si="9"/>
        <v>-4.0000000000000008E-2</v>
      </c>
      <c r="H9" s="842">
        <f t="shared" si="10"/>
        <v>0</v>
      </c>
      <c r="I9" s="1578">
        <f t="shared" si="11"/>
        <v>80157.180000000008</v>
      </c>
      <c r="J9" s="843">
        <f t="shared" si="12"/>
        <v>-4.0000000000000008E-2</v>
      </c>
      <c r="K9" s="1579">
        <f t="shared" si="13"/>
        <v>12009.17</v>
      </c>
      <c r="L9" s="1116"/>
      <c r="M9" s="1117"/>
      <c r="N9" s="1117"/>
      <c r="O9" s="1117"/>
      <c r="P9" s="1117"/>
      <c r="Q9" s="1118">
        <f t="shared" si="14"/>
        <v>0</v>
      </c>
      <c r="R9" s="1135"/>
      <c r="S9" s="1136"/>
      <c r="T9" s="1136"/>
      <c r="U9" s="1136"/>
      <c r="V9" s="1136"/>
      <c r="W9" s="1132">
        <f t="shared" si="15"/>
        <v>0</v>
      </c>
      <c r="X9" s="1231"/>
      <c r="Y9" s="1231"/>
      <c r="Z9" s="1231"/>
      <c r="AA9" s="1231"/>
      <c r="AB9" s="1231"/>
      <c r="AC9" s="1231">
        <f t="shared" si="16"/>
        <v>0</v>
      </c>
      <c r="AD9" s="1127">
        <v>840</v>
      </c>
      <c r="AE9" s="1128">
        <v>5</v>
      </c>
      <c r="AF9" s="1128">
        <v>155</v>
      </c>
      <c r="AG9" s="1128">
        <v>0</v>
      </c>
      <c r="AH9" s="1128">
        <v>0</v>
      </c>
      <c r="AI9" s="1124">
        <f t="shared" si="17"/>
        <v>1000</v>
      </c>
      <c r="AJ9" s="1148">
        <v>5074.32</v>
      </c>
      <c r="AK9" s="1149">
        <v>0</v>
      </c>
      <c r="AL9" s="1149">
        <v>1268.5899999999999</v>
      </c>
      <c r="AM9" s="1149">
        <v>0</v>
      </c>
      <c r="AN9" s="1149">
        <v>0</v>
      </c>
      <c r="AO9" s="1154">
        <f t="shared" si="18"/>
        <v>6342.91</v>
      </c>
      <c r="AP9" s="1125"/>
      <c r="AQ9" s="1126"/>
      <c r="AR9" s="1126"/>
      <c r="AS9" s="1126"/>
      <c r="AT9" s="1126"/>
      <c r="AU9" s="1137">
        <f t="shared" si="19"/>
        <v>0</v>
      </c>
      <c r="AV9" s="1141">
        <v>3498.02</v>
      </c>
      <c r="AW9" s="1142">
        <v>874.51</v>
      </c>
      <c r="AX9" s="1142">
        <v>0</v>
      </c>
      <c r="AY9" s="1142">
        <v>0</v>
      </c>
      <c r="AZ9" s="1142">
        <v>0</v>
      </c>
      <c r="BA9" s="1140">
        <f t="shared" si="20"/>
        <v>4372.53</v>
      </c>
      <c r="BB9" s="1131">
        <v>116.98</v>
      </c>
      <c r="BC9" s="1131">
        <v>29.25</v>
      </c>
      <c r="BD9" s="1131">
        <v>0</v>
      </c>
      <c r="BE9" s="1131">
        <v>0</v>
      </c>
      <c r="BF9" s="1131">
        <v>0</v>
      </c>
      <c r="BG9" s="1132">
        <f t="shared" si="21"/>
        <v>146.23000000000002</v>
      </c>
      <c r="BH9" s="1145"/>
      <c r="BI9" s="1146"/>
      <c r="BJ9" s="1146"/>
      <c r="BK9" s="1146"/>
      <c r="BL9" s="1146"/>
      <c r="BM9" s="1147">
        <f t="shared" si="22"/>
        <v>0</v>
      </c>
      <c r="BN9" s="1148">
        <v>7201.93</v>
      </c>
      <c r="BO9" s="1149">
        <v>912.24</v>
      </c>
      <c r="BP9" s="1149">
        <v>1488.39</v>
      </c>
      <c r="BQ9" s="1149">
        <v>-0.01</v>
      </c>
      <c r="BR9" s="1149">
        <v>0</v>
      </c>
      <c r="BS9" s="1147">
        <f t="shared" si="23"/>
        <v>9602.5499999999993</v>
      </c>
      <c r="BT9" s="1148"/>
      <c r="BU9" s="1149"/>
      <c r="BV9" s="1149"/>
      <c r="BW9" s="1149"/>
      <c r="BX9" s="1149"/>
      <c r="BY9" s="1154">
        <f t="shared" si="24"/>
        <v>0</v>
      </c>
      <c r="BZ9" s="1148">
        <v>11183.06</v>
      </c>
      <c r="CA9" s="1149">
        <v>31525.55</v>
      </c>
      <c r="CB9" s="1149">
        <v>7833.92</v>
      </c>
      <c r="CC9" s="1149">
        <v>-0.05</v>
      </c>
      <c r="CD9" s="1149">
        <v>0</v>
      </c>
      <c r="CE9" s="1154">
        <f t="shared" si="25"/>
        <v>50542.479999999996</v>
      </c>
      <c r="CF9" s="1145"/>
      <c r="CG9" s="1146"/>
      <c r="CH9" s="1146"/>
      <c r="CI9" s="1146"/>
      <c r="CJ9" s="1146"/>
      <c r="CK9" s="1154">
        <f t="shared" si="26"/>
        <v>0</v>
      </c>
      <c r="CL9" s="1145"/>
      <c r="CM9" s="1146"/>
      <c r="CN9" s="1146"/>
      <c r="CO9" s="1146"/>
      <c r="CP9" s="1146"/>
      <c r="CQ9" s="1147">
        <f t="shared" si="27"/>
        <v>0</v>
      </c>
      <c r="CR9" s="1148"/>
      <c r="CS9" s="1149"/>
      <c r="CT9" s="1149"/>
      <c r="CU9" s="1149"/>
      <c r="CV9" s="1149"/>
      <c r="CW9" s="1154">
        <f t="shared" si="28"/>
        <v>0</v>
      </c>
      <c r="CX9" s="1148"/>
      <c r="CY9" s="1149"/>
      <c r="CZ9" s="1149"/>
      <c r="DA9" s="1149"/>
      <c r="DB9" s="1149"/>
      <c r="DC9" s="1147">
        <f t="shared" si="29"/>
        <v>0</v>
      </c>
      <c r="DD9" s="1148"/>
      <c r="DE9" s="1149"/>
      <c r="DF9" s="1149"/>
      <c r="DG9" s="1149"/>
      <c r="DH9" s="1149"/>
      <c r="DI9" s="1154">
        <f t="shared" si="30"/>
        <v>0</v>
      </c>
      <c r="DJ9" s="1233"/>
      <c r="DK9" s="1233"/>
      <c r="DL9" s="1233"/>
      <c r="DM9" s="1233"/>
      <c r="DN9" s="1233"/>
      <c r="DO9" s="1233">
        <f t="shared" si="31"/>
        <v>0</v>
      </c>
      <c r="DP9" s="1148">
        <v>3965.16</v>
      </c>
      <c r="DQ9" s="1149">
        <v>2735.96</v>
      </c>
      <c r="DR9" s="1149">
        <v>1229.2</v>
      </c>
      <c r="DS9" s="1149">
        <v>0</v>
      </c>
      <c r="DT9" s="1149">
        <v>0</v>
      </c>
      <c r="DU9" s="1155">
        <f t="shared" si="32"/>
        <v>7930.32</v>
      </c>
      <c r="DV9" s="1148">
        <v>186.03</v>
      </c>
      <c r="DW9" s="1149">
        <v>0</v>
      </c>
      <c r="DX9" s="1149">
        <v>34.11</v>
      </c>
      <c r="DY9" s="1149">
        <v>0.02</v>
      </c>
      <c r="DZ9" s="1149">
        <v>0</v>
      </c>
      <c r="EA9" s="1154">
        <f t="shared" si="33"/>
        <v>220.16</v>
      </c>
    </row>
    <row r="10" spans="1:241" ht="15" customHeight="1">
      <c r="A10" s="746" t="s">
        <v>20</v>
      </c>
      <c r="B10" s="844" t="s">
        <v>21</v>
      </c>
      <c r="C10" s="967" t="s">
        <v>265</v>
      </c>
      <c r="D10" s="842">
        <f t="shared" si="6"/>
        <v>41521.199999999997</v>
      </c>
      <c r="E10" s="842">
        <f t="shared" si="7"/>
        <v>8964.9700000000012</v>
      </c>
      <c r="F10" s="842">
        <f t="shared" si="8"/>
        <v>10774.92</v>
      </c>
      <c r="G10" s="842">
        <f t="shared" si="9"/>
        <v>0.05</v>
      </c>
      <c r="H10" s="842">
        <f t="shared" si="10"/>
        <v>0</v>
      </c>
      <c r="I10" s="1578">
        <f t="shared" si="11"/>
        <v>61261.14</v>
      </c>
      <c r="J10" s="843">
        <f t="shared" si="12"/>
        <v>0.05</v>
      </c>
      <c r="K10" s="1579">
        <f t="shared" si="13"/>
        <v>10774.97</v>
      </c>
      <c r="L10" s="1116"/>
      <c r="M10" s="1117"/>
      <c r="N10" s="1117"/>
      <c r="O10" s="1117"/>
      <c r="P10" s="1117"/>
      <c r="Q10" s="1118">
        <f t="shared" si="14"/>
        <v>0</v>
      </c>
      <c r="R10" s="1133"/>
      <c r="S10" s="1134"/>
      <c r="T10" s="1134"/>
      <c r="U10" s="1134"/>
      <c r="V10" s="1134"/>
      <c r="W10" s="1132">
        <f t="shared" si="15"/>
        <v>0</v>
      </c>
      <c r="X10" s="1231"/>
      <c r="Y10" s="1231"/>
      <c r="Z10" s="1231"/>
      <c r="AA10" s="1231"/>
      <c r="AB10" s="1231"/>
      <c r="AC10" s="1231">
        <f t="shared" si="16"/>
        <v>0</v>
      </c>
      <c r="AD10" s="1127">
        <v>333.12</v>
      </c>
      <c r="AE10" s="1128">
        <v>1.98</v>
      </c>
      <c r="AF10" s="1128">
        <v>61.47</v>
      </c>
      <c r="AG10" s="1128">
        <v>0</v>
      </c>
      <c r="AH10" s="1128">
        <v>0</v>
      </c>
      <c r="AI10" s="1124">
        <f t="shared" si="17"/>
        <v>396.57000000000005</v>
      </c>
      <c r="AJ10" s="1148">
        <v>24097.11</v>
      </c>
      <c r="AK10" s="1149">
        <v>0</v>
      </c>
      <c r="AL10" s="1149">
        <v>6024.29</v>
      </c>
      <c r="AM10" s="1149">
        <v>0</v>
      </c>
      <c r="AN10" s="1149">
        <v>0</v>
      </c>
      <c r="AO10" s="1154">
        <f t="shared" si="18"/>
        <v>30121.4</v>
      </c>
      <c r="AP10" s="1125"/>
      <c r="AQ10" s="1126"/>
      <c r="AR10" s="1126"/>
      <c r="AS10" s="1126"/>
      <c r="AT10" s="1126"/>
      <c r="AU10" s="1137">
        <f t="shared" si="19"/>
        <v>0</v>
      </c>
      <c r="AV10" s="1138"/>
      <c r="AW10" s="1139"/>
      <c r="AX10" s="1139"/>
      <c r="AY10" s="1139"/>
      <c r="AZ10" s="1139"/>
      <c r="BA10" s="1140">
        <f t="shared" si="20"/>
        <v>0</v>
      </c>
      <c r="BB10" s="1131"/>
      <c r="BC10" s="1131"/>
      <c r="BD10" s="1131"/>
      <c r="BE10" s="1131"/>
      <c r="BF10" s="1131"/>
      <c r="BG10" s="1132">
        <f t="shared" si="21"/>
        <v>0</v>
      </c>
      <c r="BH10" s="1148">
        <v>174.64</v>
      </c>
      <c r="BI10" s="1149">
        <v>315.36</v>
      </c>
      <c r="BJ10" s="1149">
        <v>0</v>
      </c>
      <c r="BK10" s="1149">
        <v>0</v>
      </c>
      <c r="BL10" s="1149">
        <v>0</v>
      </c>
      <c r="BM10" s="1147">
        <f t="shared" si="22"/>
        <v>490</v>
      </c>
      <c r="BN10" s="1148">
        <v>13909.51</v>
      </c>
      <c r="BO10" s="1149">
        <v>1761.87</v>
      </c>
      <c r="BP10" s="1149">
        <v>2874.64</v>
      </c>
      <c r="BQ10" s="1149">
        <v>-0.02</v>
      </c>
      <c r="BR10" s="1149">
        <v>0</v>
      </c>
      <c r="BS10" s="1147">
        <f t="shared" si="23"/>
        <v>18546</v>
      </c>
      <c r="BT10" s="1148"/>
      <c r="BU10" s="1149"/>
      <c r="BV10" s="1149"/>
      <c r="BW10" s="1149"/>
      <c r="BX10" s="1149"/>
      <c r="BY10" s="1154">
        <f t="shared" si="24"/>
        <v>0</v>
      </c>
      <c r="BZ10" s="1148">
        <v>2414.8000000000002</v>
      </c>
      <c r="CA10" s="1149">
        <v>6885.76</v>
      </c>
      <c r="CB10" s="1149">
        <v>1705.95</v>
      </c>
      <c r="CC10" s="1149">
        <v>-0.01</v>
      </c>
      <c r="CD10" s="1149">
        <v>0</v>
      </c>
      <c r="CE10" s="1154">
        <f t="shared" si="25"/>
        <v>11006.500000000002</v>
      </c>
      <c r="CF10" s="1145"/>
      <c r="CG10" s="1146"/>
      <c r="CH10" s="1146"/>
      <c r="CI10" s="1146"/>
      <c r="CJ10" s="1146"/>
      <c r="CK10" s="1154">
        <f t="shared" si="26"/>
        <v>0</v>
      </c>
      <c r="CL10" s="1145"/>
      <c r="CM10" s="1146"/>
      <c r="CN10" s="1146"/>
      <c r="CO10" s="1146"/>
      <c r="CP10" s="1146"/>
      <c r="CQ10" s="1147">
        <f t="shared" si="27"/>
        <v>0</v>
      </c>
      <c r="CR10" s="1148"/>
      <c r="CS10" s="1149"/>
      <c r="CT10" s="1149"/>
      <c r="CU10" s="1149"/>
      <c r="CV10" s="1149"/>
      <c r="CW10" s="1154">
        <f t="shared" si="28"/>
        <v>0</v>
      </c>
      <c r="CX10" s="1148"/>
      <c r="CY10" s="1149"/>
      <c r="CZ10" s="1149"/>
      <c r="DA10" s="1149"/>
      <c r="DB10" s="1149"/>
      <c r="DC10" s="1147">
        <f t="shared" si="29"/>
        <v>0</v>
      </c>
      <c r="DD10" s="1148"/>
      <c r="DE10" s="1149"/>
      <c r="DF10" s="1149"/>
      <c r="DG10" s="1149"/>
      <c r="DH10" s="1149"/>
      <c r="DI10" s="1154">
        <f t="shared" si="30"/>
        <v>0</v>
      </c>
      <c r="DJ10" s="1233"/>
      <c r="DK10" s="1233"/>
      <c r="DL10" s="1233"/>
      <c r="DM10" s="1233"/>
      <c r="DN10" s="1233"/>
      <c r="DO10" s="1233">
        <f t="shared" si="31"/>
        <v>0</v>
      </c>
      <c r="DP10" s="1148"/>
      <c r="DQ10" s="1149"/>
      <c r="DR10" s="1149"/>
      <c r="DS10" s="1149"/>
      <c r="DT10" s="1149"/>
      <c r="DU10" s="1155">
        <f t="shared" si="32"/>
        <v>0</v>
      </c>
      <c r="DV10" s="1148">
        <v>592.02</v>
      </c>
      <c r="DW10" s="1149">
        <v>0</v>
      </c>
      <c r="DX10" s="1149">
        <v>108.57</v>
      </c>
      <c r="DY10" s="1149">
        <v>0.08</v>
      </c>
      <c r="DZ10" s="1149">
        <v>0</v>
      </c>
      <c r="EA10" s="1154">
        <f t="shared" si="33"/>
        <v>700.67</v>
      </c>
    </row>
    <row r="11" spans="1:241" ht="15" customHeight="1">
      <c r="A11" s="746" t="s">
        <v>22</v>
      </c>
      <c r="B11" s="844" t="s">
        <v>23</v>
      </c>
      <c r="C11" s="967" t="s">
        <v>265</v>
      </c>
      <c r="D11" s="842">
        <f t="shared" si="6"/>
        <v>32058.51</v>
      </c>
      <c r="E11" s="842">
        <f t="shared" si="7"/>
        <v>29405.13</v>
      </c>
      <c r="F11" s="842">
        <f t="shared" si="8"/>
        <v>11193.51</v>
      </c>
      <c r="G11" s="842">
        <f t="shared" si="9"/>
        <v>-0.04</v>
      </c>
      <c r="H11" s="842">
        <f t="shared" si="10"/>
        <v>0</v>
      </c>
      <c r="I11" s="1578">
        <f t="shared" si="11"/>
        <v>72657.11</v>
      </c>
      <c r="J11" s="843">
        <f t="shared" si="12"/>
        <v>-0.04</v>
      </c>
      <c r="K11" s="1579">
        <f t="shared" si="13"/>
        <v>11193.47</v>
      </c>
      <c r="L11" s="1116"/>
      <c r="M11" s="1117"/>
      <c r="N11" s="1117"/>
      <c r="O11" s="1117"/>
      <c r="P11" s="1117"/>
      <c r="Q11" s="1118">
        <f t="shared" si="14"/>
        <v>0</v>
      </c>
      <c r="R11" s="1133"/>
      <c r="S11" s="1134"/>
      <c r="T11" s="1134"/>
      <c r="U11" s="1134"/>
      <c r="V11" s="1134"/>
      <c r="W11" s="1132">
        <f t="shared" si="15"/>
        <v>0</v>
      </c>
      <c r="X11" s="1231"/>
      <c r="Y11" s="1231"/>
      <c r="Z11" s="1231"/>
      <c r="AA11" s="1231"/>
      <c r="AB11" s="1231"/>
      <c r="AC11" s="1231">
        <f t="shared" si="16"/>
        <v>0</v>
      </c>
      <c r="AD11" s="1127">
        <v>1866.07</v>
      </c>
      <c r="AE11" s="1128">
        <v>11.11</v>
      </c>
      <c r="AF11" s="1128">
        <v>344.34</v>
      </c>
      <c r="AG11" s="1128">
        <v>-0.01</v>
      </c>
      <c r="AH11" s="1128">
        <v>0</v>
      </c>
      <c r="AI11" s="1124">
        <f t="shared" si="17"/>
        <v>2221.5099999999998</v>
      </c>
      <c r="AJ11" s="1148">
        <v>3019.89</v>
      </c>
      <c r="AK11" s="1149">
        <v>0</v>
      </c>
      <c r="AL11" s="1149">
        <v>754.93</v>
      </c>
      <c r="AM11" s="1149">
        <v>0</v>
      </c>
      <c r="AN11" s="1149">
        <v>0</v>
      </c>
      <c r="AO11" s="1154">
        <f t="shared" si="18"/>
        <v>3774.8199999999997</v>
      </c>
      <c r="AP11" s="1125"/>
      <c r="AQ11" s="1126"/>
      <c r="AR11" s="1126"/>
      <c r="AS11" s="1126"/>
      <c r="AT11" s="1126"/>
      <c r="AU11" s="1137">
        <f t="shared" si="19"/>
        <v>0</v>
      </c>
      <c r="AV11" s="1138"/>
      <c r="AW11" s="1139"/>
      <c r="AX11" s="1139"/>
      <c r="AY11" s="1139"/>
      <c r="AZ11" s="1139"/>
      <c r="BA11" s="1140">
        <f t="shared" si="20"/>
        <v>0</v>
      </c>
      <c r="BB11" s="1131">
        <v>1228.49</v>
      </c>
      <c r="BC11" s="1131">
        <v>307.12</v>
      </c>
      <c r="BD11" s="1131">
        <v>0</v>
      </c>
      <c r="BE11" s="1131">
        <v>0</v>
      </c>
      <c r="BF11" s="1131">
        <v>0</v>
      </c>
      <c r="BG11" s="1132">
        <f t="shared" si="21"/>
        <v>1535.6100000000001</v>
      </c>
      <c r="BH11" s="1145"/>
      <c r="BI11" s="1146"/>
      <c r="BJ11" s="1146"/>
      <c r="BK11" s="1146"/>
      <c r="BL11" s="1146"/>
      <c r="BM11" s="1147">
        <f t="shared" si="22"/>
        <v>0</v>
      </c>
      <c r="BN11" s="1148">
        <v>11025</v>
      </c>
      <c r="BO11" s="1149">
        <v>1396.5</v>
      </c>
      <c r="BP11" s="1149">
        <v>2278.5</v>
      </c>
      <c r="BQ11" s="1149">
        <v>0</v>
      </c>
      <c r="BR11" s="1149">
        <v>0</v>
      </c>
      <c r="BS11" s="1147">
        <f t="shared" si="23"/>
        <v>14700</v>
      </c>
      <c r="BT11" s="1148"/>
      <c r="BU11" s="1149"/>
      <c r="BV11" s="1149"/>
      <c r="BW11" s="1149"/>
      <c r="BX11" s="1149"/>
      <c r="BY11" s="1154">
        <f t="shared" si="24"/>
        <v>0</v>
      </c>
      <c r="BZ11" s="1148">
        <v>9705.44</v>
      </c>
      <c r="CA11" s="1149">
        <v>25128.79</v>
      </c>
      <c r="CB11" s="1149">
        <v>6389.52</v>
      </c>
      <c r="CC11" s="1149">
        <v>-7.0000000000000007E-2</v>
      </c>
      <c r="CD11" s="1149">
        <v>0</v>
      </c>
      <c r="CE11" s="1154">
        <f t="shared" si="25"/>
        <v>41223.68</v>
      </c>
      <c r="CF11" s="1145"/>
      <c r="CG11" s="1146"/>
      <c r="CH11" s="1146"/>
      <c r="CI11" s="1146"/>
      <c r="CJ11" s="1146"/>
      <c r="CK11" s="1154">
        <f t="shared" si="26"/>
        <v>0</v>
      </c>
      <c r="CL11" s="1145"/>
      <c r="CM11" s="1146"/>
      <c r="CN11" s="1146"/>
      <c r="CO11" s="1146"/>
      <c r="CP11" s="1146"/>
      <c r="CQ11" s="1147">
        <f t="shared" si="27"/>
        <v>0</v>
      </c>
      <c r="CR11" s="1145"/>
      <c r="CS11" s="1146"/>
      <c r="CT11" s="1146"/>
      <c r="CU11" s="1146"/>
      <c r="CV11" s="1146"/>
      <c r="CW11" s="1154">
        <f t="shared" si="28"/>
        <v>0</v>
      </c>
      <c r="CX11" s="1145"/>
      <c r="CY11" s="1146"/>
      <c r="CZ11" s="1146"/>
      <c r="DA11" s="1146"/>
      <c r="DB11" s="1146"/>
      <c r="DC11" s="1147">
        <f t="shared" si="29"/>
        <v>0</v>
      </c>
      <c r="DD11" s="1148"/>
      <c r="DE11" s="1149"/>
      <c r="DF11" s="1149"/>
      <c r="DG11" s="1149"/>
      <c r="DH11" s="1149"/>
      <c r="DI11" s="1154">
        <f t="shared" si="30"/>
        <v>0</v>
      </c>
      <c r="DJ11" s="1233"/>
      <c r="DK11" s="1233"/>
      <c r="DL11" s="1233"/>
      <c r="DM11" s="1233"/>
      <c r="DN11" s="1233"/>
      <c r="DO11" s="1233">
        <f t="shared" si="31"/>
        <v>0</v>
      </c>
      <c r="DP11" s="1148">
        <v>3712.5</v>
      </c>
      <c r="DQ11" s="1149">
        <v>2561.61</v>
      </c>
      <c r="DR11" s="1149">
        <v>1150.8900000000001</v>
      </c>
      <c r="DS11" s="1149">
        <v>0</v>
      </c>
      <c r="DT11" s="1149">
        <v>0</v>
      </c>
      <c r="DU11" s="1155">
        <f t="shared" si="32"/>
        <v>7425.0000000000009</v>
      </c>
      <c r="DV11" s="1145">
        <v>1501.12</v>
      </c>
      <c r="DW11" s="1146">
        <v>0</v>
      </c>
      <c r="DX11" s="1146">
        <v>275.33</v>
      </c>
      <c r="DY11" s="1146">
        <v>0.04</v>
      </c>
      <c r="DZ11" s="1146">
        <v>0</v>
      </c>
      <c r="EA11" s="1154">
        <f t="shared" si="33"/>
        <v>1776.4899999999998</v>
      </c>
    </row>
    <row r="12" spans="1:241" ht="15" customHeight="1">
      <c r="A12" s="746" t="s">
        <v>24</v>
      </c>
      <c r="B12" s="844" t="s">
        <v>25</v>
      </c>
      <c r="C12" s="967" t="s">
        <v>267</v>
      </c>
      <c r="D12" s="842">
        <f t="shared" si="6"/>
        <v>190224.06</v>
      </c>
      <c r="E12" s="842">
        <f t="shared" si="7"/>
        <v>63152.479999999996</v>
      </c>
      <c r="F12" s="842">
        <f t="shared" si="8"/>
        <v>55384.77</v>
      </c>
      <c r="G12" s="842">
        <f t="shared" si="9"/>
        <v>962047.62000000011</v>
      </c>
      <c r="H12" s="842">
        <f t="shared" si="10"/>
        <v>0</v>
      </c>
      <c r="I12" s="1578">
        <f t="shared" si="11"/>
        <v>1270808.9300000002</v>
      </c>
      <c r="J12" s="843">
        <f t="shared" si="12"/>
        <v>962047.62000000011</v>
      </c>
      <c r="K12" s="1579">
        <f t="shared" si="13"/>
        <v>1017432.3900000001</v>
      </c>
      <c r="L12" s="1116"/>
      <c r="M12" s="1117"/>
      <c r="N12" s="1117"/>
      <c r="O12" s="1117"/>
      <c r="P12" s="1117"/>
      <c r="Q12" s="1118">
        <f t="shared" si="14"/>
        <v>0</v>
      </c>
      <c r="R12" s="1133"/>
      <c r="S12" s="1134"/>
      <c r="T12" s="1134"/>
      <c r="U12" s="1134"/>
      <c r="V12" s="1134"/>
      <c r="W12" s="1132">
        <f t="shared" si="15"/>
        <v>0</v>
      </c>
      <c r="X12" s="1231">
        <v>0</v>
      </c>
      <c r="Y12" s="1231">
        <v>18000</v>
      </c>
      <c r="Z12" s="1231">
        <v>0</v>
      </c>
      <c r="AA12" s="1231">
        <v>0</v>
      </c>
      <c r="AB12" s="1231">
        <v>0</v>
      </c>
      <c r="AC12" s="1231">
        <f t="shared" si="16"/>
        <v>18000</v>
      </c>
      <c r="AD12" s="1127">
        <v>15482.87</v>
      </c>
      <c r="AE12" s="1128">
        <v>92.16</v>
      </c>
      <c r="AF12" s="1128">
        <v>2856.96</v>
      </c>
      <c r="AG12" s="1128">
        <v>365.05</v>
      </c>
      <c r="AH12" s="1128">
        <v>0</v>
      </c>
      <c r="AI12" s="1124">
        <f t="shared" si="17"/>
        <v>18797.04</v>
      </c>
      <c r="AJ12" s="1148">
        <v>84296.8</v>
      </c>
      <c r="AK12" s="1149">
        <v>0</v>
      </c>
      <c r="AL12" s="1149">
        <v>21074.2</v>
      </c>
      <c r="AM12" s="1149">
        <v>955529.05</v>
      </c>
      <c r="AN12" s="1149">
        <v>0</v>
      </c>
      <c r="AO12" s="1154">
        <f t="shared" si="18"/>
        <v>1060900.05</v>
      </c>
      <c r="AP12" s="1127">
        <v>6688.24</v>
      </c>
      <c r="AQ12" s="1128">
        <v>3746.71</v>
      </c>
      <c r="AR12" s="1128">
        <v>1914.14</v>
      </c>
      <c r="AS12" s="1128">
        <v>-0.09</v>
      </c>
      <c r="AT12" s="1128">
        <v>0</v>
      </c>
      <c r="AU12" s="1137">
        <f t="shared" si="19"/>
        <v>12349</v>
      </c>
      <c r="AV12" s="1141">
        <v>6226.12</v>
      </c>
      <c r="AW12" s="1142">
        <v>1556.53</v>
      </c>
      <c r="AX12" s="1142">
        <v>0</v>
      </c>
      <c r="AY12" s="1142">
        <v>0</v>
      </c>
      <c r="AZ12" s="1142">
        <v>0</v>
      </c>
      <c r="BA12" s="1140">
        <f t="shared" si="20"/>
        <v>7782.65</v>
      </c>
      <c r="BB12" s="1131">
        <v>17789.740000000002</v>
      </c>
      <c r="BC12" s="1131">
        <v>4447.41</v>
      </c>
      <c r="BD12" s="1131">
        <v>0</v>
      </c>
      <c r="BE12" s="1131">
        <v>0</v>
      </c>
      <c r="BF12" s="1131">
        <v>0</v>
      </c>
      <c r="BG12" s="1132">
        <f t="shared" si="21"/>
        <v>22237.15</v>
      </c>
      <c r="BH12" s="1148">
        <v>1594.36</v>
      </c>
      <c r="BI12" s="1149">
        <v>2879.14</v>
      </c>
      <c r="BJ12" s="1149">
        <v>0</v>
      </c>
      <c r="BK12" s="1149">
        <v>509</v>
      </c>
      <c r="BL12" s="1149">
        <v>0</v>
      </c>
      <c r="BM12" s="1147">
        <f t="shared" si="22"/>
        <v>4982.5</v>
      </c>
      <c r="BN12" s="1148">
        <v>19716.5</v>
      </c>
      <c r="BO12" s="1149">
        <v>2497.4499999999998</v>
      </c>
      <c r="BP12" s="1149">
        <v>4074.77</v>
      </c>
      <c r="BQ12" s="1149">
        <v>3597.3</v>
      </c>
      <c r="BR12" s="1149">
        <v>0</v>
      </c>
      <c r="BS12" s="1147">
        <f t="shared" si="23"/>
        <v>29886.02</v>
      </c>
      <c r="BT12" s="1148">
        <v>-3831.94</v>
      </c>
      <c r="BU12" s="1149">
        <v>-3831.94</v>
      </c>
      <c r="BV12" s="1149">
        <v>0</v>
      </c>
      <c r="BW12" s="1149">
        <v>0.01</v>
      </c>
      <c r="BX12" s="1149">
        <v>0</v>
      </c>
      <c r="BY12" s="1154">
        <f t="shared" si="24"/>
        <v>-7663.87</v>
      </c>
      <c r="BZ12" s="1148">
        <v>16362.84</v>
      </c>
      <c r="CA12" s="1149">
        <v>26999.759999999998</v>
      </c>
      <c r="CB12" s="1149">
        <v>7953.73</v>
      </c>
      <c r="CC12" s="1149">
        <v>-0.02</v>
      </c>
      <c r="CD12" s="1149">
        <v>0</v>
      </c>
      <c r="CE12" s="1154">
        <f t="shared" si="25"/>
        <v>51316.310000000005</v>
      </c>
      <c r="CF12" s="1148">
        <v>5417.62</v>
      </c>
      <c r="CG12" s="1149">
        <v>0</v>
      </c>
      <c r="CH12" s="1149">
        <v>9715.43</v>
      </c>
      <c r="CI12" s="1149">
        <v>0</v>
      </c>
      <c r="CJ12" s="1149">
        <v>0</v>
      </c>
      <c r="CK12" s="1154">
        <f t="shared" si="26"/>
        <v>15133.05</v>
      </c>
      <c r="CL12" s="1148">
        <v>709.37</v>
      </c>
      <c r="CM12" s="1149">
        <v>0</v>
      </c>
      <c r="CN12" s="1149">
        <v>2271.16</v>
      </c>
      <c r="CO12" s="1149">
        <v>0</v>
      </c>
      <c r="CP12" s="1149">
        <v>0</v>
      </c>
      <c r="CQ12" s="1147">
        <f t="shared" si="27"/>
        <v>2980.5299999999997</v>
      </c>
      <c r="CR12" s="1148">
        <v>-440.68</v>
      </c>
      <c r="CS12" s="1149">
        <v>0</v>
      </c>
      <c r="CT12" s="1149">
        <v>0</v>
      </c>
      <c r="CU12" s="1149">
        <v>0</v>
      </c>
      <c r="CV12" s="1149">
        <v>0</v>
      </c>
      <c r="CW12" s="1154">
        <f t="shared" si="28"/>
        <v>-440.68</v>
      </c>
      <c r="CX12" s="1148">
        <v>-1569.65</v>
      </c>
      <c r="CY12" s="1149">
        <v>-1569.65</v>
      </c>
      <c r="CZ12" s="1149">
        <v>0</v>
      </c>
      <c r="DA12" s="1149">
        <v>0.01</v>
      </c>
      <c r="DB12" s="1149">
        <v>0</v>
      </c>
      <c r="DC12" s="1147">
        <f t="shared" si="29"/>
        <v>-3139.29</v>
      </c>
      <c r="DD12" s="1148"/>
      <c r="DE12" s="1149"/>
      <c r="DF12" s="1149"/>
      <c r="DG12" s="1149"/>
      <c r="DH12" s="1149"/>
      <c r="DI12" s="1154">
        <f t="shared" si="30"/>
        <v>0</v>
      </c>
      <c r="DJ12" s="1233"/>
      <c r="DK12" s="1233"/>
      <c r="DL12" s="1233"/>
      <c r="DM12" s="1233"/>
      <c r="DN12" s="1233"/>
      <c r="DO12" s="1233">
        <f t="shared" si="31"/>
        <v>0</v>
      </c>
      <c r="DP12" s="1148">
        <v>12079.58</v>
      </c>
      <c r="DQ12" s="1149">
        <v>8334.91</v>
      </c>
      <c r="DR12" s="1149">
        <v>3744.67</v>
      </c>
      <c r="DS12" s="1149">
        <v>-0.03</v>
      </c>
      <c r="DT12" s="1149">
        <v>0</v>
      </c>
      <c r="DU12" s="1155">
        <f t="shared" si="32"/>
        <v>24159.129999999997</v>
      </c>
      <c r="DV12" s="1148">
        <v>9702.2900000000009</v>
      </c>
      <c r="DW12" s="1149">
        <v>0</v>
      </c>
      <c r="DX12" s="1149">
        <v>1779.71</v>
      </c>
      <c r="DY12" s="1149">
        <v>2047.34</v>
      </c>
      <c r="DZ12" s="1149">
        <v>0</v>
      </c>
      <c r="EA12" s="1154">
        <f t="shared" si="33"/>
        <v>13529.34</v>
      </c>
    </row>
    <row r="13" spans="1:241" ht="15" customHeight="1">
      <c r="A13" s="746" t="s">
        <v>26</v>
      </c>
      <c r="B13" s="844" t="s">
        <v>706</v>
      </c>
      <c r="C13" s="967" t="s">
        <v>265</v>
      </c>
      <c r="D13" s="842">
        <f t="shared" si="6"/>
        <v>198413.16</v>
      </c>
      <c r="E13" s="842">
        <f t="shared" si="7"/>
        <v>276798.05000000005</v>
      </c>
      <c r="F13" s="842">
        <f t="shared" si="8"/>
        <v>88712.4</v>
      </c>
      <c r="G13" s="842">
        <f t="shared" si="9"/>
        <v>-0.26</v>
      </c>
      <c r="H13" s="842">
        <f t="shared" si="10"/>
        <v>0</v>
      </c>
      <c r="I13" s="1578">
        <f t="shared" si="11"/>
        <v>563923.35000000009</v>
      </c>
      <c r="J13" s="843">
        <f t="shared" si="12"/>
        <v>-0.26</v>
      </c>
      <c r="K13" s="1579">
        <f t="shared" si="13"/>
        <v>88712.14</v>
      </c>
      <c r="L13" s="1116"/>
      <c r="M13" s="1117"/>
      <c r="N13" s="1117"/>
      <c r="O13" s="1117"/>
      <c r="P13" s="1117"/>
      <c r="Q13" s="1118">
        <f t="shared" si="14"/>
        <v>0</v>
      </c>
      <c r="R13" s="1133"/>
      <c r="S13" s="1134"/>
      <c r="T13" s="1134"/>
      <c r="U13" s="1134"/>
      <c r="V13" s="1134"/>
      <c r="W13" s="1132">
        <f t="shared" si="15"/>
        <v>0</v>
      </c>
      <c r="X13" s="1231"/>
      <c r="Y13" s="1231"/>
      <c r="Z13" s="1231"/>
      <c r="AA13" s="1231"/>
      <c r="AB13" s="1231"/>
      <c r="AC13" s="1231">
        <f t="shared" si="16"/>
        <v>0</v>
      </c>
      <c r="AD13" s="1127">
        <v>12764.71</v>
      </c>
      <c r="AE13" s="1128">
        <v>75.990000000000009</v>
      </c>
      <c r="AF13" s="1128">
        <v>2355.38</v>
      </c>
      <c r="AG13" s="1128">
        <v>0.01</v>
      </c>
      <c r="AH13" s="1128">
        <v>0</v>
      </c>
      <c r="AI13" s="1124">
        <f t="shared" si="17"/>
        <v>15196.089999999998</v>
      </c>
      <c r="AJ13" s="1148">
        <v>38174.07</v>
      </c>
      <c r="AK13" s="1149">
        <v>0</v>
      </c>
      <c r="AL13" s="1149">
        <v>9543.5399999999991</v>
      </c>
      <c r="AM13" s="1149">
        <v>0</v>
      </c>
      <c r="AN13" s="1149">
        <v>0</v>
      </c>
      <c r="AO13" s="1154">
        <f t="shared" si="18"/>
        <v>47717.61</v>
      </c>
      <c r="AP13" s="1125"/>
      <c r="AQ13" s="1126"/>
      <c r="AR13" s="1126"/>
      <c r="AS13" s="1126"/>
      <c r="AT13" s="1126"/>
      <c r="AU13" s="1137">
        <f t="shared" si="19"/>
        <v>0</v>
      </c>
      <c r="AV13" s="1141">
        <v>4870.97</v>
      </c>
      <c r="AW13" s="1142">
        <v>1217.75</v>
      </c>
      <c r="AX13" s="1142">
        <v>0</v>
      </c>
      <c r="AY13" s="1142">
        <v>0</v>
      </c>
      <c r="AZ13" s="1142">
        <v>0</v>
      </c>
      <c r="BA13" s="1140">
        <f t="shared" si="20"/>
        <v>6088.72</v>
      </c>
      <c r="BB13" s="1131">
        <v>8707.67</v>
      </c>
      <c r="BC13" s="1131">
        <v>2176.9299999999998</v>
      </c>
      <c r="BD13" s="1131">
        <v>0</v>
      </c>
      <c r="BE13" s="1131">
        <v>0</v>
      </c>
      <c r="BF13" s="1131">
        <v>0</v>
      </c>
      <c r="BG13" s="1132">
        <f t="shared" si="21"/>
        <v>10884.6</v>
      </c>
      <c r="BH13" s="1148">
        <v>1429.16</v>
      </c>
      <c r="BI13" s="1149">
        <v>2580.85</v>
      </c>
      <c r="BJ13" s="1149">
        <v>0</v>
      </c>
      <c r="BK13" s="1149">
        <v>-0.01</v>
      </c>
      <c r="BL13" s="1149">
        <v>0</v>
      </c>
      <c r="BM13" s="1147">
        <f t="shared" si="22"/>
        <v>4010</v>
      </c>
      <c r="BN13" s="1148">
        <v>15558.76</v>
      </c>
      <c r="BO13" s="1149">
        <v>1970.79</v>
      </c>
      <c r="BP13" s="1149">
        <v>3215.49</v>
      </c>
      <c r="BQ13" s="1149">
        <v>-0.04</v>
      </c>
      <c r="BR13" s="1149">
        <v>0</v>
      </c>
      <c r="BS13" s="1147">
        <f t="shared" si="23"/>
        <v>20745</v>
      </c>
      <c r="BT13" s="1148">
        <v>-895.05</v>
      </c>
      <c r="BU13" s="1149">
        <v>-895.05</v>
      </c>
      <c r="BV13" s="1149">
        <v>0</v>
      </c>
      <c r="BW13" s="1149">
        <v>0.02</v>
      </c>
      <c r="BX13" s="1149">
        <v>0</v>
      </c>
      <c r="BY13" s="1154">
        <f t="shared" si="24"/>
        <v>-1790.08</v>
      </c>
      <c r="BZ13" s="1148">
        <v>100176.72</v>
      </c>
      <c r="CA13" s="1149">
        <v>262339.54000000004</v>
      </c>
      <c r="CB13" s="1149">
        <v>66494.97</v>
      </c>
      <c r="CC13" s="1149">
        <v>-0.38</v>
      </c>
      <c r="CD13" s="1149">
        <v>0</v>
      </c>
      <c r="CE13" s="1154">
        <f t="shared" si="25"/>
        <v>429010.85</v>
      </c>
      <c r="CF13" s="1148">
        <v>1460.31</v>
      </c>
      <c r="CG13" s="1149">
        <v>0</v>
      </c>
      <c r="CH13" s="1149">
        <v>2618.79</v>
      </c>
      <c r="CI13" s="1149">
        <v>-0.01</v>
      </c>
      <c r="CJ13" s="1149">
        <v>0</v>
      </c>
      <c r="CK13" s="1154">
        <f t="shared" si="26"/>
        <v>4079.0899999999997</v>
      </c>
      <c r="CL13" s="1145"/>
      <c r="CM13" s="1146"/>
      <c r="CN13" s="1146"/>
      <c r="CO13" s="1146"/>
      <c r="CP13" s="1146"/>
      <c r="CQ13" s="1147">
        <f t="shared" si="27"/>
        <v>0</v>
      </c>
      <c r="CR13" s="1148"/>
      <c r="CS13" s="1149"/>
      <c r="CT13" s="1149"/>
      <c r="CU13" s="1149"/>
      <c r="CV13" s="1149"/>
      <c r="CW13" s="1154">
        <f t="shared" si="28"/>
        <v>0</v>
      </c>
      <c r="CX13" s="1145"/>
      <c r="CY13" s="1146"/>
      <c r="CZ13" s="1146"/>
      <c r="DA13" s="1146"/>
      <c r="DB13" s="1146"/>
      <c r="DC13" s="1147">
        <f t="shared" si="29"/>
        <v>0</v>
      </c>
      <c r="DD13" s="1148">
        <v>-949.51</v>
      </c>
      <c r="DE13" s="1149">
        <v>0</v>
      </c>
      <c r="DF13" s="1149">
        <v>0</v>
      </c>
      <c r="DG13" s="1149">
        <v>0</v>
      </c>
      <c r="DH13" s="1149">
        <v>0</v>
      </c>
      <c r="DI13" s="1154">
        <f t="shared" si="30"/>
        <v>-949.51</v>
      </c>
      <c r="DJ13" s="1233"/>
      <c r="DK13" s="1233"/>
      <c r="DL13" s="1233"/>
      <c r="DM13" s="1233"/>
      <c r="DN13" s="1233"/>
      <c r="DO13" s="1233">
        <f t="shared" si="31"/>
        <v>0</v>
      </c>
      <c r="DP13" s="1148">
        <v>10625</v>
      </c>
      <c r="DQ13" s="1149">
        <v>7331.25</v>
      </c>
      <c r="DR13" s="1149">
        <v>3293.75</v>
      </c>
      <c r="DS13" s="1149">
        <v>-0.01</v>
      </c>
      <c r="DT13" s="1149">
        <v>0</v>
      </c>
      <c r="DU13" s="1155">
        <f t="shared" si="32"/>
        <v>21249.99</v>
      </c>
      <c r="DV13" s="1148">
        <v>6490.35</v>
      </c>
      <c r="DW13" s="1149">
        <v>0</v>
      </c>
      <c r="DX13" s="1149">
        <v>1190.48</v>
      </c>
      <c r="DY13" s="1149">
        <v>0.16</v>
      </c>
      <c r="DZ13" s="1149">
        <v>0</v>
      </c>
      <c r="EA13" s="1154">
        <f t="shared" si="33"/>
        <v>7680.99</v>
      </c>
    </row>
    <row r="14" spans="1:241" ht="15" customHeight="1">
      <c r="A14" s="746" t="s">
        <v>27</v>
      </c>
      <c r="B14" s="844" t="s">
        <v>28</v>
      </c>
      <c r="C14" s="967" t="s">
        <v>265</v>
      </c>
      <c r="D14" s="842">
        <f t="shared" si="6"/>
        <v>10461.080000000002</v>
      </c>
      <c r="E14" s="842">
        <f t="shared" si="7"/>
        <v>1193.92</v>
      </c>
      <c r="F14" s="842">
        <f t="shared" si="8"/>
        <v>2207.4100000000003</v>
      </c>
      <c r="G14" s="842">
        <f t="shared" si="9"/>
        <v>-3.0000000000000002E-2</v>
      </c>
      <c r="H14" s="842">
        <f t="shared" si="10"/>
        <v>0</v>
      </c>
      <c r="I14" s="1578">
        <f t="shared" si="11"/>
        <v>13862.380000000001</v>
      </c>
      <c r="J14" s="843">
        <f t="shared" si="12"/>
        <v>-3.0000000000000002E-2</v>
      </c>
      <c r="K14" s="1579">
        <f t="shared" si="13"/>
        <v>2207.38</v>
      </c>
      <c r="L14" s="1116"/>
      <c r="M14" s="1117"/>
      <c r="N14" s="1117"/>
      <c r="O14" s="1117"/>
      <c r="P14" s="1117"/>
      <c r="Q14" s="1118">
        <f t="shared" si="14"/>
        <v>0</v>
      </c>
      <c r="R14" s="1133"/>
      <c r="S14" s="1134"/>
      <c r="T14" s="1134"/>
      <c r="U14" s="1134"/>
      <c r="V14" s="1134"/>
      <c r="W14" s="1132">
        <f t="shared" si="15"/>
        <v>0</v>
      </c>
      <c r="X14" s="1231"/>
      <c r="Y14" s="1231"/>
      <c r="Z14" s="1231"/>
      <c r="AA14" s="1231"/>
      <c r="AB14" s="1231"/>
      <c r="AC14" s="1231">
        <f t="shared" si="16"/>
        <v>0</v>
      </c>
      <c r="AD14" s="1127"/>
      <c r="AE14" s="1128"/>
      <c r="AF14" s="1128"/>
      <c r="AG14" s="1128"/>
      <c r="AH14" s="1128"/>
      <c r="AI14" s="1124">
        <f t="shared" si="17"/>
        <v>0</v>
      </c>
      <c r="AJ14" s="1148">
        <v>1044</v>
      </c>
      <c r="AK14" s="1149">
        <v>0</v>
      </c>
      <c r="AL14" s="1149">
        <v>261</v>
      </c>
      <c r="AM14" s="1149">
        <v>0</v>
      </c>
      <c r="AN14" s="1149">
        <v>0</v>
      </c>
      <c r="AO14" s="1154">
        <f t="shared" si="18"/>
        <v>1305</v>
      </c>
      <c r="AP14" s="1125"/>
      <c r="AQ14" s="1126"/>
      <c r="AR14" s="1126"/>
      <c r="AS14" s="1126"/>
      <c r="AT14" s="1126"/>
      <c r="AU14" s="1137">
        <f t="shared" si="19"/>
        <v>0</v>
      </c>
      <c r="AV14" s="1138"/>
      <c r="AW14" s="1139"/>
      <c r="AX14" s="1139"/>
      <c r="AY14" s="1139"/>
      <c r="AZ14" s="1139"/>
      <c r="BA14" s="1140">
        <f t="shared" si="20"/>
        <v>0</v>
      </c>
      <c r="BB14" s="1133"/>
      <c r="BC14" s="1134"/>
      <c r="BD14" s="1134"/>
      <c r="BE14" s="1134"/>
      <c r="BF14" s="1134"/>
      <c r="BG14" s="1132">
        <f t="shared" si="21"/>
        <v>0</v>
      </c>
      <c r="BH14" s="1145"/>
      <c r="BI14" s="1146"/>
      <c r="BJ14" s="1146"/>
      <c r="BK14" s="1146"/>
      <c r="BL14" s="1146"/>
      <c r="BM14" s="1147">
        <f t="shared" si="22"/>
        <v>0</v>
      </c>
      <c r="BN14" s="1148">
        <v>9425.5400000000009</v>
      </c>
      <c r="BO14" s="1149">
        <v>1193.92</v>
      </c>
      <c r="BP14" s="1149">
        <v>1947.97</v>
      </c>
      <c r="BQ14" s="1149">
        <v>-0.05</v>
      </c>
      <c r="BR14" s="1149">
        <v>0</v>
      </c>
      <c r="BS14" s="1147">
        <f t="shared" si="23"/>
        <v>12567.380000000001</v>
      </c>
      <c r="BT14" s="1148"/>
      <c r="BU14" s="1149"/>
      <c r="BV14" s="1149"/>
      <c r="BW14" s="1149"/>
      <c r="BX14" s="1149"/>
      <c r="BY14" s="1154">
        <f t="shared" si="24"/>
        <v>0</v>
      </c>
      <c r="BZ14" s="1148"/>
      <c r="CA14" s="1149"/>
      <c r="CB14" s="1149"/>
      <c r="CC14" s="1149"/>
      <c r="CD14" s="1149"/>
      <c r="CE14" s="1154">
        <f t="shared" si="25"/>
        <v>0</v>
      </c>
      <c r="CF14" s="1145"/>
      <c r="CG14" s="1146"/>
      <c r="CH14" s="1146"/>
      <c r="CI14" s="1146"/>
      <c r="CJ14" s="1146"/>
      <c r="CK14" s="1154">
        <f t="shared" si="26"/>
        <v>0</v>
      </c>
      <c r="CL14" s="1145"/>
      <c r="CM14" s="1146"/>
      <c r="CN14" s="1146"/>
      <c r="CO14" s="1146"/>
      <c r="CP14" s="1146"/>
      <c r="CQ14" s="1147">
        <f t="shared" si="27"/>
        <v>0</v>
      </c>
      <c r="CR14" s="1145"/>
      <c r="CS14" s="1146"/>
      <c r="CT14" s="1146"/>
      <c r="CU14" s="1146"/>
      <c r="CV14" s="1146"/>
      <c r="CW14" s="1154">
        <f t="shared" si="28"/>
        <v>0</v>
      </c>
      <c r="CX14" s="1145"/>
      <c r="CY14" s="1146"/>
      <c r="CZ14" s="1146"/>
      <c r="DA14" s="1146"/>
      <c r="DB14" s="1146"/>
      <c r="DC14" s="1147">
        <f t="shared" si="29"/>
        <v>0</v>
      </c>
      <c r="DD14" s="1148"/>
      <c r="DE14" s="1149"/>
      <c r="DF14" s="1149"/>
      <c r="DG14" s="1149"/>
      <c r="DH14" s="1149"/>
      <c r="DI14" s="1154">
        <f t="shared" si="30"/>
        <v>0</v>
      </c>
      <c r="DJ14" s="1234"/>
      <c r="DK14" s="1234"/>
      <c r="DL14" s="1234"/>
      <c r="DM14" s="1234"/>
      <c r="DN14" s="1234"/>
      <c r="DO14" s="1233">
        <f t="shared" si="31"/>
        <v>0</v>
      </c>
      <c r="DP14" s="1145"/>
      <c r="DQ14" s="1146"/>
      <c r="DR14" s="1146"/>
      <c r="DS14" s="1146"/>
      <c r="DT14" s="1146"/>
      <c r="DU14" s="1155">
        <f t="shared" si="32"/>
        <v>0</v>
      </c>
      <c r="DV14" s="1145">
        <v>-8.4600000000000009</v>
      </c>
      <c r="DW14" s="1146">
        <v>0</v>
      </c>
      <c r="DX14" s="1146">
        <v>-1.56</v>
      </c>
      <c r="DY14" s="1146">
        <v>0.02</v>
      </c>
      <c r="DZ14" s="1146">
        <v>0</v>
      </c>
      <c r="EA14" s="1154">
        <f t="shared" si="33"/>
        <v>-10.000000000000002</v>
      </c>
    </row>
    <row r="15" spans="1:241" ht="15" customHeight="1">
      <c r="A15" s="746" t="s">
        <v>29</v>
      </c>
      <c r="B15" s="844" t="s">
        <v>1012</v>
      </c>
      <c r="C15" s="967" t="s">
        <v>265</v>
      </c>
      <c r="D15" s="842">
        <f t="shared" si="6"/>
        <v>103717.70999999999</v>
      </c>
      <c r="E15" s="842">
        <f t="shared" si="7"/>
        <v>110665</v>
      </c>
      <c r="F15" s="842">
        <f t="shared" si="8"/>
        <v>40303.69</v>
      </c>
      <c r="G15" s="842">
        <f t="shared" si="9"/>
        <v>-6.0000000000000012E-2</v>
      </c>
      <c r="H15" s="842">
        <f t="shared" si="10"/>
        <v>0</v>
      </c>
      <c r="I15" s="1578">
        <f t="shared" si="11"/>
        <v>254686.34</v>
      </c>
      <c r="J15" s="843">
        <f t="shared" si="12"/>
        <v>-6.0000000000000012E-2</v>
      </c>
      <c r="K15" s="1579">
        <f t="shared" si="13"/>
        <v>40303.630000000005</v>
      </c>
      <c r="L15" s="1116"/>
      <c r="M15" s="1117"/>
      <c r="N15" s="1117"/>
      <c r="O15" s="1117"/>
      <c r="P15" s="1117"/>
      <c r="Q15" s="1118">
        <f t="shared" si="14"/>
        <v>0</v>
      </c>
      <c r="R15" s="1133"/>
      <c r="S15" s="1134"/>
      <c r="T15" s="1134"/>
      <c r="U15" s="1134"/>
      <c r="V15" s="1134"/>
      <c r="W15" s="1132">
        <f t="shared" si="15"/>
        <v>0</v>
      </c>
      <c r="X15" s="1231">
        <v>0</v>
      </c>
      <c r="Y15" s="1231">
        <v>17563.89</v>
      </c>
      <c r="Z15" s="1231">
        <v>0</v>
      </c>
      <c r="AA15" s="1231">
        <v>0</v>
      </c>
      <c r="AB15" s="1231">
        <v>0</v>
      </c>
      <c r="AC15" s="1231">
        <f t="shared" si="16"/>
        <v>17563.89</v>
      </c>
      <c r="AD15" s="1127">
        <v>6128.14</v>
      </c>
      <c r="AE15" s="1128">
        <v>36.479999999999997</v>
      </c>
      <c r="AF15" s="1128">
        <v>1130.8</v>
      </c>
      <c r="AG15" s="1128">
        <v>-0.02</v>
      </c>
      <c r="AH15" s="1128">
        <v>0</v>
      </c>
      <c r="AI15" s="1124">
        <f t="shared" si="17"/>
        <v>7295.4</v>
      </c>
      <c r="AJ15" s="1148">
        <v>13424.56</v>
      </c>
      <c r="AK15" s="1149">
        <v>0</v>
      </c>
      <c r="AL15" s="1149">
        <v>3356.19</v>
      </c>
      <c r="AM15" s="1149">
        <v>0</v>
      </c>
      <c r="AN15" s="1149">
        <v>0</v>
      </c>
      <c r="AO15" s="1154">
        <f t="shared" si="18"/>
        <v>16780.75</v>
      </c>
      <c r="AP15" s="1125"/>
      <c r="AQ15" s="1126"/>
      <c r="AR15" s="1126"/>
      <c r="AS15" s="1126"/>
      <c r="AT15" s="1126"/>
      <c r="AU15" s="1137">
        <f t="shared" si="19"/>
        <v>0</v>
      </c>
      <c r="AV15" s="1141">
        <v>3713.01</v>
      </c>
      <c r="AW15" s="1142">
        <v>928.26</v>
      </c>
      <c r="AX15" s="1142">
        <v>0</v>
      </c>
      <c r="AY15" s="1142">
        <v>0</v>
      </c>
      <c r="AZ15" s="1142">
        <v>0</v>
      </c>
      <c r="BA15" s="1140">
        <f t="shared" si="20"/>
        <v>4641.2700000000004</v>
      </c>
      <c r="BB15" s="1131">
        <v>7109.92</v>
      </c>
      <c r="BC15" s="1131">
        <v>1777.48</v>
      </c>
      <c r="BD15" s="1131">
        <v>0</v>
      </c>
      <c r="BE15" s="1131">
        <v>0</v>
      </c>
      <c r="BF15" s="1131">
        <v>0</v>
      </c>
      <c r="BG15" s="1132">
        <f t="shared" si="21"/>
        <v>8887.4</v>
      </c>
      <c r="BH15" s="1148">
        <v>1159.93</v>
      </c>
      <c r="BI15" s="1149">
        <v>2094.65</v>
      </c>
      <c r="BJ15" s="1149">
        <v>0</v>
      </c>
      <c r="BK15" s="1149">
        <v>0</v>
      </c>
      <c r="BL15" s="1149">
        <v>0</v>
      </c>
      <c r="BM15" s="1147">
        <f t="shared" si="22"/>
        <v>3254.58</v>
      </c>
      <c r="BN15" s="1148">
        <v>27122.9</v>
      </c>
      <c r="BO15" s="1149">
        <v>3435.58</v>
      </c>
      <c r="BP15" s="1149">
        <v>5605.41</v>
      </c>
      <c r="BQ15" s="1149">
        <v>-0.02</v>
      </c>
      <c r="BR15" s="1149">
        <v>0</v>
      </c>
      <c r="BS15" s="1147">
        <f t="shared" si="23"/>
        <v>36163.870000000003</v>
      </c>
      <c r="BT15" s="1148"/>
      <c r="BU15" s="1149"/>
      <c r="BV15" s="1149"/>
      <c r="BW15" s="1149"/>
      <c r="BX15" s="1149"/>
      <c r="BY15" s="1154">
        <f t="shared" si="24"/>
        <v>0</v>
      </c>
      <c r="BZ15" s="1148">
        <v>58422.1</v>
      </c>
      <c r="CA15" s="1149">
        <v>81840.240000000005</v>
      </c>
      <c r="CB15" s="1149">
        <v>25727.360000000001</v>
      </c>
      <c r="CC15" s="1149">
        <v>-0.06</v>
      </c>
      <c r="CD15" s="1149">
        <v>0</v>
      </c>
      <c r="CE15" s="1154">
        <f t="shared" si="25"/>
        <v>165989.64000000001</v>
      </c>
      <c r="CF15" s="1148">
        <v>1167.51</v>
      </c>
      <c r="CG15" s="1149">
        <v>0</v>
      </c>
      <c r="CH15" s="1149">
        <v>2093.7199999999998</v>
      </c>
      <c r="CI15" s="1149">
        <v>0</v>
      </c>
      <c r="CJ15" s="1149">
        <v>0</v>
      </c>
      <c r="CK15" s="1154">
        <f t="shared" si="26"/>
        <v>3261.2299999999996</v>
      </c>
      <c r="CL15" s="1145"/>
      <c r="CM15" s="1146"/>
      <c r="CN15" s="1146"/>
      <c r="CO15" s="1146"/>
      <c r="CP15" s="1146"/>
      <c r="CQ15" s="1147">
        <f t="shared" si="27"/>
        <v>0</v>
      </c>
      <c r="CR15" s="1148"/>
      <c r="CS15" s="1149"/>
      <c r="CT15" s="1149"/>
      <c r="CU15" s="1149"/>
      <c r="CV15" s="1149"/>
      <c r="CW15" s="1154">
        <f t="shared" si="28"/>
        <v>0</v>
      </c>
      <c r="CX15" s="1148">
        <v>-48.31</v>
      </c>
      <c r="CY15" s="1149">
        <v>-48.31</v>
      </c>
      <c r="CZ15" s="1149">
        <v>0</v>
      </c>
      <c r="DA15" s="1149">
        <v>0.01</v>
      </c>
      <c r="DB15" s="1149">
        <v>0</v>
      </c>
      <c r="DC15" s="1147">
        <f t="shared" si="29"/>
        <v>-96.61</v>
      </c>
      <c r="DD15" s="1148">
        <v>-18929.05</v>
      </c>
      <c r="DE15" s="1149">
        <v>0</v>
      </c>
      <c r="DF15" s="1149">
        <v>0</v>
      </c>
      <c r="DG15" s="1149">
        <v>0</v>
      </c>
      <c r="DH15" s="1149">
        <v>0</v>
      </c>
      <c r="DI15" s="1154">
        <f t="shared" si="30"/>
        <v>-18929.05</v>
      </c>
      <c r="DJ15" s="1233">
        <v>-5547</v>
      </c>
      <c r="DK15" s="1233">
        <v>0</v>
      </c>
      <c r="DL15" s="1233">
        <v>0</v>
      </c>
      <c r="DM15" s="1233">
        <v>0</v>
      </c>
      <c r="DN15" s="1233">
        <v>0</v>
      </c>
      <c r="DO15" s="1233">
        <f t="shared" si="31"/>
        <v>-5547</v>
      </c>
      <c r="DP15" s="1148">
        <v>4401.0600000000004</v>
      </c>
      <c r="DQ15" s="1149">
        <v>3036.73</v>
      </c>
      <c r="DR15" s="1149">
        <v>1364.33</v>
      </c>
      <c r="DS15" s="1149">
        <v>-0.03</v>
      </c>
      <c r="DT15" s="1149">
        <v>0</v>
      </c>
      <c r="DU15" s="1155">
        <f t="shared" si="32"/>
        <v>8802.09</v>
      </c>
      <c r="DV15" s="1148">
        <v>5592.94</v>
      </c>
      <c r="DW15" s="1149">
        <v>0</v>
      </c>
      <c r="DX15" s="1149">
        <v>1025.8800000000001</v>
      </c>
      <c r="DY15" s="1149">
        <v>0.06</v>
      </c>
      <c r="DZ15" s="1149">
        <v>0</v>
      </c>
      <c r="EA15" s="1154">
        <f t="shared" si="33"/>
        <v>6618.88</v>
      </c>
    </row>
    <row r="16" spans="1:241" ht="15" customHeight="1">
      <c r="A16" s="746" t="s">
        <v>30</v>
      </c>
      <c r="B16" s="844" t="s">
        <v>31</v>
      </c>
      <c r="C16" s="967" t="s">
        <v>268</v>
      </c>
      <c r="D16" s="842">
        <f t="shared" si="6"/>
        <v>31578.170000000009</v>
      </c>
      <c r="E16" s="842">
        <f t="shared" si="7"/>
        <v>5970.42</v>
      </c>
      <c r="F16" s="842">
        <f t="shared" si="8"/>
        <v>8267.68</v>
      </c>
      <c r="G16" s="842">
        <f t="shared" si="9"/>
        <v>-0.06</v>
      </c>
      <c r="H16" s="842">
        <f t="shared" si="10"/>
        <v>270</v>
      </c>
      <c r="I16" s="1578">
        <f t="shared" si="11"/>
        <v>46086.210000000014</v>
      </c>
      <c r="J16" s="843">
        <f t="shared" si="12"/>
        <v>269.94</v>
      </c>
      <c r="K16" s="1579">
        <f t="shared" si="13"/>
        <v>8537.6200000000008</v>
      </c>
      <c r="L16" s="1116"/>
      <c r="M16" s="1117"/>
      <c r="N16" s="1117"/>
      <c r="O16" s="1117"/>
      <c r="P16" s="1117"/>
      <c r="Q16" s="1118">
        <f t="shared" si="14"/>
        <v>0</v>
      </c>
      <c r="R16" s="1133"/>
      <c r="S16" s="1134"/>
      <c r="T16" s="1134"/>
      <c r="U16" s="1134"/>
      <c r="V16" s="1134"/>
      <c r="W16" s="1132">
        <f t="shared" si="15"/>
        <v>0</v>
      </c>
      <c r="X16" s="1232"/>
      <c r="Y16" s="1232"/>
      <c r="Z16" s="1232"/>
      <c r="AA16" s="1232"/>
      <c r="AB16" s="1232"/>
      <c r="AC16" s="1231">
        <f t="shared" si="16"/>
        <v>0</v>
      </c>
      <c r="AD16" s="1125">
        <v>241.08</v>
      </c>
      <c r="AE16" s="1126">
        <v>1.44</v>
      </c>
      <c r="AF16" s="1126">
        <v>44.49</v>
      </c>
      <c r="AG16" s="1126">
        <v>-0.01</v>
      </c>
      <c r="AH16" s="1126">
        <v>0</v>
      </c>
      <c r="AI16" s="1124">
        <f t="shared" si="17"/>
        <v>287</v>
      </c>
      <c r="AJ16" s="1148">
        <v>21185.93</v>
      </c>
      <c r="AK16" s="1149">
        <v>0</v>
      </c>
      <c r="AL16" s="1149">
        <v>5296.47</v>
      </c>
      <c r="AM16" s="1149">
        <v>0</v>
      </c>
      <c r="AN16" s="1149">
        <v>270</v>
      </c>
      <c r="AO16" s="1154">
        <f t="shared" si="18"/>
        <v>26752.400000000001</v>
      </c>
      <c r="AP16" s="1125"/>
      <c r="AQ16" s="1126"/>
      <c r="AR16" s="1126"/>
      <c r="AS16" s="1126"/>
      <c r="AT16" s="1126"/>
      <c r="AU16" s="1137">
        <f t="shared" si="19"/>
        <v>0</v>
      </c>
      <c r="AV16" s="1138"/>
      <c r="AW16" s="1139"/>
      <c r="AX16" s="1139"/>
      <c r="AY16" s="1139"/>
      <c r="AZ16" s="1139"/>
      <c r="BA16" s="1140">
        <f t="shared" si="20"/>
        <v>0</v>
      </c>
      <c r="BB16" s="1135">
        <v>26.4</v>
      </c>
      <c r="BC16" s="1136">
        <v>6.6</v>
      </c>
      <c r="BD16" s="1136">
        <v>0</v>
      </c>
      <c r="BE16" s="1136">
        <v>0</v>
      </c>
      <c r="BF16" s="1136">
        <v>0</v>
      </c>
      <c r="BG16" s="1132">
        <f t="shared" si="21"/>
        <v>33</v>
      </c>
      <c r="BH16" s="1148">
        <v>46.95</v>
      </c>
      <c r="BI16" s="1149">
        <v>84.79</v>
      </c>
      <c r="BJ16" s="1149">
        <v>0</v>
      </c>
      <c r="BK16" s="1149">
        <v>0</v>
      </c>
      <c r="BL16" s="1149">
        <v>0</v>
      </c>
      <c r="BM16" s="1147">
        <f t="shared" si="22"/>
        <v>131.74</v>
      </c>
      <c r="BN16" s="1148">
        <v>5842.92</v>
      </c>
      <c r="BO16" s="1149">
        <v>740.1</v>
      </c>
      <c r="BP16" s="1149">
        <v>1207.54</v>
      </c>
      <c r="BQ16" s="1149">
        <v>-0.04</v>
      </c>
      <c r="BR16" s="1149">
        <v>0</v>
      </c>
      <c r="BS16" s="1147">
        <f t="shared" si="23"/>
        <v>7790.52</v>
      </c>
      <c r="BT16" s="1145"/>
      <c r="BU16" s="1146"/>
      <c r="BV16" s="1146"/>
      <c r="BW16" s="1146"/>
      <c r="BX16" s="1146"/>
      <c r="BY16" s="1154">
        <f t="shared" si="24"/>
        <v>0</v>
      </c>
      <c r="BZ16" s="1148">
        <v>1037.08</v>
      </c>
      <c r="CA16" s="1149">
        <v>2922.24</v>
      </c>
      <c r="CB16" s="1149">
        <v>726.26</v>
      </c>
      <c r="CC16" s="1149">
        <v>-0.03</v>
      </c>
      <c r="CD16" s="1149">
        <v>0</v>
      </c>
      <c r="CE16" s="1154">
        <f t="shared" si="25"/>
        <v>4685.55</v>
      </c>
      <c r="CF16" s="1145"/>
      <c r="CG16" s="1146"/>
      <c r="CH16" s="1146"/>
      <c r="CI16" s="1146"/>
      <c r="CJ16" s="1146"/>
      <c r="CK16" s="1154">
        <f t="shared" si="26"/>
        <v>0</v>
      </c>
      <c r="CL16" s="1145"/>
      <c r="CM16" s="1146"/>
      <c r="CN16" s="1146"/>
      <c r="CO16" s="1146"/>
      <c r="CP16" s="1146"/>
      <c r="CQ16" s="1147">
        <f t="shared" si="27"/>
        <v>0</v>
      </c>
      <c r="CR16" s="1145"/>
      <c r="CS16" s="1146"/>
      <c r="CT16" s="1146"/>
      <c r="CU16" s="1146"/>
      <c r="CV16" s="1146"/>
      <c r="CW16" s="1154">
        <f t="shared" si="28"/>
        <v>0</v>
      </c>
      <c r="CX16" s="1145"/>
      <c r="CY16" s="1146"/>
      <c r="CZ16" s="1146"/>
      <c r="DA16" s="1146"/>
      <c r="DB16" s="1146"/>
      <c r="DC16" s="1147">
        <f t="shared" si="29"/>
        <v>0</v>
      </c>
      <c r="DD16" s="1148"/>
      <c r="DE16" s="1149"/>
      <c r="DF16" s="1149"/>
      <c r="DG16" s="1149"/>
      <c r="DH16" s="1149"/>
      <c r="DI16" s="1154">
        <f t="shared" si="30"/>
        <v>0</v>
      </c>
      <c r="DJ16" s="1233"/>
      <c r="DK16" s="1233"/>
      <c r="DL16" s="1233"/>
      <c r="DM16" s="1233"/>
      <c r="DN16" s="1233"/>
      <c r="DO16" s="1233">
        <f t="shared" si="31"/>
        <v>0</v>
      </c>
      <c r="DP16" s="1148">
        <v>3210.5</v>
      </c>
      <c r="DQ16" s="1149">
        <v>2215.25</v>
      </c>
      <c r="DR16" s="1149">
        <v>995.26</v>
      </c>
      <c r="DS16" s="1149">
        <v>-0.01</v>
      </c>
      <c r="DT16" s="1149">
        <v>0</v>
      </c>
      <c r="DU16" s="1155">
        <f t="shared" si="32"/>
        <v>6421</v>
      </c>
      <c r="DV16" s="1148">
        <v>-12.69</v>
      </c>
      <c r="DW16" s="1149">
        <v>0</v>
      </c>
      <c r="DX16" s="1149">
        <v>-2.34</v>
      </c>
      <c r="DY16" s="1149">
        <v>0.03</v>
      </c>
      <c r="DZ16" s="1149">
        <v>0</v>
      </c>
      <c r="EA16" s="1154">
        <f t="shared" si="33"/>
        <v>-15</v>
      </c>
    </row>
    <row r="17" spans="1:131" ht="15" customHeight="1">
      <c r="A17" s="746" t="s">
        <v>32</v>
      </c>
      <c r="B17" s="844" t="s">
        <v>33</v>
      </c>
      <c r="C17" s="967" t="s">
        <v>265</v>
      </c>
      <c r="D17" s="842">
        <f t="shared" si="6"/>
        <v>43925.770000000004</v>
      </c>
      <c r="E17" s="842">
        <f t="shared" si="7"/>
        <v>10413.76</v>
      </c>
      <c r="F17" s="842">
        <f t="shared" si="8"/>
        <v>9042.4699999999993</v>
      </c>
      <c r="G17" s="842">
        <f t="shared" si="9"/>
        <v>-1.0000000000000002E-2</v>
      </c>
      <c r="H17" s="842">
        <f t="shared" si="10"/>
        <v>0</v>
      </c>
      <c r="I17" s="1578">
        <f t="shared" si="11"/>
        <v>63381.990000000005</v>
      </c>
      <c r="J17" s="843">
        <f t="shared" si="12"/>
        <v>-1.0000000000000002E-2</v>
      </c>
      <c r="K17" s="1579">
        <f t="shared" si="13"/>
        <v>9042.4599999999991</v>
      </c>
      <c r="L17" s="1116"/>
      <c r="M17" s="1117"/>
      <c r="N17" s="1117"/>
      <c r="O17" s="1117"/>
      <c r="P17" s="1117"/>
      <c r="Q17" s="1118">
        <f t="shared" si="14"/>
        <v>0</v>
      </c>
      <c r="R17" s="1133"/>
      <c r="S17" s="1134"/>
      <c r="T17" s="1134"/>
      <c r="U17" s="1134"/>
      <c r="V17" s="1134"/>
      <c r="W17" s="1132">
        <f t="shared" si="15"/>
        <v>0</v>
      </c>
      <c r="X17" s="1231"/>
      <c r="Y17" s="1231"/>
      <c r="Z17" s="1231"/>
      <c r="AA17" s="1231"/>
      <c r="AB17" s="1231"/>
      <c r="AC17" s="1231">
        <f t="shared" si="16"/>
        <v>0</v>
      </c>
      <c r="AD17" s="1127">
        <v>2520.41</v>
      </c>
      <c r="AE17" s="1128">
        <v>15</v>
      </c>
      <c r="AF17" s="1128">
        <v>465.08</v>
      </c>
      <c r="AG17" s="1128">
        <v>-0.01</v>
      </c>
      <c r="AH17" s="1128">
        <v>0</v>
      </c>
      <c r="AI17" s="1124">
        <f t="shared" si="17"/>
        <v>3000.4799999999996</v>
      </c>
      <c r="AJ17" s="1148">
        <v>11171.96</v>
      </c>
      <c r="AK17" s="1149">
        <v>0</v>
      </c>
      <c r="AL17" s="1149">
        <v>2792.99</v>
      </c>
      <c r="AM17" s="1149">
        <v>0</v>
      </c>
      <c r="AN17" s="1149">
        <v>0</v>
      </c>
      <c r="AO17" s="1154">
        <f t="shared" si="18"/>
        <v>13964.949999999999</v>
      </c>
      <c r="AP17" s="1125"/>
      <c r="AQ17" s="1126"/>
      <c r="AR17" s="1126"/>
      <c r="AS17" s="1126"/>
      <c r="AT17" s="1126"/>
      <c r="AU17" s="1137">
        <f t="shared" si="19"/>
        <v>0</v>
      </c>
      <c r="AV17" s="1141">
        <v>5264</v>
      </c>
      <c r="AW17" s="1142">
        <v>1316</v>
      </c>
      <c r="AX17" s="1142">
        <v>0</v>
      </c>
      <c r="AY17" s="1142">
        <v>0</v>
      </c>
      <c r="AZ17" s="1142">
        <v>0</v>
      </c>
      <c r="BA17" s="1140">
        <f t="shared" si="20"/>
        <v>6580</v>
      </c>
      <c r="BB17" s="1131">
        <v>2013.99</v>
      </c>
      <c r="BC17" s="1131">
        <v>503.5</v>
      </c>
      <c r="BD17" s="1131">
        <v>0</v>
      </c>
      <c r="BE17" s="1131">
        <v>0</v>
      </c>
      <c r="BF17" s="1131">
        <v>0</v>
      </c>
      <c r="BG17" s="1132">
        <f t="shared" si="21"/>
        <v>2517.4899999999998</v>
      </c>
      <c r="BH17" s="1145"/>
      <c r="BI17" s="1146"/>
      <c r="BJ17" s="1146"/>
      <c r="BK17" s="1146"/>
      <c r="BL17" s="1146"/>
      <c r="BM17" s="1147">
        <f t="shared" si="22"/>
        <v>0</v>
      </c>
      <c r="BN17" s="1148">
        <v>11406.83</v>
      </c>
      <c r="BO17" s="1149">
        <v>1444.87</v>
      </c>
      <c r="BP17" s="1149">
        <v>2357.41</v>
      </c>
      <c r="BQ17" s="1149">
        <v>-0.03</v>
      </c>
      <c r="BR17" s="1149">
        <v>0</v>
      </c>
      <c r="BS17" s="1147">
        <f t="shared" si="23"/>
        <v>15209.08</v>
      </c>
      <c r="BT17" s="1148"/>
      <c r="BU17" s="1149"/>
      <c r="BV17" s="1149"/>
      <c r="BW17" s="1149"/>
      <c r="BX17" s="1149"/>
      <c r="BY17" s="1154">
        <f t="shared" si="24"/>
        <v>0</v>
      </c>
      <c r="BZ17" s="1148">
        <v>2502.0300000000002</v>
      </c>
      <c r="CA17" s="1149">
        <v>7134.39</v>
      </c>
      <c r="CB17" s="1149">
        <v>1767.57</v>
      </c>
      <c r="CC17" s="1149">
        <v>0</v>
      </c>
      <c r="CD17" s="1149">
        <v>0</v>
      </c>
      <c r="CE17" s="1154">
        <f t="shared" si="25"/>
        <v>11403.99</v>
      </c>
      <c r="CF17" s="1145"/>
      <c r="CG17" s="1146"/>
      <c r="CH17" s="1146"/>
      <c r="CI17" s="1146"/>
      <c r="CJ17" s="1146"/>
      <c r="CK17" s="1154">
        <f t="shared" si="26"/>
        <v>0</v>
      </c>
      <c r="CL17" s="1145"/>
      <c r="CM17" s="1146"/>
      <c r="CN17" s="1146"/>
      <c r="CO17" s="1146"/>
      <c r="CP17" s="1146"/>
      <c r="CQ17" s="1147">
        <f t="shared" si="27"/>
        <v>0</v>
      </c>
      <c r="CR17" s="1148"/>
      <c r="CS17" s="1149"/>
      <c r="CT17" s="1149"/>
      <c r="CU17" s="1149"/>
      <c r="CV17" s="1149"/>
      <c r="CW17" s="1154">
        <f t="shared" si="28"/>
        <v>0</v>
      </c>
      <c r="CX17" s="1148"/>
      <c r="CY17" s="1149"/>
      <c r="CZ17" s="1149"/>
      <c r="DA17" s="1149"/>
      <c r="DB17" s="1149"/>
      <c r="DC17" s="1147">
        <f t="shared" si="29"/>
        <v>0</v>
      </c>
      <c r="DD17" s="1148"/>
      <c r="DE17" s="1149"/>
      <c r="DF17" s="1149"/>
      <c r="DG17" s="1149"/>
      <c r="DH17" s="1149"/>
      <c r="DI17" s="1154">
        <f t="shared" si="30"/>
        <v>0</v>
      </c>
      <c r="DJ17" s="1234"/>
      <c r="DK17" s="1234"/>
      <c r="DL17" s="1234"/>
      <c r="DM17" s="1234"/>
      <c r="DN17" s="1234"/>
      <c r="DO17" s="1233">
        <f t="shared" si="31"/>
        <v>0</v>
      </c>
      <c r="DP17" s="1145"/>
      <c r="DQ17" s="1146"/>
      <c r="DR17" s="1146"/>
      <c r="DS17" s="1146"/>
      <c r="DT17" s="1146"/>
      <c r="DU17" s="1155">
        <f t="shared" si="32"/>
        <v>0</v>
      </c>
      <c r="DV17" s="1148">
        <v>9046.5499999999993</v>
      </c>
      <c r="DW17" s="1149">
        <v>0</v>
      </c>
      <c r="DX17" s="1149">
        <v>1659.42</v>
      </c>
      <c r="DY17" s="1149">
        <v>0.03</v>
      </c>
      <c r="DZ17" s="1149">
        <v>0</v>
      </c>
      <c r="EA17" s="1154">
        <f t="shared" si="33"/>
        <v>10706</v>
      </c>
    </row>
    <row r="18" spans="1:131" ht="15" customHeight="1">
      <c r="A18" s="746" t="s">
        <v>36</v>
      </c>
      <c r="B18" s="844" t="s">
        <v>37</v>
      </c>
      <c r="C18" s="967" t="s">
        <v>264</v>
      </c>
      <c r="D18" s="842">
        <f t="shared" si="6"/>
        <v>70658.109999999986</v>
      </c>
      <c r="E18" s="842">
        <f t="shared" si="7"/>
        <v>28252.239999999998</v>
      </c>
      <c r="F18" s="842">
        <f t="shared" si="8"/>
        <v>19895.649999999998</v>
      </c>
      <c r="G18" s="842">
        <f t="shared" si="9"/>
        <v>-6.9999999999999993E-2</v>
      </c>
      <c r="H18" s="842">
        <f t="shared" si="10"/>
        <v>0</v>
      </c>
      <c r="I18" s="1578">
        <f t="shared" si="11"/>
        <v>118805.92999999996</v>
      </c>
      <c r="J18" s="843">
        <f t="shared" si="12"/>
        <v>-6.9999999999999993E-2</v>
      </c>
      <c r="K18" s="1579">
        <f t="shared" si="13"/>
        <v>19895.579999999998</v>
      </c>
      <c r="L18" s="1116"/>
      <c r="M18" s="1117"/>
      <c r="N18" s="1117"/>
      <c r="O18" s="1117"/>
      <c r="P18" s="1117"/>
      <c r="Q18" s="1118">
        <f t="shared" si="14"/>
        <v>0</v>
      </c>
      <c r="R18" s="1133"/>
      <c r="S18" s="1134"/>
      <c r="T18" s="1134"/>
      <c r="U18" s="1134"/>
      <c r="V18" s="1134"/>
      <c r="W18" s="1132">
        <f t="shared" si="15"/>
        <v>0</v>
      </c>
      <c r="X18" s="1231"/>
      <c r="Y18" s="1231"/>
      <c r="Z18" s="1231"/>
      <c r="AA18" s="1231"/>
      <c r="AB18" s="1231"/>
      <c r="AC18" s="1231">
        <f t="shared" si="16"/>
        <v>0</v>
      </c>
      <c r="AD18" s="1127">
        <v>5008.2</v>
      </c>
      <c r="AE18" s="1128">
        <v>29.81</v>
      </c>
      <c r="AF18" s="1128">
        <v>924.13</v>
      </c>
      <c r="AG18" s="1128">
        <v>0.01</v>
      </c>
      <c r="AH18" s="1128">
        <v>0</v>
      </c>
      <c r="AI18" s="1124">
        <f t="shared" si="17"/>
        <v>5962.1500000000005</v>
      </c>
      <c r="AJ18" s="1148">
        <v>34566.31</v>
      </c>
      <c r="AK18" s="1149">
        <v>0</v>
      </c>
      <c r="AL18" s="1149">
        <v>8641.61</v>
      </c>
      <c r="AM18" s="1149">
        <v>0</v>
      </c>
      <c r="AN18" s="1149">
        <v>0</v>
      </c>
      <c r="AO18" s="1154">
        <f t="shared" si="18"/>
        <v>43207.92</v>
      </c>
      <c r="AP18" s="1127">
        <v>4646</v>
      </c>
      <c r="AQ18" s="1128">
        <v>3205.74</v>
      </c>
      <c r="AR18" s="1128">
        <v>1440.26</v>
      </c>
      <c r="AS18" s="1128">
        <v>0</v>
      </c>
      <c r="AT18" s="1128">
        <v>0</v>
      </c>
      <c r="AU18" s="1137">
        <f t="shared" si="19"/>
        <v>9292</v>
      </c>
      <c r="AV18" s="1141">
        <v>1563.09</v>
      </c>
      <c r="AW18" s="1142">
        <v>390.77</v>
      </c>
      <c r="AX18" s="1142">
        <v>0</v>
      </c>
      <c r="AY18" s="1142">
        <v>0</v>
      </c>
      <c r="AZ18" s="1142">
        <v>0</v>
      </c>
      <c r="BA18" s="1140">
        <f t="shared" si="20"/>
        <v>1953.86</v>
      </c>
      <c r="BB18" s="1131">
        <v>829.4</v>
      </c>
      <c r="BC18" s="1131">
        <v>207.34</v>
      </c>
      <c r="BD18" s="1131">
        <v>0</v>
      </c>
      <c r="BE18" s="1131">
        <v>0</v>
      </c>
      <c r="BF18" s="1131">
        <v>0</v>
      </c>
      <c r="BG18" s="1132">
        <f t="shared" si="21"/>
        <v>1036.74</v>
      </c>
      <c r="BH18" s="1148"/>
      <c r="BI18" s="1149"/>
      <c r="BJ18" s="1149"/>
      <c r="BK18" s="1149"/>
      <c r="BL18" s="1149"/>
      <c r="BM18" s="1147">
        <f t="shared" si="22"/>
        <v>0</v>
      </c>
      <c r="BN18" s="1148">
        <v>9911.25</v>
      </c>
      <c r="BO18" s="1149">
        <v>1255.43</v>
      </c>
      <c r="BP18" s="1149">
        <v>2048.33</v>
      </c>
      <c r="BQ18" s="1149">
        <v>-0.01</v>
      </c>
      <c r="BR18" s="1149">
        <v>0</v>
      </c>
      <c r="BS18" s="1147">
        <f t="shared" si="23"/>
        <v>13215</v>
      </c>
      <c r="BT18" s="1148"/>
      <c r="BU18" s="1149"/>
      <c r="BV18" s="1149"/>
      <c r="BW18" s="1149"/>
      <c r="BX18" s="1149"/>
      <c r="BY18" s="1154">
        <f t="shared" si="24"/>
        <v>0</v>
      </c>
      <c r="BZ18" s="1148">
        <v>7619.95</v>
      </c>
      <c r="CA18" s="1149">
        <v>21728.07</v>
      </c>
      <c r="CB18" s="1149">
        <v>5383.23</v>
      </c>
      <c r="CC18" s="1149">
        <v>-0.06</v>
      </c>
      <c r="CD18" s="1149">
        <v>0</v>
      </c>
      <c r="CE18" s="1154">
        <f t="shared" si="25"/>
        <v>34731.19</v>
      </c>
      <c r="CF18" s="1145"/>
      <c r="CG18" s="1146"/>
      <c r="CH18" s="1146"/>
      <c r="CI18" s="1146"/>
      <c r="CJ18" s="1146"/>
      <c r="CK18" s="1154">
        <f t="shared" si="26"/>
        <v>0</v>
      </c>
      <c r="CL18" s="1145"/>
      <c r="CM18" s="1146"/>
      <c r="CN18" s="1146"/>
      <c r="CO18" s="1146"/>
      <c r="CP18" s="1146"/>
      <c r="CQ18" s="1147">
        <f t="shared" si="27"/>
        <v>0</v>
      </c>
      <c r="CR18" s="1145"/>
      <c r="CS18" s="1146"/>
      <c r="CT18" s="1146"/>
      <c r="CU18" s="1146"/>
      <c r="CV18" s="1146"/>
      <c r="CW18" s="1154">
        <f t="shared" si="28"/>
        <v>0</v>
      </c>
      <c r="CX18" s="1145"/>
      <c r="CY18" s="1146"/>
      <c r="CZ18" s="1146"/>
      <c r="DA18" s="1146"/>
      <c r="DB18" s="1146"/>
      <c r="DC18" s="1147">
        <f t="shared" si="29"/>
        <v>0</v>
      </c>
      <c r="DD18" s="1148"/>
      <c r="DE18" s="1149"/>
      <c r="DF18" s="1149"/>
      <c r="DG18" s="1149"/>
      <c r="DH18" s="1149"/>
      <c r="DI18" s="1154">
        <f t="shared" si="30"/>
        <v>0</v>
      </c>
      <c r="DJ18" s="1233"/>
      <c r="DK18" s="1233"/>
      <c r="DL18" s="1233"/>
      <c r="DM18" s="1233"/>
      <c r="DN18" s="1233"/>
      <c r="DO18" s="1233">
        <f t="shared" si="31"/>
        <v>0</v>
      </c>
      <c r="DP18" s="1148">
        <v>2079.83</v>
      </c>
      <c r="DQ18" s="1149">
        <v>1435.08</v>
      </c>
      <c r="DR18" s="1149">
        <v>644.74</v>
      </c>
      <c r="DS18" s="1149">
        <v>0</v>
      </c>
      <c r="DT18" s="1149">
        <v>0</v>
      </c>
      <c r="DU18" s="1155">
        <f t="shared" si="32"/>
        <v>4159.6499999999996</v>
      </c>
      <c r="DV18" s="1148">
        <v>4434.08</v>
      </c>
      <c r="DW18" s="1149">
        <v>0</v>
      </c>
      <c r="DX18" s="1149">
        <v>813.35</v>
      </c>
      <c r="DY18" s="1149">
        <v>-0.01</v>
      </c>
      <c r="DZ18" s="1149">
        <v>0</v>
      </c>
      <c r="EA18" s="1154">
        <f t="shared" si="33"/>
        <v>5247.42</v>
      </c>
    </row>
    <row r="19" spans="1:131" ht="15" customHeight="1">
      <c r="A19" s="746" t="s">
        <v>38</v>
      </c>
      <c r="B19" s="844" t="s">
        <v>39</v>
      </c>
      <c r="C19" s="967" t="s">
        <v>268</v>
      </c>
      <c r="D19" s="842">
        <f t="shared" si="6"/>
        <v>110700.78999999998</v>
      </c>
      <c r="E19" s="842">
        <f t="shared" si="7"/>
        <v>43717.71</v>
      </c>
      <c r="F19" s="842">
        <f t="shared" si="8"/>
        <v>28061.250000000004</v>
      </c>
      <c r="G19" s="842">
        <f t="shared" si="9"/>
        <v>-0.16999999999999998</v>
      </c>
      <c r="H19" s="842">
        <f t="shared" si="10"/>
        <v>5.63</v>
      </c>
      <c r="I19" s="1578">
        <f t="shared" si="11"/>
        <v>182485.20999999996</v>
      </c>
      <c r="J19" s="843">
        <f t="shared" si="12"/>
        <v>5.46</v>
      </c>
      <c r="K19" s="1579">
        <f t="shared" si="13"/>
        <v>28066.710000000003</v>
      </c>
      <c r="L19" s="1116"/>
      <c r="M19" s="1117"/>
      <c r="N19" s="1117"/>
      <c r="O19" s="1117"/>
      <c r="P19" s="1117"/>
      <c r="Q19" s="1118">
        <f t="shared" si="14"/>
        <v>0</v>
      </c>
      <c r="R19" s="1133"/>
      <c r="S19" s="1134"/>
      <c r="T19" s="1134"/>
      <c r="U19" s="1134"/>
      <c r="V19" s="1134"/>
      <c r="W19" s="1132">
        <f t="shared" si="15"/>
        <v>0</v>
      </c>
      <c r="X19" s="1231">
        <v>0</v>
      </c>
      <c r="Y19" s="1231">
        <v>18996.63</v>
      </c>
      <c r="Z19" s="1231">
        <v>0</v>
      </c>
      <c r="AA19" s="1231">
        <v>0</v>
      </c>
      <c r="AB19" s="1231">
        <v>0</v>
      </c>
      <c r="AC19" s="1231">
        <f t="shared" si="16"/>
        <v>18996.63</v>
      </c>
      <c r="AD19" s="1127">
        <v>5429.04</v>
      </c>
      <c r="AE19" s="1128">
        <v>32.32</v>
      </c>
      <c r="AF19" s="1128">
        <v>1001.8</v>
      </c>
      <c r="AG19" s="1128">
        <v>-0.01</v>
      </c>
      <c r="AH19" s="1128">
        <v>0</v>
      </c>
      <c r="AI19" s="1124">
        <f t="shared" si="17"/>
        <v>6463.15</v>
      </c>
      <c r="AJ19" s="1148">
        <v>76570.539999999994</v>
      </c>
      <c r="AK19" s="1149">
        <v>0</v>
      </c>
      <c r="AL19" s="1149">
        <v>19142.650000000001</v>
      </c>
      <c r="AM19" s="1149">
        <v>0</v>
      </c>
      <c r="AN19" s="1149">
        <v>0</v>
      </c>
      <c r="AO19" s="1154">
        <f t="shared" si="18"/>
        <v>95713.19</v>
      </c>
      <c r="AP19" s="1125"/>
      <c r="AQ19" s="1126"/>
      <c r="AR19" s="1126"/>
      <c r="AS19" s="1126"/>
      <c r="AT19" s="1126"/>
      <c r="AU19" s="1137">
        <f t="shared" si="19"/>
        <v>0</v>
      </c>
      <c r="AV19" s="1141">
        <v>2038</v>
      </c>
      <c r="AW19" s="1142">
        <v>509.5</v>
      </c>
      <c r="AX19" s="1142">
        <v>0</v>
      </c>
      <c r="AY19" s="1142">
        <v>0</v>
      </c>
      <c r="AZ19" s="1142">
        <v>0</v>
      </c>
      <c r="BA19" s="1140">
        <f t="shared" si="20"/>
        <v>2547.5</v>
      </c>
      <c r="BB19" s="1131">
        <v>5889.31</v>
      </c>
      <c r="BC19" s="1131">
        <v>1472.33</v>
      </c>
      <c r="BD19" s="1131">
        <v>0</v>
      </c>
      <c r="BE19" s="1131">
        <v>0</v>
      </c>
      <c r="BF19" s="1131">
        <v>0</v>
      </c>
      <c r="BG19" s="1132">
        <f t="shared" si="21"/>
        <v>7361.64</v>
      </c>
      <c r="BH19" s="1148">
        <v>114.39</v>
      </c>
      <c r="BI19" s="1149">
        <v>206.61</v>
      </c>
      <c r="BJ19" s="1149">
        <v>0</v>
      </c>
      <c r="BK19" s="1149">
        <v>0</v>
      </c>
      <c r="BL19" s="1149">
        <v>0</v>
      </c>
      <c r="BM19" s="1147">
        <f t="shared" si="22"/>
        <v>321</v>
      </c>
      <c r="BN19" s="1148">
        <v>5820.55</v>
      </c>
      <c r="BO19" s="1149">
        <v>737.3</v>
      </c>
      <c r="BP19" s="1149">
        <v>1202.95</v>
      </c>
      <c r="BQ19" s="1149">
        <v>-7.0000000000000007E-2</v>
      </c>
      <c r="BR19" s="1149">
        <v>0</v>
      </c>
      <c r="BS19" s="1147">
        <f t="shared" si="23"/>
        <v>7760.7300000000005</v>
      </c>
      <c r="BT19" s="1148"/>
      <c r="BU19" s="1149"/>
      <c r="BV19" s="1149"/>
      <c r="BW19" s="1149"/>
      <c r="BX19" s="1149"/>
      <c r="BY19" s="1154">
        <f t="shared" si="24"/>
        <v>0</v>
      </c>
      <c r="BZ19" s="1148">
        <v>7126.37</v>
      </c>
      <c r="CA19" s="1149">
        <v>19486.02</v>
      </c>
      <c r="CB19" s="1149">
        <v>4881.45</v>
      </c>
      <c r="CC19" s="1149">
        <v>-0.1</v>
      </c>
      <c r="CD19" s="1149">
        <v>0</v>
      </c>
      <c r="CE19" s="1154">
        <f t="shared" si="25"/>
        <v>31493.74</v>
      </c>
      <c r="CF19" s="1145"/>
      <c r="CG19" s="1146"/>
      <c r="CH19" s="1146"/>
      <c r="CI19" s="1146"/>
      <c r="CJ19" s="1146"/>
      <c r="CK19" s="1154">
        <f t="shared" si="26"/>
        <v>0</v>
      </c>
      <c r="CL19" s="1145"/>
      <c r="CM19" s="1146"/>
      <c r="CN19" s="1146"/>
      <c r="CO19" s="1146"/>
      <c r="CP19" s="1146"/>
      <c r="CQ19" s="1147">
        <f t="shared" si="27"/>
        <v>0</v>
      </c>
      <c r="CR19" s="1148"/>
      <c r="CS19" s="1149"/>
      <c r="CT19" s="1149"/>
      <c r="CU19" s="1149"/>
      <c r="CV19" s="1149"/>
      <c r="CW19" s="1154">
        <f t="shared" si="28"/>
        <v>0</v>
      </c>
      <c r="CX19" s="1145"/>
      <c r="CY19" s="1146"/>
      <c r="CZ19" s="1146"/>
      <c r="DA19" s="1146"/>
      <c r="DB19" s="1146"/>
      <c r="DC19" s="1147">
        <f t="shared" si="29"/>
        <v>0</v>
      </c>
      <c r="DD19" s="1148"/>
      <c r="DE19" s="1149"/>
      <c r="DF19" s="1149"/>
      <c r="DG19" s="1149"/>
      <c r="DH19" s="1149"/>
      <c r="DI19" s="1154">
        <f t="shared" si="30"/>
        <v>0</v>
      </c>
      <c r="DJ19" s="1233"/>
      <c r="DK19" s="1233"/>
      <c r="DL19" s="1233"/>
      <c r="DM19" s="1233"/>
      <c r="DN19" s="1233"/>
      <c r="DO19" s="1233">
        <f t="shared" si="31"/>
        <v>0</v>
      </c>
      <c r="DP19" s="1148">
        <v>3300</v>
      </c>
      <c r="DQ19" s="1149">
        <v>2277</v>
      </c>
      <c r="DR19" s="1149">
        <v>1023</v>
      </c>
      <c r="DS19" s="1149">
        <v>0</v>
      </c>
      <c r="DT19" s="1149">
        <v>0</v>
      </c>
      <c r="DU19" s="1155">
        <f t="shared" si="32"/>
        <v>6600</v>
      </c>
      <c r="DV19" s="1148">
        <v>4412.59</v>
      </c>
      <c r="DW19" s="1149">
        <v>0</v>
      </c>
      <c r="DX19" s="1149">
        <v>809.4</v>
      </c>
      <c r="DY19" s="1149">
        <v>0.01</v>
      </c>
      <c r="DZ19" s="1149">
        <v>5.63</v>
      </c>
      <c r="EA19" s="1154">
        <f t="shared" si="33"/>
        <v>5227.63</v>
      </c>
    </row>
    <row r="20" spans="1:131" ht="15" customHeight="1">
      <c r="A20" s="746" t="s">
        <v>40</v>
      </c>
      <c r="B20" s="844" t="s">
        <v>41</v>
      </c>
      <c r="C20" s="967" t="s">
        <v>266</v>
      </c>
      <c r="D20" s="842">
        <f t="shared" si="6"/>
        <v>33444.449999999997</v>
      </c>
      <c r="E20" s="842">
        <f t="shared" si="7"/>
        <v>24639.599999999999</v>
      </c>
      <c r="F20" s="842">
        <f t="shared" si="8"/>
        <v>11761.08</v>
      </c>
      <c r="G20" s="842">
        <f t="shared" si="9"/>
        <v>0</v>
      </c>
      <c r="H20" s="842">
        <f t="shared" si="10"/>
        <v>0</v>
      </c>
      <c r="I20" s="1578">
        <f t="shared" si="11"/>
        <v>69845.12999999999</v>
      </c>
      <c r="J20" s="843">
        <f t="shared" si="12"/>
        <v>0</v>
      </c>
      <c r="K20" s="1579">
        <f t="shared" si="13"/>
        <v>11761.08</v>
      </c>
      <c r="L20" s="1116"/>
      <c r="M20" s="1117"/>
      <c r="N20" s="1117"/>
      <c r="O20" s="1117"/>
      <c r="P20" s="1117"/>
      <c r="Q20" s="1118">
        <f t="shared" si="14"/>
        <v>0</v>
      </c>
      <c r="R20" s="1133"/>
      <c r="S20" s="1134"/>
      <c r="T20" s="1134"/>
      <c r="U20" s="1134"/>
      <c r="V20" s="1134"/>
      <c r="W20" s="1132">
        <f t="shared" si="15"/>
        <v>0</v>
      </c>
      <c r="X20" s="1232"/>
      <c r="Y20" s="1232"/>
      <c r="Z20" s="1232"/>
      <c r="AA20" s="1232"/>
      <c r="AB20" s="1232"/>
      <c r="AC20" s="1231">
        <f t="shared" si="16"/>
        <v>0</v>
      </c>
      <c r="AD20" s="1125"/>
      <c r="AE20" s="1126"/>
      <c r="AF20" s="1126"/>
      <c r="AG20" s="1126"/>
      <c r="AH20" s="1126"/>
      <c r="AI20" s="1124">
        <f t="shared" si="17"/>
        <v>0</v>
      </c>
      <c r="AJ20" s="1148">
        <v>16215.61</v>
      </c>
      <c r="AK20" s="1149">
        <v>0</v>
      </c>
      <c r="AL20" s="1149">
        <v>4053.88</v>
      </c>
      <c r="AM20" s="1149">
        <v>0</v>
      </c>
      <c r="AN20" s="1149">
        <v>0</v>
      </c>
      <c r="AO20" s="1154">
        <f t="shared" si="18"/>
        <v>20269.490000000002</v>
      </c>
      <c r="AP20" s="1125"/>
      <c r="AQ20" s="1126"/>
      <c r="AR20" s="1126"/>
      <c r="AS20" s="1126"/>
      <c r="AT20" s="1126"/>
      <c r="AU20" s="1137">
        <f t="shared" si="19"/>
        <v>0</v>
      </c>
      <c r="AV20" s="1138"/>
      <c r="AW20" s="1139"/>
      <c r="AX20" s="1139"/>
      <c r="AY20" s="1139"/>
      <c r="AZ20" s="1139"/>
      <c r="BA20" s="1140">
        <f t="shared" si="20"/>
        <v>0</v>
      </c>
      <c r="BB20" s="1131"/>
      <c r="BC20" s="1131"/>
      <c r="BD20" s="1131"/>
      <c r="BE20" s="1131"/>
      <c r="BF20" s="1131"/>
      <c r="BG20" s="1132">
        <f t="shared" si="21"/>
        <v>0</v>
      </c>
      <c r="BH20" s="1145"/>
      <c r="BI20" s="1146"/>
      <c r="BJ20" s="1146"/>
      <c r="BK20" s="1146"/>
      <c r="BL20" s="1146"/>
      <c r="BM20" s="1147">
        <f t="shared" si="22"/>
        <v>0</v>
      </c>
      <c r="BN20" s="1148">
        <v>6468.75</v>
      </c>
      <c r="BO20" s="1149">
        <v>819.38</v>
      </c>
      <c r="BP20" s="1149">
        <v>1336.88</v>
      </c>
      <c r="BQ20" s="1149">
        <v>-0.01</v>
      </c>
      <c r="BR20" s="1149">
        <v>0</v>
      </c>
      <c r="BS20" s="1147">
        <f t="shared" si="23"/>
        <v>8625</v>
      </c>
      <c r="BT20" s="1148"/>
      <c r="BU20" s="1149"/>
      <c r="BV20" s="1149"/>
      <c r="BW20" s="1149"/>
      <c r="BX20" s="1149"/>
      <c r="BY20" s="1154">
        <f t="shared" si="24"/>
        <v>0</v>
      </c>
      <c r="BZ20" s="1148">
        <v>7597.14</v>
      </c>
      <c r="CA20" s="1149">
        <v>21523.21</v>
      </c>
      <c r="CB20" s="1149">
        <v>5341.44</v>
      </c>
      <c r="CC20" s="1149">
        <v>-0.01</v>
      </c>
      <c r="CD20" s="1149">
        <v>0</v>
      </c>
      <c r="CE20" s="1154">
        <f t="shared" si="25"/>
        <v>34461.78</v>
      </c>
      <c r="CF20" s="1145"/>
      <c r="CG20" s="1146"/>
      <c r="CH20" s="1146"/>
      <c r="CI20" s="1146"/>
      <c r="CJ20" s="1146"/>
      <c r="CK20" s="1154">
        <f t="shared" si="26"/>
        <v>0</v>
      </c>
      <c r="CL20" s="1145"/>
      <c r="CM20" s="1146"/>
      <c r="CN20" s="1146"/>
      <c r="CO20" s="1146"/>
      <c r="CP20" s="1146"/>
      <c r="CQ20" s="1147">
        <f t="shared" si="27"/>
        <v>0</v>
      </c>
      <c r="CR20" s="1145"/>
      <c r="CS20" s="1146"/>
      <c r="CT20" s="1146"/>
      <c r="CU20" s="1146"/>
      <c r="CV20" s="1146"/>
      <c r="CW20" s="1154">
        <f t="shared" si="28"/>
        <v>0</v>
      </c>
      <c r="CX20" s="1148"/>
      <c r="CY20" s="1149"/>
      <c r="CZ20" s="1149"/>
      <c r="DA20" s="1149"/>
      <c r="DB20" s="1149"/>
      <c r="DC20" s="1147">
        <f t="shared" si="29"/>
        <v>0</v>
      </c>
      <c r="DD20" s="1148">
        <v>-149.13999999999999</v>
      </c>
      <c r="DE20" s="1149">
        <v>0</v>
      </c>
      <c r="DF20" s="1149">
        <v>0</v>
      </c>
      <c r="DG20" s="1149">
        <v>0</v>
      </c>
      <c r="DH20" s="1149">
        <v>0</v>
      </c>
      <c r="DI20" s="1154">
        <f t="shared" si="30"/>
        <v>-149.13999999999999</v>
      </c>
      <c r="DJ20" s="1233"/>
      <c r="DK20" s="1233"/>
      <c r="DL20" s="1233"/>
      <c r="DM20" s="1233"/>
      <c r="DN20" s="1233"/>
      <c r="DO20" s="1233">
        <f t="shared" si="31"/>
        <v>0</v>
      </c>
      <c r="DP20" s="1148">
        <v>3329</v>
      </c>
      <c r="DQ20" s="1149">
        <v>2297.0100000000002</v>
      </c>
      <c r="DR20" s="1149">
        <v>1031.99</v>
      </c>
      <c r="DS20" s="1149">
        <v>0</v>
      </c>
      <c r="DT20" s="1149">
        <v>0</v>
      </c>
      <c r="DU20" s="1155">
        <f t="shared" si="32"/>
        <v>6658</v>
      </c>
      <c r="DV20" s="1145">
        <v>-16.91</v>
      </c>
      <c r="DW20" s="1146">
        <v>0</v>
      </c>
      <c r="DX20" s="1146">
        <v>-3.11</v>
      </c>
      <c r="DY20" s="1146">
        <v>0.02</v>
      </c>
      <c r="DZ20" s="1146">
        <v>0</v>
      </c>
      <c r="EA20" s="1154">
        <f t="shared" si="33"/>
        <v>-20</v>
      </c>
    </row>
    <row r="21" spans="1:131" ht="15" customHeight="1">
      <c r="A21" s="746" t="s">
        <v>42</v>
      </c>
      <c r="B21" s="844" t="s">
        <v>43</v>
      </c>
      <c r="C21" s="967" t="s">
        <v>265</v>
      </c>
      <c r="D21" s="842">
        <f t="shared" si="6"/>
        <v>161373.93</v>
      </c>
      <c r="E21" s="842">
        <f t="shared" si="7"/>
        <v>134362.9</v>
      </c>
      <c r="F21" s="842">
        <f t="shared" si="8"/>
        <v>58613.590000000004</v>
      </c>
      <c r="G21" s="842">
        <f t="shared" si="9"/>
        <v>-0.18</v>
      </c>
      <c r="H21" s="842">
        <f t="shared" si="10"/>
        <v>68483.75</v>
      </c>
      <c r="I21" s="1578">
        <f t="shared" si="11"/>
        <v>422833.99</v>
      </c>
      <c r="J21" s="843">
        <f t="shared" si="12"/>
        <v>68483.570000000007</v>
      </c>
      <c r="K21" s="1579">
        <f t="shared" si="13"/>
        <v>127097.16</v>
      </c>
      <c r="L21" s="1116"/>
      <c r="M21" s="1117"/>
      <c r="N21" s="1117"/>
      <c r="O21" s="1117"/>
      <c r="P21" s="1117"/>
      <c r="Q21" s="1118">
        <f t="shared" si="14"/>
        <v>0</v>
      </c>
      <c r="R21" s="1135">
        <v>0</v>
      </c>
      <c r="S21" s="1136">
        <v>0</v>
      </c>
      <c r="T21" s="1136">
        <v>0</v>
      </c>
      <c r="U21" s="1136">
        <v>0</v>
      </c>
      <c r="V21" s="1136">
        <v>68483.75</v>
      </c>
      <c r="W21" s="1132">
        <f t="shared" si="15"/>
        <v>68483.75</v>
      </c>
      <c r="X21" s="1231"/>
      <c r="Y21" s="1231"/>
      <c r="Z21" s="1231"/>
      <c r="AA21" s="1231"/>
      <c r="AB21" s="1231"/>
      <c r="AC21" s="1231">
        <f t="shared" si="16"/>
        <v>0</v>
      </c>
      <c r="AD21" s="1127">
        <v>7226.52</v>
      </c>
      <c r="AE21" s="1128">
        <v>43.03</v>
      </c>
      <c r="AF21" s="1128">
        <v>1333.48</v>
      </c>
      <c r="AG21" s="1128">
        <v>-0.03</v>
      </c>
      <c r="AH21" s="1128">
        <v>0</v>
      </c>
      <c r="AI21" s="1124">
        <f t="shared" si="17"/>
        <v>8603</v>
      </c>
      <c r="AJ21" s="1148">
        <v>66602.490000000005</v>
      </c>
      <c r="AK21" s="1149">
        <v>0</v>
      </c>
      <c r="AL21" s="1149">
        <v>16650.59</v>
      </c>
      <c r="AM21" s="1149">
        <v>0</v>
      </c>
      <c r="AN21" s="1149">
        <v>0</v>
      </c>
      <c r="AO21" s="1154">
        <f t="shared" si="18"/>
        <v>83253.08</v>
      </c>
      <c r="AP21" s="1125"/>
      <c r="AQ21" s="1126"/>
      <c r="AR21" s="1126"/>
      <c r="AS21" s="1126"/>
      <c r="AT21" s="1126"/>
      <c r="AU21" s="1137">
        <f t="shared" si="19"/>
        <v>0</v>
      </c>
      <c r="AV21" s="1141"/>
      <c r="AW21" s="1142"/>
      <c r="AX21" s="1142"/>
      <c r="AY21" s="1142"/>
      <c r="AZ21" s="1142"/>
      <c r="BA21" s="1140">
        <f t="shared" si="20"/>
        <v>0</v>
      </c>
      <c r="BB21" s="1131">
        <v>3939.2</v>
      </c>
      <c r="BC21" s="1131">
        <v>984.8</v>
      </c>
      <c r="BD21" s="1131">
        <v>0</v>
      </c>
      <c r="BE21" s="1131">
        <v>0</v>
      </c>
      <c r="BF21" s="1131">
        <v>0</v>
      </c>
      <c r="BG21" s="1132">
        <f t="shared" si="21"/>
        <v>4924</v>
      </c>
      <c r="BH21" s="1148">
        <v>759.13</v>
      </c>
      <c r="BI21" s="1149">
        <v>1370.87</v>
      </c>
      <c r="BJ21" s="1149">
        <v>0</v>
      </c>
      <c r="BK21" s="1149">
        <v>0</v>
      </c>
      <c r="BL21" s="1149">
        <v>0</v>
      </c>
      <c r="BM21" s="1147">
        <f t="shared" si="22"/>
        <v>2130</v>
      </c>
      <c r="BN21" s="1148">
        <v>24591.01</v>
      </c>
      <c r="BO21" s="1149">
        <v>3114.88</v>
      </c>
      <c r="BP21" s="1149">
        <v>5082.16</v>
      </c>
      <c r="BQ21" s="1149">
        <v>-0.05</v>
      </c>
      <c r="BR21" s="1149">
        <v>0</v>
      </c>
      <c r="BS21" s="1147">
        <f t="shared" si="23"/>
        <v>32788</v>
      </c>
      <c r="BT21" s="1148"/>
      <c r="BU21" s="1149"/>
      <c r="BV21" s="1149"/>
      <c r="BW21" s="1149"/>
      <c r="BX21" s="1149"/>
      <c r="BY21" s="1154">
        <f t="shared" si="24"/>
        <v>0</v>
      </c>
      <c r="BZ21" s="1148">
        <v>43958.34</v>
      </c>
      <c r="CA21" s="1149">
        <v>125057.65</v>
      </c>
      <c r="CB21" s="1149">
        <v>31001.98</v>
      </c>
      <c r="CC21" s="1149">
        <v>-0.13</v>
      </c>
      <c r="CD21" s="1149">
        <v>0</v>
      </c>
      <c r="CE21" s="1154">
        <f t="shared" si="25"/>
        <v>200017.84</v>
      </c>
      <c r="CF21" s="1148">
        <v>762.36</v>
      </c>
      <c r="CG21" s="1149">
        <v>0</v>
      </c>
      <c r="CH21" s="1149">
        <v>1367.16</v>
      </c>
      <c r="CI21" s="1149">
        <v>0</v>
      </c>
      <c r="CJ21" s="1149">
        <v>0</v>
      </c>
      <c r="CK21" s="1154">
        <f t="shared" si="26"/>
        <v>2129.52</v>
      </c>
      <c r="CL21" s="1145"/>
      <c r="CM21" s="1146"/>
      <c r="CN21" s="1146"/>
      <c r="CO21" s="1146"/>
      <c r="CP21" s="1146"/>
      <c r="CQ21" s="1147">
        <f t="shared" si="27"/>
        <v>0</v>
      </c>
      <c r="CR21" s="1148"/>
      <c r="CS21" s="1149"/>
      <c r="CT21" s="1149"/>
      <c r="CU21" s="1149"/>
      <c r="CV21" s="1149"/>
      <c r="CW21" s="1154">
        <f t="shared" si="28"/>
        <v>0</v>
      </c>
      <c r="CX21" s="1148"/>
      <c r="CY21" s="1149"/>
      <c r="CZ21" s="1149"/>
      <c r="DA21" s="1149"/>
      <c r="DB21" s="1149"/>
      <c r="DC21" s="1147">
        <f t="shared" si="29"/>
        <v>0</v>
      </c>
      <c r="DD21" s="1148"/>
      <c r="DE21" s="1149"/>
      <c r="DF21" s="1149"/>
      <c r="DG21" s="1149"/>
      <c r="DH21" s="1149"/>
      <c r="DI21" s="1154">
        <f t="shared" si="30"/>
        <v>0</v>
      </c>
      <c r="DJ21" s="1233"/>
      <c r="DK21" s="1233"/>
      <c r="DL21" s="1233"/>
      <c r="DM21" s="1233"/>
      <c r="DN21" s="1233"/>
      <c r="DO21" s="1233">
        <f t="shared" si="31"/>
        <v>0</v>
      </c>
      <c r="DP21" s="1148">
        <v>5495.19</v>
      </c>
      <c r="DQ21" s="1149">
        <v>3791.67</v>
      </c>
      <c r="DR21" s="1149">
        <v>1703.51</v>
      </c>
      <c r="DS21" s="1149">
        <v>-0.02</v>
      </c>
      <c r="DT21" s="1149">
        <v>0</v>
      </c>
      <c r="DU21" s="1155">
        <f t="shared" si="32"/>
        <v>10990.35</v>
      </c>
      <c r="DV21" s="1148">
        <v>8039.69</v>
      </c>
      <c r="DW21" s="1149">
        <v>0</v>
      </c>
      <c r="DX21" s="1149">
        <v>1474.71</v>
      </c>
      <c r="DY21" s="1149">
        <v>0.05</v>
      </c>
      <c r="DZ21" s="1149">
        <v>0</v>
      </c>
      <c r="EA21" s="1154">
        <f t="shared" si="33"/>
        <v>9514.4499999999989</v>
      </c>
    </row>
    <row r="22" spans="1:131" ht="15" customHeight="1">
      <c r="A22" s="746" t="s">
        <v>44</v>
      </c>
      <c r="B22" s="844" t="s">
        <v>45</v>
      </c>
      <c r="C22" s="967" t="s">
        <v>266</v>
      </c>
      <c r="D22" s="842">
        <f t="shared" si="6"/>
        <v>65629.279999999999</v>
      </c>
      <c r="E22" s="842">
        <f t="shared" si="7"/>
        <v>58888.26</v>
      </c>
      <c r="F22" s="842">
        <f t="shared" si="8"/>
        <v>23414.7</v>
      </c>
      <c r="G22" s="842">
        <f t="shared" si="9"/>
        <v>-0.1</v>
      </c>
      <c r="H22" s="842">
        <f t="shared" si="10"/>
        <v>0</v>
      </c>
      <c r="I22" s="1578">
        <f t="shared" si="11"/>
        <v>147932.14000000001</v>
      </c>
      <c r="J22" s="843">
        <f t="shared" si="12"/>
        <v>-0.1</v>
      </c>
      <c r="K22" s="1579">
        <f t="shared" si="13"/>
        <v>23414.600000000002</v>
      </c>
      <c r="L22" s="1116"/>
      <c r="M22" s="1117"/>
      <c r="N22" s="1117"/>
      <c r="O22" s="1117"/>
      <c r="P22" s="1117"/>
      <c r="Q22" s="1118">
        <f t="shared" si="14"/>
        <v>0</v>
      </c>
      <c r="R22" s="1133"/>
      <c r="S22" s="1134"/>
      <c r="T22" s="1134"/>
      <c r="U22" s="1134"/>
      <c r="V22" s="1134"/>
      <c r="W22" s="1132">
        <f t="shared" si="15"/>
        <v>0</v>
      </c>
      <c r="X22" s="1231"/>
      <c r="Y22" s="1231"/>
      <c r="Z22" s="1231"/>
      <c r="AA22" s="1231"/>
      <c r="AB22" s="1231"/>
      <c r="AC22" s="1231">
        <f t="shared" si="16"/>
        <v>0</v>
      </c>
      <c r="AD22" s="1127">
        <v>3372.45</v>
      </c>
      <c r="AE22" s="1128">
        <v>20.079999999999998</v>
      </c>
      <c r="AF22" s="1128">
        <v>622.29999999999995</v>
      </c>
      <c r="AG22" s="1128">
        <v>0.02</v>
      </c>
      <c r="AH22" s="1128">
        <v>0</v>
      </c>
      <c r="AI22" s="1124">
        <f t="shared" si="17"/>
        <v>4014.85</v>
      </c>
      <c r="AJ22" s="1148">
        <v>15421.16</v>
      </c>
      <c r="AK22" s="1149">
        <v>0</v>
      </c>
      <c r="AL22" s="1149">
        <v>3855.29</v>
      </c>
      <c r="AM22" s="1149">
        <v>0</v>
      </c>
      <c r="AN22" s="1149">
        <v>0</v>
      </c>
      <c r="AO22" s="1154">
        <f t="shared" si="18"/>
        <v>19276.45</v>
      </c>
      <c r="AP22" s="1125"/>
      <c r="AQ22" s="1126"/>
      <c r="AR22" s="1126"/>
      <c r="AS22" s="1126"/>
      <c r="AT22" s="1126"/>
      <c r="AU22" s="1137">
        <f t="shared" si="19"/>
        <v>0</v>
      </c>
      <c r="AV22" s="1141"/>
      <c r="AW22" s="1142"/>
      <c r="AX22" s="1142"/>
      <c r="AY22" s="1142"/>
      <c r="AZ22" s="1142"/>
      <c r="BA22" s="1140">
        <f t="shared" si="20"/>
        <v>0</v>
      </c>
      <c r="BB22" s="1131">
        <v>1971.08</v>
      </c>
      <c r="BC22" s="1131">
        <v>492.77</v>
      </c>
      <c r="BD22" s="1131">
        <v>0</v>
      </c>
      <c r="BE22" s="1131">
        <v>0</v>
      </c>
      <c r="BF22" s="1131">
        <v>0</v>
      </c>
      <c r="BG22" s="1132">
        <f t="shared" si="21"/>
        <v>2463.85</v>
      </c>
      <c r="BH22" s="1145"/>
      <c r="BI22" s="1146"/>
      <c r="BJ22" s="1146"/>
      <c r="BK22" s="1146"/>
      <c r="BL22" s="1146"/>
      <c r="BM22" s="1147">
        <f t="shared" si="22"/>
        <v>0</v>
      </c>
      <c r="BN22" s="1148">
        <v>13933.43</v>
      </c>
      <c r="BO22" s="1149">
        <v>1764.91</v>
      </c>
      <c r="BP22" s="1149">
        <v>2879.58</v>
      </c>
      <c r="BQ22" s="1149">
        <v>-0.04</v>
      </c>
      <c r="BR22" s="1149">
        <v>0</v>
      </c>
      <c r="BS22" s="1147">
        <f t="shared" si="23"/>
        <v>18577.879999999997</v>
      </c>
      <c r="BT22" s="1148"/>
      <c r="BU22" s="1149"/>
      <c r="BV22" s="1149"/>
      <c r="BW22" s="1149"/>
      <c r="BX22" s="1149"/>
      <c r="BY22" s="1154">
        <f t="shared" si="24"/>
        <v>0</v>
      </c>
      <c r="BZ22" s="1148">
        <v>19864.21</v>
      </c>
      <c r="CA22" s="1149">
        <v>52341.120000000003</v>
      </c>
      <c r="CB22" s="1149">
        <v>13244.38</v>
      </c>
      <c r="CC22" s="1149">
        <v>-0.11</v>
      </c>
      <c r="CD22" s="1149">
        <v>0</v>
      </c>
      <c r="CE22" s="1154">
        <f t="shared" si="25"/>
        <v>85449.600000000006</v>
      </c>
      <c r="CF22" s="1145"/>
      <c r="CG22" s="1146"/>
      <c r="CH22" s="1146"/>
      <c r="CI22" s="1146"/>
      <c r="CJ22" s="1146"/>
      <c r="CK22" s="1154">
        <f t="shared" si="26"/>
        <v>0</v>
      </c>
      <c r="CL22" s="1145"/>
      <c r="CM22" s="1146"/>
      <c r="CN22" s="1146"/>
      <c r="CO22" s="1146"/>
      <c r="CP22" s="1146"/>
      <c r="CQ22" s="1147">
        <f t="shared" si="27"/>
        <v>0</v>
      </c>
      <c r="CR22" s="1148"/>
      <c r="CS22" s="1149"/>
      <c r="CT22" s="1149"/>
      <c r="CU22" s="1149"/>
      <c r="CV22" s="1149"/>
      <c r="CW22" s="1154">
        <f t="shared" si="28"/>
        <v>0</v>
      </c>
      <c r="CX22" s="1145"/>
      <c r="CY22" s="1146"/>
      <c r="CZ22" s="1146"/>
      <c r="DA22" s="1146"/>
      <c r="DB22" s="1146"/>
      <c r="DC22" s="1147">
        <f t="shared" si="29"/>
        <v>0</v>
      </c>
      <c r="DD22" s="1148"/>
      <c r="DE22" s="1149"/>
      <c r="DF22" s="1149"/>
      <c r="DG22" s="1149"/>
      <c r="DH22" s="1149"/>
      <c r="DI22" s="1154">
        <f t="shared" si="30"/>
        <v>0</v>
      </c>
      <c r="DJ22" s="1233"/>
      <c r="DK22" s="1233"/>
      <c r="DL22" s="1233"/>
      <c r="DM22" s="1233"/>
      <c r="DN22" s="1233"/>
      <c r="DO22" s="1233">
        <f t="shared" si="31"/>
        <v>0</v>
      </c>
      <c r="DP22" s="1148">
        <v>6187.5</v>
      </c>
      <c r="DQ22" s="1149">
        <v>4269.38</v>
      </c>
      <c r="DR22" s="1149">
        <v>1918.13</v>
      </c>
      <c r="DS22" s="1149">
        <v>-0.01</v>
      </c>
      <c r="DT22" s="1149">
        <v>0</v>
      </c>
      <c r="DU22" s="1155">
        <f t="shared" si="32"/>
        <v>12375.000000000002</v>
      </c>
      <c r="DV22" s="1148">
        <v>4879.45</v>
      </c>
      <c r="DW22" s="1149">
        <v>0</v>
      </c>
      <c r="DX22" s="1149">
        <v>895.02</v>
      </c>
      <c r="DY22" s="1149">
        <v>0.04</v>
      </c>
      <c r="DZ22" s="1149">
        <v>0</v>
      </c>
      <c r="EA22" s="1154">
        <f t="shared" si="33"/>
        <v>5774.5099999999993</v>
      </c>
    </row>
    <row r="23" spans="1:131" ht="15" customHeight="1">
      <c r="A23" s="746" t="s">
        <v>46</v>
      </c>
      <c r="B23" s="844" t="s">
        <v>47</v>
      </c>
      <c r="C23" s="967" t="s">
        <v>268</v>
      </c>
      <c r="D23" s="842">
        <f t="shared" si="6"/>
        <v>81479.67</v>
      </c>
      <c r="E23" s="842">
        <f t="shared" si="7"/>
        <v>64878.49</v>
      </c>
      <c r="F23" s="842">
        <f t="shared" si="8"/>
        <v>27469.670000000002</v>
      </c>
      <c r="G23" s="842">
        <f t="shared" si="9"/>
        <v>-0.13000000000000003</v>
      </c>
      <c r="H23" s="842">
        <f t="shared" si="10"/>
        <v>0</v>
      </c>
      <c r="I23" s="1578">
        <f t="shared" si="11"/>
        <v>173827.7</v>
      </c>
      <c r="J23" s="843">
        <f t="shared" si="12"/>
        <v>-0.13000000000000003</v>
      </c>
      <c r="K23" s="1579">
        <f t="shared" si="13"/>
        <v>27469.54</v>
      </c>
      <c r="L23" s="1116"/>
      <c r="M23" s="1117"/>
      <c r="N23" s="1117"/>
      <c r="O23" s="1117"/>
      <c r="P23" s="1117"/>
      <c r="Q23" s="1118">
        <f t="shared" si="14"/>
        <v>0</v>
      </c>
      <c r="R23" s="1133"/>
      <c r="S23" s="1134"/>
      <c r="T23" s="1134"/>
      <c r="U23" s="1134"/>
      <c r="V23" s="1134"/>
      <c r="W23" s="1132">
        <f t="shared" si="15"/>
        <v>0</v>
      </c>
      <c r="X23" s="1231"/>
      <c r="Y23" s="1231"/>
      <c r="Z23" s="1231"/>
      <c r="AA23" s="1231"/>
      <c r="AB23" s="1231"/>
      <c r="AC23" s="1231">
        <f t="shared" si="16"/>
        <v>0</v>
      </c>
      <c r="AD23" s="1127">
        <v>2258.12</v>
      </c>
      <c r="AE23" s="1128">
        <v>13.44</v>
      </c>
      <c r="AF23" s="1128">
        <v>416.69</v>
      </c>
      <c r="AG23" s="1128">
        <v>-0.01</v>
      </c>
      <c r="AH23" s="1128">
        <v>0</v>
      </c>
      <c r="AI23" s="1124">
        <f t="shared" si="17"/>
        <v>2688.24</v>
      </c>
      <c r="AJ23" s="1148">
        <v>27927.22</v>
      </c>
      <c r="AK23" s="1149">
        <v>0</v>
      </c>
      <c r="AL23" s="1149">
        <v>6981.82</v>
      </c>
      <c r="AM23" s="1149">
        <v>0</v>
      </c>
      <c r="AN23" s="1149">
        <v>0</v>
      </c>
      <c r="AO23" s="1154">
        <f t="shared" si="18"/>
        <v>34909.040000000001</v>
      </c>
      <c r="AP23" s="1125"/>
      <c r="AQ23" s="1126"/>
      <c r="AR23" s="1126"/>
      <c r="AS23" s="1126"/>
      <c r="AT23" s="1126"/>
      <c r="AU23" s="1137">
        <f t="shared" si="19"/>
        <v>0</v>
      </c>
      <c r="AV23" s="1141"/>
      <c r="AW23" s="1142"/>
      <c r="AX23" s="1142"/>
      <c r="AY23" s="1142"/>
      <c r="AZ23" s="1142"/>
      <c r="BA23" s="1140">
        <f t="shared" si="20"/>
        <v>0</v>
      </c>
      <c r="BB23" s="1131">
        <v>5451.01</v>
      </c>
      <c r="BC23" s="1131">
        <v>1362.77</v>
      </c>
      <c r="BD23" s="1131">
        <v>0</v>
      </c>
      <c r="BE23" s="1131">
        <v>0</v>
      </c>
      <c r="BF23" s="1131">
        <v>0</v>
      </c>
      <c r="BG23" s="1132">
        <f t="shared" si="21"/>
        <v>6813.7800000000007</v>
      </c>
      <c r="BH23" s="1145"/>
      <c r="BI23" s="1146"/>
      <c r="BJ23" s="1146"/>
      <c r="BK23" s="1146"/>
      <c r="BL23" s="1146"/>
      <c r="BM23" s="1147">
        <f t="shared" si="22"/>
        <v>0</v>
      </c>
      <c r="BN23" s="1148">
        <v>14051.53</v>
      </c>
      <c r="BO23" s="1149">
        <v>1779.86</v>
      </c>
      <c r="BP23" s="1149">
        <v>2903.99</v>
      </c>
      <c r="BQ23" s="1149">
        <v>-0.03</v>
      </c>
      <c r="BR23" s="1149">
        <v>0</v>
      </c>
      <c r="BS23" s="1147">
        <f t="shared" si="23"/>
        <v>18735.350000000002</v>
      </c>
      <c r="BT23" s="1148">
        <v>-38.5</v>
      </c>
      <c r="BU23" s="1149">
        <v>-38.5</v>
      </c>
      <c r="BV23" s="1149">
        <v>0</v>
      </c>
      <c r="BW23" s="1149">
        <v>0</v>
      </c>
      <c r="BX23" s="1149">
        <v>0</v>
      </c>
      <c r="BY23" s="1154">
        <f t="shared" si="24"/>
        <v>-77</v>
      </c>
      <c r="BZ23" s="1148">
        <v>20980.34</v>
      </c>
      <c r="CA23" s="1149">
        <v>58750.79</v>
      </c>
      <c r="CB23" s="1149">
        <v>14624.8</v>
      </c>
      <c r="CC23" s="1149">
        <v>-0.14000000000000001</v>
      </c>
      <c r="CD23" s="1149">
        <v>0</v>
      </c>
      <c r="CE23" s="1154">
        <f t="shared" si="25"/>
        <v>94355.790000000008</v>
      </c>
      <c r="CF23" s="1145"/>
      <c r="CG23" s="1146"/>
      <c r="CH23" s="1146"/>
      <c r="CI23" s="1146"/>
      <c r="CJ23" s="1146"/>
      <c r="CK23" s="1154">
        <f t="shared" si="26"/>
        <v>0</v>
      </c>
      <c r="CL23" s="1145"/>
      <c r="CM23" s="1146"/>
      <c r="CN23" s="1146"/>
      <c r="CO23" s="1146"/>
      <c r="CP23" s="1146"/>
      <c r="CQ23" s="1147">
        <f t="shared" si="27"/>
        <v>0</v>
      </c>
      <c r="CR23" s="1148"/>
      <c r="CS23" s="1149"/>
      <c r="CT23" s="1149"/>
      <c r="CU23" s="1149"/>
      <c r="CV23" s="1149"/>
      <c r="CW23" s="1154">
        <f t="shared" si="28"/>
        <v>0</v>
      </c>
      <c r="CX23" s="1148"/>
      <c r="CY23" s="1149"/>
      <c r="CZ23" s="1149"/>
      <c r="DA23" s="1149"/>
      <c r="DB23" s="1149"/>
      <c r="DC23" s="1147">
        <f t="shared" si="29"/>
        <v>0</v>
      </c>
      <c r="DD23" s="1148"/>
      <c r="DE23" s="1149"/>
      <c r="DF23" s="1149"/>
      <c r="DG23" s="1149"/>
      <c r="DH23" s="1149"/>
      <c r="DI23" s="1154">
        <f t="shared" si="30"/>
        <v>0</v>
      </c>
      <c r="DJ23" s="1233"/>
      <c r="DK23" s="1233"/>
      <c r="DL23" s="1233"/>
      <c r="DM23" s="1233"/>
      <c r="DN23" s="1233"/>
      <c r="DO23" s="1233">
        <f t="shared" si="31"/>
        <v>0</v>
      </c>
      <c r="DP23" s="1148">
        <v>4362.5</v>
      </c>
      <c r="DQ23" s="1149">
        <v>3010.13</v>
      </c>
      <c r="DR23" s="1149">
        <v>1352.38</v>
      </c>
      <c r="DS23" s="1149">
        <v>-0.01</v>
      </c>
      <c r="DT23" s="1149">
        <v>0</v>
      </c>
      <c r="DU23" s="1155">
        <f t="shared" si="32"/>
        <v>8725</v>
      </c>
      <c r="DV23" s="1148">
        <v>6487.45</v>
      </c>
      <c r="DW23" s="1149">
        <v>0</v>
      </c>
      <c r="DX23" s="1149">
        <v>1189.99</v>
      </c>
      <c r="DY23" s="1149">
        <v>0.06</v>
      </c>
      <c r="DZ23" s="1149">
        <v>0</v>
      </c>
      <c r="EA23" s="1154">
        <f t="shared" si="33"/>
        <v>7677.5</v>
      </c>
    </row>
    <row r="24" spans="1:131" ht="15" customHeight="1">
      <c r="A24" s="746" t="s">
        <v>48</v>
      </c>
      <c r="B24" s="844" t="s">
        <v>269</v>
      </c>
      <c r="C24" s="967" t="s">
        <v>266</v>
      </c>
      <c r="D24" s="842">
        <f t="shared" si="6"/>
        <v>25979.170000000002</v>
      </c>
      <c r="E24" s="842">
        <f t="shared" si="7"/>
        <v>2329.17</v>
      </c>
      <c r="F24" s="842">
        <f t="shared" si="8"/>
        <v>6335.619999999999</v>
      </c>
      <c r="G24" s="842">
        <f t="shared" si="9"/>
        <v>-7.0000000000000007E-2</v>
      </c>
      <c r="H24" s="842">
        <f t="shared" si="10"/>
        <v>0</v>
      </c>
      <c r="I24" s="1578">
        <f t="shared" si="11"/>
        <v>34643.890000000007</v>
      </c>
      <c r="J24" s="843">
        <f t="shared" si="12"/>
        <v>-7.0000000000000007E-2</v>
      </c>
      <c r="K24" s="1579">
        <f t="shared" si="13"/>
        <v>6335.5499999999993</v>
      </c>
      <c r="L24" s="1116"/>
      <c r="M24" s="1117"/>
      <c r="N24" s="1117"/>
      <c r="O24" s="1117"/>
      <c r="P24" s="1117"/>
      <c r="Q24" s="1118">
        <f t="shared" si="14"/>
        <v>0</v>
      </c>
      <c r="R24" s="1133"/>
      <c r="S24" s="1134"/>
      <c r="T24" s="1134"/>
      <c r="U24" s="1134"/>
      <c r="V24" s="1134"/>
      <c r="W24" s="1132">
        <f t="shared" si="15"/>
        <v>0</v>
      </c>
      <c r="X24" s="1231"/>
      <c r="Y24" s="1231"/>
      <c r="Z24" s="1231"/>
      <c r="AA24" s="1231"/>
      <c r="AB24" s="1231"/>
      <c r="AC24" s="1231">
        <f t="shared" si="16"/>
        <v>0</v>
      </c>
      <c r="AD24" s="1127">
        <v>1460.76</v>
      </c>
      <c r="AE24" s="1128">
        <v>8.6999999999999993</v>
      </c>
      <c r="AF24" s="1128">
        <v>269.55</v>
      </c>
      <c r="AG24" s="1128">
        <v>-0.01</v>
      </c>
      <c r="AH24" s="1128">
        <v>0</v>
      </c>
      <c r="AI24" s="1124">
        <f t="shared" si="17"/>
        <v>1739</v>
      </c>
      <c r="AJ24" s="1148">
        <v>17169.580000000002</v>
      </c>
      <c r="AK24" s="1149">
        <v>0</v>
      </c>
      <c r="AL24" s="1149">
        <v>4292.3999999999996</v>
      </c>
      <c r="AM24" s="1149">
        <v>0</v>
      </c>
      <c r="AN24" s="1149">
        <v>0</v>
      </c>
      <c r="AO24" s="1154">
        <f t="shared" si="18"/>
        <v>21461.980000000003</v>
      </c>
      <c r="AP24" s="1125"/>
      <c r="AQ24" s="1126"/>
      <c r="AR24" s="1126"/>
      <c r="AS24" s="1126"/>
      <c r="AT24" s="1126"/>
      <c r="AU24" s="1137">
        <f t="shared" si="19"/>
        <v>0</v>
      </c>
      <c r="AV24" s="1138"/>
      <c r="AW24" s="1139"/>
      <c r="AX24" s="1139"/>
      <c r="AY24" s="1139"/>
      <c r="AZ24" s="1139"/>
      <c r="BA24" s="1140">
        <f t="shared" si="20"/>
        <v>0</v>
      </c>
      <c r="BB24" s="1133"/>
      <c r="BC24" s="1134"/>
      <c r="BD24" s="1134"/>
      <c r="BE24" s="1134"/>
      <c r="BF24" s="1134"/>
      <c r="BG24" s="1132">
        <f t="shared" si="21"/>
        <v>0</v>
      </c>
      <c r="BH24" s="1145"/>
      <c r="BI24" s="1146"/>
      <c r="BJ24" s="1146"/>
      <c r="BK24" s="1146"/>
      <c r="BL24" s="1146"/>
      <c r="BM24" s="1147">
        <f t="shared" si="22"/>
        <v>0</v>
      </c>
      <c r="BN24" s="1148">
        <v>3301.77</v>
      </c>
      <c r="BO24" s="1149">
        <v>418.23</v>
      </c>
      <c r="BP24" s="1149">
        <v>682.37</v>
      </c>
      <c r="BQ24" s="1149">
        <v>-0.01</v>
      </c>
      <c r="BR24" s="1149">
        <v>0</v>
      </c>
      <c r="BS24" s="1147">
        <f t="shared" si="23"/>
        <v>4402.3599999999997</v>
      </c>
      <c r="BT24" s="1148"/>
      <c r="BU24" s="1149"/>
      <c r="BV24" s="1149"/>
      <c r="BW24" s="1149"/>
      <c r="BX24" s="1149"/>
      <c r="BY24" s="1154">
        <f t="shared" si="24"/>
        <v>0</v>
      </c>
      <c r="BZ24" s="1148">
        <v>1167.02</v>
      </c>
      <c r="CA24" s="1149">
        <v>1902.24</v>
      </c>
      <c r="CB24" s="1149">
        <v>562.99</v>
      </c>
      <c r="CC24" s="1149">
        <v>-0.03</v>
      </c>
      <c r="CD24" s="1149">
        <v>0</v>
      </c>
      <c r="CE24" s="1154">
        <f t="shared" si="25"/>
        <v>3632.22</v>
      </c>
      <c r="CF24" s="1145"/>
      <c r="CG24" s="1146"/>
      <c r="CH24" s="1146"/>
      <c r="CI24" s="1146"/>
      <c r="CJ24" s="1146"/>
      <c r="CK24" s="1154">
        <f t="shared" si="26"/>
        <v>0</v>
      </c>
      <c r="CL24" s="1145"/>
      <c r="CM24" s="1146"/>
      <c r="CN24" s="1146"/>
      <c r="CO24" s="1146"/>
      <c r="CP24" s="1146"/>
      <c r="CQ24" s="1147">
        <f t="shared" si="27"/>
        <v>0</v>
      </c>
      <c r="CR24" s="1148"/>
      <c r="CS24" s="1149"/>
      <c r="CT24" s="1149"/>
      <c r="CU24" s="1149"/>
      <c r="CV24" s="1149"/>
      <c r="CW24" s="1154">
        <f t="shared" si="28"/>
        <v>0</v>
      </c>
      <c r="CX24" s="1145"/>
      <c r="CY24" s="1146"/>
      <c r="CZ24" s="1146"/>
      <c r="DA24" s="1146"/>
      <c r="DB24" s="1146"/>
      <c r="DC24" s="1147">
        <f t="shared" si="29"/>
        <v>0</v>
      </c>
      <c r="DD24" s="1148"/>
      <c r="DE24" s="1149"/>
      <c r="DF24" s="1149"/>
      <c r="DG24" s="1149"/>
      <c r="DH24" s="1149"/>
      <c r="DI24" s="1154">
        <f t="shared" si="30"/>
        <v>0</v>
      </c>
      <c r="DJ24" s="1234"/>
      <c r="DK24" s="1234"/>
      <c r="DL24" s="1234"/>
      <c r="DM24" s="1234"/>
      <c r="DN24" s="1234"/>
      <c r="DO24" s="1233">
        <f t="shared" si="31"/>
        <v>0</v>
      </c>
      <c r="DP24" s="1145"/>
      <c r="DQ24" s="1146"/>
      <c r="DR24" s="1146"/>
      <c r="DS24" s="1146"/>
      <c r="DT24" s="1146"/>
      <c r="DU24" s="1155">
        <f t="shared" si="32"/>
        <v>0</v>
      </c>
      <c r="DV24" s="1148">
        <v>2880.04</v>
      </c>
      <c r="DW24" s="1149">
        <v>0</v>
      </c>
      <c r="DX24" s="1149">
        <v>528.30999999999995</v>
      </c>
      <c r="DY24" s="1149">
        <v>-0.02</v>
      </c>
      <c r="DZ24" s="1149">
        <v>0</v>
      </c>
      <c r="EA24" s="1154">
        <f t="shared" si="33"/>
        <v>3408.33</v>
      </c>
    </row>
    <row r="25" spans="1:131" ht="15" customHeight="1">
      <c r="A25" s="746" t="s">
        <v>50</v>
      </c>
      <c r="B25" s="844" t="s">
        <v>51</v>
      </c>
      <c r="C25" s="967" t="s">
        <v>265</v>
      </c>
      <c r="D25" s="842">
        <f t="shared" si="6"/>
        <v>64578.99</v>
      </c>
      <c r="E25" s="842">
        <f t="shared" si="7"/>
        <v>15710.8</v>
      </c>
      <c r="F25" s="842">
        <f t="shared" si="8"/>
        <v>17936.170000000002</v>
      </c>
      <c r="G25" s="842">
        <f t="shared" si="9"/>
        <v>-1.0000000000000002E-2</v>
      </c>
      <c r="H25" s="842">
        <f t="shared" si="10"/>
        <v>0</v>
      </c>
      <c r="I25" s="1578">
        <f t="shared" si="11"/>
        <v>98225.95</v>
      </c>
      <c r="J25" s="843">
        <f t="shared" si="12"/>
        <v>-1.0000000000000002E-2</v>
      </c>
      <c r="K25" s="1579">
        <f t="shared" si="13"/>
        <v>17936.160000000003</v>
      </c>
      <c r="L25" s="1116"/>
      <c r="M25" s="1117"/>
      <c r="N25" s="1117"/>
      <c r="O25" s="1117"/>
      <c r="P25" s="1117"/>
      <c r="Q25" s="1118">
        <f t="shared" si="14"/>
        <v>0</v>
      </c>
      <c r="R25" s="1133"/>
      <c r="S25" s="1134"/>
      <c r="T25" s="1134"/>
      <c r="U25" s="1134"/>
      <c r="V25" s="1134"/>
      <c r="W25" s="1132">
        <f t="shared" si="15"/>
        <v>0</v>
      </c>
      <c r="X25" s="1231"/>
      <c r="Y25" s="1231"/>
      <c r="Z25" s="1231"/>
      <c r="AA25" s="1231"/>
      <c r="AB25" s="1231"/>
      <c r="AC25" s="1231">
        <f t="shared" si="16"/>
        <v>0</v>
      </c>
      <c r="AD25" s="1127">
        <v>2488.71</v>
      </c>
      <c r="AE25" s="1128">
        <v>14.81</v>
      </c>
      <c r="AF25" s="1128">
        <v>459.23</v>
      </c>
      <c r="AG25" s="1128">
        <v>0</v>
      </c>
      <c r="AH25" s="1128">
        <v>0</v>
      </c>
      <c r="AI25" s="1124">
        <f t="shared" si="17"/>
        <v>2962.75</v>
      </c>
      <c r="AJ25" s="1148">
        <v>52493.14</v>
      </c>
      <c r="AK25" s="1149">
        <v>0</v>
      </c>
      <c r="AL25" s="1149">
        <v>13123.29</v>
      </c>
      <c r="AM25" s="1149">
        <v>0</v>
      </c>
      <c r="AN25" s="1149">
        <v>0</v>
      </c>
      <c r="AO25" s="1154">
        <f t="shared" si="18"/>
        <v>65616.429999999993</v>
      </c>
      <c r="AP25" s="1125"/>
      <c r="AQ25" s="1126"/>
      <c r="AR25" s="1126"/>
      <c r="AS25" s="1126"/>
      <c r="AT25" s="1126"/>
      <c r="AU25" s="1137">
        <f t="shared" si="19"/>
        <v>0</v>
      </c>
      <c r="AV25" s="1138">
        <v>1096.24</v>
      </c>
      <c r="AW25" s="1139">
        <v>274.07</v>
      </c>
      <c r="AX25" s="1139">
        <v>0</v>
      </c>
      <c r="AY25" s="1139">
        <v>0</v>
      </c>
      <c r="AZ25" s="1139">
        <v>0</v>
      </c>
      <c r="BA25" s="1140">
        <f t="shared" si="20"/>
        <v>1370.31</v>
      </c>
      <c r="BB25" s="1131">
        <v>150.4</v>
      </c>
      <c r="BC25" s="1131">
        <v>37.6</v>
      </c>
      <c r="BD25" s="1131">
        <v>0</v>
      </c>
      <c r="BE25" s="1131">
        <v>0</v>
      </c>
      <c r="BF25" s="1131">
        <v>0</v>
      </c>
      <c r="BG25" s="1132">
        <f t="shared" si="21"/>
        <v>188</v>
      </c>
      <c r="BH25" s="1145"/>
      <c r="BI25" s="1146"/>
      <c r="BJ25" s="1146"/>
      <c r="BK25" s="1146"/>
      <c r="BL25" s="1146"/>
      <c r="BM25" s="1147">
        <f t="shared" si="22"/>
        <v>0</v>
      </c>
      <c r="BN25" s="1145"/>
      <c r="BO25" s="1146"/>
      <c r="BP25" s="1146"/>
      <c r="BQ25" s="1146"/>
      <c r="BR25" s="1146"/>
      <c r="BS25" s="1147">
        <f t="shared" si="23"/>
        <v>0</v>
      </c>
      <c r="BT25" s="1145"/>
      <c r="BU25" s="1146"/>
      <c r="BV25" s="1146"/>
      <c r="BW25" s="1146"/>
      <c r="BX25" s="1146"/>
      <c r="BY25" s="1154">
        <f t="shared" si="24"/>
        <v>0</v>
      </c>
      <c r="BZ25" s="1148">
        <v>4701.3900000000003</v>
      </c>
      <c r="CA25" s="1149">
        <v>12822.7</v>
      </c>
      <c r="CB25" s="1149">
        <v>3214.41</v>
      </c>
      <c r="CC25" s="1149">
        <v>-0.04</v>
      </c>
      <c r="CD25" s="1149">
        <v>0</v>
      </c>
      <c r="CE25" s="1154">
        <f t="shared" si="25"/>
        <v>20738.46</v>
      </c>
      <c r="CF25" s="1145"/>
      <c r="CG25" s="1146"/>
      <c r="CH25" s="1146"/>
      <c r="CI25" s="1146"/>
      <c r="CJ25" s="1146"/>
      <c r="CK25" s="1154">
        <f t="shared" si="26"/>
        <v>0</v>
      </c>
      <c r="CL25" s="1145"/>
      <c r="CM25" s="1146"/>
      <c r="CN25" s="1146"/>
      <c r="CO25" s="1146"/>
      <c r="CP25" s="1146"/>
      <c r="CQ25" s="1147">
        <f t="shared" si="27"/>
        <v>0</v>
      </c>
      <c r="CR25" s="1145"/>
      <c r="CS25" s="1146"/>
      <c r="CT25" s="1146"/>
      <c r="CU25" s="1146"/>
      <c r="CV25" s="1146"/>
      <c r="CW25" s="1154">
        <f t="shared" si="28"/>
        <v>0</v>
      </c>
      <c r="CX25" s="1145"/>
      <c r="CY25" s="1146"/>
      <c r="CZ25" s="1146"/>
      <c r="DA25" s="1146"/>
      <c r="DB25" s="1146"/>
      <c r="DC25" s="1147">
        <f t="shared" si="29"/>
        <v>0</v>
      </c>
      <c r="DD25" s="1148"/>
      <c r="DE25" s="1149"/>
      <c r="DF25" s="1149"/>
      <c r="DG25" s="1149"/>
      <c r="DH25" s="1149"/>
      <c r="DI25" s="1154">
        <f t="shared" si="30"/>
        <v>0</v>
      </c>
      <c r="DJ25" s="1233"/>
      <c r="DK25" s="1233"/>
      <c r="DL25" s="1233"/>
      <c r="DM25" s="1233"/>
      <c r="DN25" s="1233"/>
      <c r="DO25" s="1233">
        <f t="shared" si="31"/>
        <v>0</v>
      </c>
      <c r="DP25" s="1148">
        <v>3712.5</v>
      </c>
      <c r="DQ25" s="1149">
        <v>2561.62</v>
      </c>
      <c r="DR25" s="1149">
        <v>1150.8800000000001</v>
      </c>
      <c r="DS25" s="1149">
        <v>0</v>
      </c>
      <c r="DT25" s="1149">
        <v>0</v>
      </c>
      <c r="DU25" s="1155">
        <f t="shared" si="32"/>
        <v>7425</v>
      </c>
      <c r="DV25" s="1148">
        <v>-63.39</v>
      </c>
      <c r="DW25" s="1149">
        <v>0</v>
      </c>
      <c r="DX25" s="1149">
        <v>-11.64</v>
      </c>
      <c r="DY25" s="1149">
        <v>0.03</v>
      </c>
      <c r="DZ25" s="1149">
        <v>0</v>
      </c>
      <c r="EA25" s="1154">
        <f t="shared" si="33"/>
        <v>-75</v>
      </c>
    </row>
    <row r="26" spans="1:131" ht="15" customHeight="1">
      <c r="A26" s="746" t="s">
        <v>56</v>
      </c>
      <c r="B26" s="844" t="s">
        <v>295</v>
      </c>
      <c r="C26" s="967" t="s">
        <v>266</v>
      </c>
      <c r="D26" s="842">
        <f t="shared" si="6"/>
        <v>310512.77</v>
      </c>
      <c r="E26" s="842">
        <f t="shared" si="7"/>
        <v>301339.67</v>
      </c>
      <c r="F26" s="842">
        <f t="shared" si="8"/>
        <v>116218.17</v>
      </c>
      <c r="G26" s="842">
        <f t="shared" si="9"/>
        <v>2082.09</v>
      </c>
      <c r="H26" s="842">
        <f t="shared" si="10"/>
        <v>9160.76</v>
      </c>
      <c r="I26" s="1578">
        <f t="shared" si="11"/>
        <v>739313.46</v>
      </c>
      <c r="J26" s="843">
        <f t="shared" si="12"/>
        <v>11242.85</v>
      </c>
      <c r="K26" s="1579">
        <f t="shared" si="13"/>
        <v>127461.02</v>
      </c>
      <c r="L26" s="1116"/>
      <c r="M26" s="1117"/>
      <c r="N26" s="1117"/>
      <c r="O26" s="1117"/>
      <c r="P26" s="1117"/>
      <c r="Q26" s="1118">
        <f t="shared" si="14"/>
        <v>0</v>
      </c>
      <c r="R26" s="1133"/>
      <c r="S26" s="1134"/>
      <c r="T26" s="1134"/>
      <c r="U26" s="1134"/>
      <c r="V26" s="1134"/>
      <c r="W26" s="1132">
        <f t="shared" si="15"/>
        <v>0</v>
      </c>
      <c r="X26" s="1231"/>
      <c r="Y26" s="1231"/>
      <c r="Z26" s="1231"/>
      <c r="AA26" s="1231"/>
      <c r="AB26" s="1231"/>
      <c r="AC26" s="1231">
        <f t="shared" si="16"/>
        <v>0</v>
      </c>
      <c r="AD26" s="1127">
        <v>24910.18</v>
      </c>
      <c r="AE26" s="1128">
        <v>148.27000000000001</v>
      </c>
      <c r="AF26" s="1128">
        <v>4596.54</v>
      </c>
      <c r="AG26" s="1128">
        <v>0.01</v>
      </c>
      <c r="AH26" s="1128">
        <v>2790.9700000000003</v>
      </c>
      <c r="AI26" s="1124">
        <f t="shared" si="17"/>
        <v>32445.97</v>
      </c>
      <c r="AJ26" s="1148">
        <v>27861.95</v>
      </c>
      <c r="AK26" s="1149">
        <v>0</v>
      </c>
      <c r="AL26" s="1149">
        <v>6965.4900000000007</v>
      </c>
      <c r="AM26" s="1149">
        <v>0</v>
      </c>
      <c r="AN26" s="1149">
        <v>0</v>
      </c>
      <c r="AO26" s="1154">
        <f t="shared" si="18"/>
        <v>34827.440000000002</v>
      </c>
      <c r="AP26" s="1125"/>
      <c r="AQ26" s="1126"/>
      <c r="AR26" s="1126"/>
      <c r="AS26" s="1126"/>
      <c r="AT26" s="1126"/>
      <c r="AU26" s="1137">
        <f t="shared" si="19"/>
        <v>0</v>
      </c>
      <c r="AV26" s="1141">
        <v>4101.58</v>
      </c>
      <c r="AW26" s="1142">
        <v>1025.4000000000001</v>
      </c>
      <c r="AX26" s="1142">
        <v>0</v>
      </c>
      <c r="AY26" s="1142">
        <v>0</v>
      </c>
      <c r="AZ26" s="1142">
        <v>0</v>
      </c>
      <c r="BA26" s="1140">
        <f t="shared" si="20"/>
        <v>5126.9799999999996</v>
      </c>
      <c r="BB26" s="1131">
        <v>6483.88</v>
      </c>
      <c r="BC26" s="1131">
        <v>1620.97</v>
      </c>
      <c r="BD26" s="1131">
        <v>0</v>
      </c>
      <c r="BE26" s="1131">
        <v>0</v>
      </c>
      <c r="BF26" s="1131">
        <v>0</v>
      </c>
      <c r="BG26" s="1132">
        <f t="shared" si="21"/>
        <v>8104.85</v>
      </c>
      <c r="BH26" s="1148">
        <v>727.05</v>
      </c>
      <c r="BI26" s="1149">
        <v>1312.95</v>
      </c>
      <c r="BJ26" s="1149">
        <v>0</v>
      </c>
      <c r="BK26" s="1149">
        <v>0</v>
      </c>
      <c r="BL26" s="1149">
        <v>0</v>
      </c>
      <c r="BM26" s="1147">
        <f t="shared" si="22"/>
        <v>2040</v>
      </c>
      <c r="BN26" s="1148">
        <v>134729.39000000001</v>
      </c>
      <c r="BO26" s="1149">
        <v>17065.719999999998</v>
      </c>
      <c r="BP26" s="1149">
        <v>27844.080000000002</v>
      </c>
      <c r="BQ26" s="1149">
        <v>1305.1099999999999</v>
      </c>
      <c r="BR26" s="1149">
        <v>6369.79</v>
      </c>
      <c r="BS26" s="1147">
        <f t="shared" si="23"/>
        <v>187314.09</v>
      </c>
      <c r="BT26" s="1148"/>
      <c r="BU26" s="1149"/>
      <c r="BV26" s="1149"/>
      <c r="BW26" s="1149"/>
      <c r="BX26" s="1149"/>
      <c r="BY26" s="1154">
        <f t="shared" si="24"/>
        <v>0</v>
      </c>
      <c r="BZ26" s="1148">
        <v>95508.73</v>
      </c>
      <c r="CA26" s="1149">
        <v>272340</v>
      </c>
      <c r="CB26" s="1149">
        <v>67473.16</v>
      </c>
      <c r="CC26" s="1149">
        <v>749.9</v>
      </c>
      <c r="CD26" s="1149">
        <v>0</v>
      </c>
      <c r="CE26" s="1154">
        <f t="shared" si="25"/>
        <v>436071.79000000004</v>
      </c>
      <c r="CF26" s="1148">
        <v>2990.38</v>
      </c>
      <c r="CG26" s="1149">
        <v>0</v>
      </c>
      <c r="CH26" s="1149">
        <v>5362.59</v>
      </c>
      <c r="CI26" s="1149">
        <v>27.01</v>
      </c>
      <c r="CJ26" s="1149">
        <v>0</v>
      </c>
      <c r="CK26" s="1154">
        <f t="shared" si="26"/>
        <v>8379.9800000000014</v>
      </c>
      <c r="CL26" s="1145"/>
      <c r="CM26" s="1146"/>
      <c r="CN26" s="1146"/>
      <c r="CO26" s="1146"/>
      <c r="CP26" s="1146"/>
      <c r="CQ26" s="1147">
        <f t="shared" si="27"/>
        <v>0</v>
      </c>
      <c r="CR26" s="1148"/>
      <c r="CS26" s="1149"/>
      <c r="CT26" s="1149"/>
      <c r="CU26" s="1149"/>
      <c r="CV26" s="1149"/>
      <c r="CW26" s="1154">
        <f t="shared" si="28"/>
        <v>0</v>
      </c>
      <c r="CX26" s="1148"/>
      <c r="CY26" s="1149"/>
      <c r="CZ26" s="1149"/>
      <c r="DA26" s="1149"/>
      <c r="DB26" s="1149"/>
      <c r="DC26" s="1147">
        <f t="shared" si="29"/>
        <v>0</v>
      </c>
      <c r="DD26" s="1148">
        <v>-651.42999999999995</v>
      </c>
      <c r="DE26" s="1149">
        <v>0</v>
      </c>
      <c r="DF26" s="1149">
        <v>0</v>
      </c>
      <c r="DG26" s="1149">
        <v>0</v>
      </c>
      <c r="DH26" s="1149">
        <v>0</v>
      </c>
      <c r="DI26" s="1154">
        <f t="shared" si="30"/>
        <v>-651.42999999999995</v>
      </c>
      <c r="DJ26" s="1233"/>
      <c r="DK26" s="1233"/>
      <c r="DL26" s="1233"/>
      <c r="DM26" s="1233"/>
      <c r="DN26" s="1233"/>
      <c r="DO26" s="1233">
        <f t="shared" si="31"/>
        <v>0</v>
      </c>
      <c r="DP26" s="1148">
        <v>11342.55</v>
      </c>
      <c r="DQ26" s="1149">
        <v>7826.36</v>
      </c>
      <c r="DR26" s="1149">
        <v>3516.19</v>
      </c>
      <c r="DS26" s="1149">
        <v>0</v>
      </c>
      <c r="DT26" s="1149">
        <v>0</v>
      </c>
      <c r="DU26" s="1155">
        <f t="shared" si="32"/>
        <v>22685.1</v>
      </c>
      <c r="DV26" s="1148">
        <v>2508.5100000000002</v>
      </c>
      <c r="DW26" s="1149">
        <v>0</v>
      </c>
      <c r="DX26" s="1149">
        <v>460.12</v>
      </c>
      <c r="DY26" s="1149">
        <v>0.06</v>
      </c>
      <c r="DZ26" s="1149">
        <v>0</v>
      </c>
      <c r="EA26" s="1154">
        <f t="shared" si="33"/>
        <v>2968.69</v>
      </c>
    </row>
    <row r="27" spans="1:131" ht="15" customHeight="1">
      <c r="A27" s="746" t="s">
        <v>58</v>
      </c>
      <c r="B27" s="844" t="s">
        <v>59</v>
      </c>
      <c r="C27" s="967" t="s">
        <v>267</v>
      </c>
      <c r="D27" s="842">
        <f t="shared" si="6"/>
        <v>42729.5</v>
      </c>
      <c r="E27" s="842">
        <f t="shared" si="7"/>
        <v>11548.580000000002</v>
      </c>
      <c r="F27" s="842">
        <f t="shared" si="8"/>
        <v>17771.22</v>
      </c>
      <c r="G27" s="842">
        <f t="shared" si="9"/>
        <v>-0.14000000000000001</v>
      </c>
      <c r="H27" s="842">
        <f t="shared" si="10"/>
        <v>0</v>
      </c>
      <c r="I27" s="1578">
        <f t="shared" si="11"/>
        <v>72049.16</v>
      </c>
      <c r="J27" s="843">
        <f t="shared" si="12"/>
        <v>-0.14000000000000001</v>
      </c>
      <c r="K27" s="1579">
        <f t="shared" si="13"/>
        <v>17771.080000000002</v>
      </c>
      <c r="L27" s="1116"/>
      <c r="M27" s="1117"/>
      <c r="N27" s="1117"/>
      <c r="O27" s="1117"/>
      <c r="P27" s="1117"/>
      <c r="Q27" s="1118">
        <f t="shared" si="14"/>
        <v>0</v>
      </c>
      <c r="R27" s="1133"/>
      <c r="S27" s="1134"/>
      <c r="T27" s="1134"/>
      <c r="U27" s="1134"/>
      <c r="V27" s="1134"/>
      <c r="W27" s="1132">
        <f t="shared" si="15"/>
        <v>0</v>
      </c>
      <c r="X27" s="1231"/>
      <c r="Y27" s="1231"/>
      <c r="Z27" s="1231"/>
      <c r="AA27" s="1231"/>
      <c r="AB27" s="1231"/>
      <c r="AC27" s="1231">
        <f t="shared" si="16"/>
        <v>0</v>
      </c>
      <c r="AD27" s="1127">
        <v>897.99</v>
      </c>
      <c r="AE27" s="1128">
        <v>5.35</v>
      </c>
      <c r="AF27" s="1128">
        <v>165.7</v>
      </c>
      <c r="AG27" s="1128">
        <v>-0.01</v>
      </c>
      <c r="AH27" s="1128">
        <v>0</v>
      </c>
      <c r="AI27" s="1124">
        <f t="shared" si="17"/>
        <v>1069.03</v>
      </c>
      <c r="AJ27" s="1148">
        <v>10485.049999999999</v>
      </c>
      <c r="AK27" s="1149">
        <v>0</v>
      </c>
      <c r="AL27" s="1149">
        <v>2621.3200000000002</v>
      </c>
      <c r="AM27" s="1149">
        <v>0</v>
      </c>
      <c r="AN27" s="1149">
        <v>0</v>
      </c>
      <c r="AO27" s="1154">
        <f t="shared" si="18"/>
        <v>13106.369999999999</v>
      </c>
      <c r="AP27" s="1125"/>
      <c r="AQ27" s="1126"/>
      <c r="AR27" s="1126"/>
      <c r="AS27" s="1126"/>
      <c r="AT27" s="1126"/>
      <c r="AU27" s="1137">
        <f t="shared" si="19"/>
        <v>0</v>
      </c>
      <c r="AV27" s="1138"/>
      <c r="AW27" s="1139"/>
      <c r="AX27" s="1139"/>
      <c r="AY27" s="1139"/>
      <c r="AZ27" s="1139"/>
      <c r="BA27" s="1140">
        <f t="shared" si="20"/>
        <v>0</v>
      </c>
      <c r="BB27" s="1135"/>
      <c r="BC27" s="1136"/>
      <c r="BD27" s="1136"/>
      <c r="BE27" s="1136"/>
      <c r="BF27" s="1136"/>
      <c r="BG27" s="1132">
        <f t="shared" si="21"/>
        <v>0</v>
      </c>
      <c r="BH27" s="1145"/>
      <c r="BI27" s="1146"/>
      <c r="BJ27" s="1146"/>
      <c r="BK27" s="1146"/>
      <c r="BL27" s="1146"/>
      <c r="BM27" s="1147">
        <f t="shared" si="22"/>
        <v>0</v>
      </c>
      <c r="BN27" s="1148">
        <v>14052.69</v>
      </c>
      <c r="BO27" s="1149">
        <v>1780.06</v>
      </c>
      <c r="BP27" s="1149">
        <v>2904.27</v>
      </c>
      <c r="BQ27" s="1149">
        <v>-0.12</v>
      </c>
      <c r="BR27" s="1149">
        <v>0</v>
      </c>
      <c r="BS27" s="1147">
        <f t="shared" si="23"/>
        <v>18736.900000000001</v>
      </c>
      <c r="BT27" s="1148"/>
      <c r="BU27" s="1149"/>
      <c r="BV27" s="1149"/>
      <c r="BW27" s="1149"/>
      <c r="BX27" s="1149"/>
      <c r="BY27" s="1154">
        <f t="shared" si="24"/>
        <v>0</v>
      </c>
      <c r="BZ27" s="1148">
        <v>4367.05</v>
      </c>
      <c r="CA27" s="1149">
        <v>7924.04</v>
      </c>
      <c r="CB27" s="1149">
        <v>2254.4899999999998</v>
      </c>
      <c r="CC27" s="1149">
        <v>-7.0000000000000007E-2</v>
      </c>
      <c r="CD27" s="1149">
        <v>0</v>
      </c>
      <c r="CE27" s="1154">
        <f t="shared" si="25"/>
        <v>14545.51</v>
      </c>
      <c r="CF27" s="1148">
        <v>4207.32</v>
      </c>
      <c r="CG27" s="1149">
        <v>0</v>
      </c>
      <c r="CH27" s="1149">
        <v>7544.91</v>
      </c>
      <c r="CI27" s="1149">
        <v>0</v>
      </c>
      <c r="CJ27" s="1149">
        <v>0</v>
      </c>
      <c r="CK27" s="1154">
        <f t="shared" si="26"/>
        <v>11752.23</v>
      </c>
      <c r="CL27" s="1148">
        <v>113.91</v>
      </c>
      <c r="CM27" s="1149">
        <v>0</v>
      </c>
      <c r="CN27" s="1149">
        <v>364.68</v>
      </c>
      <c r="CO27" s="1149">
        <v>0</v>
      </c>
      <c r="CP27" s="1149">
        <v>0</v>
      </c>
      <c r="CQ27" s="1147">
        <f t="shared" si="27"/>
        <v>478.59000000000003</v>
      </c>
      <c r="CR27" s="1145"/>
      <c r="CS27" s="1146"/>
      <c r="CT27" s="1146"/>
      <c r="CU27" s="1146"/>
      <c r="CV27" s="1146"/>
      <c r="CW27" s="1154">
        <f t="shared" si="28"/>
        <v>0</v>
      </c>
      <c r="CX27" s="1145"/>
      <c r="CY27" s="1146"/>
      <c r="CZ27" s="1146"/>
      <c r="DA27" s="1146"/>
      <c r="DB27" s="1146"/>
      <c r="DC27" s="1147">
        <f t="shared" si="29"/>
        <v>0</v>
      </c>
      <c r="DD27" s="1148"/>
      <c r="DE27" s="1149"/>
      <c r="DF27" s="1149"/>
      <c r="DG27" s="1149"/>
      <c r="DH27" s="1149"/>
      <c r="DI27" s="1154">
        <f t="shared" si="30"/>
        <v>0</v>
      </c>
      <c r="DJ27" s="1233"/>
      <c r="DK27" s="1233"/>
      <c r="DL27" s="1233"/>
      <c r="DM27" s="1233"/>
      <c r="DN27" s="1233"/>
      <c r="DO27" s="1233">
        <f t="shared" si="31"/>
        <v>0</v>
      </c>
      <c r="DP27" s="1148">
        <v>2665.42</v>
      </c>
      <c r="DQ27" s="1149">
        <v>1839.13</v>
      </c>
      <c r="DR27" s="1149">
        <v>826.29</v>
      </c>
      <c r="DS27" s="1149">
        <v>-0.01</v>
      </c>
      <c r="DT27" s="1149">
        <v>0</v>
      </c>
      <c r="DU27" s="1155">
        <f t="shared" si="32"/>
        <v>5330.83</v>
      </c>
      <c r="DV27" s="1148">
        <v>5940.07</v>
      </c>
      <c r="DW27" s="1149">
        <v>0</v>
      </c>
      <c r="DX27" s="1149">
        <v>1089.56</v>
      </c>
      <c r="DY27" s="1149">
        <v>7.0000000000000007E-2</v>
      </c>
      <c r="DZ27" s="1149">
        <v>0</v>
      </c>
      <c r="EA27" s="1154">
        <f t="shared" si="33"/>
        <v>7029.6999999999989</v>
      </c>
    </row>
    <row r="28" spans="1:131" ht="15" customHeight="1">
      <c r="A28" s="746" t="s">
        <v>60</v>
      </c>
      <c r="B28" s="844" t="s">
        <v>61</v>
      </c>
      <c r="C28" s="967" t="s">
        <v>265</v>
      </c>
      <c r="D28" s="842">
        <f t="shared" si="6"/>
        <v>9735.5</v>
      </c>
      <c r="E28" s="842">
        <f t="shared" si="7"/>
        <v>1572.33</v>
      </c>
      <c r="F28" s="842">
        <f t="shared" si="8"/>
        <v>2179.1899999999996</v>
      </c>
      <c r="G28" s="842">
        <f t="shared" si="9"/>
        <v>-7.0000000000000007E-2</v>
      </c>
      <c r="H28" s="842">
        <f t="shared" si="10"/>
        <v>0</v>
      </c>
      <c r="I28" s="1578">
        <f t="shared" si="11"/>
        <v>13486.95</v>
      </c>
      <c r="J28" s="843">
        <f t="shared" si="12"/>
        <v>-7.0000000000000007E-2</v>
      </c>
      <c r="K28" s="1579">
        <f t="shared" si="13"/>
        <v>2179.1199999999994</v>
      </c>
      <c r="L28" s="1116"/>
      <c r="M28" s="1117"/>
      <c r="N28" s="1117"/>
      <c r="O28" s="1117"/>
      <c r="P28" s="1117"/>
      <c r="Q28" s="1118">
        <f t="shared" si="14"/>
        <v>0</v>
      </c>
      <c r="R28" s="1133"/>
      <c r="S28" s="1134"/>
      <c r="T28" s="1134"/>
      <c r="U28" s="1134"/>
      <c r="V28" s="1134"/>
      <c r="W28" s="1132">
        <f t="shared" si="15"/>
        <v>0</v>
      </c>
      <c r="X28" s="1232"/>
      <c r="Y28" s="1232"/>
      <c r="Z28" s="1232"/>
      <c r="AA28" s="1232"/>
      <c r="AB28" s="1232"/>
      <c r="AC28" s="1231">
        <f t="shared" si="16"/>
        <v>0</v>
      </c>
      <c r="AD28" s="1125"/>
      <c r="AE28" s="1126"/>
      <c r="AF28" s="1126"/>
      <c r="AG28" s="1126"/>
      <c r="AH28" s="1126"/>
      <c r="AI28" s="1124">
        <f t="shared" si="17"/>
        <v>0</v>
      </c>
      <c r="AJ28" s="1145">
        <v>2790.72</v>
      </c>
      <c r="AK28" s="1146">
        <v>0</v>
      </c>
      <c r="AL28" s="1146">
        <v>697.68</v>
      </c>
      <c r="AM28" s="1146">
        <v>0</v>
      </c>
      <c r="AN28" s="1146">
        <v>0</v>
      </c>
      <c r="AO28" s="1154">
        <f t="shared" si="18"/>
        <v>3488.3999999999996</v>
      </c>
      <c r="AP28" s="1125"/>
      <c r="AQ28" s="1126"/>
      <c r="AR28" s="1126"/>
      <c r="AS28" s="1126"/>
      <c r="AT28" s="1126"/>
      <c r="AU28" s="1137">
        <f t="shared" si="19"/>
        <v>0</v>
      </c>
      <c r="AV28" s="1141">
        <v>149.41</v>
      </c>
      <c r="AW28" s="1142">
        <v>37.35</v>
      </c>
      <c r="AX28" s="1142">
        <v>0</v>
      </c>
      <c r="AY28" s="1142">
        <v>0</v>
      </c>
      <c r="AZ28" s="1142">
        <v>0</v>
      </c>
      <c r="BA28" s="1140">
        <f t="shared" si="20"/>
        <v>186.76</v>
      </c>
      <c r="BB28" s="1135">
        <v>203</v>
      </c>
      <c r="BC28" s="1136">
        <v>50.75</v>
      </c>
      <c r="BD28" s="1136">
        <v>0</v>
      </c>
      <c r="BE28" s="1136">
        <v>0</v>
      </c>
      <c r="BF28" s="1136">
        <v>0</v>
      </c>
      <c r="BG28" s="1132">
        <f t="shared" si="21"/>
        <v>253.75</v>
      </c>
      <c r="BH28" s="1148"/>
      <c r="BI28" s="1149"/>
      <c r="BJ28" s="1149"/>
      <c r="BK28" s="1149"/>
      <c r="BL28" s="1149"/>
      <c r="BM28" s="1147">
        <f t="shared" si="22"/>
        <v>0</v>
      </c>
      <c r="BN28" s="1148">
        <v>6376.25</v>
      </c>
      <c r="BO28" s="1149">
        <v>807.69</v>
      </c>
      <c r="BP28" s="1149">
        <v>1317.79</v>
      </c>
      <c r="BQ28" s="1149">
        <v>-0.08</v>
      </c>
      <c r="BR28" s="1149">
        <v>0</v>
      </c>
      <c r="BS28" s="1147">
        <f t="shared" si="23"/>
        <v>8501.65</v>
      </c>
      <c r="BT28" s="1148"/>
      <c r="BU28" s="1149"/>
      <c r="BV28" s="1149"/>
      <c r="BW28" s="1149"/>
      <c r="BX28" s="1149"/>
      <c r="BY28" s="1154">
        <f t="shared" si="24"/>
        <v>0</v>
      </c>
      <c r="BZ28" s="1148">
        <v>237.25</v>
      </c>
      <c r="CA28" s="1149">
        <v>676.54</v>
      </c>
      <c r="CB28" s="1149">
        <v>167.6</v>
      </c>
      <c r="CC28" s="1149">
        <v>0</v>
      </c>
      <c r="CD28" s="1149">
        <v>0</v>
      </c>
      <c r="CE28" s="1154">
        <f t="shared" si="25"/>
        <v>1081.3899999999999</v>
      </c>
      <c r="CF28" s="1145"/>
      <c r="CG28" s="1146"/>
      <c r="CH28" s="1146"/>
      <c r="CI28" s="1146"/>
      <c r="CJ28" s="1146"/>
      <c r="CK28" s="1154">
        <f t="shared" si="26"/>
        <v>0</v>
      </c>
      <c r="CL28" s="1145"/>
      <c r="CM28" s="1146"/>
      <c r="CN28" s="1146"/>
      <c r="CO28" s="1146"/>
      <c r="CP28" s="1146"/>
      <c r="CQ28" s="1147">
        <f t="shared" si="27"/>
        <v>0</v>
      </c>
      <c r="CR28" s="1148"/>
      <c r="CS28" s="1149"/>
      <c r="CT28" s="1149"/>
      <c r="CU28" s="1149"/>
      <c r="CV28" s="1149"/>
      <c r="CW28" s="1154">
        <f t="shared" si="28"/>
        <v>0</v>
      </c>
      <c r="CX28" s="1148"/>
      <c r="CY28" s="1149"/>
      <c r="CZ28" s="1149"/>
      <c r="DA28" s="1149"/>
      <c r="DB28" s="1149"/>
      <c r="DC28" s="1147">
        <f t="shared" si="29"/>
        <v>0</v>
      </c>
      <c r="DD28" s="1148"/>
      <c r="DE28" s="1149"/>
      <c r="DF28" s="1149"/>
      <c r="DG28" s="1149"/>
      <c r="DH28" s="1149"/>
      <c r="DI28" s="1154">
        <f t="shared" si="30"/>
        <v>0</v>
      </c>
      <c r="DJ28" s="1233"/>
      <c r="DK28" s="1233"/>
      <c r="DL28" s="1233"/>
      <c r="DM28" s="1233"/>
      <c r="DN28" s="1233"/>
      <c r="DO28" s="1233">
        <f t="shared" si="31"/>
        <v>0</v>
      </c>
      <c r="DP28" s="1148"/>
      <c r="DQ28" s="1149"/>
      <c r="DR28" s="1149"/>
      <c r="DS28" s="1149"/>
      <c r="DT28" s="1149"/>
      <c r="DU28" s="1155">
        <f t="shared" si="32"/>
        <v>0</v>
      </c>
      <c r="DV28" s="1148">
        <v>-21.13</v>
      </c>
      <c r="DW28" s="1149">
        <v>0</v>
      </c>
      <c r="DX28" s="1149">
        <v>-3.88</v>
      </c>
      <c r="DY28" s="1149">
        <v>0.01</v>
      </c>
      <c r="DZ28" s="1149">
        <v>0</v>
      </c>
      <c r="EA28" s="1154">
        <f t="shared" si="33"/>
        <v>-24.999999999999996</v>
      </c>
    </row>
    <row r="29" spans="1:131" ht="15" customHeight="1">
      <c r="A29" s="746" t="s">
        <v>62</v>
      </c>
      <c r="B29" s="844" t="s">
        <v>63</v>
      </c>
      <c r="C29" s="967" t="s">
        <v>267</v>
      </c>
      <c r="D29" s="842">
        <f t="shared" si="6"/>
        <v>66075</v>
      </c>
      <c r="E29" s="842">
        <f t="shared" si="7"/>
        <v>85997.06</v>
      </c>
      <c r="F29" s="842">
        <f t="shared" si="8"/>
        <v>27958.390000000003</v>
      </c>
      <c r="G29" s="842">
        <f t="shared" si="9"/>
        <v>5.22</v>
      </c>
      <c r="H29" s="842">
        <f t="shared" si="10"/>
        <v>0</v>
      </c>
      <c r="I29" s="1578">
        <f t="shared" si="11"/>
        <v>180035.67</v>
      </c>
      <c r="J29" s="843">
        <f t="shared" si="12"/>
        <v>5.22</v>
      </c>
      <c r="K29" s="1579">
        <f t="shared" si="13"/>
        <v>27963.610000000004</v>
      </c>
      <c r="L29" s="1116"/>
      <c r="M29" s="1117"/>
      <c r="N29" s="1117"/>
      <c r="O29" s="1117"/>
      <c r="P29" s="1117"/>
      <c r="Q29" s="1118">
        <f t="shared" si="14"/>
        <v>0</v>
      </c>
      <c r="R29" s="1133"/>
      <c r="S29" s="1134"/>
      <c r="T29" s="1134"/>
      <c r="U29" s="1134"/>
      <c r="V29" s="1134"/>
      <c r="W29" s="1132">
        <f t="shared" si="15"/>
        <v>0</v>
      </c>
      <c r="X29" s="1231">
        <v>0</v>
      </c>
      <c r="Y29" s="1231">
        <v>11130.47</v>
      </c>
      <c r="Z29" s="1231">
        <v>0</v>
      </c>
      <c r="AA29" s="1231">
        <v>0</v>
      </c>
      <c r="AB29" s="1231">
        <v>0</v>
      </c>
      <c r="AC29" s="1231">
        <f t="shared" si="16"/>
        <v>11130.47</v>
      </c>
      <c r="AD29" s="1127">
        <v>3150.84</v>
      </c>
      <c r="AE29" s="1128">
        <v>18.760000000000002</v>
      </c>
      <c r="AF29" s="1128">
        <v>581.41</v>
      </c>
      <c r="AG29" s="1128">
        <v>-0.01</v>
      </c>
      <c r="AH29" s="1128">
        <v>0</v>
      </c>
      <c r="AI29" s="1124">
        <f t="shared" si="17"/>
        <v>3751</v>
      </c>
      <c r="AJ29" s="1148">
        <v>19664.41</v>
      </c>
      <c r="AK29" s="1149">
        <v>0</v>
      </c>
      <c r="AL29" s="1149">
        <v>4916.1000000000004</v>
      </c>
      <c r="AM29" s="1149">
        <v>5.39</v>
      </c>
      <c r="AN29" s="1149">
        <v>0</v>
      </c>
      <c r="AO29" s="1154">
        <f t="shared" si="18"/>
        <v>24585.9</v>
      </c>
      <c r="AP29" s="1125"/>
      <c r="AQ29" s="1126"/>
      <c r="AR29" s="1126"/>
      <c r="AS29" s="1126"/>
      <c r="AT29" s="1126"/>
      <c r="AU29" s="1137">
        <f t="shared" si="19"/>
        <v>0</v>
      </c>
      <c r="AV29" s="1141">
        <v>1807.7</v>
      </c>
      <c r="AW29" s="1142">
        <v>451.92</v>
      </c>
      <c r="AX29" s="1142">
        <v>0</v>
      </c>
      <c r="AY29" s="1142">
        <v>0</v>
      </c>
      <c r="AZ29" s="1142">
        <v>0</v>
      </c>
      <c r="BA29" s="1140">
        <f t="shared" si="20"/>
        <v>2259.62</v>
      </c>
      <c r="BB29" s="1131">
        <v>4456.25</v>
      </c>
      <c r="BC29" s="1131">
        <v>1114.06</v>
      </c>
      <c r="BD29" s="1131">
        <v>0</v>
      </c>
      <c r="BE29" s="1131">
        <v>0</v>
      </c>
      <c r="BF29" s="1131">
        <v>0</v>
      </c>
      <c r="BG29" s="1132">
        <f t="shared" si="21"/>
        <v>5570.3099999999995</v>
      </c>
      <c r="BH29" s="1145">
        <v>212.97</v>
      </c>
      <c r="BI29" s="1146">
        <v>384.61</v>
      </c>
      <c r="BJ29" s="1146">
        <v>0</v>
      </c>
      <c r="BK29" s="1146">
        <v>0</v>
      </c>
      <c r="BL29" s="1146">
        <v>0</v>
      </c>
      <c r="BM29" s="1147">
        <f t="shared" si="22"/>
        <v>597.58000000000004</v>
      </c>
      <c r="BN29" s="1148">
        <v>1548</v>
      </c>
      <c r="BO29" s="1149">
        <v>196.09</v>
      </c>
      <c r="BP29" s="1149">
        <v>319.93</v>
      </c>
      <c r="BQ29" s="1149">
        <v>-0.02</v>
      </c>
      <c r="BR29" s="1149">
        <v>0</v>
      </c>
      <c r="BS29" s="1147">
        <f t="shared" si="23"/>
        <v>2064</v>
      </c>
      <c r="BT29" s="1148">
        <v>-58.5</v>
      </c>
      <c r="BU29" s="1149">
        <v>-58.5</v>
      </c>
      <c r="BV29" s="1149">
        <v>0</v>
      </c>
      <c r="BW29" s="1149">
        <v>0</v>
      </c>
      <c r="BX29" s="1149">
        <v>0</v>
      </c>
      <c r="BY29" s="1154">
        <f t="shared" si="24"/>
        <v>-117</v>
      </c>
      <c r="BZ29" s="1148">
        <v>29054.23</v>
      </c>
      <c r="CA29" s="1149">
        <v>68862.78</v>
      </c>
      <c r="CB29" s="1149">
        <v>17960.5</v>
      </c>
      <c r="CC29" s="1149">
        <v>-0.15</v>
      </c>
      <c r="CD29" s="1149">
        <v>0</v>
      </c>
      <c r="CE29" s="1154">
        <f t="shared" si="25"/>
        <v>115877.36</v>
      </c>
      <c r="CF29" s="1148">
        <v>1047.8399999999999</v>
      </c>
      <c r="CG29" s="1149">
        <v>0</v>
      </c>
      <c r="CH29" s="1149">
        <v>1879.12</v>
      </c>
      <c r="CI29" s="1149">
        <v>0</v>
      </c>
      <c r="CJ29" s="1149">
        <v>0</v>
      </c>
      <c r="CK29" s="1154">
        <f t="shared" si="26"/>
        <v>2926.96</v>
      </c>
      <c r="CL29" s="1145"/>
      <c r="CM29" s="1146"/>
      <c r="CN29" s="1146"/>
      <c r="CO29" s="1146"/>
      <c r="CP29" s="1146"/>
      <c r="CQ29" s="1147">
        <f t="shared" si="27"/>
        <v>0</v>
      </c>
      <c r="CR29" s="1148">
        <v>-1039.4000000000001</v>
      </c>
      <c r="CS29" s="1149">
        <v>0</v>
      </c>
      <c r="CT29" s="1149">
        <v>0</v>
      </c>
      <c r="CU29" s="1149">
        <v>0</v>
      </c>
      <c r="CV29" s="1149">
        <v>0</v>
      </c>
      <c r="CW29" s="1154">
        <f t="shared" si="28"/>
        <v>-1039.4000000000001</v>
      </c>
      <c r="CX29" s="1148">
        <v>-371.14</v>
      </c>
      <c r="CY29" s="1149">
        <v>-371.14</v>
      </c>
      <c r="CZ29" s="1149">
        <v>0</v>
      </c>
      <c r="DA29" s="1149">
        <v>0.01</v>
      </c>
      <c r="DB29" s="1149">
        <v>0</v>
      </c>
      <c r="DC29" s="1147">
        <f t="shared" si="29"/>
        <v>-742.27</v>
      </c>
      <c r="DD29" s="1148">
        <v>-1676.14</v>
      </c>
      <c r="DE29" s="1149">
        <v>0</v>
      </c>
      <c r="DF29" s="1149">
        <v>0</v>
      </c>
      <c r="DG29" s="1149">
        <v>0</v>
      </c>
      <c r="DH29" s="1149">
        <v>0</v>
      </c>
      <c r="DI29" s="1154">
        <f t="shared" si="30"/>
        <v>-1676.14</v>
      </c>
      <c r="DJ29" s="1234"/>
      <c r="DK29" s="1234"/>
      <c r="DL29" s="1234"/>
      <c r="DM29" s="1234"/>
      <c r="DN29" s="1234"/>
      <c r="DO29" s="1233">
        <f t="shared" si="31"/>
        <v>0</v>
      </c>
      <c r="DP29" s="1145">
        <v>6185.5</v>
      </c>
      <c r="DQ29" s="1146">
        <v>4268.01</v>
      </c>
      <c r="DR29" s="1146">
        <v>1917.52</v>
      </c>
      <c r="DS29" s="1146">
        <v>-0.03</v>
      </c>
      <c r="DT29" s="1146">
        <v>0</v>
      </c>
      <c r="DU29" s="1155">
        <f t="shared" si="32"/>
        <v>12371</v>
      </c>
      <c r="DV29" s="1148">
        <v>2092.44</v>
      </c>
      <c r="DW29" s="1149">
        <v>0</v>
      </c>
      <c r="DX29" s="1149">
        <v>383.81</v>
      </c>
      <c r="DY29" s="1149">
        <v>0.03</v>
      </c>
      <c r="DZ29" s="1149">
        <v>0</v>
      </c>
      <c r="EA29" s="1154">
        <f t="shared" si="33"/>
        <v>2476.2800000000002</v>
      </c>
    </row>
    <row r="30" spans="1:131" ht="15" customHeight="1">
      <c r="A30" s="746" t="s">
        <v>64</v>
      </c>
      <c r="B30" s="844" t="s">
        <v>65</v>
      </c>
      <c r="C30" s="967" t="s">
        <v>266</v>
      </c>
      <c r="D30" s="842">
        <f t="shared" si="6"/>
        <v>33636.400000000001</v>
      </c>
      <c r="E30" s="842">
        <f t="shared" si="7"/>
        <v>51734.29</v>
      </c>
      <c r="F30" s="842">
        <f t="shared" si="8"/>
        <v>16248.34</v>
      </c>
      <c r="G30" s="842">
        <f t="shared" si="9"/>
        <v>-10.07</v>
      </c>
      <c r="H30" s="842">
        <f t="shared" si="10"/>
        <v>0</v>
      </c>
      <c r="I30" s="1578">
        <f t="shared" si="11"/>
        <v>101608.95999999999</v>
      </c>
      <c r="J30" s="843">
        <f t="shared" si="12"/>
        <v>-10.07</v>
      </c>
      <c r="K30" s="1579">
        <f t="shared" si="13"/>
        <v>16238.27</v>
      </c>
      <c r="L30" s="1116"/>
      <c r="M30" s="1117"/>
      <c r="N30" s="1117"/>
      <c r="O30" s="1117"/>
      <c r="P30" s="1117"/>
      <c r="Q30" s="1118">
        <f t="shared" si="14"/>
        <v>0</v>
      </c>
      <c r="R30" s="1133"/>
      <c r="S30" s="1134"/>
      <c r="T30" s="1134"/>
      <c r="U30" s="1134"/>
      <c r="V30" s="1134"/>
      <c r="W30" s="1132">
        <f t="shared" si="15"/>
        <v>0</v>
      </c>
      <c r="X30" s="1231"/>
      <c r="Y30" s="1231"/>
      <c r="Z30" s="1231"/>
      <c r="AA30" s="1231"/>
      <c r="AB30" s="1231"/>
      <c r="AC30" s="1231">
        <f t="shared" si="16"/>
        <v>0</v>
      </c>
      <c r="AD30" s="1127">
        <v>1709.4</v>
      </c>
      <c r="AE30" s="1128">
        <v>10.18</v>
      </c>
      <c r="AF30" s="1128">
        <v>315.42</v>
      </c>
      <c r="AG30" s="1128">
        <v>0</v>
      </c>
      <c r="AH30" s="1128">
        <v>0</v>
      </c>
      <c r="AI30" s="1124">
        <f t="shared" si="17"/>
        <v>2035.0000000000002</v>
      </c>
      <c r="AJ30" s="1148">
        <v>8306.17</v>
      </c>
      <c r="AK30" s="1149">
        <v>0</v>
      </c>
      <c r="AL30" s="1149">
        <v>2076.54</v>
      </c>
      <c r="AM30" s="1149">
        <v>0</v>
      </c>
      <c r="AN30" s="1149">
        <v>0</v>
      </c>
      <c r="AO30" s="1154">
        <f t="shared" si="18"/>
        <v>10382.709999999999</v>
      </c>
      <c r="AP30" s="1125"/>
      <c r="AQ30" s="1126"/>
      <c r="AR30" s="1126"/>
      <c r="AS30" s="1126"/>
      <c r="AT30" s="1126"/>
      <c r="AU30" s="1137">
        <f t="shared" si="19"/>
        <v>0</v>
      </c>
      <c r="AV30" s="1138"/>
      <c r="AW30" s="1139"/>
      <c r="AX30" s="1139"/>
      <c r="AY30" s="1139"/>
      <c r="AZ30" s="1139"/>
      <c r="BA30" s="1140">
        <f t="shared" si="20"/>
        <v>0</v>
      </c>
      <c r="BB30" s="1131"/>
      <c r="BC30" s="1131"/>
      <c r="BD30" s="1131"/>
      <c r="BE30" s="1131"/>
      <c r="BF30" s="1131"/>
      <c r="BG30" s="1132">
        <f t="shared" si="21"/>
        <v>0</v>
      </c>
      <c r="BH30" s="1145"/>
      <c r="BI30" s="1146"/>
      <c r="BJ30" s="1146"/>
      <c r="BK30" s="1146"/>
      <c r="BL30" s="1146"/>
      <c r="BM30" s="1147">
        <f t="shared" si="22"/>
        <v>0</v>
      </c>
      <c r="BN30" s="1145"/>
      <c r="BO30" s="1146"/>
      <c r="BP30" s="1146"/>
      <c r="BQ30" s="1146"/>
      <c r="BR30" s="1146"/>
      <c r="BS30" s="1147">
        <f t="shared" si="23"/>
        <v>0</v>
      </c>
      <c r="BT30" s="1148"/>
      <c r="BU30" s="1149"/>
      <c r="BV30" s="1149"/>
      <c r="BW30" s="1149"/>
      <c r="BX30" s="1149"/>
      <c r="BY30" s="1154">
        <f t="shared" si="24"/>
        <v>0</v>
      </c>
      <c r="BZ30" s="1148">
        <v>19692.830000000002</v>
      </c>
      <c r="CA30" s="1149">
        <v>48877.86</v>
      </c>
      <c r="CB30" s="1149">
        <v>12577.63</v>
      </c>
      <c r="CC30" s="1149">
        <v>-7.0000000000000007E-2</v>
      </c>
      <c r="CD30" s="1149">
        <v>0</v>
      </c>
      <c r="CE30" s="1154">
        <f t="shared" si="25"/>
        <v>81148.25</v>
      </c>
      <c r="CF30" s="1145"/>
      <c r="CG30" s="1146"/>
      <c r="CH30" s="1146"/>
      <c r="CI30" s="1146"/>
      <c r="CJ30" s="1146"/>
      <c r="CK30" s="1154">
        <f t="shared" si="26"/>
        <v>0</v>
      </c>
      <c r="CL30" s="1145"/>
      <c r="CM30" s="1146"/>
      <c r="CN30" s="1146"/>
      <c r="CO30" s="1146"/>
      <c r="CP30" s="1146"/>
      <c r="CQ30" s="1147">
        <f t="shared" si="27"/>
        <v>0</v>
      </c>
      <c r="CR30" s="1145"/>
      <c r="CS30" s="1146"/>
      <c r="CT30" s="1146"/>
      <c r="CU30" s="1146"/>
      <c r="CV30" s="1146"/>
      <c r="CW30" s="1154">
        <f t="shared" si="28"/>
        <v>0</v>
      </c>
      <c r="CX30" s="1145"/>
      <c r="CY30" s="1146"/>
      <c r="CZ30" s="1146"/>
      <c r="DA30" s="1146"/>
      <c r="DB30" s="1146"/>
      <c r="DC30" s="1147">
        <f t="shared" si="29"/>
        <v>0</v>
      </c>
      <c r="DD30" s="1148">
        <v>-197</v>
      </c>
      <c r="DE30" s="1149">
        <v>0</v>
      </c>
      <c r="DF30" s="1149">
        <v>0</v>
      </c>
      <c r="DG30" s="1149">
        <v>0</v>
      </c>
      <c r="DH30" s="1149">
        <v>0</v>
      </c>
      <c r="DI30" s="1154">
        <f t="shared" si="30"/>
        <v>-197</v>
      </c>
      <c r="DJ30" s="1233"/>
      <c r="DK30" s="1233"/>
      <c r="DL30" s="1233"/>
      <c r="DM30" s="1233"/>
      <c r="DN30" s="1233"/>
      <c r="DO30" s="1233">
        <f t="shared" si="31"/>
        <v>0</v>
      </c>
      <c r="DP30" s="1148">
        <v>4125</v>
      </c>
      <c r="DQ30" s="1149">
        <v>2846.25</v>
      </c>
      <c r="DR30" s="1149">
        <v>1278.75</v>
      </c>
      <c r="DS30" s="1149">
        <v>0</v>
      </c>
      <c r="DT30" s="1149">
        <v>0</v>
      </c>
      <c r="DU30" s="1155">
        <f t="shared" si="32"/>
        <v>8250</v>
      </c>
      <c r="DV30" s="1145">
        <v>0</v>
      </c>
      <c r="DW30" s="1146">
        <v>0</v>
      </c>
      <c r="DX30" s="1146">
        <v>0</v>
      </c>
      <c r="DY30" s="1146">
        <v>-10</v>
      </c>
      <c r="DZ30" s="1146">
        <v>0</v>
      </c>
      <c r="EA30" s="1154">
        <f t="shared" si="33"/>
        <v>-10</v>
      </c>
    </row>
    <row r="31" spans="1:131" ht="15" customHeight="1">
      <c r="A31" s="746" t="s">
        <v>68</v>
      </c>
      <c r="B31" s="844" t="s">
        <v>69</v>
      </c>
      <c r="C31" s="967" t="s">
        <v>268</v>
      </c>
      <c r="D31" s="842">
        <f t="shared" si="6"/>
        <v>75363.97</v>
      </c>
      <c r="E31" s="842">
        <f t="shared" si="7"/>
        <v>15310.69</v>
      </c>
      <c r="F31" s="842">
        <f t="shared" si="8"/>
        <v>22075.300000000003</v>
      </c>
      <c r="G31" s="842">
        <f t="shared" si="9"/>
        <v>-0.03</v>
      </c>
      <c r="H31" s="842">
        <f t="shared" si="10"/>
        <v>0</v>
      </c>
      <c r="I31" s="1578">
        <f t="shared" si="11"/>
        <v>112749.93000000001</v>
      </c>
      <c r="J31" s="843">
        <f t="shared" si="12"/>
        <v>-0.03</v>
      </c>
      <c r="K31" s="1579">
        <f t="shared" si="13"/>
        <v>22075.270000000004</v>
      </c>
      <c r="L31" s="1119">
        <v>0</v>
      </c>
      <c r="M31" s="1120">
        <v>1070</v>
      </c>
      <c r="N31" s="1120">
        <v>0</v>
      </c>
      <c r="O31" s="1120">
        <v>0</v>
      </c>
      <c r="P31" s="1120">
        <v>0</v>
      </c>
      <c r="Q31" s="1118">
        <f t="shared" si="14"/>
        <v>1070</v>
      </c>
      <c r="R31" s="1133"/>
      <c r="S31" s="1134"/>
      <c r="T31" s="1134"/>
      <c r="U31" s="1134"/>
      <c r="V31" s="1134"/>
      <c r="W31" s="1132">
        <f t="shared" si="15"/>
        <v>0</v>
      </c>
      <c r="X31" s="1231"/>
      <c r="Y31" s="1231"/>
      <c r="Z31" s="1231"/>
      <c r="AA31" s="1231"/>
      <c r="AB31" s="1231"/>
      <c r="AC31" s="1231">
        <f t="shared" si="16"/>
        <v>0</v>
      </c>
      <c r="AD31" s="1127">
        <v>6532.23</v>
      </c>
      <c r="AE31" s="1128">
        <v>38.869999999999997</v>
      </c>
      <c r="AF31" s="1128">
        <v>1205.3499999999999</v>
      </c>
      <c r="AG31" s="1128">
        <v>0.01</v>
      </c>
      <c r="AH31" s="1128">
        <v>0</v>
      </c>
      <c r="AI31" s="1124">
        <f t="shared" si="17"/>
        <v>7776.4599999999991</v>
      </c>
      <c r="AJ31" s="1148">
        <v>27462.41</v>
      </c>
      <c r="AK31" s="1149">
        <v>0</v>
      </c>
      <c r="AL31" s="1149">
        <v>6865.56</v>
      </c>
      <c r="AM31" s="1149">
        <v>0</v>
      </c>
      <c r="AN31" s="1149">
        <v>0</v>
      </c>
      <c r="AO31" s="1154">
        <f t="shared" si="18"/>
        <v>34327.97</v>
      </c>
      <c r="AP31" s="1125"/>
      <c r="AQ31" s="1126"/>
      <c r="AR31" s="1126"/>
      <c r="AS31" s="1126"/>
      <c r="AT31" s="1126"/>
      <c r="AU31" s="1137">
        <f t="shared" si="19"/>
        <v>0</v>
      </c>
      <c r="AV31" s="1141">
        <v>3143.2</v>
      </c>
      <c r="AW31" s="1142">
        <v>785.81</v>
      </c>
      <c r="AX31" s="1142">
        <v>0</v>
      </c>
      <c r="AY31" s="1142">
        <v>0</v>
      </c>
      <c r="AZ31" s="1142">
        <v>0</v>
      </c>
      <c r="BA31" s="1140">
        <f t="shared" si="20"/>
        <v>3929.0099999999998</v>
      </c>
      <c r="BB31" s="1131">
        <v>8160.01</v>
      </c>
      <c r="BC31" s="1131">
        <v>2039.99</v>
      </c>
      <c r="BD31" s="1131">
        <v>0</v>
      </c>
      <c r="BE31" s="1131">
        <v>0</v>
      </c>
      <c r="BF31" s="1131">
        <v>0</v>
      </c>
      <c r="BG31" s="1132">
        <f t="shared" si="21"/>
        <v>10200</v>
      </c>
      <c r="BH31" s="1148">
        <v>165.01</v>
      </c>
      <c r="BI31" s="1149">
        <v>297.99</v>
      </c>
      <c r="BJ31" s="1149">
        <v>0</v>
      </c>
      <c r="BK31" s="1149">
        <v>0</v>
      </c>
      <c r="BL31" s="1149">
        <v>0</v>
      </c>
      <c r="BM31" s="1147">
        <f t="shared" si="22"/>
        <v>463</v>
      </c>
      <c r="BN31" s="1148">
        <v>16929.37</v>
      </c>
      <c r="BO31" s="1149">
        <v>2144.37</v>
      </c>
      <c r="BP31" s="1149">
        <v>3498.71</v>
      </c>
      <c r="BQ31" s="1149">
        <v>-0.02</v>
      </c>
      <c r="BR31" s="1149">
        <v>0</v>
      </c>
      <c r="BS31" s="1147">
        <f t="shared" si="23"/>
        <v>22572.429999999997</v>
      </c>
      <c r="BT31" s="1148"/>
      <c r="BU31" s="1149"/>
      <c r="BV31" s="1149"/>
      <c r="BW31" s="1149"/>
      <c r="BX31" s="1149"/>
      <c r="BY31" s="1154">
        <f t="shared" si="24"/>
        <v>0</v>
      </c>
      <c r="BZ31" s="1148">
        <v>2252.1799999999998</v>
      </c>
      <c r="CA31" s="1149">
        <v>6422.06</v>
      </c>
      <c r="CB31" s="1149">
        <v>1591.08</v>
      </c>
      <c r="CC31" s="1149">
        <v>-0.02</v>
      </c>
      <c r="CD31" s="1149">
        <v>0</v>
      </c>
      <c r="CE31" s="1154">
        <f t="shared" si="25"/>
        <v>10265.299999999999</v>
      </c>
      <c r="CF31" s="1148">
        <v>1754.2</v>
      </c>
      <c r="CG31" s="1149">
        <v>0</v>
      </c>
      <c r="CH31" s="1149">
        <v>3145.8</v>
      </c>
      <c r="CI31" s="1149">
        <v>0</v>
      </c>
      <c r="CJ31" s="1149">
        <v>0</v>
      </c>
      <c r="CK31" s="1154">
        <f t="shared" si="26"/>
        <v>4900</v>
      </c>
      <c r="CL31" s="1148">
        <v>1213.8</v>
      </c>
      <c r="CM31" s="1149">
        <v>0</v>
      </c>
      <c r="CN31" s="1149">
        <v>3886.2</v>
      </c>
      <c r="CO31" s="1149">
        <v>0</v>
      </c>
      <c r="CP31" s="1149">
        <v>0</v>
      </c>
      <c r="CQ31" s="1147">
        <f t="shared" si="27"/>
        <v>5100</v>
      </c>
      <c r="CR31" s="1148"/>
      <c r="CS31" s="1149"/>
      <c r="CT31" s="1149"/>
      <c r="CU31" s="1149"/>
      <c r="CV31" s="1149"/>
      <c r="CW31" s="1154">
        <f t="shared" si="28"/>
        <v>0</v>
      </c>
      <c r="CX31" s="1145"/>
      <c r="CY31" s="1146"/>
      <c r="CZ31" s="1146"/>
      <c r="DA31" s="1146"/>
      <c r="DB31" s="1146"/>
      <c r="DC31" s="1147">
        <f t="shared" si="29"/>
        <v>0</v>
      </c>
      <c r="DD31" s="1148"/>
      <c r="DE31" s="1149"/>
      <c r="DF31" s="1149"/>
      <c r="DG31" s="1149"/>
      <c r="DH31" s="1149"/>
      <c r="DI31" s="1154">
        <f t="shared" si="30"/>
        <v>0</v>
      </c>
      <c r="DJ31" s="1233"/>
      <c r="DK31" s="1233"/>
      <c r="DL31" s="1233"/>
      <c r="DM31" s="1233"/>
      <c r="DN31" s="1233"/>
      <c r="DO31" s="1233">
        <f t="shared" si="31"/>
        <v>0</v>
      </c>
      <c r="DP31" s="1148">
        <v>3640</v>
      </c>
      <c r="DQ31" s="1149">
        <v>2511.6</v>
      </c>
      <c r="DR31" s="1149">
        <v>1128.4000000000001</v>
      </c>
      <c r="DS31" s="1149">
        <v>0</v>
      </c>
      <c r="DT31" s="1149">
        <v>0</v>
      </c>
      <c r="DU31" s="1155">
        <f t="shared" si="32"/>
        <v>7280</v>
      </c>
      <c r="DV31" s="1148">
        <v>4111.5600000000004</v>
      </c>
      <c r="DW31" s="1149">
        <v>0</v>
      </c>
      <c r="DX31" s="1149">
        <v>754.2</v>
      </c>
      <c r="DY31" s="1149">
        <v>0</v>
      </c>
      <c r="DZ31" s="1149">
        <v>0</v>
      </c>
      <c r="EA31" s="1154">
        <f t="shared" si="33"/>
        <v>4865.76</v>
      </c>
    </row>
    <row r="32" spans="1:131" ht="15" customHeight="1">
      <c r="A32" s="746" t="s">
        <v>70</v>
      </c>
      <c r="B32" s="844" t="s">
        <v>71</v>
      </c>
      <c r="C32" s="967" t="s">
        <v>264</v>
      </c>
      <c r="D32" s="842">
        <f t="shared" si="6"/>
        <v>58812.98</v>
      </c>
      <c r="E32" s="842">
        <f t="shared" si="7"/>
        <v>16582.219999999998</v>
      </c>
      <c r="F32" s="842">
        <f t="shared" si="8"/>
        <v>15791.28</v>
      </c>
      <c r="G32" s="842">
        <f t="shared" si="9"/>
        <v>90660.670000000013</v>
      </c>
      <c r="H32" s="842">
        <f t="shared" si="10"/>
        <v>0</v>
      </c>
      <c r="I32" s="1578">
        <f t="shared" si="11"/>
        <v>181847.15000000002</v>
      </c>
      <c r="J32" s="843">
        <f t="shared" si="12"/>
        <v>90660.670000000013</v>
      </c>
      <c r="K32" s="1579">
        <f t="shared" si="13"/>
        <v>106451.95000000001</v>
      </c>
      <c r="L32" s="1116"/>
      <c r="M32" s="1117"/>
      <c r="N32" s="1117"/>
      <c r="O32" s="1117"/>
      <c r="P32" s="1117"/>
      <c r="Q32" s="1118">
        <f t="shared" si="14"/>
        <v>0</v>
      </c>
      <c r="R32" s="1133"/>
      <c r="S32" s="1134"/>
      <c r="T32" s="1134"/>
      <c r="U32" s="1134"/>
      <c r="V32" s="1134"/>
      <c r="W32" s="1132">
        <f t="shared" si="15"/>
        <v>0</v>
      </c>
      <c r="X32" s="1231"/>
      <c r="Y32" s="1231"/>
      <c r="Z32" s="1231"/>
      <c r="AA32" s="1231"/>
      <c r="AB32" s="1231"/>
      <c r="AC32" s="1231">
        <f t="shared" si="16"/>
        <v>0</v>
      </c>
      <c r="AD32" s="1127"/>
      <c r="AE32" s="1128"/>
      <c r="AF32" s="1128"/>
      <c r="AG32" s="1128"/>
      <c r="AH32" s="1128"/>
      <c r="AI32" s="1124">
        <f t="shared" si="17"/>
        <v>0</v>
      </c>
      <c r="AJ32" s="1148">
        <v>33543.68</v>
      </c>
      <c r="AK32" s="1149">
        <v>0</v>
      </c>
      <c r="AL32" s="1149">
        <v>8385.92</v>
      </c>
      <c r="AM32" s="1149">
        <v>89890.77</v>
      </c>
      <c r="AN32" s="1149">
        <v>0</v>
      </c>
      <c r="AO32" s="1154">
        <f t="shared" si="18"/>
        <v>131820.37</v>
      </c>
      <c r="AP32" s="1125"/>
      <c r="AQ32" s="1126"/>
      <c r="AR32" s="1126"/>
      <c r="AS32" s="1126"/>
      <c r="AT32" s="1126"/>
      <c r="AU32" s="1137">
        <f t="shared" si="19"/>
        <v>0</v>
      </c>
      <c r="AV32" s="1141">
        <v>1264</v>
      </c>
      <c r="AW32" s="1142">
        <v>316</v>
      </c>
      <c r="AX32" s="1142">
        <v>0</v>
      </c>
      <c r="AY32" s="1142">
        <v>770</v>
      </c>
      <c r="AZ32" s="1142">
        <v>0</v>
      </c>
      <c r="BA32" s="1140">
        <f t="shared" si="20"/>
        <v>2350</v>
      </c>
      <c r="BB32" s="1131"/>
      <c r="BC32" s="1131"/>
      <c r="BD32" s="1131"/>
      <c r="BE32" s="1131"/>
      <c r="BF32" s="1131"/>
      <c r="BG32" s="1132">
        <f t="shared" si="21"/>
        <v>0</v>
      </c>
      <c r="BH32" s="1145"/>
      <c r="BI32" s="1146"/>
      <c r="BJ32" s="1146"/>
      <c r="BK32" s="1146"/>
      <c r="BL32" s="1146"/>
      <c r="BM32" s="1147">
        <f t="shared" si="22"/>
        <v>0</v>
      </c>
      <c r="BN32" s="1148">
        <v>11775.34</v>
      </c>
      <c r="BO32" s="1149">
        <v>1491.56</v>
      </c>
      <c r="BP32" s="1149">
        <v>2433.58</v>
      </c>
      <c r="BQ32" s="1149">
        <v>-0.03</v>
      </c>
      <c r="BR32" s="1149">
        <v>0</v>
      </c>
      <c r="BS32" s="1147">
        <f t="shared" si="23"/>
        <v>15700.449999999999</v>
      </c>
      <c r="BT32" s="1148">
        <v>-50</v>
      </c>
      <c r="BU32" s="1149">
        <v>-50</v>
      </c>
      <c r="BV32" s="1149">
        <v>0</v>
      </c>
      <c r="BW32" s="1149">
        <v>0</v>
      </c>
      <c r="BX32" s="1149">
        <v>0</v>
      </c>
      <c r="BY32" s="1154">
        <f t="shared" si="24"/>
        <v>-100</v>
      </c>
      <c r="BZ32" s="1148">
        <v>4421.82</v>
      </c>
      <c r="CA32" s="1149">
        <v>12483.14</v>
      </c>
      <c r="CB32" s="1149">
        <v>3100.85</v>
      </c>
      <c r="CC32" s="1149">
        <v>-0.09</v>
      </c>
      <c r="CD32" s="1149">
        <v>0</v>
      </c>
      <c r="CE32" s="1154">
        <f t="shared" si="25"/>
        <v>20005.719999999998</v>
      </c>
      <c r="CF32" s="1145"/>
      <c r="CG32" s="1146"/>
      <c r="CH32" s="1146"/>
      <c r="CI32" s="1146"/>
      <c r="CJ32" s="1146"/>
      <c r="CK32" s="1154">
        <f t="shared" si="26"/>
        <v>0</v>
      </c>
      <c r="CL32" s="1145"/>
      <c r="CM32" s="1146"/>
      <c r="CN32" s="1146"/>
      <c r="CO32" s="1146"/>
      <c r="CP32" s="1146"/>
      <c r="CQ32" s="1147">
        <f t="shared" si="27"/>
        <v>0</v>
      </c>
      <c r="CR32" s="1148"/>
      <c r="CS32" s="1149"/>
      <c r="CT32" s="1149"/>
      <c r="CU32" s="1149"/>
      <c r="CV32" s="1149"/>
      <c r="CW32" s="1154">
        <f t="shared" si="28"/>
        <v>0</v>
      </c>
      <c r="CX32" s="1148"/>
      <c r="CY32" s="1149"/>
      <c r="CZ32" s="1149"/>
      <c r="DA32" s="1149"/>
      <c r="DB32" s="1149"/>
      <c r="DC32" s="1147">
        <f t="shared" si="29"/>
        <v>0</v>
      </c>
      <c r="DD32" s="1148"/>
      <c r="DE32" s="1149"/>
      <c r="DF32" s="1149"/>
      <c r="DG32" s="1149"/>
      <c r="DH32" s="1149"/>
      <c r="DI32" s="1154">
        <f t="shared" si="30"/>
        <v>0</v>
      </c>
      <c r="DJ32" s="1233"/>
      <c r="DK32" s="1233"/>
      <c r="DL32" s="1233"/>
      <c r="DM32" s="1233"/>
      <c r="DN32" s="1233"/>
      <c r="DO32" s="1233">
        <f t="shared" si="31"/>
        <v>0</v>
      </c>
      <c r="DP32" s="1148">
        <v>3393.5</v>
      </c>
      <c r="DQ32" s="1149">
        <v>2341.52</v>
      </c>
      <c r="DR32" s="1149">
        <v>1051.99</v>
      </c>
      <c r="DS32" s="1149">
        <v>-0.01</v>
      </c>
      <c r="DT32" s="1149">
        <v>0</v>
      </c>
      <c r="DU32" s="1155">
        <f t="shared" si="32"/>
        <v>6787</v>
      </c>
      <c r="DV32" s="1148">
        <v>4464.6400000000003</v>
      </c>
      <c r="DW32" s="1149">
        <v>0</v>
      </c>
      <c r="DX32" s="1149">
        <v>818.94</v>
      </c>
      <c r="DY32" s="1149">
        <v>0.03</v>
      </c>
      <c r="DZ32" s="1149">
        <v>0</v>
      </c>
      <c r="EA32" s="1154">
        <f t="shared" si="33"/>
        <v>5283.61</v>
      </c>
    </row>
    <row r="33" spans="1:131" ht="15" customHeight="1">
      <c r="A33" s="746" t="s">
        <v>72</v>
      </c>
      <c r="B33" s="844" t="s">
        <v>73</v>
      </c>
      <c r="C33" s="967" t="s">
        <v>266</v>
      </c>
      <c r="D33" s="842">
        <f t="shared" si="6"/>
        <v>32853.689999999995</v>
      </c>
      <c r="E33" s="842">
        <f t="shared" si="7"/>
        <v>17057.77</v>
      </c>
      <c r="F33" s="842">
        <f t="shared" si="8"/>
        <v>9935.2899999999991</v>
      </c>
      <c r="G33" s="842">
        <f t="shared" si="9"/>
        <v>-1.9999999999999997E-2</v>
      </c>
      <c r="H33" s="842">
        <f t="shared" si="10"/>
        <v>0</v>
      </c>
      <c r="I33" s="1578">
        <f t="shared" si="11"/>
        <v>59846.729999999996</v>
      </c>
      <c r="J33" s="843">
        <f t="shared" si="12"/>
        <v>-1.9999999999999997E-2</v>
      </c>
      <c r="K33" s="1579">
        <f t="shared" si="13"/>
        <v>9935.2699999999986</v>
      </c>
      <c r="L33" s="1116"/>
      <c r="M33" s="1117"/>
      <c r="N33" s="1117"/>
      <c r="O33" s="1117"/>
      <c r="P33" s="1117"/>
      <c r="Q33" s="1118">
        <f t="shared" si="14"/>
        <v>0</v>
      </c>
      <c r="R33" s="1135"/>
      <c r="S33" s="1136"/>
      <c r="T33" s="1136"/>
      <c r="U33" s="1136"/>
      <c r="V33" s="1136"/>
      <c r="W33" s="1132">
        <f t="shared" si="15"/>
        <v>0</v>
      </c>
      <c r="X33" s="1231"/>
      <c r="Y33" s="1231"/>
      <c r="Z33" s="1231"/>
      <c r="AA33" s="1231"/>
      <c r="AB33" s="1231"/>
      <c r="AC33" s="1231">
        <f t="shared" si="16"/>
        <v>0</v>
      </c>
      <c r="AD33" s="1127">
        <v>1344</v>
      </c>
      <c r="AE33" s="1128">
        <v>8</v>
      </c>
      <c r="AF33" s="1128">
        <v>248</v>
      </c>
      <c r="AG33" s="1128">
        <v>0</v>
      </c>
      <c r="AH33" s="1128">
        <v>0</v>
      </c>
      <c r="AI33" s="1124">
        <f t="shared" si="17"/>
        <v>1600</v>
      </c>
      <c r="AJ33" s="1148">
        <v>11717.42</v>
      </c>
      <c r="AK33" s="1149">
        <v>0</v>
      </c>
      <c r="AL33" s="1149">
        <v>2929.38</v>
      </c>
      <c r="AM33" s="1149">
        <v>0</v>
      </c>
      <c r="AN33" s="1149">
        <v>0</v>
      </c>
      <c r="AO33" s="1154">
        <f t="shared" si="18"/>
        <v>14646.8</v>
      </c>
      <c r="AP33" s="1125"/>
      <c r="AQ33" s="1126"/>
      <c r="AR33" s="1126"/>
      <c r="AS33" s="1126"/>
      <c r="AT33" s="1126"/>
      <c r="AU33" s="1137">
        <f t="shared" si="19"/>
        <v>0</v>
      </c>
      <c r="AV33" s="1138"/>
      <c r="AW33" s="1139"/>
      <c r="AX33" s="1139"/>
      <c r="AY33" s="1139"/>
      <c r="AZ33" s="1139"/>
      <c r="BA33" s="1140">
        <f t="shared" si="20"/>
        <v>0</v>
      </c>
      <c r="BB33" s="1133"/>
      <c r="BC33" s="1134"/>
      <c r="BD33" s="1134"/>
      <c r="BE33" s="1134"/>
      <c r="BF33" s="1134"/>
      <c r="BG33" s="1132">
        <f t="shared" si="21"/>
        <v>0</v>
      </c>
      <c r="BH33" s="1145"/>
      <c r="BI33" s="1146"/>
      <c r="BJ33" s="1146"/>
      <c r="BK33" s="1146"/>
      <c r="BL33" s="1146"/>
      <c r="BM33" s="1147">
        <f t="shared" si="22"/>
        <v>0</v>
      </c>
      <c r="BN33" s="1148">
        <v>11538.68</v>
      </c>
      <c r="BO33" s="1149">
        <v>1461.57</v>
      </c>
      <c r="BP33" s="1149">
        <v>2384.66</v>
      </c>
      <c r="BQ33" s="1149">
        <v>-0.01</v>
      </c>
      <c r="BR33" s="1149">
        <v>0</v>
      </c>
      <c r="BS33" s="1147">
        <f t="shared" si="23"/>
        <v>15384.9</v>
      </c>
      <c r="BT33" s="1148"/>
      <c r="BU33" s="1149"/>
      <c r="BV33" s="1149"/>
      <c r="BW33" s="1149"/>
      <c r="BX33" s="1149"/>
      <c r="BY33" s="1154">
        <f t="shared" si="24"/>
        <v>0</v>
      </c>
      <c r="BZ33" s="1148">
        <v>4695.32</v>
      </c>
      <c r="CA33" s="1149">
        <v>13130.07</v>
      </c>
      <c r="CB33" s="1149">
        <v>3269.65</v>
      </c>
      <c r="CC33" s="1149">
        <v>-0.01</v>
      </c>
      <c r="CD33" s="1149">
        <v>0</v>
      </c>
      <c r="CE33" s="1154">
        <f t="shared" si="25"/>
        <v>21095.030000000002</v>
      </c>
      <c r="CF33" s="1145"/>
      <c r="CG33" s="1146"/>
      <c r="CH33" s="1146"/>
      <c r="CI33" s="1146"/>
      <c r="CJ33" s="1146"/>
      <c r="CK33" s="1154">
        <f t="shared" si="26"/>
        <v>0</v>
      </c>
      <c r="CL33" s="1145"/>
      <c r="CM33" s="1146"/>
      <c r="CN33" s="1146"/>
      <c r="CO33" s="1146"/>
      <c r="CP33" s="1146"/>
      <c r="CQ33" s="1147">
        <f t="shared" si="27"/>
        <v>0</v>
      </c>
      <c r="CR33" s="1148"/>
      <c r="CS33" s="1149"/>
      <c r="CT33" s="1149"/>
      <c r="CU33" s="1149"/>
      <c r="CV33" s="1149"/>
      <c r="CW33" s="1154">
        <f t="shared" si="28"/>
        <v>0</v>
      </c>
      <c r="CX33" s="1148"/>
      <c r="CY33" s="1149"/>
      <c r="CZ33" s="1149"/>
      <c r="DA33" s="1149"/>
      <c r="DB33" s="1149"/>
      <c r="DC33" s="1147">
        <f t="shared" si="29"/>
        <v>0</v>
      </c>
      <c r="DD33" s="1148"/>
      <c r="DE33" s="1149"/>
      <c r="DF33" s="1149"/>
      <c r="DG33" s="1149"/>
      <c r="DH33" s="1149"/>
      <c r="DI33" s="1154">
        <f t="shared" si="30"/>
        <v>0</v>
      </c>
      <c r="DJ33" s="1233"/>
      <c r="DK33" s="1233"/>
      <c r="DL33" s="1233"/>
      <c r="DM33" s="1233"/>
      <c r="DN33" s="1233"/>
      <c r="DO33" s="1233">
        <f t="shared" si="31"/>
        <v>0</v>
      </c>
      <c r="DP33" s="1148">
        <v>3562.5</v>
      </c>
      <c r="DQ33" s="1149">
        <v>2458.13</v>
      </c>
      <c r="DR33" s="1149">
        <v>1104.3800000000001</v>
      </c>
      <c r="DS33" s="1149">
        <v>-0.01</v>
      </c>
      <c r="DT33" s="1149">
        <v>0</v>
      </c>
      <c r="DU33" s="1155">
        <f t="shared" si="32"/>
        <v>7125</v>
      </c>
      <c r="DV33" s="1145">
        <v>-4.2300000000000004</v>
      </c>
      <c r="DW33" s="1146">
        <v>0</v>
      </c>
      <c r="DX33" s="1146">
        <v>-0.78</v>
      </c>
      <c r="DY33" s="1146">
        <v>0.01</v>
      </c>
      <c r="DZ33" s="1146">
        <v>0</v>
      </c>
      <c r="EA33" s="1154">
        <f t="shared" si="33"/>
        <v>-5.0000000000000009</v>
      </c>
    </row>
    <row r="34" spans="1:131" ht="15" customHeight="1">
      <c r="A34" s="746" t="s">
        <v>74</v>
      </c>
      <c r="B34" s="844" t="s">
        <v>302</v>
      </c>
      <c r="C34" s="967" t="s">
        <v>267</v>
      </c>
      <c r="D34" s="842">
        <f t="shared" si="6"/>
        <v>936510.86999999988</v>
      </c>
      <c r="E34" s="842">
        <f t="shared" si="7"/>
        <v>668759.54999999993</v>
      </c>
      <c r="F34" s="842">
        <f t="shared" si="8"/>
        <v>365425.05</v>
      </c>
      <c r="G34" s="842">
        <f t="shared" si="9"/>
        <v>-4530.4799999999996</v>
      </c>
      <c r="H34" s="842">
        <f t="shared" si="10"/>
        <v>1307696.4300000002</v>
      </c>
      <c r="I34" s="1578">
        <f t="shared" si="11"/>
        <v>3273861.42</v>
      </c>
      <c r="J34" s="843">
        <f t="shared" si="12"/>
        <v>1303165.9500000002</v>
      </c>
      <c r="K34" s="1579">
        <f t="shared" si="13"/>
        <v>1668591.0000000002</v>
      </c>
      <c r="L34" s="1116"/>
      <c r="M34" s="1117"/>
      <c r="N34" s="1117"/>
      <c r="O34" s="1117"/>
      <c r="P34" s="1117"/>
      <c r="Q34" s="1118">
        <f t="shared" si="14"/>
        <v>0</v>
      </c>
      <c r="R34" s="1135"/>
      <c r="S34" s="1136"/>
      <c r="T34" s="1136"/>
      <c r="U34" s="1136"/>
      <c r="V34" s="1136"/>
      <c r="W34" s="1132">
        <f t="shared" si="15"/>
        <v>0</v>
      </c>
      <c r="X34" s="1231"/>
      <c r="Y34" s="1231"/>
      <c r="Z34" s="1231"/>
      <c r="AA34" s="1231"/>
      <c r="AB34" s="1231"/>
      <c r="AC34" s="1231">
        <f t="shared" si="16"/>
        <v>0</v>
      </c>
      <c r="AD34" s="1127">
        <v>50544.79</v>
      </c>
      <c r="AE34" s="1128">
        <v>300.86</v>
      </c>
      <c r="AF34" s="1128">
        <v>9326.74</v>
      </c>
      <c r="AG34" s="1128">
        <v>-0.02</v>
      </c>
      <c r="AH34" s="1128">
        <v>0</v>
      </c>
      <c r="AI34" s="1124">
        <f t="shared" si="17"/>
        <v>60172.37</v>
      </c>
      <c r="AJ34" s="1148">
        <v>366303.19</v>
      </c>
      <c r="AK34" s="1149">
        <v>0</v>
      </c>
      <c r="AL34" s="1149">
        <v>91575.81</v>
      </c>
      <c r="AM34" s="1149">
        <v>0</v>
      </c>
      <c r="AN34" s="1149">
        <v>1190485.05</v>
      </c>
      <c r="AO34" s="1154">
        <f t="shared" si="18"/>
        <v>1648364.05</v>
      </c>
      <c r="AP34" s="1127">
        <v>8586.85</v>
      </c>
      <c r="AQ34" s="1128">
        <v>2800.29</v>
      </c>
      <c r="AR34" s="1128">
        <v>2088.77</v>
      </c>
      <c r="AS34" s="1128">
        <v>-0.03</v>
      </c>
      <c r="AT34" s="1128">
        <v>0</v>
      </c>
      <c r="AU34" s="1137">
        <f t="shared" si="19"/>
        <v>13475.88</v>
      </c>
      <c r="AV34" s="1141">
        <v>31437.68</v>
      </c>
      <c r="AW34" s="1142">
        <v>7859.45</v>
      </c>
      <c r="AX34" s="1142">
        <v>0</v>
      </c>
      <c r="AY34" s="1142">
        <v>0</v>
      </c>
      <c r="AZ34" s="1142">
        <v>0</v>
      </c>
      <c r="BA34" s="1140">
        <f t="shared" si="20"/>
        <v>39297.129999999997</v>
      </c>
      <c r="BB34" s="1131">
        <v>33616.99</v>
      </c>
      <c r="BC34" s="1131">
        <v>8404.24</v>
      </c>
      <c r="BD34" s="1131">
        <v>0</v>
      </c>
      <c r="BE34" s="1131">
        <v>0</v>
      </c>
      <c r="BF34" s="1131">
        <v>0</v>
      </c>
      <c r="BG34" s="1132">
        <f t="shared" si="21"/>
        <v>42021.229999999996</v>
      </c>
      <c r="BH34" s="1148">
        <v>6058.8</v>
      </c>
      <c r="BI34" s="1149">
        <v>10941.2</v>
      </c>
      <c r="BJ34" s="1149">
        <v>0</v>
      </c>
      <c r="BK34" s="1149">
        <v>0</v>
      </c>
      <c r="BL34" s="1149">
        <v>2645</v>
      </c>
      <c r="BM34" s="1147">
        <f t="shared" si="22"/>
        <v>19645</v>
      </c>
      <c r="BN34" s="1148">
        <v>40604.67</v>
      </c>
      <c r="BO34" s="1149">
        <v>5143.25</v>
      </c>
      <c r="BP34" s="1149">
        <v>8391.64</v>
      </c>
      <c r="BQ34" s="1149">
        <v>-0.03</v>
      </c>
      <c r="BR34" s="1149">
        <v>0</v>
      </c>
      <c r="BS34" s="1147">
        <f t="shared" si="23"/>
        <v>54139.53</v>
      </c>
      <c r="BT34" s="1148"/>
      <c r="BU34" s="1149"/>
      <c r="BV34" s="1149"/>
      <c r="BW34" s="1149"/>
      <c r="BX34" s="1149"/>
      <c r="BY34" s="1154">
        <f t="shared" si="24"/>
        <v>0</v>
      </c>
      <c r="BZ34" s="1148">
        <v>290006.77</v>
      </c>
      <c r="CA34" s="1149">
        <v>598325.18999999994</v>
      </c>
      <c r="CB34" s="1149">
        <v>162942.32999999999</v>
      </c>
      <c r="CC34" s="1149">
        <v>-0.3</v>
      </c>
      <c r="CD34" s="1149">
        <v>114566.38</v>
      </c>
      <c r="CE34" s="1154">
        <f t="shared" si="25"/>
        <v>1165840.3700000001</v>
      </c>
      <c r="CF34" s="1148">
        <v>37911.35</v>
      </c>
      <c r="CG34" s="1149">
        <v>0</v>
      </c>
      <c r="CH34" s="1149">
        <v>67986.33</v>
      </c>
      <c r="CI34" s="1149">
        <v>0</v>
      </c>
      <c r="CJ34" s="1149">
        <v>0</v>
      </c>
      <c r="CK34" s="1154">
        <f t="shared" si="26"/>
        <v>105897.68</v>
      </c>
      <c r="CL34" s="1148">
        <v>1190</v>
      </c>
      <c r="CM34" s="1149">
        <v>0</v>
      </c>
      <c r="CN34" s="1149">
        <v>3810</v>
      </c>
      <c r="CO34" s="1149">
        <v>0</v>
      </c>
      <c r="CP34" s="1149">
        <v>0</v>
      </c>
      <c r="CQ34" s="1147">
        <f t="shared" si="27"/>
        <v>5000</v>
      </c>
      <c r="CR34" s="1148"/>
      <c r="CS34" s="1149"/>
      <c r="CT34" s="1149"/>
      <c r="CU34" s="1149"/>
      <c r="CV34" s="1149"/>
      <c r="CW34" s="1154">
        <f t="shared" si="28"/>
        <v>0</v>
      </c>
      <c r="CX34" s="1148"/>
      <c r="CY34" s="1149"/>
      <c r="CZ34" s="1149"/>
      <c r="DA34" s="1149"/>
      <c r="DB34" s="1149"/>
      <c r="DC34" s="1147">
        <f t="shared" si="29"/>
        <v>0</v>
      </c>
      <c r="DD34" s="1148"/>
      <c r="DE34" s="1149"/>
      <c r="DF34" s="1149"/>
      <c r="DG34" s="1149"/>
      <c r="DH34" s="1149"/>
      <c r="DI34" s="1154">
        <f t="shared" si="30"/>
        <v>0</v>
      </c>
      <c r="DJ34" s="1233"/>
      <c r="DK34" s="1233"/>
      <c r="DL34" s="1233"/>
      <c r="DM34" s="1233"/>
      <c r="DN34" s="1233"/>
      <c r="DO34" s="1233">
        <f t="shared" si="31"/>
        <v>0</v>
      </c>
      <c r="DP34" s="1148">
        <v>50703.07</v>
      </c>
      <c r="DQ34" s="1149">
        <v>34985.07</v>
      </c>
      <c r="DR34" s="1149">
        <v>15717.96</v>
      </c>
      <c r="DS34" s="1149">
        <v>-0.1</v>
      </c>
      <c r="DT34" s="1149">
        <v>0</v>
      </c>
      <c r="DU34" s="1155">
        <f t="shared" si="32"/>
        <v>101406</v>
      </c>
      <c r="DV34" s="1148">
        <v>19546.71</v>
      </c>
      <c r="DW34" s="1149">
        <v>0</v>
      </c>
      <c r="DX34" s="1149">
        <v>3585.47</v>
      </c>
      <c r="DY34" s="1149">
        <v>-4530</v>
      </c>
      <c r="DZ34" s="1149">
        <v>0</v>
      </c>
      <c r="EA34" s="1154">
        <f t="shared" si="33"/>
        <v>18602.18</v>
      </c>
    </row>
    <row r="35" spans="1:131" ht="15" customHeight="1">
      <c r="A35" s="746" t="s">
        <v>76</v>
      </c>
      <c r="B35" s="844" t="s">
        <v>77</v>
      </c>
      <c r="C35" s="967" t="s">
        <v>267</v>
      </c>
      <c r="D35" s="842">
        <f t="shared" si="6"/>
        <v>63396.719999999994</v>
      </c>
      <c r="E35" s="842">
        <f t="shared" si="7"/>
        <v>23169.43</v>
      </c>
      <c r="F35" s="842">
        <f t="shared" si="8"/>
        <v>24184.59</v>
      </c>
      <c r="G35" s="842">
        <f t="shared" si="9"/>
        <v>295.25</v>
      </c>
      <c r="H35" s="842">
        <f t="shared" si="10"/>
        <v>4135.3099999999995</v>
      </c>
      <c r="I35" s="1578">
        <f t="shared" si="11"/>
        <v>115181.29999999999</v>
      </c>
      <c r="J35" s="843">
        <f t="shared" si="12"/>
        <v>4430.5599999999995</v>
      </c>
      <c r="K35" s="1579">
        <f t="shared" si="13"/>
        <v>28615.15</v>
      </c>
      <c r="L35" s="1116"/>
      <c r="M35" s="1117"/>
      <c r="N35" s="1117"/>
      <c r="O35" s="1117"/>
      <c r="P35" s="1117"/>
      <c r="Q35" s="1118">
        <f t="shared" si="14"/>
        <v>0</v>
      </c>
      <c r="R35" s="1135">
        <v>0</v>
      </c>
      <c r="S35" s="1136">
        <v>0</v>
      </c>
      <c r="T35" s="1136">
        <v>0</v>
      </c>
      <c r="U35" s="1136">
        <v>172.7</v>
      </c>
      <c r="V35" s="1136">
        <v>0</v>
      </c>
      <c r="W35" s="1132">
        <f t="shared" si="15"/>
        <v>172.7</v>
      </c>
      <c r="X35" s="1231"/>
      <c r="Y35" s="1231"/>
      <c r="Z35" s="1231"/>
      <c r="AA35" s="1231"/>
      <c r="AB35" s="1231"/>
      <c r="AC35" s="1231">
        <f t="shared" si="16"/>
        <v>0</v>
      </c>
      <c r="AD35" s="1127">
        <v>738.52</v>
      </c>
      <c r="AE35" s="1128">
        <v>4.4000000000000004</v>
      </c>
      <c r="AF35" s="1128">
        <v>136.28</v>
      </c>
      <c r="AG35" s="1128">
        <v>-0.01</v>
      </c>
      <c r="AH35" s="1128">
        <v>0</v>
      </c>
      <c r="AI35" s="1124">
        <f t="shared" si="17"/>
        <v>879.18999999999994</v>
      </c>
      <c r="AJ35" s="1148">
        <v>41912.79</v>
      </c>
      <c r="AK35" s="1149">
        <v>0</v>
      </c>
      <c r="AL35" s="1149">
        <v>10478.209999999999</v>
      </c>
      <c r="AM35" s="1149">
        <v>0</v>
      </c>
      <c r="AN35" s="1149">
        <v>3801.33</v>
      </c>
      <c r="AO35" s="1154">
        <f t="shared" si="18"/>
        <v>56192.33</v>
      </c>
      <c r="AP35" s="1125"/>
      <c r="AQ35" s="1126"/>
      <c r="AR35" s="1126"/>
      <c r="AS35" s="1126"/>
      <c r="AT35" s="1126"/>
      <c r="AU35" s="1137">
        <f t="shared" si="19"/>
        <v>0</v>
      </c>
      <c r="AV35" s="1141">
        <v>1892.45</v>
      </c>
      <c r="AW35" s="1142">
        <v>473.11</v>
      </c>
      <c r="AX35" s="1142">
        <v>0</v>
      </c>
      <c r="AY35" s="1142">
        <v>0</v>
      </c>
      <c r="AZ35" s="1142">
        <v>0</v>
      </c>
      <c r="BA35" s="1140">
        <f t="shared" si="20"/>
        <v>2365.56</v>
      </c>
      <c r="BB35" s="1131">
        <v>3301.2</v>
      </c>
      <c r="BC35" s="1131">
        <v>825.29</v>
      </c>
      <c r="BD35" s="1131">
        <v>0</v>
      </c>
      <c r="BE35" s="1131">
        <v>0</v>
      </c>
      <c r="BF35" s="1131">
        <v>0</v>
      </c>
      <c r="BG35" s="1132">
        <f t="shared" si="21"/>
        <v>4126.49</v>
      </c>
      <c r="BH35" s="1145"/>
      <c r="BI35" s="1146"/>
      <c r="BJ35" s="1146"/>
      <c r="BK35" s="1146"/>
      <c r="BL35" s="1146"/>
      <c r="BM35" s="1147">
        <f t="shared" si="22"/>
        <v>0</v>
      </c>
      <c r="BN35" s="1145"/>
      <c r="BO35" s="1146"/>
      <c r="BP35" s="1146"/>
      <c r="BQ35" s="1146"/>
      <c r="BR35" s="1146"/>
      <c r="BS35" s="1147">
        <f t="shared" si="23"/>
        <v>0</v>
      </c>
      <c r="BT35" s="1148"/>
      <c r="BU35" s="1149"/>
      <c r="BV35" s="1149"/>
      <c r="BW35" s="1149"/>
      <c r="BX35" s="1149"/>
      <c r="BY35" s="1154">
        <f t="shared" si="24"/>
        <v>0</v>
      </c>
      <c r="BZ35" s="1148">
        <v>7687.3</v>
      </c>
      <c r="CA35" s="1149">
        <v>21866.63</v>
      </c>
      <c r="CB35" s="1149">
        <v>5420.99</v>
      </c>
      <c r="CC35" s="1149">
        <v>-0.04</v>
      </c>
      <c r="CD35" s="1149">
        <v>0</v>
      </c>
      <c r="CE35" s="1154">
        <f t="shared" si="25"/>
        <v>34974.879999999997</v>
      </c>
      <c r="CF35" s="1148">
        <v>4165.8900000000003</v>
      </c>
      <c r="CG35" s="1149">
        <v>0</v>
      </c>
      <c r="CH35" s="1149">
        <v>7470.67</v>
      </c>
      <c r="CI35" s="1149">
        <v>0</v>
      </c>
      <c r="CJ35" s="1149">
        <v>82.52</v>
      </c>
      <c r="CK35" s="1154">
        <f t="shared" si="26"/>
        <v>11719.080000000002</v>
      </c>
      <c r="CL35" s="1145"/>
      <c r="CM35" s="1146"/>
      <c r="CN35" s="1146"/>
      <c r="CO35" s="1146"/>
      <c r="CP35" s="1146"/>
      <c r="CQ35" s="1147">
        <f t="shared" si="27"/>
        <v>0</v>
      </c>
      <c r="CR35" s="1148"/>
      <c r="CS35" s="1149"/>
      <c r="CT35" s="1149"/>
      <c r="CU35" s="1149"/>
      <c r="CV35" s="1149"/>
      <c r="CW35" s="1154">
        <f t="shared" si="28"/>
        <v>0</v>
      </c>
      <c r="CX35" s="1148"/>
      <c r="CY35" s="1149"/>
      <c r="CZ35" s="1149"/>
      <c r="DA35" s="1149"/>
      <c r="DB35" s="1149"/>
      <c r="DC35" s="1147">
        <f t="shared" si="29"/>
        <v>0</v>
      </c>
      <c r="DD35" s="1148"/>
      <c r="DE35" s="1149"/>
      <c r="DF35" s="1149"/>
      <c r="DG35" s="1149"/>
      <c r="DH35" s="1149"/>
      <c r="DI35" s="1154">
        <f t="shared" si="30"/>
        <v>0</v>
      </c>
      <c r="DJ35" s="1233"/>
      <c r="DK35" s="1233"/>
      <c r="DL35" s="1233"/>
      <c r="DM35" s="1233"/>
      <c r="DN35" s="1233"/>
      <c r="DO35" s="1233">
        <f t="shared" si="31"/>
        <v>0</v>
      </c>
      <c r="DP35" s="1148"/>
      <c r="DQ35" s="1149"/>
      <c r="DR35" s="1149"/>
      <c r="DS35" s="1149"/>
      <c r="DT35" s="1149"/>
      <c r="DU35" s="1155">
        <f t="shared" si="32"/>
        <v>0</v>
      </c>
      <c r="DV35" s="1148">
        <v>3698.57</v>
      </c>
      <c r="DW35" s="1149">
        <v>0</v>
      </c>
      <c r="DX35" s="1149">
        <v>678.44</v>
      </c>
      <c r="DY35" s="1149">
        <v>122.6</v>
      </c>
      <c r="DZ35" s="1149">
        <v>251.46</v>
      </c>
      <c r="EA35" s="1154">
        <f t="shared" si="33"/>
        <v>4751.0700000000006</v>
      </c>
    </row>
    <row r="36" spans="1:131" ht="15" customHeight="1">
      <c r="A36" s="746" t="s">
        <v>78</v>
      </c>
      <c r="B36" s="844" t="s">
        <v>79</v>
      </c>
      <c r="C36" s="967" t="s">
        <v>268</v>
      </c>
      <c r="D36" s="842">
        <f t="shared" si="6"/>
        <v>31725.75</v>
      </c>
      <c r="E36" s="842">
        <f t="shared" si="7"/>
        <v>15307.720000000001</v>
      </c>
      <c r="F36" s="842">
        <f t="shared" si="8"/>
        <v>8455.82</v>
      </c>
      <c r="G36" s="842">
        <f t="shared" si="9"/>
        <v>-0.06</v>
      </c>
      <c r="H36" s="842">
        <f t="shared" si="10"/>
        <v>0</v>
      </c>
      <c r="I36" s="1578">
        <f t="shared" si="11"/>
        <v>55489.23</v>
      </c>
      <c r="J36" s="843">
        <f t="shared" si="12"/>
        <v>-0.06</v>
      </c>
      <c r="K36" s="1579">
        <f t="shared" si="13"/>
        <v>8455.76</v>
      </c>
      <c r="L36" s="1116"/>
      <c r="M36" s="1117"/>
      <c r="N36" s="1117"/>
      <c r="O36" s="1117"/>
      <c r="P36" s="1117"/>
      <c r="Q36" s="1118">
        <f t="shared" si="14"/>
        <v>0</v>
      </c>
      <c r="R36" s="1133"/>
      <c r="S36" s="1134"/>
      <c r="T36" s="1134"/>
      <c r="U36" s="1134"/>
      <c r="V36" s="1134"/>
      <c r="W36" s="1132">
        <f t="shared" si="15"/>
        <v>0</v>
      </c>
      <c r="X36" s="1231"/>
      <c r="Y36" s="1231"/>
      <c r="Z36" s="1231"/>
      <c r="AA36" s="1231"/>
      <c r="AB36" s="1231"/>
      <c r="AC36" s="1231">
        <f t="shared" si="16"/>
        <v>0</v>
      </c>
      <c r="AD36" s="1127">
        <v>1239.5899999999999</v>
      </c>
      <c r="AE36" s="1128">
        <v>7.38</v>
      </c>
      <c r="AF36" s="1128">
        <v>228.74</v>
      </c>
      <c r="AG36" s="1128">
        <v>0</v>
      </c>
      <c r="AH36" s="1128">
        <v>0</v>
      </c>
      <c r="AI36" s="1124">
        <f t="shared" si="17"/>
        <v>1475.71</v>
      </c>
      <c r="AJ36" s="1148">
        <v>11934.86</v>
      </c>
      <c r="AK36" s="1149">
        <v>0</v>
      </c>
      <c r="AL36" s="1149">
        <v>2983.73</v>
      </c>
      <c r="AM36" s="1149">
        <v>0</v>
      </c>
      <c r="AN36" s="1149">
        <v>0</v>
      </c>
      <c r="AO36" s="1154">
        <f t="shared" si="18"/>
        <v>14918.59</v>
      </c>
      <c r="AP36" s="1125"/>
      <c r="AQ36" s="1126"/>
      <c r="AR36" s="1126"/>
      <c r="AS36" s="1126"/>
      <c r="AT36" s="1126"/>
      <c r="AU36" s="1137">
        <f t="shared" si="19"/>
        <v>0</v>
      </c>
      <c r="AV36" s="1141">
        <v>2432.81</v>
      </c>
      <c r="AW36" s="1142">
        <v>608.20000000000005</v>
      </c>
      <c r="AX36" s="1142">
        <v>0</v>
      </c>
      <c r="AY36" s="1142">
        <v>0</v>
      </c>
      <c r="AZ36" s="1142">
        <v>0</v>
      </c>
      <c r="BA36" s="1140">
        <f t="shared" si="20"/>
        <v>3041.01</v>
      </c>
      <c r="BB36" s="1131">
        <v>1780.46</v>
      </c>
      <c r="BC36" s="1131">
        <v>445.11</v>
      </c>
      <c r="BD36" s="1131">
        <v>0</v>
      </c>
      <c r="BE36" s="1131">
        <v>0</v>
      </c>
      <c r="BF36" s="1131">
        <v>0</v>
      </c>
      <c r="BG36" s="1132">
        <f t="shared" si="21"/>
        <v>2225.5700000000002</v>
      </c>
      <c r="BH36" s="1145"/>
      <c r="BI36" s="1146"/>
      <c r="BJ36" s="1146"/>
      <c r="BK36" s="1146"/>
      <c r="BL36" s="1146"/>
      <c r="BM36" s="1147">
        <f t="shared" si="22"/>
        <v>0</v>
      </c>
      <c r="BN36" s="1148">
        <v>7040.64</v>
      </c>
      <c r="BO36" s="1149">
        <v>891.82</v>
      </c>
      <c r="BP36" s="1149">
        <v>1455.07</v>
      </c>
      <c r="BQ36" s="1149">
        <v>-0.03</v>
      </c>
      <c r="BR36" s="1149">
        <v>0</v>
      </c>
      <c r="BS36" s="1147">
        <f t="shared" si="23"/>
        <v>9387.5</v>
      </c>
      <c r="BT36" s="1148"/>
      <c r="BU36" s="1149"/>
      <c r="BV36" s="1149"/>
      <c r="BW36" s="1149"/>
      <c r="BX36" s="1149"/>
      <c r="BY36" s="1154">
        <f t="shared" si="24"/>
        <v>0</v>
      </c>
      <c r="BZ36" s="1148">
        <v>3920.87</v>
      </c>
      <c r="CA36" s="1149">
        <v>11108.91</v>
      </c>
      <c r="CB36" s="1149">
        <v>2756.89</v>
      </c>
      <c r="CC36" s="1149">
        <v>-7.0000000000000007E-2</v>
      </c>
      <c r="CD36" s="1149">
        <v>0</v>
      </c>
      <c r="CE36" s="1154">
        <f t="shared" si="25"/>
        <v>17786.599999999999</v>
      </c>
      <c r="CF36" s="1145"/>
      <c r="CG36" s="1146"/>
      <c r="CH36" s="1146"/>
      <c r="CI36" s="1146"/>
      <c r="CJ36" s="1146"/>
      <c r="CK36" s="1154">
        <f t="shared" si="26"/>
        <v>0</v>
      </c>
      <c r="CL36" s="1145"/>
      <c r="CM36" s="1146"/>
      <c r="CN36" s="1146"/>
      <c r="CO36" s="1146"/>
      <c r="CP36" s="1146"/>
      <c r="CQ36" s="1147">
        <f t="shared" si="27"/>
        <v>0</v>
      </c>
      <c r="CR36" s="1148"/>
      <c r="CS36" s="1149"/>
      <c r="CT36" s="1149"/>
      <c r="CU36" s="1149"/>
      <c r="CV36" s="1149"/>
      <c r="CW36" s="1154">
        <f t="shared" si="28"/>
        <v>0</v>
      </c>
      <c r="CX36" s="1148"/>
      <c r="CY36" s="1149"/>
      <c r="CZ36" s="1149"/>
      <c r="DA36" s="1149"/>
      <c r="DB36" s="1149"/>
      <c r="DC36" s="1147">
        <f t="shared" si="29"/>
        <v>0</v>
      </c>
      <c r="DD36" s="1148"/>
      <c r="DE36" s="1149"/>
      <c r="DF36" s="1149"/>
      <c r="DG36" s="1149"/>
      <c r="DH36" s="1149"/>
      <c r="DI36" s="1154">
        <f t="shared" si="30"/>
        <v>0</v>
      </c>
      <c r="DJ36" s="1233"/>
      <c r="DK36" s="1233"/>
      <c r="DL36" s="1233"/>
      <c r="DM36" s="1233"/>
      <c r="DN36" s="1233"/>
      <c r="DO36" s="1233">
        <f t="shared" si="31"/>
        <v>0</v>
      </c>
      <c r="DP36" s="1148">
        <v>3255.5</v>
      </c>
      <c r="DQ36" s="1149">
        <v>2246.3000000000002</v>
      </c>
      <c r="DR36" s="1149">
        <v>1009.21</v>
      </c>
      <c r="DS36" s="1149">
        <v>-0.01</v>
      </c>
      <c r="DT36" s="1149">
        <v>0</v>
      </c>
      <c r="DU36" s="1155">
        <f t="shared" si="32"/>
        <v>6511</v>
      </c>
      <c r="DV36" s="1145">
        <v>121.02</v>
      </c>
      <c r="DW36" s="1146">
        <v>0</v>
      </c>
      <c r="DX36" s="1146">
        <v>22.18</v>
      </c>
      <c r="DY36" s="1146">
        <v>0.05</v>
      </c>
      <c r="DZ36" s="1146">
        <v>0</v>
      </c>
      <c r="EA36" s="1154">
        <f t="shared" si="33"/>
        <v>143.25</v>
      </c>
    </row>
    <row r="37" spans="1:131" ht="15" customHeight="1">
      <c r="A37" s="746" t="s">
        <v>80</v>
      </c>
      <c r="B37" s="844" t="s">
        <v>81</v>
      </c>
      <c r="C37" s="967" t="s">
        <v>266</v>
      </c>
      <c r="D37" s="842">
        <f t="shared" si="6"/>
        <v>34027.24</v>
      </c>
      <c r="E37" s="842">
        <f t="shared" si="7"/>
        <v>14577.059999999998</v>
      </c>
      <c r="F37" s="842">
        <f t="shared" si="8"/>
        <v>8674.1</v>
      </c>
      <c r="G37" s="842">
        <f t="shared" si="9"/>
        <v>249.76999999999998</v>
      </c>
      <c r="H37" s="842">
        <f t="shared" si="10"/>
        <v>0</v>
      </c>
      <c r="I37" s="1578">
        <f t="shared" si="11"/>
        <v>57528.169999999991</v>
      </c>
      <c r="J37" s="843">
        <f t="shared" si="12"/>
        <v>249.76999999999998</v>
      </c>
      <c r="K37" s="1579">
        <f t="shared" si="13"/>
        <v>8923.8700000000008</v>
      </c>
      <c r="L37" s="1116"/>
      <c r="M37" s="1117"/>
      <c r="N37" s="1117"/>
      <c r="O37" s="1117"/>
      <c r="P37" s="1117"/>
      <c r="Q37" s="1118">
        <f t="shared" si="14"/>
        <v>0</v>
      </c>
      <c r="R37" s="1133"/>
      <c r="S37" s="1134"/>
      <c r="T37" s="1134"/>
      <c r="U37" s="1134"/>
      <c r="V37" s="1134"/>
      <c r="W37" s="1132">
        <f t="shared" si="15"/>
        <v>0</v>
      </c>
      <c r="X37" s="1231"/>
      <c r="Y37" s="1231"/>
      <c r="Z37" s="1231"/>
      <c r="AA37" s="1231"/>
      <c r="AB37" s="1231"/>
      <c r="AC37" s="1231">
        <f t="shared" si="16"/>
        <v>0</v>
      </c>
      <c r="AD37" s="1127">
        <v>2106.44</v>
      </c>
      <c r="AE37" s="1128">
        <v>12.55</v>
      </c>
      <c r="AF37" s="1128">
        <v>388.7</v>
      </c>
      <c r="AG37" s="1128">
        <v>-0.02</v>
      </c>
      <c r="AH37" s="1128">
        <v>0</v>
      </c>
      <c r="AI37" s="1124">
        <f t="shared" si="17"/>
        <v>2507.67</v>
      </c>
      <c r="AJ37" s="1148">
        <v>6483.94</v>
      </c>
      <c r="AK37" s="1149">
        <v>0</v>
      </c>
      <c r="AL37" s="1149">
        <v>1620.96</v>
      </c>
      <c r="AM37" s="1149">
        <v>0</v>
      </c>
      <c r="AN37" s="1149">
        <v>0</v>
      </c>
      <c r="AO37" s="1154">
        <f t="shared" si="18"/>
        <v>8104.9</v>
      </c>
      <c r="AP37" s="1125"/>
      <c r="AQ37" s="1126"/>
      <c r="AR37" s="1126"/>
      <c r="AS37" s="1126"/>
      <c r="AT37" s="1126"/>
      <c r="AU37" s="1137">
        <f t="shared" si="19"/>
        <v>0</v>
      </c>
      <c r="AV37" s="1141">
        <v>640.96</v>
      </c>
      <c r="AW37" s="1142">
        <v>160.24</v>
      </c>
      <c r="AX37" s="1142">
        <v>0</v>
      </c>
      <c r="AY37" s="1142">
        <v>0</v>
      </c>
      <c r="AZ37" s="1142">
        <v>0</v>
      </c>
      <c r="BA37" s="1140">
        <f t="shared" si="20"/>
        <v>801.2</v>
      </c>
      <c r="BB37" s="1131">
        <v>3194.21</v>
      </c>
      <c r="BC37" s="1131">
        <v>798.55</v>
      </c>
      <c r="BD37" s="1131">
        <v>0</v>
      </c>
      <c r="BE37" s="1131">
        <v>0</v>
      </c>
      <c r="BF37" s="1131">
        <v>0</v>
      </c>
      <c r="BG37" s="1132">
        <f t="shared" si="21"/>
        <v>3992.76</v>
      </c>
      <c r="BH37" s="1145"/>
      <c r="BI37" s="1146"/>
      <c r="BJ37" s="1146"/>
      <c r="BK37" s="1146"/>
      <c r="BL37" s="1146"/>
      <c r="BM37" s="1147">
        <f t="shared" si="22"/>
        <v>0</v>
      </c>
      <c r="BN37" s="1148">
        <v>13072.31</v>
      </c>
      <c r="BO37" s="1149">
        <v>1655.85</v>
      </c>
      <c r="BP37" s="1149">
        <v>2701.61</v>
      </c>
      <c r="BQ37" s="1149">
        <v>-0.06</v>
      </c>
      <c r="BR37" s="1149">
        <v>0</v>
      </c>
      <c r="BS37" s="1147">
        <f t="shared" si="23"/>
        <v>17429.71</v>
      </c>
      <c r="BT37" s="1148"/>
      <c r="BU37" s="1149"/>
      <c r="BV37" s="1149"/>
      <c r="BW37" s="1149"/>
      <c r="BX37" s="1149"/>
      <c r="BY37" s="1154">
        <f t="shared" si="24"/>
        <v>0</v>
      </c>
      <c r="BZ37" s="1148">
        <v>3873.36</v>
      </c>
      <c r="CA37" s="1149">
        <v>9388.25</v>
      </c>
      <c r="CB37" s="1149">
        <v>2432.5100000000002</v>
      </c>
      <c r="CC37" s="1149">
        <v>-0.03</v>
      </c>
      <c r="CD37" s="1149">
        <v>0</v>
      </c>
      <c r="CE37" s="1154">
        <f t="shared" si="25"/>
        <v>15694.09</v>
      </c>
      <c r="CF37" s="1148"/>
      <c r="CG37" s="1149"/>
      <c r="CH37" s="1149"/>
      <c r="CI37" s="1149"/>
      <c r="CJ37" s="1149"/>
      <c r="CK37" s="1154">
        <f t="shared" si="26"/>
        <v>0</v>
      </c>
      <c r="CL37" s="1145"/>
      <c r="CM37" s="1146"/>
      <c r="CN37" s="1146"/>
      <c r="CO37" s="1146"/>
      <c r="CP37" s="1146"/>
      <c r="CQ37" s="1147">
        <f t="shared" si="27"/>
        <v>0</v>
      </c>
      <c r="CR37" s="1148"/>
      <c r="CS37" s="1149"/>
      <c r="CT37" s="1149"/>
      <c r="CU37" s="1149"/>
      <c r="CV37" s="1149"/>
      <c r="CW37" s="1154">
        <f t="shared" si="28"/>
        <v>0</v>
      </c>
      <c r="CX37" s="1148"/>
      <c r="CY37" s="1149"/>
      <c r="CZ37" s="1149"/>
      <c r="DA37" s="1149"/>
      <c r="DB37" s="1149"/>
      <c r="DC37" s="1147">
        <f t="shared" si="29"/>
        <v>0</v>
      </c>
      <c r="DD37" s="1148">
        <v>-1125</v>
      </c>
      <c r="DE37" s="1149">
        <v>0</v>
      </c>
      <c r="DF37" s="1149">
        <v>0</v>
      </c>
      <c r="DG37" s="1149">
        <v>0</v>
      </c>
      <c r="DH37" s="1149">
        <v>0</v>
      </c>
      <c r="DI37" s="1154">
        <f t="shared" si="30"/>
        <v>-1125</v>
      </c>
      <c r="DJ37" s="1233"/>
      <c r="DK37" s="1233"/>
      <c r="DL37" s="1233"/>
      <c r="DM37" s="1233"/>
      <c r="DN37" s="1233"/>
      <c r="DO37" s="1233">
        <f t="shared" si="31"/>
        <v>0</v>
      </c>
      <c r="DP37" s="1148">
        <v>3712.5</v>
      </c>
      <c r="DQ37" s="1149">
        <v>2561.62</v>
      </c>
      <c r="DR37" s="1149">
        <v>1150.8800000000001</v>
      </c>
      <c r="DS37" s="1149">
        <v>249.84</v>
      </c>
      <c r="DT37" s="1149">
        <v>0</v>
      </c>
      <c r="DU37" s="1155">
        <f t="shared" si="32"/>
        <v>7674.84</v>
      </c>
      <c r="DV37" s="1148">
        <v>2068.52</v>
      </c>
      <c r="DW37" s="1149">
        <v>0</v>
      </c>
      <c r="DX37" s="1149">
        <v>379.44</v>
      </c>
      <c r="DY37" s="1149">
        <v>0.04</v>
      </c>
      <c r="DZ37" s="1149">
        <v>0</v>
      </c>
      <c r="EA37" s="1154">
        <f t="shared" si="33"/>
        <v>2448</v>
      </c>
    </row>
    <row r="38" spans="1:131" ht="15" customHeight="1">
      <c r="A38" s="746" t="s">
        <v>84</v>
      </c>
      <c r="B38" s="844" t="s">
        <v>308</v>
      </c>
      <c r="C38" s="967" t="s">
        <v>265</v>
      </c>
      <c r="D38" s="842">
        <f t="shared" si="6"/>
        <v>132332.57</v>
      </c>
      <c r="E38" s="842">
        <f t="shared" si="7"/>
        <v>130293.64000000001</v>
      </c>
      <c r="F38" s="842">
        <f t="shared" si="8"/>
        <v>46905.71</v>
      </c>
      <c r="G38" s="842">
        <f t="shared" si="9"/>
        <v>-0.23000000000000004</v>
      </c>
      <c r="H38" s="842">
        <f t="shared" si="10"/>
        <v>0</v>
      </c>
      <c r="I38" s="1578">
        <f t="shared" si="11"/>
        <v>309531.69000000006</v>
      </c>
      <c r="J38" s="843">
        <f t="shared" si="12"/>
        <v>-0.23000000000000004</v>
      </c>
      <c r="K38" s="1579">
        <f t="shared" si="13"/>
        <v>46905.479999999996</v>
      </c>
      <c r="L38" s="1116"/>
      <c r="M38" s="1117"/>
      <c r="N38" s="1117"/>
      <c r="O38" s="1117"/>
      <c r="P38" s="1117"/>
      <c r="Q38" s="1118">
        <f t="shared" si="14"/>
        <v>0</v>
      </c>
      <c r="R38" s="1133"/>
      <c r="S38" s="1134"/>
      <c r="T38" s="1134"/>
      <c r="U38" s="1134"/>
      <c r="V38" s="1134"/>
      <c r="W38" s="1132">
        <f t="shared" si="15"/>
        <v>0</v>
      </c>
      <c r="X38" s="1231"/>
      <c r="Y38" s="1231"/>
      <c r="Z38" s="1231"/>
      <c r="AA38" s="1231"/>
      <c r="AB38" s="1231"/>
      <c r="AC38" s="1231">
        <f t="shared" si="16"/>
        <v>0</v>
      </c>
      <c r="AD38" s="1127">
        <v>3699.04</v>
      </c>
      <c r="AE38" s="1128">
        <v>22.02</v>
      </c>
      <c r="AF38" s="1128">
        <v>682.57</v>
      </c>
      <c r="AG38" s="1128">
        <v>0</v>
      </c>
      <c r="AH38" s="1128">
        <v>0</v>
      </c>
      <c r="AI38" s="1124">
        <f t="shared" si="17"/>
        <v>4403.63</v>
      </c>
      <c r="AJ38" s="1148">
        <v>39238.410000000003</v>
      </c>
      <c r="AK38" s="1149">
        <v>0</v>
      </c>
      <c r="AL38" s="1149">
        <v>9809.56</v>
      </c>
      <c r="AM38" s="1149">
        <v>0</v>
      </c>
      <c r="AN38" s="1149">
        <v>0</v>
      </c>
      <c r="AO38" s="1154">
        <f t="shared" si="18"/>
        <v>49047.97</v>
      </c>
      <c r="AP38" s="1125"/>
      <c r="AQ38" s="1126"/>
      <c r="AR38" s="1126"/>
      <c r="AS38" s="1126"/>
      <c r="AT38" s="1126"/>
      <c r="AU38" s="1137">
        <f t="shared" si="19"/>
        <v>0</v>
      </c>
      <c r="AV38" s="1141">
        <v>10725.81</v>
      </c>
      <c r="AW38" s="1142">
        <v>2681.45</v>
      </c>
      <c r="AX38" s="1142">
        <v>0</v>
      </c>
      <c r="AY38" s="1142">
        <v>0</v>
      </c>
      <c r="AZ38" s="1142">
        <v>0</v>
      </c>
      <c r="BA38" s="1140">
        <f t="shared" si="20"/>
        <v>13407.259999999998</v>
      </c>
      <c r="BB38" s="1131">
        <v>12358.93</v>
      </c>
      <c r="BC38" s="1131">
        <v>3089.71</v>
      </c>
      <c r="BD38" s="1131">
        <v>0</v>
      </c>
      <c r="BE38" s="1131">
        <v>0</v>
      </c>
      <c r="BF38" s="1131">
        <v>0</v>
      </c>
      <c r="BG38" s="1132">
        <f t="shared" si="21"/>
        <v>15448.64</v>
      </c>
      <c r="BH38" s="1148">
        <v>1471.91</v>
      </c>
      <c r="BI38" s="1149">
        <v>2658.03</v>
      </c>
      <c r="BJ38" s="1149">
        <v>0</v>
      </c>
      <c r="BK38" s="1149">
        <v>0</v>
      </c>
      <c r="BL38" s="1149">
        <v>0</v>
      </c>
      <c r="BM38" s="1147">
        <f t="shared" si="22"/>
        <v>4129.9400000000005</v>
      </c>
      <c r="BN38" s="1148">
        <v>18695.8</v>
      </c>
      <c r="BO38" s="1149">
        <v>2368.17</v>
      </c>
      <c r="BP38" s="1149">
        <v>3863.81</v>
      </c>
      <c r="BQ38" s="1149">
        <v>-0.06</v>
      </c>
      <c r="BR38" s="1149">
        <v>0</v>
      </c>
      <c r="BS38" s="1147">
        <f t="shared" si="23"/>
        <v>24927.72</v>
      </c>
      <c r="BT38" s="1148">
        <v>-584.08000000000004</v>
      </c>
      <c r="BU38" s="1149">
        <v>-584.08000000000004</v>
      </c>
      <c r="BV38" s="1149">
        <v>0</v>
      </c>
      <c r="BW38" s="1149">
        <v>0</v>
      </c>
      <c r="BX38" s="1149">
        <v>0</v>
      </c>
      <c r="BY38" s="1154">
        <f t="shared" si="24"/>
        <v>-1168.1600000000001</v>
      </c>
      <c r="BZ38" s="1148">
        <v>41943.66</v>
      </c>
      <c r="CA38" s="1149">
        <v>116887.77</v>
      </c>
      <c r="CB38" s="1149">
        <v>29133.86</v>
      </c>
      <c r="CC38" s="1149">
        <v>-0.21</v>
      </c>
      <c r="CD38" s="1149">
        <v>0</v>
      </c>
      <c r="CE38" s="1154">
        <f t="shared" si="25"/>
        <v>187965.08</v>
      </c>
      <c r="CF38" s="1148">
        <v>944.69</v>
      </c>
      <c r="CG38" s="1149">
        <v>0</v>
      </c>
      <c r="CH38" s="1149">
        <v>1694.09</v>
      </c>
      <c r="CI38" s="1149">
        <v>0</v>
      </c>
      <c r="CJ38" s="1149">
        <v>0</v>
      </c>
      <c r="CK38" s="1154">
        <f t="shared" si="26"/>
        <v>2638.7799999999997</v>
      </c>
      <c r="CL38" s="1145"/>
      <c r="CM38" s="1146"/>
      <c r="CN38" s="1146"/>
      <c r="CO38" s="1146"/>
      <c r="CP38" s="1146"/>
      <c r="CQ38" s="1147">
        <f t="shared" si="27"/>
        <v>0</v>
      </c>
      <c r="CR38" s="1148"/>
      <c r="CS38" s="1149"/>
      <c r="CT38" s="1149"/>
      <c r="CU38" s="1149"/>
      <c r="CV38" s="1149"/>
      <c r="CW38" s="1154">
        <f t="shared" si="28"/>
        <v>0</v>
      </c>
      <c r="CX38" s="1145"/>
      <c r="CY38" s="1146"/>
      <c r="CZ38" s="1146"/>
      <c r="DA38" s="1146"/>
      <c r="DB38" s="1146"/>
      <c r="DC38" s="1147">
        <f t="shared" si="29"/>
        <v>0</v>
      </c>
      <c r="DD38" s="1148">
        <v>-2377.9499999999998</v>
      </c>
      <c r="DE38" s="1149">
        <v>0</v>
      </c>
      <c r="DF38" s="1149">
        <v>0</v>
      </c>
      <c r="DG38" s="1149">
        <v>0</v>
      </c>
      <c r="DH38" s="1149">
        <v>0</v>
      </c>
      <c r="DI38" s="1154">
        <f t="shared" si="30"/>
        <v>-2377.9499999999998</v>
      </c>
      <c r="DJ38" s="1233"/>
      <c r="DK38" s="1233"/>
      <c r="DL38" s="1233"/>
      <c r="DM38" s="1233"/>
      <c r="DN38" s="1233"/>
      <c r="DO38" s="1233">
        <f t="shared" si="31"/>
        <v>0</v>
      </c>
      <c r="DP38" s="1148">
        <v>4595.01</v>
      </c>
      <c r="DQ38" s="1149">
        <v>3170.57</v>
      </c>
      <c r="DR38" s="1149">
        <v>1424.44</v>
      </c>
      <c r="DS38" s="1149">
        <v>-0.02</v>
      </c>
      <c r="DT38" s="1149">
        <v>0</v>
      </c>
      <c r="DU38" s="1155">
        <f t="shared" si="32"/>
        <v>9190</v>
      </c>
      <c r="DV38" s="1148">
        <v>1621.34</v>
      </c>
      <c r="DW38" s="1149">
        <v>0</v>
      </c>
      <c r="DX38" s="1149">
        <v>297.38</v>
      </c>
      <c r="DY38" s="1149">
        <v>0.06</v>
      </c>
      <c r="DZ38" s="1149">
        <v>0</v>
      </c>
      <c r="EA38" s="1154">
        <f t="shared" si="33"/>
        <v>1918.7799999999997</v>
      </c>
    </row>
    <row r="39" spans="1:131" ht="15" customHeight="1">
      <c r="A39" s="746" t="s">
        <v>86</v>
      </c>
      <c r="B39" s="844" t="s">
        <v>87</v>
      </c>
      <c r="C39" s="967" t="s">
        <v>267</v>
      </c>
      <c r="D39" s="842">
        <f t="shared" si="6"/>
        <v>94269.14</v>
      </c>
      <c r="E39" s="842">
        <f t="shared" si="7"/>
        <v>99601.16</v>
      </c>
      <c r="F39" s="842">
        <f t="shared" si="8"/>
        <v>33172.550000000003</v>
      </c>
      <c r="G39" s="842">
        <f t="shared" si="9"/>
        <v>49082.659999999996</v>
      </c>
      <c r="H39" s="842">
        <f t="shared" si="10"/>
        <v>0</v>
      </c>
      <c r="I39" s="1578">
        <f t="shared" si="11"/>
        <v>276125.50999999995</v>
      </c>
      <c r="J39" s="843">
        <f t="shared" si="12"/>
        <v>49082.659999999996</v>
      </c>
      <c r="K39" s="1579">
        <f t="shared" si="13"/>
        <v>82255.209999999992</v>
      </c>
      <c r="L39" s="1116"/>
      <c r="M39" s="1117"/>
      <c r="N39" s="1117"/>
      <c r="O39" s="1117"/>
      <c r="P39" s="1117"/>
      <c r="Q39" s="1118">
        <f t="shared" si="14"/>
        <v>0</v>
      </c>
      <c r="R39" s="1133"/>
      <c r="S39" s="1134"/>
      <c r="T39" s="1134"/>
      <c r="U39" s="1134"/>
      <c r="V39" s="1134"/>
      <c r="W39" s="1132">
        <f t="shared" si="15"/>
        <v>0</v>
      </c>
      <c r="X39" s="1231">
        <v>0</v>
      </c>
      <c r="Y39" s="1231">
        <v>20000</v>
      </c>
      <c r="Z39" s="1231">
        <v>0</v>
      </c>
      <c r="AA39" s="1231">
        <v>0</v>
      </c>
      <c r="AB39" s="1231">
        <v>0</v>
      </c>
      <c r="AC39" s="1231">
        <f t="shared" si="16"/>
        <v>20000</v>
      </c>
      <c r="AD39" s="1127">
        <v>5518.5</v>
      </c>
      <c r="AE39" s="1128">
        <v>32.840000000000003</v>
      </c>
      <c r="AF39" s="1128">
        <v>1018.29</v>
      </c>
      <c r="AG39" s="1128">
        <v>0.02</v>
      </c>
      <c r="AH39" s="1128">
        <v>0</v>
      </c>
      <c r="AI39" s="1124">
        <f t="shared" si="17"/>
        <v>6569.6500000000005</v>
      </c>
      <c r="AJ39" s="1148">
        <v>28996</v>
      </c>
      <c r="AK39" s="1149">
        <v>0</v>
      </c>
      <c r="AL39" s="1149">
        <v>7249</v>
      </c>
      <c r="AM39" s="1149">
        <v>28640.63</v>
      </c>
      <c r="AN39" s="1149">
        <v>0</v>
      </c>
      <c r="AO39" s="1154">
        <f t="shared" si="18"/>
        <v>64885.630000000005</v>
      </c>
      <c r="AP39" s="1125"/>
      <c r="AQ39" s="1126"/>
      <c r="AR39" s="1126"/>
      <c r="AS39" s="1126"/>
      <c r="AT39" s="1126"/>
      <c r="AU39" s="1137">
        <f t="shared" si="19"/>
        <v>0</v>
      </c>
      <c r="AV39" s="1141">
        <v>1516</v>
      </c>
      <c r="AW39" s="1142">
        <v>379</v>
      </c>
      <c r="AX39" s="1142">
        <v>0</v>
      </c>
      <c r="AY39" s="1142">
        <v>0</v>
      </c>
      <c r="AZ39" s="1142">
        <v>0</v>
      </c>
      <c r="BA39" s="1140">
        <f t="shared" si="20"/>
        <v>1895</v>
      </c>
      <c r="BB39" s="1131">
        <v>580.79999999999995</v>
      </c>
      <c r="BC39" s="1131">
        <v>145.19999999999999</v>
      </c>
      <c r="BD39" s="1131">
        <v>0</v>
      </c>
      <c r="BE39" s="1131">
        <v>0</v>
      </c>
      <c r="BF39" s="1131">
        <v>0</v>
      </c>
      <c r="BG39" s="1132">
        <f t="shared" si="21"/>
        <v>726</v>
      </c>
      <c r="BH39" s="1148">
        <v>329.67</v>
      </c>
      <c r="BI39" s="1149">
        <v>595.33000000000004</v>
      </c>
      <c r="BJ39" s="1149">
        <v>0</v>
      </c>
      <c r="BK39" s="1149">
        <v>0</v>
      </c>
      <c r="BL39" s="1149">
        <v>0</v>
      </c>
      <c r="BM39" s="1147">
        <f t="shared" si="22"/>
        <v>925</v>
      </c>
      <c r="BN39" s="1145">
        <v>21534.87</v>
      </c>
      <c r="BO39" s="1146">
        <v>2727.74</v>
      </c>
      <c r="BP39" s="1146">
        <v>4450.54</v>
      </c>
      <c r="BQ39" s="1146">
        <v>0</v>
      </c>
      <c r="BR39" s="1146">
        <v>0</v>
      </c>
      <c r="BS39" s="1147">
        <f t="shared" si="23"/>
        <v>28713.15</v>
      </c>
      <c r="BT39" s="1148"/>
      <c r="BU39" s="1149"/>
      <c r="BV39" s="1149"/>
      <c r="BW39" s="1149"/>
      <c r="BX39" s="1149"/>
      <c r="BY39" s="1154">
        <f t="shared" si="24"/>
        <v>0</v>
      </c>
      <c r="BZ39" s="1148">
        <v>25694.53</v>
      </c>
      <c r="CA39" s="1149">
        <v>73267</v>
      </c>
      <c r="CB39" s="1149">
        <v>18152.18</v>
      </c>
      <c r="CC39" s="1149">
        <v>-0.04</v>
      </c>
      <c r="CD39" s="1149">
        <v>0</v>
      </c>
      <c r="CE39" s="1154">
        <f t="shared" si="25"/>
        <v>117113.67</v>
      </c>
      <c r="CF39" s="1148">
        <v>0</v>
      </c>
      <c r="CG39" s="1149">
        <v>0</v>
      </c>
      <c r="CH39" s="1149">
        <v>0</v>
      </c>
      <c r="CI39" s="1149">
        <v>20441.95</v>
      </c>
      <c r="CJ39" s="1149">
        <v>0</v>
      </c>
      <c r="CK39" s="1154">
        <f t="shared" si="26"/>
        <v>20441.95</v>
      </c>
      <c r="CL39" s="1145"/>
      <c r="CM39" s="1146"/>
      <c r="CN39" s="1146"/>
      <c r="CO39" s="1146"/>
      <c r="CP39" s="1146"/>
      <c r="CQ39" s="1147">
        <f t="shared" si="27"/>
        <v>0</v>
      </c>
      <c r="CR39" s="1148"/>
      <c r="CS39" s="1149"/>
      <c r="CT39" s="1149"/>
      <c r="CU39" s="1149"/>
      <c r="CV39" s="1149"/>
      <c r="CW39" s="1154">
        <f t="shared" si="28"/>
        <v>0</v>
      </c>
      <c r="CX39" s="1145"/>
      <c r="CY39" s="1146"/>
      <c r="CZ39" s="1146"/>
      <c r="DA39" s="1146"/>
      <c r="DB39" s="1146"/>
      <c r="DC39" s="1147">
        <f t="shared" si="29"/>
        <v>0</v>
      </c>
      <c r="DD39" s="1148"/>
      <c r="DE39" s="1149"/>
      <c r="DF39" s="1149"/>
      <c r="DG39" s="1149"/>
      <c r="DH39" s="1149"/>
      <c r="DI39" s="1154">
        <f t="shared" si="30"/>
        <v>0</v>
      </c>
      <c r="DJ39" s="1233"/>
      <c r="DK39" s="1233"/>
      <c r="DL39" s="1233"/>
      <c r="DM39" s="1233"/>
      <c r="DN39" s="1233"/>
      <c r="DO39" s="1233">
        <f t="shared" si="31"/>
        <v>0</v>
      </c>
      <c r="DP39" s="1148">
        <v>3556.61</v>
      </c>
      <c r="DQ39" s="1149">
        <v>2454.0500000000002</v>
      </c>
      <c r="DR39" s="1149">
        <v>1102.53</v>
      </c>
      <c r="DS39" s="1149">
        <v>0.01</v>
      </c>
      <c r="DT39" s="1149">
        <v>0</v>
      </c>
      <c r="DU39" s="1155">
        <f t="shared" si="32"/>
        <v>7113.2</v>
      </c>
      <c r="DV39" s="1148">
        <v>6542.16</v>
      </c>
      <c r="DW39" s="1149">
        <v>0</v>
      </c>
      <c r="DX39" s="1149">
        <v>1200.01</v>
      </c>
      <c r="DY39" s="1149">
        <v>0.09</v>
      </c>
      <c r="DZ39" s="1149">
        <v>0</v>
      </c>
      <c r="EA39" s="1154">
        <f t="shared" si="33"/>
        <v>7742.26</v>
      </c>
    </row>
    <row r="40" spans="1:131" ht="15" customHeight="1">
      <c r="A40" s="746" t="s">
        <v>92</v>
      </c>
      <c r="B40" s="844" t="s">
        <v>93</v>
      </c>
      <c r="C40" s="967" t="s">
        <v>268</v>
      </c>
      <c r="D40" s="842">
        <f t="shared" si="6"/>
        <v>36896.43</v>
      </c>
      <c r="E40" s="842">
        <f t="shared" si="7"/>
        <v>8807.82</v>
      </c>
      <c r="F40" s="842">
        <f t="shared" si="8"/>
        <v>8726.0300000000007</v>
      </c>
      <c r="G40" s="842">
        <f t="shared" si="9"/>
        <v>-0.03</v>
      </c>
      <c r="H40" s="842">
        <f t="shared" si="10"/>
        <v>0</v>
      </c>
      <c r="I40" s="1578">
        <f t="shared" si="11"/>
        <v>54430.25</v>
      </c>
      <c r="J40" s="843">
        <f t="shared" si="12"/>
        <v>-0.03</v>
      </c>
      <c r="K40" s="1579">
        <f t="shared" si="13"/>
        <v>8726</v>
      </c>
      <c r="L40" s="1116"/>
      <c r="M40" s="1117"/>
      <c r="N40" s="1117"/>
      <c r="O40" s="1117"/>
      <c r="P40" s="1117"/>
      <c r="Q40" s="1118">
        <f t="shared" si="14"/>
        <v>0</v>
      </c>
      <c r="R40" s="1133"/>
      <c r="S40" s="1134"/>
      <c r="T40" s="1134"/>
      <c r="U40" s="1134"/>
      <c r="V40" s="1134"/>
      <c r="W40" s="1132">
        <f t="shared" si="15"/>
        <v>0</v>
      </c>
      <c r="X40" s="1231"/>
      <c r="Y40" s="1231"/>
      <c r="Z40" s="1231"/>
      <c r="AA40" s="1231"/>
      <c r="AB40" s="1231"/>
      <c r="AC40" s="1231">
        <f t="shared" si="16"/>
        <v>0</v>
      </c>
      <c r="AD40" s="1127">
        <v>2612.89</v>
      </c>
      <c r="AE40" s="1128">
        <v>15.54</v>
      </c>
      <c r="AF40" s="1128">
        <v>482.14</v>
      </c>
      <c r="AG40" s="1128">
        <v>0.01</v>
      </c>
      <c r="AH40" s="1128">
        <v>0</v>
      </c>
      <c r="AI40" s="1124">
        <f t="shared" si="17"/>
        <v>3110.58</v>
      </c>
      <c r="AJ40" s="1148">
        <v>12985.39</v>
      </c>
      <c r="AK40" s="1149">
        <v>0</v>
      </c>
      <c r="AL40" s="1149">
        <v>3246.36</v>
      </c>
      <c r="AM40" s="1149">
        <v>0</v>
      </c>
      <c r="AN40" s="1149">
        <v>0</v>
      </c>
      <c r="AO40" s="1154">
        <f t="shared" si="18"/>
        <v>16231.75</v>
      </c>
      <c r="AP40" s="1125"/>
      <c r="AQ40" s="1126"/>
      <c r="AR40" s="1126"/>
      <c r="AS40" s="1126"/>
      <c r="AT40" s="1126"/>
      <c r="AU40" s="1137">
        <f t="shared" si="19"/>
        <v>0</v>
      </c>
      <c r="AV40" s="1141"/>
      <c r="AW40" s="1142"/>
      <c r="AX40" s="1142"/>
      <c r="AY40" s="1142"/>
      <c r="AZ40" s="1142"/>
      <c r="BA40" s="1140">
        <f t="shared" si="20"/>
        <v>0</v>
      </c>
      <c r="BB40" s="1131">
        <v>2276.4699999999998</v>
      </c>
      <c r="BC40" s="1131">
        <v>569.11</v>
      </c>
      <c r="BD40" s="1131">
        <v>0</v>
      </c>
      <c r="BE40" s="1131">
        <v>0</v>
      </c>
      <c r="BF40" s="1131">
        <v>0</v>
      </c>
      <c r="BG40" s="1132">
        <f t="shared" si="21"/>
        <v>2845.58</v>
      </c>
      <c r="BH40" s="1145"/>
      <c r="BI40" s="1146"/>
      <c r="BJ40" s="1146"/>
      <c r="BK40" s="1146"/>
      <c r="BL40" s="1146"/>
      <c r="BM40" s="1147">
        <f t="shared" si="22"/>
        <v>0</v>
      </c>
      <c r="BN40" s="1148">
        <v>12389.53</v>
      </c>
      <c r="BO40" s="1149">
        <v>1569.35</v>
      </c>
      <c r="BP40" s="1149">
        <v>2560.5100000000002</v>
      </c>
      <c r="BQ40" s="1149">
        <v>-0.03</v>
      </c>
      <c r="BR40" s="1149">
        <v>0</v>
      </c>
      <c r="BS40" s="1147">
        <f t="shared" si="23"/>
        <v>16519.36</v>
      </c>
      <c r="BT40" s="1148"/>
      <c r="BU40" s="1149"/>
      <c r="BV40" s="1149"/>
      <c r="BW40" s="1149"/>
      <c r="BX40" s="1149"/>
      <c r="BY40" s="1154">
        <f t="shared" si="24"/>
        <v>0</v>
      </c>
      <c r="BZ40" s="1148">
        <v>2507.15</v>
      </c>
      <c r="CA40" s="1149">
        <v>3807.57</v>
      </c>
      <c r="CB40" s="1149">
        <v>1158.27</v>
      </c>
      <c r="CC40" s="1149">
        <v>-0.01</v>
      </c>
      <c r="CD40" s="1149">
        <v>0</v>
      </c>
      <c r="CE40" s="1154">
        <f t="shared" si="25"/>
        <v>7472.98</v>
      </c>
      <c r="CF40" s="1145"/>
      <c r="CG40" s="1146"/>
      <c r="CH40" s="1146"/>
      <c r="CI40" s="1146"/>
      <c r="CJ40" s="1146"/>
      <c r="CK40" s="1154">
        <f t="shared" si="26"/>
        <v>0</v>
      </c>
      <c r="CL40" s="1145"/>
      <c r="CM40" s="1146"/>
      <c r="CN40" s="1146"/>
      <c r="CO40" s="1146"/>
      <c r="CP40" s="1146"/>
      <c r="CQ40" s="1147">
        <f t="shared" si="27"/>
        <v>0</v>
      </c>
      <c r="CR40" s="1148"/>
      <c r="CS40" s="1149"/>
      <c r="CT40" s="1149"/>
      <c r="CU40" s="1149"/>
      <c r="CV40" s="1149"/>
      <c r="CW40" s="1154">
        <f t="shared" si="28"/>
        <v>0</v>
      </c>
      <c r="CX40" s="1148"/>
      <c r="CY40" s="1149"/>
      <c r="CZ40" s="1149"/>
      <c r="DA40" s="1149"/>
      <c r="DB40" s="1149"/>
      <c r="DC40" s="1147">
        <f t="shared" si="29"/>
        <v>0</v>
      </c>
      <c r="DD40" s="1148"/>
      <c r="DE40" s="1149"/>
      <c r="DF40" s="1149"/>
      <c r="DG40" s="1149"/>
      <c r="DH40" s="1149"/>
      <c r="DI40" s="1154">
        <f t="shared" si="30"/>
        <v>0</v>
      </c>
      <c r="DJ40" s="1234"/>
      <c r="DK40" s="1234"/>
      <c r="DL40" s="1234"/>
      <c r="DM40" s="1234"/>
      <c r="DN40" s="1234"/>
      <c r="DO40" s="1233">
        <f t="shared" si="31"/>
        <v>0</v>
      </c>
      <c r="DP40" s="1145">
        <v>4125</v>
      </c>
      <c r="DQ40" s="1146">
        <v>2846.25</v>
      </c>
      <c r="DR40" s="1146">
        <v>1278.75</v>
      </c>
      <c r="DS40" s="1146">
        <v>0</v>
      </c>
      <c r="DT40" s="1146">
        <v>0</v>
      </c>
      <c r="DU40" s="1155">
        <f t="shared" si="32"/>
        <v>8250</v>
      </c>
      <c r="DV40" s="1145"/>
      <c r="DW40" s="1146"/>
      <c r="DX40" s="1146"/>
      <c r="DY40" s="1146"/>
      <c r="DZ40" s="1146"/>
      <c r="EA40" s="1154">
        <f t="shared" si="33"/>
        <v>0</v>
      </c>
    </row>
    <row r="41" spans="1:131" ht="15" customHeight="1">
      <c r="A41" s="746" t="s">
        <v>94</v>
      </c>
      <c r="B41" s="844" t="s">
        <v>95</v>
      </c>
      <c r="C41" s="967" t="s">
        <v>264</v>
      </c>
      <c r="D41" s="842">
        <f t="shared" si="6"/>
        <v>41313.53</v>
      </c>
      <c r="E41" s="842">
        <f t="shared" si="7"/>
        <v>18811.23</v>
      </c>
      <c r="F41" s="842">
        <f t="shared" si="8"/>
        <v>11527.400000000001</v>
      </c>
      <c r="G41" s="842">
        <f t="shared" si="9"/>
        <v>-2.0000000000000004E-2</v>
      </c>
      <c r="H41" s="842">
        <f t="shared" si="10"/>
        <v>0</v>
      </c>
      <c r="I41" s="1578">
        <f t="shared" si="11"/>
        <v>71652.14</v>
      </c>
      <c r="J41" s="843">
        <f t="shared" si="12"/>
        <v>-2.0000000000000004E-2</v>
      </c>
      <c r="K41" s="1579">
        <f t="shared" si="13"/>
        <v>11527.380000000001</v>
      </c>
      <c r="L41" s="1116"/>
      <c r="M41" s="1117"/>
      <c r="N41" s="1117"/>
      <c r="O41" s="1117"/>
      <c r="P41" s="1117"/>
      <c r="Q41" s="1118">
        <f t="shared" si="14"/>
        <v>0</v>
      </c>
      <c r="R41" s="1133"/>
      <c r="S41" s="1134"/>
      <c r="T41" s="1134"/>
      <c r="U41" s="1134"/>
      <c r="V41" s="1134"/>
      <c r="W41" s="1132">
        <f t="shared" si="15"/>
        <v>0</v>
      </c>
      <c r="X41" s="1231"/>
      <c r="Y41" s="1231"/>
      <c r="Z41" s="1231"/>
      <c r="AA41" s="1231"/>
      <c r="AB41" s="1231"/>
      <c r="AC41" s="1231">
        <f t="shared" si="16"/>
        <v>0</v>
      </c>
      <c r="AD41" s="1127">
        <v>255.76</v>
      </c>
      <c r="AE41" s="1128">
        <v>1.53</v>
      </c>
      <c r="AF41" s="1128">
        <v>47.2</v>
      </c>
      <c r="AG41" s="1128">
        <v>-0.01</v>
      </c>
      <c r="AH41" s="1128">
        <v>0</v>
      </c>
      <c r="AI41" s="1124">
        <f t="shared" si="17"/>
        <v>304.47999999999996</v>
      </c>
      <c r="AJ41" s="1148">
        <v>10032.200000000001</v>
      </c>
      <c r="AK41" s="1149">
        <v>0</v>
      </c>
      <c r="AL41" s="1149">
        <v>2508.0500000000002</v>
      </c>
      <c r="AM41" s="1149">
        <v>0</v>
      </c>
      <c r="AN41" s="1149">
        <v>0</v>
      </c>
      <c r="AO41" s="1154">
        <f t="shared" si="18"/>
        <v>12540.25</v>
      </c>
      <c r="AP41" s="1125"/>
      <c r="AQ41" s="1126"/>
      <c r="AR41" s="1126"/>
      <c r="AS41" s="1126"/>
      <c r="AT41" s="1126"/>
      <c r="AU41" s="1137">
        <f t="shared" si="19"/>
        <v>0</v>
      </c>
      <c r="AV41" s="1138"/>
      <c r="AW41" s="1139"/>
      <c r="AX41" s="1139"/>
      <c r="AY41" s="1139"/>
      <c r="AZ41" s="1139"/>
      <c r="BA41" s="1140">
        <f t="shared" si="20"/>
        <v>0</v>
      </c>
      <c r="BB41" s="1131">
        <v>3936.19</v>
      </c>
      <c r="BC41" s="1131">
        <v>984.06</v>
      </c>
      <c r="BD41" s="1131">
        <v>0</v>
      </c>
      <c r="BE41" s="1131">
        <v>0</v>
      </c>
      <c r="BF41" s="1131">
        <v>0</v>
      </c>
      <c r="BG41" s="1132">
        <f t="shared" si="21"/>
        <v>4920.25</v>
      </c>
      <c r="BH41" s="1148">
        <v>115.26</v>
      </c>
      <c r="BI41" s="1149">
        <v>208.14</v>
      </c>
      <c r="BJ41" s="1149">
        <v>0</v>
      </c>
      <c r="BK41" s="1149">
        <v>0</v>
      </c>
      <c r="BL41" s="1149">
        <v>0</v>
      </c>
      <c r="BM41" s="1147">
        <f t="shared" si="22"/>
        <v>323.39999999999998</v>
      </c>
      <c r="BN41" s="1148">
        <v>17244.77</v>
      </c>
      <c r="BO41" s="1149">
        <v>2184.33</v>
      </c>
      <c r="BP41" s="1149">
        <v>3563.93</v>
      </c>
      <c r="BQ41" s="1149">
        <v>-0.03</v>
      </c>
      <c r="BR41" s="1149">
        <v>0</v>
      </c>
      <c r="BS41" s="1147">
        <f t="shared" si="23"/>
        <v>22993</v>
      </c>
      <c r="BT41" s="1148"/>
      <c r="BU41" s="1149"/>
      <c r="BV41" s="1149"/>
      <c r="BW41" s="1149"/>
      <c r="BX41" s="1149"/>
      <c r="BY41" s="1154">
        <f t="shared" si="24"/>
        <v>0</v>
      </c>
      <c r="BZ41" s="1148">
        <v>5412.37</v>
      </c>
      <c r="CA41" s="1149">
        <v>15433.17</v>
      </c>
      <c r="CB41" s="1149">
        <v>3823.61</v>
      </c>
      <c r="CC41" s="1149">
        <v>-0.06</v>
      </c>
      <c r="CD41" s="1149">
        <v>0</v>
      </c>
      <c r="CE41" s="1154">
        <f t="shared" si="25"/>
        <v>24669.09</v>
      </c>
      <c r="CF41" s="1148">
        <v>492.45</v>
      </c>
      <c r="CG41" s="1149">
        <v>0</v>
      </c>
      <c r="CH41" s="1149">
        <v>883.1</v>
      </c>
      <c r="CI41" s="1149">
        <v>0</v>
      </c>
      <c r="CJ41" s="1149">
        <v>0</v>
      </c>
      <c r="CK41" s="1154">
        <f t="shared" si="26"/>
        <v>1375.55</v>
      </c>
      <c r="CL41" s="1145"/>
      <c r="CM41" s="1146"/>
      <c r="CN41" s="1146"/>
      <c r="CO41" s="1146"/>
      <c r="CP41" s="1146"/>
      <c r="CQ41" s="1147">
        <f t="shared" si="27"/>
        <v>0</v>
      </c>
      <c r="CR41" s="1148"/>
      <c r="CS41" s="1149"/>
      <c r="CT41" s="1149"/>
      <c r="CU41" s="1149"/>
      <c r="CV41" s="1149"/>
      <c r="CW41" s="1154">
        <f t="shared" si="28"/>
        <v>0</v>
      </c>
      <c r="CX41" s="1145"/>
      <c r="CY41" s="1146"/>
      <c r="CZ41" s="1146"/>
      <c r="DA41" s="1146"/>
      <c r="DB41" s="1146"/>
      <c r="DC41" s="1147">
        <f t="shared" si="29"/>
        <v>0</v>
      </c>
      <c r="DD41" s="1148"/>
      <c r="DE41" s="1149"/>
      <c r="DF41" s="1149"/>
      <c r="DG41" s="1149"/>
      <c r="DH41" s="1149"/>
      <c r="DI41" s="1154">
        <f t="shared" si="30"/>
        <v>0</v>
      </c>
      <c r="DJ41" s="1234"/>
      <c r="DK41" s="1234"/>
      <c r="DL41" s="1234"/>
      <c r="DM41" s="1234"/>
      <c r="DN41" s="1234"/>
      <c r="DO41" s="1233">
        <f t="shared" si="31"/>
        <v>0</v>
      </c>
      <c r="DP41" s="1145"/>
      <c r="DQ41" s="1146"/>
      <c r="DR41" s="1146"/>
      <c r="DS41" s="1146"/>
      <c r="DT41" s="1146"/>
      <c r="DU41" s="1155">
        <f t="shared" si="32"/>
        <v>0</v>
      </c>
      <c r="DV41" s="1148">
        <v>3824.53</v>
      </c>
      <c r="DW41" s="1149">
        <v>0</v>
      </c>
      <c r="DX41" s="1149">
        <v>701.51</v>
      </c>
      <c r="DY41" s="1149">
        <v>0.08</v>
      </c>
      <c r="DZ41" s="1149">
        <v>0</v>
      </c>
      <c r="EA41" s="1154">
        <f t="shared" si="33"/>
        <v>4526.12</v>
      </c>
    </row>
    <row r="42" spans="1:131" ht="15" customHeight="1">
      <c r="A42" s="746" t="s">
        <v>96</v>
      </c>
      <c r="B42" s="844" t="s">
        <v>97</v>
      </c>
      <c r="C42" s="967" t="s">
        <v>266</v>
      </c>
      <c r="D42" s="842">
        <f t="shared" si="6"/>
        <v>35482.519999999997</v>
      </c>
      <c r="E42" s="842">
        <f t="shared" si="7"/>
        <v>8794.4</v>
      </c>
      <c r="F42" s="842">
        <f t="shared" si="8"/>
        <v>7314.9400000000005</v>
      </c>
      <c r="G42" s="842">
        <f t="shared" si="9"/>
        <v>-0.04</v>
      </c>
      <c r="H42" s="842">
        <f t="shared" si="10"/>
        <v>72097.75</v>
      </c>
      <c r="I42" s="1578">
        <f t="shared" si="11"/>
        <v>123689.57</v>
      </c>
      <c r="J42" s="843">
        <f t="shared" si="12"/>
        <v>72097.710000000006</v>
      </c>
      <c r="K42" s="1579">
        <f t="shared" si="13"/>
        <v>79412.650000000009</v>
      </c>
      <c r="L42" s="1116"/>
      <c r="M42" s="1117"/>
      <c r="N42" s="1117"/>
      <c r="O42" s="1117"/>
      <c r="P42" s="1117"/>
      <c r="Q42" s="1118">
        <f t="shared" si="14"/>
        <v>0</v>
      </c>
      <c r="R42" s="1133"/>
      <c r="S42" s="1134"/>
      <c r="T42" s="1134"/>
      <c r="U42" s="1134"/>
      <c r="V42" s="1134"/>
      <c r="W42" s="1132">
        <f t="shared" si="15"/>
        <v>0</v>
      </c>
      <c r="X42" s="1231"/>
      <c r="Y42" s="1231"/>
      <c r="Z42" s="1231"/>
      <c r="AA42" s="1231"/>
      <c r="AB42" s="1231"/>
      <c r="AC42" s="1231">
        <f t="shared" si="16"/>
        <v>0</v>
      </c>
      <c r="AD42" s="1127">
        <v>1181.31</v>
      </c>
      <c r="AE42" s="1128">
        <v>7.04</v>
      </c>
      <c r="AF42" s="1128">
        <v>217.99</v>
      </c>
      <c r="AG42" s="1128">
        <v>-0.02</v>
      </c>
      <c r="AH42" s="1128">
        <v>0</v>
      </c>
      <c r="AI42" s="1124">
        <f t="shared" si="17"/>
        <v>1406.32</v>
      </c>
      <c r="AJ42" s="1148">
        <v>14549.65</v>
      </c>
      <c r="AK42" s="1149">
        <v>0</v>
      </c>
      <c r="AL42" s="1149">
        <v>3637.43</v>
      </c>
      <c r="AM42" s="1149">
        <v>0</v>
      </c>
      <c r="AN42" s="1149">
        <v>72097.75</v>
      </c>
      <c r="AO42" s="1154">
        <f t="shared" si="18"/>
        <v>90284.83</v>
      </c>
      <c r="AP42" s="1125"/>
      <c r="AQ42" s="1126"/>
      <c r="AR42" s="1126"/>
      <c r="AS42" s="1126"/>
      <c r="AT42" s="1126"/>
      <c r="AU42" s="1137">
        <f t="shared" si="19"/>
        <v>0</v>
      </c>
      <c r="AV42" s="1141">
        <v>8000</v>
      </c>
      <c r="AW42" s="1142">
        <v>2000</v>
      </c>
      <c r="AX42" s="1142">
        <v>0</v>
      </c>
      <c r="AY42" s="1142">
        <v>0</v>
      </c>
      <c r="AZ42" s="1142">
        <v>0</v>
      </c>
      <c r="BA42" s="1140">
        <f t="shared" si="20"/>
        <v>10000</v>
      </c>
      <c r="BB42" s="1131">
        <v>2229.56</v>
      </c>
      <c r="BC42" s="1131">
        <v>557.4</v>
      </c>
      <c r="BD42" s="1131">
        <v>0</v>
      </c>
      <c r="BE42" s="1131">
        <v>0</v>
      </c>
      <c r="BF42" s="1131">
        <v>0</v>
      </c>
      <c r="BG42" s="1132">
        <f t="shared" si="21"/>
        <v>2786.96</v>
      </c>
      <c r="BH42" s="1145">
        <v>12.07</v>
      </c>
      <c r="BI42" s="1146">
        <v>21.81</v>
      </c>
      <c r="BJ42" s="1146">
        <v>0</v>
      </c>
      <c r="BK42" s="1146">
        <v>0</v>
      </c>
      <c r="BL42" s="1146">
        <v>0</v>
      </c>
      <c r="BM42" s="1147">
        <f t="shared" si="22"/>
        <v>33.879999999999995</v>
      </c>
      <c r="BN42" s="1145">
        <v>1228.57</v>
      </c>
      <c r="BO42" s="1146">
        <v>155.62</v>
      </c>
      <c r="BP42" s="1146">
        <v>253.91</v>
      </c>
      <c r="BQ42" s="1146">
        <v>0</v>
      </c>
      <c r="BR42" s="1146">
        <v>0</v>
      </c>
      <c r="BS42" s="1147">
        <f t="shared" si="23"/>
        <v>1638.1000000000001</v>
      </c>
      <c r="BT42" s="1148"/>
      <c r="BU42" s="1149"/>
      <c r="BV42" s="1149"/>
      <c r="BW42" s="1149"/>
      <c r="BX42" s="1149"/>
      <c r="BY42" s="1154">
        <f t="shared" si="24"/>
        <v>0</v>
      </c>
      <c r="BZ42" s="1148">
        <v>1045.0999999999999</v>
      </c>
      <c r="CA42" s="1149">
        <v>2875.43</v>
      </c>
      <c r="CB42" s="1149">
        <v>719.13</v>
      </c>
      <c r="CC42" s="1149">
        <v>-0.01</v>
      </c>
      <c r="CD42" s="1149">
        <v>0</v>
      </c>
      <c r="CE42" s="1154">
        <f t="shared" si="25"/>
        <v>4639.6499999999996</v>
      </c>
      <c r="CF42" s="1145">
        <v>358</v>
      </c>
      <c r="CG42" s="1146">
        <v>0</v>
      </c>
      <c r="CH42" s="1146">
        <v>642</v>
      </c>
      <c r="CI42" s="1146">
        <v>0</v>
      </c>
      <c r="CJ42" s="1146">
        <v>0</v>
      </c>
      <c r="CK42" s="1154">
        <f t="shared" si="26"/>
        <v>1000</v>
      </c>
      <c r="CL42" s="1145"/>
      <c r="CM42" s="1146"/>
      <c r="CN42" s="1146"/>
      <c r="CO42" s="1146"/>
      <c r="CP42" s="1146"/>
      <c r="CQ42" s="1147">
        <f t="shared" si="27"/>
        <v>0</v>
      </c>
      <c r="CR42" s="1148"/>
      <c r="CS42" s="1149"/>
      <c r="CT42" s="1149"/>
      <c r="CU42" s="1149"/>
      <c r="CV42" s="1149"/>
      <c r="CW42" s="1154">
        <f t="shared" si="28"/>
        <v>0</v>
      </c>
      <c r="CX42" s="1145"/>
      <c r="CY42" s="1146"/>
      <c r="CZ42" s="1146"/>
      <c r="DA42" s="1146"/>
      <c r="DB42" s="1146"/>
      <c r="DC42" s="1147">
        <f t="shared" si="29"/>
        <v>0</v>
      </c>
      <c r="DD42" s="1148"/>
      <c r="DE42" s="1149"/>
      <c r="DF42" s="1149"/>
      <c r="DG42" s="1149"/>
      <c r="DH42" s="1149"/>
      <c r="DI42" s="1154">
        <f t="shared" si="30"/>
        <v>0</v>
      </c>
      <c r="DJ42" s="1233"/>
      <c r="DK42" s="1233"/>
      <c r="DL42" s="1233"/>
      <c r="DM42" s="1233"/>
      <c r="DN42" s="1233"/>
      <c r="DO42" s="1233">
        <f t="shared" si="31"/>
        <v>0</v>
      </c>
      <c r="DP42" s="1148">
        <v>4604.51</v>
      </c>
      <c r="DQ42" s="1149">
        <v>3177.1</v>
      </c>
      <c r="DR42" s="1149">
        <v>1427.4</v>
      </c>
      <c r="DS42" s="1149">
        <v>-0.01</v>
      </c>
      <c r="DT42" s="1149">
        <v>0</v>
      </c>
      <c r="DU42" s="1155">
        <f t="shared" si="32"/>
        <v>9209</v>
      </c>
      <c r="DV42" s="1148">
        <v>2273.75</v>
      </c>
      <c r="DW42" s="1149">
        <v>0</v>
      </c>
      <c r="DX42" s="1149">
        <v>417.08</v>
      </c>
      <c r="DY42" s="1149">
        <v>0</v>
      </c>
      <c r="DZ42" s="1149">
        <v>0</v>
      </c>
      <c r="EA42" s="1154">
        <f t="shared" si="33"/>
        <v>2690.83</v>
      </c>
    </row>
    <row r="43" spans="1:131" ht="15" customHeight="1">
      <c r="A43" s="746" t="s">
        <v>98</v>
      </c>
      <c r="B43" s="844" t="s">
        <v>99</v>
      </c>
      <c r="C43" s="967" t="s">
        <v>268</v>
      </c>
      <c r="D43" s="842">
        <f t="shared" si="6"/>
        <v>32036.409999999996</v>
      </c>
      <c r="E43" s="842">
        <f t="shared" si="7"/>
        <v>11940.87</v>
      </c>
      <c r="F43" s="842">
        <f t="shared" si="8"/>
        <v>6981</v>
      </c>
      <c r="G43" s="842">
        <f t="shared" si="9"/>
        <v>-0.04</v>
      </c>
      <c r="H43" s="842">
        <f t="shared" si="10"/>
        <v>0</v>
      </c>
      <c r="I43" s="1578">
        <f t="shared" si="11"/>
        <v>50958.239999999998</v>
      </c>
      <c r="J43" s="843">
        <f t="shared" si="12"/>
        <v>-0.04</v>
      </c>
      <c r="K43" s="1579">
        <f t="shared" si="13"/>
        <v>6980.96</v>
      </c>
      <c r="L43" s="1116"/>
      <c r="M43" s="1117"/>
      <c r="N43" s="1117"/>
      <c r="O43" s="1117"/>
      <c r="P43" s="1117"/>
      <c r="Q43" s="1118">
        <f t="shared" si="14"/>
        <v>0</v>
      </c>
      <c r="R43" s="1133"/>
      <c r="S43" s="1134"/>
      <c r="T43" s="1134"/>
      <c r="U43" s="1134"/>
      <c r="V43" s="1134"/>
      <c r="W43" s="1132">
        <f t="shared" si="15"/>
        <v>0</v>
      </c>
      <c r="X43" s="1231"/>
      <c r="Y43" s="1231"/>
      <c r="Z43" s="1231"/>
      <c r="AA43" s="1231"/>
      <c r="AB43" s="1231"/>
      <c r="AC43" s="1231">
        <f t="shared" si="16"/>
        <v>0</v>
      </c>
      <c r="AD43" s="1127">
        <v>1793.68</v>
      </c>
      <c r="AE43" s="1128">
        <v>10.69</v>
      </c>
      <c r="AF43" s="1128">
        <v>330.99</v>
      </c>
      <c r="AG43" s="1128">
        <v>-0.03</v>
      </c>
      <c r="AH43" s="1128">
        <v>0</v>
      </c>
      <c r="AI43" s="1124">
        <f t="shared" si="17"/>
        <v>2135.33</v>
      </c>
      <c r="AJ43" s="1148">
        <v>5627.33</v>
      </c>
      <c r="AK43" s="1149">
        <v>0</v>
      </c>
      <c r="AL43" s="1149">
        <v>1406.79</v>
      </c>
      <c r="AM43" s="1149">
        <v>0</v>
      </c>
      <c r="AN43" s="1149">
        <v>0</v>
      </c>
      <c r="AO43" s="1154">
        <f t="shared" si="18"/>
        <v>7034.12</v>
      </c>
      <c r="AP43" s="1125"/>
      <c r="AQ43" s="1126"/>
      <c r="AR43" s="1126"/>
      <c r="AS43" s="1126"/>
      <c r="AT43" s="1126"/>
      <c r="AU43" s="1137">
        <f t="shared" si="19"/>
        <v>0</v>
      </c>
      <c r="AV43" s="1141">
        <v>3791.2</v>
      </c>
      <c r="AW43" s="1142">
        <v>947.8</v>
      </c>
      <c r="AX43" s="1142">
        <v>0</v>
      </c>
      <c r="AY43" s="1142">
        <v>0</v>
      </c>
      <c r="AZ43" s="1142">
        <v>0</v>
      </c>
      <c r="BA43" s="1140">
        <f t="shared" si="20"/>
        <v>4739</v>
      </c>
      <c r="BB43" s="1131">
        <v>2577.65</v>
      </c>
      <c r="BC43" s="1131">
        <v>644.41</v>
      </c>
      <c r="BD43" s="1131">
        <v>0</v>
      </c>
      <c r="BE43" s="1131">
        <v>0</v>
      </c>
      <c r="BF43" s="1131">
        <v>0</v>
      </c>
      <c r="BG43" s="1132">
        <f t="shared" si="21"/>
        <v>3222.06</v>
      </c>
      <c r="BH43" s="1145"/>
      <c r="BI43" s="1146"/>
      <c r="BJ43" s="1146"/>
      <c r="BK43" s="1146"/>
      <c r="BL43" s="1146"/>
      <c r="BM43" s="1147">
        <f t="shared" si="22"/>
        <v>0</v>
      </c>
      <c r="BN43" s="1148">
        <v>8328.27</v>
      </c>
      <c r="BO43" s="1149">
        <v>1054.92</v>
      </c>
      <c r="BP43" s="1149">
        <v>1721.18</v>
      </c>
      <c r="BQ43" s="1149">
        <v>-0.05</v>
      </c>
      <c r="BR43" s="1149">
        <v>0</v>
      </c>
      <c r="BS43" s="1147">
        <f t="shared" si="23"/>
        <v>11104.320000000002</v>
      </c>
      <c r="BT43" s="1148"/>
      <c r="BU43" s="1149"/>
      <c r="BV43" s="1149"/>
      <c r="BW43" s="1149"/>
      <c r="BX43" s="1149"/>
      <c r="BY43" s="1154">
        <f t="shared" si="24"/>
        <v>0</v>
      </c>
      <c r="BZ43" s="1148">
        <v>2481.2399999999998</v>
      </c>
      <c r="CA43" s="1149">
        <v>6860.46</v>
      </c>
      <c r="CB43" s="1149">
        <v>1713.48</v>
      </c>
      <c r="CC43" s="1149">
        <v>0.03</v>
      </c>
      <c r="CD43" s="1149">
        <v>0</v>
      </c>
      <c r="CE43" s="1154">
        <f t="shared" si="25"/>
        <v>11055.210000000001</v>
      </c>
      <c r="CF43" s="1145"/>
      <c r="CG43" s="1146"/>
      <c r="CH43" s="1146"/>
      <c r="CI43" s="1146"/>
      <c r="CJ43" s="1146"/>
      <c r="CK43" s="1154">
        <f t="shared" si="26"/>
        <v>0</v>
      </c>
      <c r="CL43" s="1145"/>
      <c r="CM43" s="1146"/>
      <c r="CN43" s="1146"/>
      <c r="CO43" s="1146"/>
      <c r="CP43" s="1146"/>
      <c r="CQ43" s="1147">
        <f t="shared" si="27"/>
        <v>0</v>
      </c>
      <c r="CR43" s="1145"/>
      <c r="CS43" s="1146"/>
      <c r="CT43" s="1146"/>
      <c r="CU43" s="1146"/>
      <c r="CV43" s="1146"/>
      <c r="CW43" s="1154">
        <f t="shared" si="28"/>
        <v>0</v>
      </c>
      <c r="CX43" s="1145"/>
      <c r="CY43" s="1146"/>
      <c r="CZ43" s="1146"/>
      <c r="DA43" s="1146"/>
      <c r="DB43" s="1146"/>
      <c r="DC43" s="1147">
        <f t="shared" si="29"/>
        <v>0</v>
      </c>
      <c r="DD43" s="1148"/>
      <c r="DE43" s="1149"/>
      <c r="DF43" s="1149"/>
      <c r="DG43" s="1149"/>
      <c r="DH43" s="1149"/>
      <c r="DI43" s="1154">
        <f t="shared" si="30"/>
        <v>0</v>
      </c>
      <c r="DJ43" s="1234"/>
      <c r="DK43" s="1234"/>
      <c r="DL43" s="1234"/>
      <c r="DM43" s="1234"/>
      <c r="DN43" s="1234"/>
      <c r="DO43" s="1233">
        <f t="shared" si="31"/>
        <v>0</v>
      </c>
      <c r="DP43" s="1145">
        <v>3511</v>
      </c>
      <c r="DQ43" s="1146">
        <v>2422.59</v>
      </c>
      <c r="DR43" s="1146">
        <v>1088.4100000000001</v>
      </c>
      <c r="DS43" s="1146">
        <v>0</v>
      </c>
      <c r="DT43" s="1146">
        <v>0</v>
      </c>
      <c r="DU43" s="1155">
        <f t="shared" si="32"/>
        <v>7022</v>
      </c>
      <c r="DV43" s="1148">
        <v>3926.04</v>
      </c>
      <c r="DW43" s="1149">
        <v>0</v>
      </c>
      <c r="DX43" s="1149">
        <v>720.15</v>
      </c>
      <c r="DY43" s="1149">
        <v>0.01</v>
      </c>
      <c r="DZ43" s="1149">
        <v>0</v>
      </c>
      <c r="EA43" s="1154">
        <f t="shared" si="33"/>
        <v>4646.2</v>
      </c>
    </row>
    <row r="44" spans="1:131" ht="15" customHeight="1">
      <c r="A44" s="746" t="s">
        <v>100</v>
      </c>
      <c r="B44" s="844" t="s">
        <v>101</v>
      </c>
      <c r="C44" s="967" t="s">
        <v>267</v>
      </c>
      <c r="D44" s="842">
        <f t="shared" si="6"/>
        <v>13151.349999999999</v>
      </c>
      <c r="E44" s="842">
        <f t="shared" si="7"/>
        <v>13360.65</v>
      </c>
      <c r="F44" s="842">
        <f t="shared" si="8"/>
        <v>4805.7400000000007</v>
      </c>
      <c r="G44" s="842">
        <f t="shared" si="9"/>
        <v>0</v>
      </c>
      <c r="H44" s="842">
        <f t="shared" si="10"/>
        <v>0</v>
      </c>
      <c r="I44" s="1578">
        <f t="shared" si="11"/>
        <v>31317.74</v>
      </c>
      <c r="J44" s="843">
        <f t="shared" si="12"/>
        <v>0</v>
      </c>
      <c r="K44" s="1579">
        <f t="shared" si="13"/>
        <v>4805.7400000000007</v>
      </c>
      <c r="L44" s="1116"/>
      <c r="M44" s="1117"/>
      <c r="N44" s="1117"/>
      <c r="O44" s="1117"/>
      <c r="P44" s="1117"/>
      <c r="Q44" s="1118">
        <f t="shared" si="14"/>
        <v>0</v>
      </c>
      <c r="R44" s="1133"/>
      <c r="S44" s="1134"/>
      <c r="T44" s="1134"/>
      <c r="U44" s="1134"/>
      <c r="V44" s="1134"/>
      <c r="W44" s="1132">
        <f t="shared" si="15"/>
        <v>0</v>
      </c>
      <c r="X44" s="1231"/>
      <c r="Y44" s="1231"/>
      <c r="Z44" s="1231"/>
      <c r="AA44" s="1231"/>
      <c r="AB44" s="1231"/>
      <c r="AC44" s="1231">
        <f t="shared" si="16"/>
        <v>0</v>
      </c>
      <c r="AD44" s="1127">
        <v>117.6</v>
      </c>
      <c r="AE44" s="1128">
        <v>0.7</v>
      </c>
      <c r="AF44" s="1128">
        <v>21.7</v>
      </c>
      <c r="AG44" s="1128">
        <v>0</v>
      </c>
      <c r="AH44" s="1128">
        <v>0</v>
      </c>
      <c r="AI44" s="1124">
        <f t="shared" si="17"/>
        <v>140</v>
      </c>
      <c r="AJ44" s="1148">
        <v>4113.8599999999997</v>
      </c>
      <c r="AK44" s="1149">
        <v>0</v>
      </c>
      <c r="AL44" s="1149">
        <v>1028.46</v>
      </c>
      <c r="AM44" s="1149">
        <v>0</v>
      </c>
      <c r="AN44" s="1149">
        <v>0</v>
      </c>
      <c r="AO44" s="1154">
        <f t="shared" si="18"/>
        <v>5142.32</v>
      </c>
      <c r="AP44" s="1125"/>
      <c r="AQ44" s="1126"/>
      <c r="AR44" s="1126"/>
      <c r="AS44" s="1126"/>
      <c r="AT44" s="1126"/>
      <c r="AU44" s="1137">
        <f t="shared" si="19"/>
        <v>0</v>
      </c>
      <c r="AV44" s="1138">
        <v>626.33000000000004</v>
      </c>
      <c r="AW44" s="1139">
        <v>156.58000000000001</v>
      </c>
      <c r="AX44" s="1139">
        <v>0</v>
      </c>
      <c r="AY44" s="1139">
        <v>0</v>
      </c>
      <c r="AZ44" s="1139">
        <v>0</v>
      </c>
      <c r="BA44" s="1140">
        <f t="shared" si="20"/>
        <v>782.91000000000008</v>
      </c>
      <c r="BB44" s="1131">
        <v>817.92</v>
      </c>
      <c r="BC44" s="1131">
        <v>204.48</v>
      </c>
      <c r="BD44" s="1131">
        <v>0</v>
      </c>
      <c r="BE44" s="1131">
        <v>0</v>
      </c>
      <c r="BF44" s="1131">
        <v>0</v>
      </c>
      <c r="BG44" s="1132">
        <f t="shared" si="21"/>
        <v>1022.4</v>
      </c>
      <c r="BH44" s="1145"/>
      <c r="BI44" s="1146"/>
      <c r="BJ44" s="1146"/>
      <c r="BK44" s="1146"/>
      <c r="BL44" s="1146"/>
      <c r="BM44" s="1147">
        <f t="shared" si="22"/>
        <v>0</v>
      </c>
      <c r="BN44" s="1145"/>
      <c r="BO44" s="1146"/>
      <c r="BP44" s="1146"/>
      <c r="BQ44" s="1146"/>
      <c r="BR44" s="1146"/>
      <c r="BS44" s="1147">
        <f t="shared" si="23"/>
        <v>0</v>
      </c>
      <c r="BT44" s="1148"/>
      <c r="BU44" s="1149"/>
      <c r="BV44" s="1149"/>
      <c r="BW44" s="1149"/>
      <c r="BX44" s="1149"/>
      <c r="BY44" s="1154">
        <f t="shared" si="24"/>
        <v>0</v>
      </c>
      <c r="BZ44" s="1148">
        <v>4558.66</v>
      </c>
      <c r="CA44" s="1149">
        <v>12998.89</v>
      </c>
      <c r="CB44" s="1149">
        <v>3220.53</v>
      </c>
      <c r="CC44" s="1149">
        <v>-0.03</v>
      </c>
      <c r="CD44" s="1149">
        <v>0</v>
      </c>
      <c r="CE44" s="1154">
        <f t="shared" si="25"/>
        <v>20778.05</v>
      </c>
      <c r="CF44" s="1145"/>
      <c r="CG44" s="1146"/>
      <c r="CH44" s="1146"/>
      <c r="CI44" s="1146"/>
      <c r="CJ44" s="1146"/>
      <c r="CK44" s="1154">
        <f t="shared" si="26"/>
        <v>0</v>
      </c>
      <c r="CL44" s="1145"/>
      <c r="CM44" s="1146"/>
      <c r="CN44" s="1146"/>
      <c r="CO44" s="1146"/>
      <c r="CP44" s="1146"/>
      <c r="CQ44" s="1147">
        <f t="shared" si="27"/>
        <v>0</v>
      </c>
      <c r="CR44" s="1145"/>
      <c r="CS44" s="1146"/>
      <c r="CT44" s="1146"/>
      <c r="CU44" s="1146"/>
      <c r="CV44" s="1146"/>
      <c r="CW44" s="1154">
        <f t="shared" si="28"/>
        <v>0</v>
      </c>
      <c r="CX44" s="1148"/>
      <c r="CY44" s="1149"/>
      <c r="CZ44" s="1149"/>
      <c r="DA44" s="1149"/>
      <c r="DB44" s="1149"/>
      <c r="DC44" s="1147">
        <f t="shared" si="29"/>
        <v>0</v>
      </c>
      <c r="DD44" s="1148"/>
      <c r="DE44" s="1149"/>
      <c r="DF44" s="1149"/>
      <c r="DG44" s="1149"/>
      <c r="DH44" s="1149"/>
      <c r="DI44" s="1154">
        <f t="shared" si="30"/>
        <v>0</v>
      </c>
      <c r="DJ44" s="1233"/>
      <c r="DK44" s="1233"/>
      <c r="DL44" s="1233"/>
      <c r="DM44" s="1233"/>
      <c r="DN44" s="1233"/>
      <c r="DO44" s="1233">
        <f t="shared" si="31"/>
        <v>0</v>
      </c>
      <c r="DP44" s="1148"/>
      <c r="DQ44" s="1149"/>
      <c r="DR44" s="1149"/>
      <c r="DS44" s="1149"/>
      <c r="DT44" s="1149"/>
      <c r="DU44" s="1155">
        <f t="shared" si="32"/>
        <v>0</v>
      </c>
      <c r="DV44" s="1148">
        <v>2916.98</v>
      </c>
      <c r="DW44" s="1149">
        <v>0</v>
      </c>
      <c r="DX44" s="1149">
        <v>535.04999999999995</v>
      </c>
      <c r="DY44" s="1149">
        <v>0.03</v>
      </c>
      <c r="DZ44" s="1149">
        <v>0</v>
      </c>
      <c r="EA44" s="1154">
        <f t="shared" si="33"/>
        <v>3452.06</v>
      </c>
    </row>
    <row r="45" spans="1:131" ht="15" customHeight="1">
      <c r="A45" s="746" t="s">
        <v>102</v>
      </c>
      <c r="B45" s="844" t="s">
        <v>103</v>
      </c>
      <c r="C45" s="967" t="s">
        <v>264</v>
      </c>
      <c r="D45" s="842">
        <f t="shared" si="6"/>
        <v>67850.53</v>
      </c>
      <c r="E45" s="842">
        <f t="shared" si="7"/>
        <v>55762.780000000006</v>
      </c>
      <c r="F45" s="842">
        <f t="shared" si="8"/>
        <v>23845.11</v>
      </c>
      <c r="G45" s="842">
        <f t="shared" si="9"/>
        <v>-0.12000000000000001</v>
      </c>
      <c r="H45" s="842">
        <f t="shared" si="10"/>
        <v>0</v>
      </c>
      <c r="I45" s="1578">
        <f t="shared" si="11"/>
        <v>147458.29999999999</v>
      </c>
      <c r="J45" s="843">
        <f t="shared" si="12"/>
        <v>-0.12000000000000001</v>
      </c>
      <c r="K45" s="1579">
        <f t="shared" si="13"/>
        <v>23844.99</v>
      </c>
      <c r="L45" s="1116"/>
      <c r="M45" s="1117"/>
      <c r="N45" s="1117"/>
      <c r="O45" s="1117"/>
      <c r="P45" s="1117"/>
      <c r="Q45" s="1118">
        <f t="shared" si="14"/>
        <v>0</v>
      </c>
      <c r="R45" s="1133"/>
      <c r="S45" s="1134"/>
      <c r="T45" s="1134"/>
      <c r="U45" s="1134"/>
      <c r="V45" s="1134"/>
      <c r="W45" s="1132">
        <f t="shared" si="15"/>
        <v>0</v>
      </c>
      <c r="X45" s="1232"/>
      <c r="Y45" s="1232"/>
      <c r="Z45" s="1232"/>
      <c r="AA45" s="1232"/>
      <c r="AB45" s="1232"/>
      <c r="AC45" s="1231">
        <f t="shared" si="16"/>
        <v>0</v>
      </c>
      <c r="AD45" s="1125">
        <v>247.8</v>
      </c>
      <c r="AE45" s="1126">
        <v>1.48</v>
      </c>
      <c r="AF45" s="1126">
        <v>45.73</v>
      </c>
      <c r="AG45" s="1126">
        <v>-0.01</v>
      </c>
      <c r="AH45" s="1126">
        <v>0</v>
      </c>
      <c r="AI45" s="1124">
        <f t="shared" si="17"/>
        <v>295</v>
      </c>
      <c r="AJ45" s="1148">
        <v>24976.959999999999</v>
      </c>
      <c r="AK45" s="1149">
        <v>0</v>
      </c>
      <c r="AL45" s="1149">
        <v>6244.29</v>
      </c>
      <c r="AM45" s="1149">
        <v>0</v>
      </c>
      <c r="AN45" s="1149">
        <v>0</v>
      </c>
      <c r="AO45" s="1154">
        <f t="shared" si="18"/>
        <v>31221.25</v>
      </c>
      <c r="AP45" s="1125"/>
      <c r="AQ45" s="1126"/>
      <c r="AR45" s="1126"/>
      <c r="AS45" s="1126"/>
      <c r="AT45" s="1126"/>
      <c r="AU45" s="1137">
        <f t="shared" si="19"/>
        <v>0</v>
      </c>
      <c r="AV45" s="1138"/>
      <c r="AW45" s="1139"/>
      <c r="AX45" s="1139"/>
      <c r="AY45" s="1139"/>
      <c r="AZ45" s="1139"/>
      <c r="BA45" s="1140">
        <f t="shared" si="20"/>
        <v>0</v>
      </c>
      <c r="BB45" s="1133">
        <v>1424.53</v>
      </c>
      <c r="BC45" s="1134">
        <v>356.13</v>
      </c>
      <c r="BD45" s="1134">
        <v>0</v>
      </c>
      <c r="BE45" s="1134">
        <v>0</v>
      </c>
      <c r="BF45" s="1134">
        <v>0</v>
      </c>
      <c r="BG45" s="1132">
        <f t="shared" si="21"/>
        <v>1780.6599999999999</v>
      </c>
      <c r="BH45" s="1145">
        <v>320.76</v>
      </c>
      <c r="BI45" s="1146">
        <v>579.24</v>
      </c>
      <c r="BJ45" s="1146">
        <v>0</v>
      </c>
      <c r="BK45" s="1146">
        <v>0</v>
      </c>
      <c r="BL45" s="1146">
        <v>0</v>
      </c>
      <c r="BM45" s="1147">
        <f t="shared" si="22"/>
        <v>900</v>
      </c>
      <c r="BN45" s="1148">
        <v>9357.9</v>
      </c>
      <c r="BO45" s="1149">
        <v>1185.3399999999999</v>
      </c>
      <c r="BP45" s="1149">
        <v>1933.96</v>
      </c>
      <c r="BQ45" s="1149">
        <v>-0.02</v>
      </c>
      <c r="BR45" s="1149">
        <v>0</v>
      </c>
      <c r="BS45" s="1147">
        <f t="shared" si="23"/>
        <v>12477.18</v>
      </c>
      <c r="BT45" s="1148"/>
      <c r="BU45" s="1149"/>
      <c r="BV45" s="1149"/>
      <c r="BW45" s="1149"/>
      <c r="BX45" s="1149"/>
      <c r="BY45" s="1154">
        <f t="shared" si="24"/>
        <v>0</v>
      </c>
      <c r="BZ45" s="1148">
        <v>24205.88</v>
      </c>
      <c r="CA45" s="1149">
        <v>51053.08</v>
      </c>
      <c r="CB45" s="1149">
        <v>13804.38</v>
      </c>
      <c r="CC45" s="1149">
        <v>-0.08</v>
      </c>
      <c r="CD45" s="1149">
        <v>0</v>
      </c>
      <c r="CE45" s="1154">
        <f t="shared" si="25"/>
        <v>89063.260000000009</v>
      </c>
      <c r="CF45" s="1145"/>
      <c r="CG45" s="1146"/>
      <c r="CH45" s="1146"/>
      <c r="CI45" s="1146"/>
      <c r="CJ45" s="1146"/>
      <c r="CK45" s="1154">
        <f t="shared" si="26"/>
        <v>0</v>
      </c>
      <c r="CL45" s="1145"/>
      <c r="CM45" s="1146"/>
      <c r="CN45" s="1146"/>
      <c r="CO45" s="1146"/>
      <c r="CP45" s="1146"/>
      <c r="CQ45" s="1147">
        <f t="shared" si="27"/>
        <v>0</v>
      </c>
      <c r="CR45" s="1145"/>
      <c r="CS45" s="1146"/>
      <c r="CT45" s="1146"/>
      <c r="CU45" s="1146"/>
      <c r="CV45" s="1146"/>
      <c r="CW45" s="1154">
        <f t="shared" si="28"/>
        <v>0</v>
      </c>
      <c r="CX45" s="1145"/>
      <c r="CY45" s="1146"/>
      <c r="CZ45" s="1146"/>
      <c r="DA45" s="1146"/>
      <c r="DB45" s="1146"/>
      <c r="DC45" s="1147">
        <f t="shared" si="29"/>
        <v>0</v>
      </c>
      <c r="DD45" s="1148"/>
      <c r="DE45" s="1149"/>
      <c r="DF45" s="1149"/>
      <c r="DG45" s="1149"/>
      <c r="DH45" s="1149"/>
      <c r="DI45" s="1154">
        <f t="shared" si="30"/>
        <v>0</v>
      </c>
      <c r="DJ45" s="1234"/>
      <c r="DK45" s="1234"/>
      <c r="DL45" s="1234"/>
      <c r="DM45" s="1234"/>
      <c r="DN45" s="1234"/>
      <c r="DO45" s="1233">
        <f t="shared" si="31"/>
        <v>0</v>
      </c>
      <c r="DP45" s="1145">
        <v>3750.01</v>
      </c>
      <c r="DQ45" s="1146">
        <v>2587.5100000000002</v>
      </c>
      <c r="DR45" s="1146">
        <v>1162.51</v>
      </c>
      <c r="DS45" s="1146">
        <v>-0.03</v>
      </c>
      <c r="DT45" s="1146">
        <v>0</v>
      </c>
      <c r="DU45" s="1155">
        <f t="shared" si="32"/>
        <v>7500.0000000000009</v>
      </c>
      <c r="DV45" s="1148">
        <v>3566.69</v>
      </c>
      <c r="DW45" s="1149">
        <v>0</v>
      </c>
      <c r="DX45" s="1149">
        <v>654.24</v>
      </c>
      <c r="DY45" s="1149">
        <v>0.02</v>
      </c>
      <c r="DZ45" s="1149">
        <v>0</v>
      </c>
      <c r="EA45" s="1154">
        <f t="shared" si="33"/>
        <v>4220.9500000000007</v>
      </c>
    </row>
    <row r="46" spans="1:131" ht="15" customHeight="1">
      <c r="A46" s="746" t="s">
        <v>104</v>
      </c>
      <c r="B46" s="844" t="s">
        <v>309</v>
      </c>
      <c r="C46" s="967" t="s">
        <v>265</v>
      </c>
      <c r="D46" s="842">
        <f t="shared" si="6"/>
        <v>40955.519999999997</v>
      </c>
      <c r="E46" s="842">
        <f t="shared" si="7"/>
        <v>23902.93</v>
      </c>
      <c r="F46" s="842">
        <f t="shared" si="8"/>
        <v>13533.610000000002</v>
      </c>
      <c r="G46" s="842">
        <f t="shared" si="9"/>
        <v>-3.9999999999999994E-2</v>
      </c>
      <c r="H46" s="842">
        <f t="shared" si="10"/>
        <v>75.540000000000006</v>
      </c>
      <c r="I46" s="1578">
        <f t="shared" si="11"/>
        <v>78467.56</v>
      </c>
      <c r="J46" s="843">
        <f t="shared" si="12"/>
        <v>75.5</v>
      </c>
      <c r="K46" s="1579">
        <f t="shared" si="13"/>
        <v>13609.110000000002</v>
      </c>
      <c r="L46" s="1116"/>
      <c r="M46" s="1117"/>
      <c r="N46" s="1117"/>
      <c r="O46" s="1117"/>
      <c r="P46" s="1117"/>
      <c r="Q46" s="1118">
        <f t="shared" si="14"/>
        <v>0</v>
      </c>
      <c r="R46" s="1133"/>
      <c r="S46" s="1134"/>
      <c r="T46" s="1134"/>
      <c r="U46" s="1134"/>
      <c r="V46" s="1134"/>
      <c r="W46" s="1132">
        <f t="shared" si="15"/>
        <v>0</v>
      </c>
      <c r="X46" s="1231"/>
      <c r="Y46" s="1231"/>
      <c r="Z46" s="1231"/>
      <c r="AA46" s="1231"/>
      <c r="AB46" s="1231"/>
      <c r="AC46" s="1231">
        <f t="shared" si="16"/>
        <v>0</v>
      </c>
      <c r="AD46" s="1127">
        <v>6892.92</v>
      </c>
      <c r="AE46" s="1128">
        <v>41.04</v>
      </c>
      <c r="AF46" s="1128">
        <v>1271.9100000000001</v>
      </c>
      <c r="AG46" s="1128">
        <v>-0.03</v>
      </c>
      <c r="AH46" s="1128">
        <v>0</v>
      </c>
      <c r="AI46" s="1124">
        <f t="shared" si="17"/>
        <v>8205.84</v>
      </c>
      <c r="AJ46" s="1148">
        <v>20571.89</v>
      </c>
      <c r="AK46" s="1149">
        <v>0</v>
      </c>
      <c r="AL46" s="1149">
        <v>5142.97</v>
      </c>
      <c r="AM46" s="1149">
        <v>0</v>
      </c>
      <c r="AN46" s="1149">
        <v>0</v>
      </c>
      <c r="AO46" s="1154">
        <f t="shared" si="18"/>
        <v>25714.86</v>
      </c>
      <c r="AP46" s="1125"/>
      <c r="AQ46" s="1126"/>
      <c r="AR46" s="1126"/>
      <c r="AS46" s="1126"/>
      <c r="AT46" s="1126"/>
      <c r="AU46" s="1137">
        <f t="shared" si="19"/>
        <v>0</v>
      </c>
      <c r="AV46" s="1141">
        <v>56.2</v>
      </c>
      <c r="AW46" s="1142">
        <v>14.05</v>
      </c>
      <c r="AX46" s="1142">
        <v>0</v>
      </c>
      <c r="AY46" s="1142">
        <v>0</v>
      </c>
      <c r="AZ46" s="1142">
        <v>0</v>
      </c>
      <c r="BA46" s="1140">
        <f t="shared" si="20"/>
        <v>70.25</v>
      </c>
      <c r="BB46" s="1131">
        <v>2488.37</v>
      </c>
      <c r="BC46" s="1131">
        <v>622.09</v>
      </c>
      <c r="BD46" s="1131">
        <v>0</v>
      </c>
      <c r="BE46" s="1131">
        <v>0</v>
      </c>
      <c r="BF46" s="1131">
        <v>0</v>
      </c>
      <c r="BG46" s="1132">
        <f t="shared" si="21"/>
        <v>3110.46</v>
      </c>
      <c r="BH46" s="1148"/>
      <c r="BI46" s="1149"/>
      <c r="BJ46" s="1149"/>
      <c r="BK46" s="1149"/>
      <c r="BL46" s="1149"/>
      <c r="BM46" s="1147">
        <f t="shared" si="22"/>
        <v>0</v>
      </c>
      <c r="BN46" s="1145"/>
      <c r="BO46" s="1146"/>
      <c r="BP46" s="1146"/>
      <c r="BQ46" s="1146"/>
      <c r="BR46" s="1146"/>
      <c r="BS46" s="1147">
        <f t="shared" si="23"/>
        <v>0</v>
      </c>
      <c r="BT46" s="1148">
        <v>-526.91</v>
      </c>
      <c r="BU46" s="1149">
        <v>-526.91</v>
      </c>
      <c r="BV46" s="1149">
        <v>0</v>
      </c>
      <c r="BW46" s="1149">
        <v>0.01</v>
      </c>
      <c r="BX46" s="1149">
        <v>0</v>
      </c>
      <c r="BY46" s="1154">
        <f t="shared" si="24"/>
        <v>-1053.81</v>
      </c>
      <c r="BZ46" s="1148">
        <v>9409.51</v>
      </c>
      <c r="CA46" s="1149">
        <v>23752.66</v>
      </c>
      <c r="CB46" s="1149">
        <v>6082.82</v>
      </c>
      <c r="CC46" s="1149">
        <v>-0.03</v>
      </c>
      <c r="CD46" s="1149">
        <v>0</v>
      </c>
      <c r="CE46" s="1154">
        <f t="shared" si="25"/>
        <v>39244.959999999999</v>
      </c>
      <c r="CF46" s="1148">
        <v>408.35</v>
      </c>
      <c r="CG46" s="1149">
        <v>0</v>
      </c>
      <c r="CH46" s="1149">
        <v>732.29</v>
      </c>
      <c r="CI46" s="1149">
        <v>0</v>
      </c>
      <c r="CJ46" s="1149">
        <v>75.540000000000006</v>
      </c>
      <c r="CK46" s="1154">
        <f t="shared" si="26"/>
        <v>1216.1799999999998</v>
      </c>
      <c r="CL46" s="1145"/>
      <c r="CM46" s="1146"/>
      <c r="CN46" s="1146"/>
      <c r="CO46" s="1146"/>
      <c r="CP46" s="1146"/>
      <c r="CQ46" s="1147">
        <f t="shared" si="27"/>
        <v>0</v>
      </c>
      <c r="CR46" s="1148"/>
      <c r="CS46" s="1149"/>
      <c r="CT46" s="1149"/>
      <c r="CU46" s="1149"/>
      <c r="CV46" s="1149"/>
      <c r="CW46" s="1154">
        <f t="shared" si="28"/>
        <v>0</v>
      </c>
      <c r="CX46" s="1145"/>
      <c r="CY46" s="1146"/>
      <c r="CZ46" s="1146"/>
      <c r="DA46" s="1146"/>
      <c r="DB46" s="1146"/>
      <c r="DC46" s="1147">
        <f t="shared" si="29"/>
        <v>0</v>
      </c>
      <c r="DD46" s="1148"/>
      <c r="DE46" s="1149"/>
      <c r="DF46" s="1149"/>
      <c r="DG46" s="1149"/>
      <c r="DH46" s="1149"/>
      <c r="DI46" s="1154">
        <f t="shared" si="30"/>
        <v>0</v>
      </c>
      <c r="DJ46" s="1234"/>
      <c r="DK46" s="1234"/>
      <c r="DL46" s="1234"/>
      <c r="DM46" s="1234"/>
      <c r="DN46" s="1234"/>
      <c r="DO46" s="1233">
        <f t="shared" si="31"/>
        <v>0</v>
      </c>
      <c r="DP46" s="1145"/>
      <c r="DQ46" s="1146"/>
      <c r="DR46" s="1146"/>
      <c r="DS46" s="1146"/>
      <c r="DT46" s="1146"/>
      <c r="DU46" s="1155">
        <f t="shared" si="32"/>
        <v>0</v>
      </c>
      <c r="DV46" s="1148">
        <v>1655.19</v>
      </c>
      <c r="DW46" s="1149">
        <v>0</v>
      </c>
      <c r="DX46" s="1149">
        <v>303.62</v>
      </c>
      <c r="DY46" s="1149">
        <v>0.01</v>
      </c>
      <c r="DZ46" s="1149">
        <v>0</v>
      </c>
      <c r="EA46" s="1154">
        <f t="shared" si="33"/>
        <v>1958.82</v>
      </c>
    </row>
    <row r="47" spans="1:131" ht="15" customHeight="1">
      <c r="A47" s="746" t="s">
        <v>108</v>
      </c>
      <c r="B47" s="844" t="s">
        <v>109</v>
      </c>
      <c r="C47" s="967" t="s">
        <v>266</v>
      </c>
      <c r="D47" s="842">
        <f t="shared" si="6"/>
        <v>67458.16</v>
      </c>
      <c r="E47" s="842">
        <f t="shared" si="7"/>
        <v>63805.369999999995</v>
      </c>
      <c r="F47" s="842">
        <f t="shared" si="8"/>
        <v>21926.420000000002</v>
      </c>
      <c r="G47" s="842">
        <f t="shared" si="9"/>
        <v>-0.24000000000000005</v>
      </c>
      <c r="H47" s="842">
        <f t="shared" si="10"/>
        <v>0</v>
      </c>
      <c r="I47" s="1578">
        <f t="shared" si="11"/>
        <v>153189.71000000002</v>
      </c>
      <c r="J47" s="843">
        <f t="shared" si="12"/>
        <v>-0.24000000000000005</v>
      </c>
      <c r="K47" s="1579">
        <f t="shared" si="13"/>
        <v>21926.18</v>
      </c>
      <c r="L47" s="1116"/>
      <c r="M47" s="1117"/>
      <c r="N47" s="1117"/>
      <c r="O47" s="1117"/>
      <c r="P47" s="1117"/>
      <c r="Q47" s="1118">
        <f t="shared" si="14"/>
        <v>0</v>
      </c>
      <c r="R47" s="1133"/>
      <c r="S47" s="1134"/>
      <c r="T47" s="1134"/>
      <c r="U47" s="1134"/>
      <c r="V47" s="1134"/>
      <c r="W47" s="1132">
        <f t="shared" si="15"/>
        <v>0</v>
      </c>
      <c r="X47" s="1231"/>
      <c r="Y47" s="1231"/>
      <c r="Z47" s="1231"/>
      <c r="AA47" s="1231"/>
      <c r="AB47" s="1231"/>
      <c r="AC47" s="1231">
        <f t="shared" si="16"/>
        <v>0</v>
      </c>
      <c r="AD47" s="1127">
        <v>5374.32</v>
      </c>
      <c r="AE47" s="1128">
        <v>32</v>
      </c>
      <c r="AF47" s="1128">
        <v>991.7</v>
      </c>
      <c r="AG47" s="1128">
        <v>-0.02</v>
      </c>
      <c r="AH47" s="1128">
        <v>0</v>
      </c>
      <c r="AI47" s="1124">
        <f t="shared" si="17"/>
        <v>6397.9999999999991</v>
      </c>
      <c r="AJ47" s="1148"/>
      <c r="AK47" s="1149"/>
      <c r="AL47" s="1149"/>
      <c r="AM47" s="1149"/>
      <c r="AN47" s="1149"/>
      <c r="AO47" s="1154">
        <f t="shared" si="18"/>
        <v>0</v>
      </c>
      <c r="AP47" s="1125"/>
      <c r="AQ47" s="1126"/>
      <c r="AR47" s="1126"/>
      <c r="AS47" s="1126"/>
      <c r="AT47" s="1126"/>
      <c r="AU47" s="1137">
        <f t="shared" si="19"/>
        <v>0</v>
      </c>
      <c r="AV47" s="1141">
        <v>2910.15</v>
      </c>
      <c r="AW47" s="1142">
        <v>727.53</v>
      </c>
      <c r="AX47" s="1142">
        <v>0</v>
      </c>
      <c r="AY47" s="1142">
        <v>0</v>
      </c>
      <c r="AZ47" s="1142">
        <v>0</v>
      </c>
      <c r="BA47" s="1140">
        <f t="shared" si="20"/>
        <v>3637.6800000000003</v>
      </c>
      <c r="BB47" s="1131">
        <v>6471.66</v>
      </c>
      <c r="BC47" s="1131">
        <v>1617.93</v>
      </c>
      <c r="BD47" s="1131">
        <v>0</v>
      </c>
      <c r="BE47" s="1131">
        <v>0</v>
      </c>
      <c r="BF47" s="1131">
        <v>0</v>
      </c>
      <c r="BG47" s="1132">
        <f t="shared" si="21"/>
        <v>8089.59</v>
      </c>
      <c r="BH47" s="1148"/>
      <c r="BI47" s="1149"/>
      <c r="BJ47" s="1149"/>
      <c r="BK47" s="1149"/>
      <c r="BL47" s="1149"/>
      <c r="BM47" s="1147">
        <f t="shared" si="22"/>
        <v>0</v>
      </c>
      <c r="BN47" s="1148">
        <v>25574.27</v>
      </c>
      <c r="BO47" s="1149">
        <v>3239.43</v>
      </c>
      <c r="BP47" s="1149">
        <v>5285.37</v>
      </c>
      <c r="BQ47" s="1149">
        <v>-7.0000000000000007E-2</v>
      </c>
      <c r="BR47" s="1149">
        <v>0</v>
      </c>
      <c r="BS47" s="1147">
        <f t="shared" si="23"/>
        <v>34099</v>
      </c>
      <c r="BT47" s="1148"/>
      <c r="BU47" s="1149"/>
      <c r="BV47" s="1149"/>
      <c r="BW47" s="1149"/>
      <c r="BX47" s="1149"/>
      <c r="BY47" s="1154">
        <f t="shared" si="24"/>
        <v>0</v>
      </c>
      <c r="BZ47" s="1148">
        <v>19385.990000000002</v>
      </c>
      <c r="CA47" s="1149">
        <v>53937.2</v>
      </c>
      <c r="CB47" s="1149">
        <v>13449.47</v>
      </c>
      <c r="CC47" s="1149">
        <v>-0.19</v>
      </c>
      <c r="CD47" s="1149">
        <v>0</v>
      </c>
      <c r="CE47" s="1154">
        <f t="shared" si="25"/>
        <v>86772.47</v>
      </c>
      <c r="CF47" s="1148"/>
      <c r="CG47" s="1149"/>
      <c r="CH47" s="1149"/>
      <c r="CI47" s="1149"/>
      <c r="CJ47" s="1149"/>
      <c r="CK47" s="1154">
        <f t="shared" si="26"/>
        <v>0</v>
      </c>
      <c r="CL47" s="1145"/>
      <c r="CM47" s="1146"/>
      <c r="CN47" s="1146"/>
      <c r="CO47" s="1146"/>
      <c r="CP47" s="1146"/>
      <c r="CQ47" s="1147">
        <f t="shared" si="27"/>
        <v>0</v>
      </c>
      <c r="CR47" s="1148"/>
      <c r="CS47" s="1149"/>
      <c r="CT47" s="1149"/>
      <c r="CU47" s="1149"/>
      <c r="CV47" s="1149"/>
      <c r="CW47" s="1154">
        <f t="shared" si="28"/>
        <v>0</v>
      </c>
      <c r="CX47" s="1145"/>
      <c r="CY47" s="1146"/>
      <c r="CZ47" s="1146"/>
      <c r="DA47" s="1146"/>
      <c r="DB47" s="1146"/>
      <c r="DC47" s="1147">
        <f t="shared" si="29"/>
        <v>0</v>
      </c>
      <c r="DD47" s="1148"/>
      <c r="DE47" s="1149"/>
      <c r="DF47" s="1149"/>
      <c r="DG47" s="1149"/>
      <c r="DH47" s="1149"/>
      <c r="DI47" s="1154">
        <f t="shared" si="30"/>
        <v>0</v>
      </c>
      <c r="DJ47" s="1233"/>
      <c r="DK47" s="1233"/>
      <c r="DL47" s="1233"/>
      <c r="DM47" s="1233"/>
      <c r="DN47" s="1233"/>
      <c r="DO47" s="1233">
        <f t="shared" si="31"/>
        <v>0</v>
      </c>
      <c r="DP47" s="1148">
        <v>6161.27</v>
      </c>
      <c r="DQ47" s="1149">
        <v>4251.28</v>
      </c>
      <c r="DR47" s="1149">
        <v>1909.99</v>
      </c>
      <c r="DS47" s="1149">
        <v>-0.01</v>
      </c>
      <c r="DT47" s="1149">
        <v>0</v>
      </c>
      <c r="DU47" s="1155">
        <f t="shared" si="32"/>
        <v>12322.529999999999</v>
      </c>
      <c r="DV47" s="1148">
        <v>1580.5</v>
      </c>
      <c r="DW47" s="1149">
        <v>0</v>
      </c>
      <c r="DX47" s="1149">
        <v>289.89</v>
      </c>
      <c r="DY47" s="1149">
        <v>0.05</v>
      </c>
      <c r="DZ47" s="1149">
        <v>0</v>
      </c>
      <c r="EA47" s="1154">
        <f t="shared" si="33"/>
        <v>1870.4399999999998</v>
      </c>
    </row>
    <row r="48" spans="1:131" ht="15" customHeight="1">
      <c r="A48" s="746" t="s">
        <v>110</v>
      </c>
      <c r="B48" s="844" t="s">
        <v>111</v>
      </c>
      <c r="C48" s="967" t="s">
        <v>266</v>
      </c>
      <c r="D48" s="842">
        <f t="shared" si="6"/>
        <v>649218.05999999994</v>
      </c>
      <c r="E48" s="842">
        <f t="shared" si="7"/>
        <v>1123077.0799999998</v>
      </c>
      <c r="F48" s="842">
        <f t="shared" si="8"/>
        <v>351325.93999999994</v>
      </c>
      <c r="G48" s="842">
        <f t="shared" si="9"/>
        <v>-0.13</v>
      </c>
      <c r="H48" s="842">
        <f t="shared" si="10"/>
        <v>0</v>
      </c>
      <c r="I48" s="1578">
        <f t="shared" si="11"/>
        <v>2123620.9499999997</v>
      </c>
      <c r="J48" s="843">
        <f t="shared" si="12"/>
        <v>-0.13</v>
      </c>
      <c r="K48" s="1579">
        <f t="shared" si="13"/>
        <v>351325.80999999994</v>
      </c>
      <c r="L48" s="1116"/>
      <c r="M48" s="1117"/>
      <c r="N48" s="1117"/>
      <c r="O48" s="1117"/>
      <c r="P48" s="1117"/>
      <c r="Q48" s="1118">
        <f t="shared" si="14"/>
        <v>0</v>
      </c>
      <c r="R48" s="1133"/>
      <c r="S48" s="1134"/>
      <c r="T48" s="1134"/>
      <c r="U48" s="1134"/>
      <c r="V48" s="1134"/>
      <c r="W48" s="1132">
        <f t="shared" si="15"/>
        <v>0</v>
      </c>
      <c r="X48" s="1231"/>
      <c r="Y48" s="1231"/>
      <c r="Z48" s="1231"/>
      <c r="AA48" s="1231"/>
      <c r="AB48" s="1231"/>
      <c r="AC48" s="1231">
        <f t="shared" si="16"/>
        <v>0</v>
      </c>
      <c r="AD48" s="1127">
        <v>23723.47</v>
      </c>
      <c r="AE48" s="1128">
        <v>141.18</v>
      </c>
      <c r="AF48" s="1128">
        <v>4377.54</v>
      </c>
      <c r="AG48" s="1128">
        <v>0.03</v>
      </c>
      <c r="AH48" s="1128">
        <v>0</v>
      </c>
      <c r="AI48" s="1124">
        <f t="shared" si="17"/>
        <v>28242.22</v>
      </c>
      <c r="AJ48" s="1148">
        <v>73786.45</v>
      </c>
      <c r="AK48" s="1149">
        <v>0</v>
      </c>
      <c r="AL48" s="1149">
        <v>18446.63</v>
      </c>
      <c r="AM48" s="1149">
        <v>0</v>
      </c>
      <c r="AN48" s="1149">
        <v>0</v>
      </c>
      <c r="AO48" s="1154">
        <f t="shared" si="18"/>
        <v>92233.08</v>
      </c>
      <c r="AP48" s="1125"/>
      <c r="AQ48" s="1126"/>
      <c r="AR48" s="1126"/>
      <c r="AS48" s="1126"/>
      <c r="AT48" s="1126"/>
      <c r="AU48" s="1137">
        <f t="shared" si="19"/>
        <v>0</v>
      </c>
      <c r="AV48" s="1141">
        <v>9926.9</v>
      </c>
      <c r="AW48" s="1142">
        <v>2481.7199999999998</v>
      </c>
      <c r="AX48" s="1142">
        <v>0</v>
      </c>
      <c r="AY48" s="1142">
        <v>0</v>
      </c>
      <c r="AZ48" s="1142">
        <v>0</v>
      </c>
      <c r="BA48" s="1140">
        <f t="shared" si="20"/>
        <v>12408.619999999999</v>
      </c>
      <c r="BB48" s="1131">
        <v>15556.45</v>
      </c>
      <c r="BC48" s="1131">
        <v>3889.14</v>
      </c>
      <c r="BD48" s="1131">
        <v>0</v>
      </c>
      <c r="BE48" s="1131">
        <v>0</v>
      </c>
      <c r="BF48" s="1131">
        <v>0</v>
      </c>
      <c r="BG48" s="1132">
        <f t="shared" si="21"/>
        <v>19445.59</v>
      </c>
      <c r="BH48" s="1148">
        <v>1070.3900000000001</v>
      </c>
      <c r="BI48" s="1149">
        <v>1932.97</v>
      </c>
      <c r="BJ48" s="1149">
        <v>0</v>
      </c>
      <c r="BK48" s="1149">
        <v>0</v>
      </c>
      <c r="BL48" s="1149">
        <v>0</v>
      </c>
      <c r="BM48" s="1147">
        <f t="shared" si="22"/>
        <v>3003.36</v>
      </c>
      <c r="BN48" s="1148">
        <v>97497.67</v>
      </c>
      <c r="BO48" s="1149">
        <v>12349.72</v>
      </c>
      <c r="BP48" s="1149">
        <v>20149.53</v>
      </c>
      <c r="BQ48" s="1149">
        <v>-0.05</v>
      </c>
      <c r="BR48" s="1149">
        <v>0</v>
      </c>
      <c r="BS48" s="1147">
        <f t="shared" si="23"/>
        <v>129996.87</v>
      </c>
      <c r="BT48" s="1148">
        <v>-385.52</v>
      </c>
      <c r="BU48" s="1149">
        <v>-385.52</v>
      </c>
      <c r="BV48" s="1149">
        <v>0</v>
      </c>
      <c r="BW48" s="1149">
        <v>0.01</v>
      </c>
      <c r="BX48" s="1149">
        <v>0</v>
      </c>
      <c r="BY48" s="1154">
        <f t="shared" si="24"/>
        <v>-771.03</v>
      </c>
      <c r="BZ48" s="1148">
        <v>386840.89</v>
      </c>
      <c r="CA48" s="1149">
        <v>1092231.6399999999</v>
      </c>
      <c r="CB48" s="1149">
        <v>271300.84999999998</v>
      </c>
      <c r="CC48" s="1149">
        <v>-0.21</v>
      </c>
      <c r="CD48" s="1149">
        <v>0</v>
      </c>
      <c r="CE48" s="1154">
        <f t="shared" si="25"/>
        <v>1750373.17</v>
      </c>
      <c r="CF48" s="1148">
        <v>17105.71</v>
      </c>
      <c r="CG48" s="1149">
        <v>0</v>
      </c>
      <c r="CH48" s="1149">
        <v>30675.66</v>
      </c>
      <c r="CI48" s="1149">
        <v>0</v>
      </c>
      <c r="CJ48" s="1149">
        <v>0</v>
      </c>
      <c r="CK48" s="1154">
        <f t="shared" si="26"/>
        <v>47781.369999999995</v>
      </c>
      <c r="CL48" s="1148"/>
      <c r="CM48" s="1149"/>
      <c r="CN48" s="1149"/>
      <c r="CO48" s="1149"/>
      <c r="CP48" s="1149"/>
      <c r="CQ48" s="1147">
        <f t="shared" si="27"/>
        <v>0</v>
      </c>
      <c r="CR48" s="1148">
        <v>-226.3</v>
      </c>
      <c r="CS48" s="1149">
        <v>0</v>
      </c>
      <c r="CT48" s="1149">
        <v>0</v>
      </c>
      <c r="CU48" s="1149">
        <v>0</v>
      </c>
      <c r="CV48" s="1149">
        <v>0</v>
      </c>
      <c r="CW48" s="1154">
        <f t="shared" si="28"/>
        <v>-226.3</v>
      </c>
      <c r="CX48" s="1148"/>
      <c r="CY48" s="1149"/>
      <c r="CZ48" s="1149"/>
      <c r="DA48" s="1149"/>
      <c r="DB48" s="1149"/>
      <c r="DC48" s="1147">
        <f t="shared" si="29"/>
        <v>0</v>
      </c>
      <c r="DD48" s="1148"/>
      <c r="DE48" s="1149"/>
      <c r="DF48" s="1149"/>
      <c r="DG48" s="1149"/>
      <c r="DH48" s="1149"/>
      <c r="DI48" s="1154">
        <f t="shared" si="30"/>
        <v>0</v>
      </c>
      <c r="DJ48" s="1233"/>
      <c r="DK48" s="1233"/>
      <c r="DL48" s="1233"/>
      <c r="DM48" s="1233"/>
      <c r="DN48" s="1233"/>
      <c r="DO48" s="1233">
        <f t="shared" si="31"/>
        <v>0</v>
      </c>
      <c r="DP48" s="1148">
        <v>15125.02</v>
      </c>
      <c r="DQ48" s="1149">
        <v>10436.23</v>
      </c>
      <c r="DR48" s="1149">
        <v>4688.75</v>
      </c>
      <c r="DS48" s="1149">
        <v>0</v>
      </c>
      <c r="DT48" s="1149">
        <v>0</v>
      </c>
      <c r="DU48" s="1155">
        <f t="shared" si="32"/>
        <v>30250</v>
      </c>
      <c r="DV48" s="1148">
        <v>9196.93</v>
      </c>
      <c r="DW48" s="1149">
        <v>0</v>
      </c>
      <c r="DX48" s="1149">
        <v>1686.98</v>
      </c>
      <c r="DY48" s="1149">
        <v>0.09</v>
      </c>
      <c r="DZ48" s="1149">
        <v>0</v>
      </c>
      <c r="EA48" s="1154">
        <f t="shared" si="33"/>
        <v>10884</v>
      </c>
    </row>
    <row r="49" spans="1:131" ht="15" customHeight="1">
      <c r="A49" s="746" t="s">
        <v>112</v>
      </c>
      <c r="B49" s="844" t="s">
        <v>300</v>
      </c>
      <c r="C49" s="967" t="s">
        <v>265</v>
      </c>
      <c r="D49" s="842">
        <f t="shared" si="6"/>
        <v>166928.93999999997</v>
      </c>
      <c r="E49" s="842">
        <f t="shared" si="7"/>
        <v>121540.02</v>
      </c>
      <c r="F49" s="842">
        <f t="shared" si="8"/>
        <v>56387.930000000008</v>
      </c>
      <c r="G49" s="842">
        <f t="shared" si="9"/>
        <v>-0.28000000000000003</v>
      </c>
      <c r="H49" s="842">
        <f t="shared" si="10"/>
        <v>0</v>
      </c>
      <c r="I49" s="1578">
        <f t="shared" si="11"/>
        <v>344856.60999999993</v>
      </c>
      <c r="J49" s="843">
        <f t="shared" si="12"/>
        <v>-0.28000000000000003</v>
      </c>
      <c r="K49" s="1579">
        <f t="shared" si="13"/>
        <v>56387.650000000009</v>
      </c>
      <c r="L49" s="1116"/>
      <c r="M49" s="1117"/>
      <c r="N49" s="1117"/>
      <c r="O49" s="1117"/>
      <c r="P49" s="1117"/>
      <c r="Q49" s="1118">
        <f t="shared" si="14"/>
        <v>0</v>
      </c>
      <c r="R49" s="1133"/>
      <c r="S49" s="1134"/>
      <c r="T49" s="1134"/>
      <c r="U49" s="1134"/>
      <c r="V49" s="1134"/>
      <c r="W49" s="1132">
        <f t="shared" si="15"/>
        <v>0</v>
      </c>
      <c r="X49" s="1231"/>
      <c r="Y49" s="1231"/>
      <c r="Z49" s="1231"/>
      <c r="AA49" s="1231"/>
      <c r="AB49" s="1231"/>
      <c r="AC49" s="1231">
        <f t="shared" si="16"/>
        <v>0</v>
      </c>
      <c r="AD49" s="1127">
        <v>12261.93</v>
      </c>
      <c r="AE49" s="1128">
        <v>72.990000000000009</v>
      </c>
      <c r="AF49" s="1128">
        <v>2262.65</v>
      </c>
      <c r="AG49" s="1128">
        <v>-0.01</v>
      </c>
      <c r="AH49" s="1128">
        <v>0</v>
      </c>
      <c r="AI49" s="1124">
        <f t="shared" si="17"/>
        <v>14597.56</v>
      </c>
      <c r="AJ49" s="1148">
        <v>47679.78</v>
      </c>
      <c r="AK49" s="1149">
        <v>0</v>
      </c>
      <c r="AL49" s="1149">
        <v>11919.95</v>
      </c>
      <c r="AM49" s="1149">
        <v>0</v>
      </c>
      <c r="AN49" s="1149">
        <v>0</v>
      </c>
      <c r="AO49" s="1154">
        <f t="shared" si="18"/>
        <v>59599.729999999996</v>
      </c>
      <c r="AP49" s="1127">
        <v>22914.11</v>
      </c>
      <c r="AQ49" s="1128">
        <v>5876.21</v>
      </c>
      <c r="AR49" s="1128">
        <v>5281.09</v>
      </c>
      <c r="AS49" s="1128">
        <v>-0.11</v>
      </c>
      <c r="AT49" s="1128">
        <v>0</v>
      </c>
      <c r="AU49" s="1137">
        <f t="shared" si="19"/>
        <v>34071.300000000003</v>
      </c>
      <c r="AV49" s="1141">
        <v>753.94</v>
      </c>
      <c r="AW49" s="1142">
        <v>188.48</v>
      </c>
      <c r="AX49" s="1142">
        <v>0</v>
      </c>
      <c r="AY49" s="1142">
        <v>0</v>
      </c>
      <c r="AZ49" s="1142">
        <v>0</v>
      </c>
      <c r="BA49" s="1140">
        <f t="shared" si="20"/>
        <v>942.42000000000007</v>
      </c>
      <c r="BB49" s="1131">
        <v>3731.9300000000003</v>
      </c>
      <c r="BC49" s="1131">
        <v>932.99</v>
      </c>
      <c r="BD49" s="1131">
        <v>0</v>
      </c>
      <c r="BE49" s="1131">
        <v>0</v>
      </c>
      <c r="BF49" s="1131">
        <v>0</v>
      </c>
      <c r="BG49" s="1132">
        <f t="shared" si="21"/>
        <v>4664.92</v>
      </c>
      <c r="BH49" s="1148">
        <v>586.28</v>
      </c>
      <c r="BI49" s="1149">
        <v>1058.72</v>
      </c>
      <c r="BJ49" s="1149">
        <v>0</v>
      </c>
      <c r="BK49" s="1149">
        <v>0</v>
      </c>
      <c r="BL49" s="1149">
        <v>0</v>
      </c>
      <c r="BM49" s="1147">
        <f t="shared" si="22"/>
        <v>1645</v>
      </c>
      <c r="BN49" s="1148">
        <v>28727.360000000001</v>
      </c>
      <c r="BO49" s="1149">
        <v>3638.83</v>
      </c>
      <c r="BP49" s="1149">
        <v>5937.02</v>
      </c>
      <c r="BQ49" s="1149">
        <v>-0.09</v>
      </c>
      <c r="BR49" s="1149">
        <v>0</v>
      </c>
      <c r="BS49" s="1147">
        <f t="shared" si="23"/>
        <v>38303.12000000001</v>
      </c>
      <c r="BT49" s="1148"/>
      <c r="BU49" s="1149"/>
      <c r="BV49" s="1149"/>
      <c r="BW49" s="1149"/>
      <c r="BX49" s="1149"/>
      <c r="BY49" s="1154">
        <f t="shared" si="24"/>
        <v>0</v>
      </c>
      <c r="BZ49" s="1148">
        <v>37849.78</v>
      </c>
      <c r="CA49" s="1149">
        <v>103743.61</v>
      </c>
      <c r="CB49" s="1149">
        <v>25971.97</v>
      </c>
      <c r="CC49" s="1149">
        <v>-0.12000000000000001</v>
      </c>
      <c r="CD49" s="1149">
        <v>0</v>
      </c>
      <c r="CE49" s="1154">
        <f t="shared" si="25"/>
        <v>167565.24000000002</v>
      </c>
      <c r="CF49" s="1148">
        <v>843.54</v>
      </c>
      <c r="CG49" s="1149">
        <v>0</v>
      </c>
      <c r="CH49" s="1149">
        <v>1512.73</v>
      </c>
      <c r="CI49" s="1149">
        <v>0</v>
      </c>
      <c r="CJ49" s="1149">
        <v>0</v>
      </c>
      <c r="CK49" s="1154">
        <f t="shared" si="26"/>
        <v>2356.27</v>
      </c>
      <c r="CL49" s="1145"/>
      <c r="CM49" s="1146"/>
      <c r="CN49" s="1146"/>
      <c r="CO49" s="1146"/>
      <c r="CP49" s="1146"/>
      <c r="CQ49" s="1147">
        <f t="shared" si="27"/>
        <v>0</v>
      </c>
      <c r="CR49" s="1145"/>
      <c r="CS49" s="1146"/>
      <c r="CT49" s="1146"/>
      <c r="CU49" s="1146"/>
      <c r="CV49" s="1146"/>
      <c r="CW49" s="1154">
        <f t="shared" si="28"/>
        <v>0</v>
      </c>
      <c r="CX49" s="1145"/>
      <c r="CY49" s="1146"/>
      <c r="CZ49" s="1146"/>
      <c r="DA49" s="1146"/>
      <c r="DB49" s="1146"/>
      <c r="DC49" s="1147">
        <f t="shared" si="29"/>
        <v>0</v>
      </c>
      <c r="DD49" s="1148">
        <v>-1486.04</v>
      </c>
      <c r="DE49" s="1149">
        <v>0</v>
      </c>
      <c r="DF49" s="1149">
        <v>0</v>
      </c>
      <c r="DG49" s="1149">
        <v>0</v>
      </c>
      <c r="DH49" s="1149">
        <v>0</v>
      </c>
      <c r="DI49" s="1154">
        <f t="shared" si="30"/>
        <v>-1486.04</v>
      </c>
      <c r="DJ49" s="1233"/>
      <c r="DK49" s="1233"/>
      <c r="DL49" s="1233"/>
      <c r="DM49" s="1233"/>
      <c r="DN49" s="1233"/>
      <c r="DO49" s="1233">
        <f t="shared" si="31"/>
        <v>0</v>
      </c>
      <c r="DP49" s="1148">
        <v>8736.5</v>
      </c>
      <c r="DQ49" s="1149">
        <v>6028.19</v>
      </c>
      <c r="DR49" s="1149">
        <v>2708.31</v>
      </c>
      <c r="DS49" s="1149">
        <v>0</v>
      </c>
      <c r="DT49" s="1149">
        <v>0</v>
      </c>
      <c r="DU49" s="1155">
        <f t="shared" si="32"/>
        <v>17473</v>
      </c>
      <c r="DV49" s="1148">
        <v>4329.83</v>
      </c>
      <c r="DW49" s="1149">
        <v>0</v>
      </c>
      <c r="DX49" s="1149">
        <v>794.21</v>
      </c>
      <c r="DY49" s="1149">
        <v>0.05</v>
      </c>
      <c r="DZ49" s="1149">
        <v>0</v>
      </c>
      <c r="EA49" s="1154">
        <f t="shared" si="33"/>
        <v>5124.09</v>
      </c>
    </row>
    <row r="50" spans="1:131" ht="15" customHeight="1">
      <c r="A50" s="746" t="s">
        <v>114</v>
      </c>
      <c r="B50" s="844" t="s">
        <v>115</v>
      </c>
      <c r="C50" s="967" t="s">
        <v>265</v>
      </c>
      <c r="D50" s="842">
        <f t="shared" si="6"/>
        <v>18230.37</v>
      </c>
      <c r="E50" s="842">
        <f t="shared" si="7"/>
        <v>1622.95</v>
      </c>
      <c r="F50" s="842">
        <f t="shared" si="8"/>
        <v>3918.1400000000003</v>
      </c>
      <c r="G50" s="842">
        <f t="shared" si="9"/>
        <v>-0.02</v>
      </c>
      <c r="H50" s="842">
        <f t="shared" si="10"/>
        <v>200</v>
      </c>
      <c r="I50" s="1578">
        <f t="shared" si="11"/>
        <v>23971.439999999999</v>
      </c>
      <c r="J50" s="843">
        <f t="shared" si="12"/>
        <v>199.98</v>
      </c>
      <c r="K50" s="1579">
        <f t="shared" si="13"/>
        <v>4118.12</v>
      </c>
      <c r="L50" s="1116"/>
      <c r="M50" s="1117"/>
      <c r="N50" s="1121"/>
      <c r="O50" s="1117"/>
      <c r="P50" s="1117"/>
      <c r="Q50" s="1118">
        <f t="shared" si="14"/>
        <v>0</v>
      </c>
      <c r="R50" s="1133"/>
      <c r="S50" s="1134"/>
      <c r="T50" s="1134"/>
      <c r="U50" s="1134"/>
      <c r="V50" s="1134"/>
      <c r="W50" s="1132">
        <f t="shared" si="15"/>
        <v>0</v>
      </c>
      <c r="X50" s="1231"/>
      <c r="Y50" s="1231"/>
      <c r="Z50" s="1231"/>
      <c r="AA50" s="1231"/>
      <c r="AB50" s="1231"/>
      <c r="AC50" s="1231">
        <f t="shared" si="16"/>
        <v>0</v>
      </c>
      <c r="AD50" s="1127"/>
      <c r="AE50" s="1128"/>
      <c r="AF50" s="1128"/>
      <c r="AG50" s="1128"/>
      <c r="AH50" s="1128"/>
      <c r="AI50" s="1124">
        <f t="shared" si="17"/>
        <v>0</v>
      </c>
      <c r="AJ50" s="1148">
        <v>4405.55</v>
      </c>
      <c r="AK50" s="1149">
        <v>0</v>
      </c>
      <c r="AL50" s="1149">
        <v>1101.3900000000001</v>
      </c>
      <c r="AM50" s="1149">
        <v>0</v>
      </c>
      <c r="AN50" s="1149">
        <v>0</v>
      </c>
      <c r="AO50" s="1154">
        <f t="shared" si="18"/>
        <v>5506.9400000000005</v>
      </c>
      <c r="AP50" s="1125"/>
      <c r="AQ50" s="1126"/>
      <c r="AR50" s="1126"/>
      <c r="AS50" s="1126"/>
      <c r="AT50" s="1126"/>
      <c r="AU50" s="1137">
        <f t="shared" si="19"/>
        <v>0</v>
      </c>
      <c r="AV50" s="1138"/>
      <c r="AW50" s="1139"/>
      <c r="AX50" s="1139"/>
      <c r="AY50" s="1139"/>
      <c r="AZ50" s="1139"/>
      <c r="BA50" s="1140">
        <f t="shared" si="20"/>
        <v>0</v>
      </c>
      <c r="BB50" s="1131">
        <v>73.599999999999994</v>
      </c>
      <c r="BC50" s="1131">
        <v>18.399999999999999</v>
      </c>
      <c r="BD50" s="1131">
        <v>0</v>
      </c>
      <c r="BE50" s="1131">
        <v>0</v>
      </c>
      <c r="BF50" s="1131">
        <v>0</v>
      </c>
      <c r="BG50" s="1132">
        <f t="shared" si="21"/>
        <v>92</v>
      </c>
      <c r="BH50" s="1148"/>
      <c r="BI50" s="1149"/>
      <c r="BJ50" s="1149"/>
      <c r="BK50" s="1149"/>
      <c r="BL50" s="1149"/>
      <c r="BM50" s="1147">
        <f t="shared" si="22"/>
        <v>0</v>
      </c>
      <c r="BN50" s="1148">
        <v>12667.51</v>
      </c>
      <c r="BO50" s="1149">
        <v>1604.55</v>
      </c>
      <c r="BP50" s="1149">
        <v>2617.9499999999998</v>
      </c>
      <c r="BQ50" s="1149">
        <v>-0.01</v>
      </c>
      <c r="BR50" s="1149">
        <v>200</v>
      </c>
      <c r="BS50" s="1147">
        <f t="shared" si="23"/>
        <v>17090</v>
      </c>
      <c r="BT50" s="1145"/>
      <c r="BU50" s="1146"/>
      <c r="BV50" s="1146"/>
      <c r="BW50" s="1146"/>
      <c r="BX50" s="1146"/>
      <c r="BY50" s="1154">
        <f t="shared" si="24"/>
        <v>0</v>
      </c>
      <c r="BZ50" s="1145"/>
      <c r="CA50" s="1146"/>
      <c r="CB50" s="1146"/>
      <c r="CC50" s="1146"/>
      <c r="CD50" s="1146"/>
      <c r="CE50" s="1154">
        <f t="shared" si="25"/>
        <v>0</v>
      </c>
      <c r="CF50" s="1145"/>
      <c r="CG50" s="1146"/>
      <c r="CH50" s="1146"/>
      <c r="CI50" s="1146"/>
      <c r="CJ50" s="1146"/>
      <c r="CK50" s="1154">
        <f t="shared" si="26"/>
        <v>0</v>
      </c>
      <c r="CL50" s="1145"/>
      <c r="CM50" s="1146"/>
      <c r="CN50" s="1146"/>
      <c r="CO50" s="1146"/>
      <c r="CP50" s="1146"/>
      <c r="CQ50" s="1147">
        <f t="shared" si="27"/>
        <v>0</v>
      </c>
      <c r="CR50" s="1145"/>
      <c r="CS50" s="1146"/>
      <c r="CT50" s="1146"/>
      <c r="CU50" s="1146"/>
      <c r="CV50" s="1146"/>
      <c r="CW50" s="1154">
        <f t="shared" si="28"/>
        <v>0</v>
      </c>
      <c r="CX50" s="1145"/>
      <c r="CY50" s="1146"/>
      <c r="CZ50" s="1146"/>
      <c r="DA50" s="1146"/>
      <c r="DB50" s="1146"/>
      <c r="DC50" s="1147">
        <f t="shared" si="29"/>
        <v>0</v>
      </c>
      <c r="DD50" s="1145"/>
      <c r="DE50" s="1146"/>
      <c r="DF50" s="1146"/>
      <c r="DG50" s="1146"/>
      <c r="DH50" s="1146"/>
      <c r="DI50" s="1154">
        <f t="shared" si="30"/>
        <v>0</v>
      </c>
      <c r="DJ50" s="1234"/>
      <c r="DK50" s="1234"/>
      <c r="DL50" s="1234"/>
      <c r="DM50" s="1234"/>
      <c r="DN50" s="1234"/>
      <c r="DO50" s="1233">
        <f t="shared" si="31"/>
        <v>0</v>
      </c>
      <c r="DP50" s="1145"/>
      <c r="DQ50" s="1146"/>
      <c r="DR50" s="1146"/>
      <c r="DS50" s="1146"/>
      <c r="DT50" s="1146"/>
      <c r="DU50" s="1155">
        <f t="shared" si="32"/>
        <v>0</v>
      </c>
      <c r="DV50" s="1148">
        <v>1083.71</v>
      </c>
      <c r="DW50" s="1149">
        <v>0</v>
      </c>
      <c r="DX50" s="1149">
        <v>198.8</v>
      </c>
      <c r="DY50" s="1149">
        <v>-0.01</v>
      </c>
      <c r="DZ50" s="1149">
        <v>0</v>
      </c>
      <c r="EA50" s="1154">
        <f t="shared" si="33"/>
        <v>1282.5</v>
      </c>
    </row>
    <row r="51" spans="1:131" ht="15" customHeight="1">
      <c r="A51" s="746" t="s">
        <v>118</v>
      </c>
      <c r="B51" s="844" t="s">
        <v>119</v>
      </c>
      <c r="C51" s="967" t="s">
        <v>264</v>
      </c>
      <c r="D51" s="842">
        <f t="shared" si="6"/>
        <v>59231.45</v>
      </c>
      <c r="E51" s="842">
        <f t="shared" si="7"/>
        <v>20580.28</v>
      </c>
      <c r="F51" s="842">
        <f t="shared" si="8"/>
        <v>15690.619999999997</v>
      </c>
      <c r="G51" s="842">
        <f t="shared" si="9"/>
        <v>5566.8</v>
      </c>
      <c r="H51" s="842">
        <f t="shared" si="10"/>
        <v>125</v>
      </c>
      <c r="I51" s="1578">
        <f t="shared" si="11"/>
        <v>101194.15</v>
      </c>
      <c r="J51" s="843">
        <f t="shared" si="12"/>
        <v>5691.8</v>
      </c>
      <c r="K51" s="1579">
        <f t="shared" si="13"/>
        <v>21382.42</v>
      </c>
      <c r="L51" s="1116"/>
      <c r="M51" s="1117"/>
      <c r="N51" s="1117"/>
      <c r="O51" s="1117"/>
      <c r="P51" s="1117"/>
      <c r="Q51" s="1118">
        <f t="shared" si="14"/>
        <v>0</v>
      </c>
      <c r="R51" s="1135">
        <v>0</v>
      </c>
      <c r="S51" s="1136">
        <v>0</v>
      </c>
      <c r="T51" s="1136">
        <v>0</v>
      </c>
      <c r="U51" s="1136">
        <v>5539.37</v>
      </c>
      <c r="V51" s="1136">
        <v>0</v>
      </c>
      <c r="W51" s="1132">
        <f t="shared" si="15"/>
        <v>5539.37</v>
      </c>
      <c r="X51" s="1231">
        <v>0</v>
      </c>
      <c r="Y51" s="1231">
        <v>2164.5100000000002</v>
      </c>
      <c r="Z51" s="1231">
        <v>0</v>
      </c>
      <c r="AA51" s="1231">
        <v>0</v>
      </c>
      <c r="AB51" s="1231">
        <v>0</v>
      </c>
      <c r="AC51" s="1231">
        <f t="shared" si="16"/>
        <v>2164.5100000000002</v>
      </c>
      <c r="AD51" s="1127">
        <v>1326.04</v>
      </c>
      <c r="AE51" s="1128">
        <v>7.9</v>
      </c>
      <c r="AF51" s="1128">
        <v>244.7</v>
      </c>
      <c r="AG51" s="1128">
        <v>-0.02</v>
      </c>
      <c r="AH51" s="1128">
        <v>0</v>
      </c>
      <c r="AI51" s="1124">
        <f t="shared" si="17"/>
        <v>1578.6200000000001</v>
      </c>
      <c r="AJ51" s="1148">
        <v>28686.59</v>
      </c>
      <c r="AK51" s="1149">
        <v>0</v>
      </c>
      <c r="AL51" s="1149">
        <v>7171.64</v>
      </c>
      <c r="AM51" s="1149">
        <v>0</v>
      </c>
      <c r="AN51" s="1149">
        <v>0</v>
      </c>
      <c r="AO51" s="1154">
        <f t="shared" si="18"/>
        <v>35858.230000000003</v>
      </c>
      <c r="AP51" s="1125"/>
      <c r="AQ51" s="1126"/>
      <c r="AR51" s="1126"/>
      <c r="AS51" s="1126"/>
      <c r="AT51" s="1126"/>
      <c r="AU51" s="1137">
        <f t="shared" si="19"/>
        <v>0</v>
      </c>
      <c r="AV51" s="1138">
        <v>4603.08</v>
      </c>
      <c r="AW51" s="1139">
        <v>1150.77</v>
      </c>
      <c r="AX51" s="1139">
        <v>0</v>
      </c>
      <c r="AY51" s="1139">
        <v>137.52000000000001</v>
      </c>
      <c r="AZ51" s="1139">
        <v>0</v>
      </c>
      <c r="BA51" s="1140">
        <f t="shared" si="20"/>
        <v>5891.3700000000008</v>
      </c>
      <c r="BB51" s="1131">
        <v>62.6</v>
      </c>
      <c r="BC51" s="1131">
        <v>15.65</v>
      </c>
      <c r="BD51" s="1131">
        <v>0</v>
      </c>
      <c r="BE51" s="1131">
        <v>0</v>
      </c>
      <c r="BF51" s="1131">
        <v>0</v>
      </c>
      <c r="BG51" s="1132">
        <f t="shared" si="21"/>
        <v>78.25</v>
      </c>
      <c r="BH51" s="1148">
        <v>144.35</v>
      </c>
      <c r="BI51" s="1149">
        <v>260.64999999999998</v>
      </c>
      <c r="BJ51" s="1149">
        <v>0</v>
      </c>
      <c r="BK51" s="1149">
        <v>0</v>
      </c>
      <c r="BL51" s="1149">
        <v>0</v>
      </c>
      <c r="BM51" s="1147">
        <f t="shared" si="22"/>
        <v>405</v>
      </c>
      <c r="BN51" s="1148">
        <v>13770</v>
      </c>
      <c r="BO51" s="1149">
        <v>1744.2</v>
      </c>
      <c r="BP51" s="1149">
        <v>2845.8</v>
      </c>
      <c r="BQ51" s="1149">
        <v>0</v>
      </c>
      <c r="BR51" s="1149">
        <v>0</v>
      </c>
      <c r="BS51" s="1147">
        <f t="shared" si="23"/>
        <v>18360</v>
      </c>
      <c r="BT51" s="1148">
        <v>-112.5</v>
      </c>
      <c r="BU51" s="1149">
        <v>-112.5</v>
      </c>
      <c r="BV51" s="1149">
        <v>0</v>
      </c>
      <c r="BW51" s="1149">
        <v>0</v>
      </c>
      <c r="BX51" s="1149">
        <v>0</v>
      </c>
      <c r="BY51" s="1154">
        <f t="shared" si="24"/>
        <v>-225</v>
      </c>
      <c r="BZ51" s="1148">
        <v>5205.6099999999997</v>
      </c>
      <c r="CA51" s="1149">
        <v>13563.34</v>
      </c>
      <c r="CB51" s="1149">
        <v>3442.73</v>
      </c>
      <c r="CC51" s="1149">
        <v>-7.0000000000000007E-2</v>
      </c>
      <c r="CD51" s="1149">
        <v>0</v>
      </c>
      <c r="CE51" s="1154">
        <f t="shared" si="25"/>
        <v>22211.61</v>
      </c>
      <c r="CF51" s="1148">
        <v>398.13</v>
      </c>
      <c r="CG51" s="1149">
        <v>0</v>
      </c>
      <c r="CH51" s="1149">
        <v>713.96</v>
      </c>
      <c r="CI51" s="1149">
        <v>0</v>
      </c>
      <c r="CJ51" s="1149">
        <v>125</v>
      </c>
      <c r="CK51" s="1154">
        <f t="shared" si="26"/>
        <v>1237.0900000000001</v>
      </c>
      <c r="CL51" s="1145"/>
      <c r="CM51" s="1146"/>
      <c r="CN51" s="1146"/>
      <c r="CO51" s="1146"/>
      <c r="CP51" s="1146"/>
      <c r="CQ51" s="1147">
        <f t="shared" si="27"/>
        <v>0</v>
      </c>
      <c r="CR51" s="1148"/>
      <c r="CS51" s="1149"/>
      <c r="CT51" s="1149"/>
      <c r="CU51" s="1149"/>
      <c r="CV51" s="1149"/>
      <c r="CW51" s="1154">
        <f t="shared" si="28"/>
        <v>0</v>
      </c>
      <c r="CX51" s="1148"/>
      <c r="CY51" s="1149"/>
      <c r="CZ51" s="1149"/>
      <c r="DA51" s="1149"/>
      <c r="DB51" s="1149"/>
      <c r="DC51" s="1147">
        <f t="shared" si="29"/>
        <v>0</v>
      </c>
      <c r="DD51" s="1148"/>
      <c r="DE51" s="1149"/>
      <c r="DF51" s="1149"/>
      <c r="DG51" s="1149"/>
      <c r="DH51" s="1149"/>
      <c r="DI51" s="1154">
        <f t="shared" si="30"/>
        <v>0</v>
      </c>
      <c r="DJ51" s="1233"/>
      <c r="DK51" s="1233"/>
      <c r="DL51" s="1233"/>
      <c r="DM51" s="1233"/>
      <c r="DN51" s="1233"/>
      <c r="DO51" s="1233">
        <f t="shared" si="31"/>
        <v>0</v>
      </c>
      <c r="DP51" s="1148">
        <v>2588.0700000000002</v>
      </c>
      <c r="DQ51" s="1149">
        <v>1785.76</v>
      </c>
      <c r="DR51" s="1149">
        <v>802.3</v>
      </c>
      <c r="DS51" s="1149">
        <v>0.01</v>
      </c>
      <c r="DT51" s="1149">
        <v>0</v>
      </c>
      <c r="DU51" s="1155">
        <f t="shared" si="32"/>
        <v>5176.1400000000003</v>
      </c>
      <c r="DV51" s="1148">
        <v>2559.48</v>
      </c>
      <c r="DW51" s="1149">
        <v>0</v>
      </c>
      <c r="DX51" s="1149">
        <v>469.49</v>
      </c>
      <c r="DY51" s="1149">
        <v>-110.01</v>
      </c>
      <c r="DZ51" s="1149">
        <v>0</v>
      </c>
      <c r="EA51" s="1154">
        <f t="shared" si="33"/>
        <v>2918.96</v>
      </c>
    </row>
    <row r="52" spans="1:131" ht="15" customHeight="1">
      <c r="A52" s="746" t="s">
        <v>120</v>
      </c>
      <c r="B52" s="844" t="s">
        <v>121</v>
      </c>
      <c r="C52" s="967" t="s">
        <v>264</v>
      </c>
      <c r="D52" s="842">
        <f t="shared" si="6"/>
        <v>53672.08</v>
      </c>
      <c r="E52" s="842">
        <f t="shared" si="7"/>
        <v>56081.070000000007</v>
      </c>
      <c r="F52" s="842">
        <f t="shared" si="8"/>
        <v>29223.399999999998</v>
      </c>
      <c r="G52" s="842">
        <f t="shared" si="9"/>
        <v>1651.96</v>
      </c>
      <c r="H52" s="842">
        <f t="shared" si="10"/>
        <v>0</v>
      </c>
      <c r="I52" s="1578">
        <f t="shared" si="11"/>
        <v>140628.51</v>
      </c>
      <c r="J52" s="843">
        <f t="shared" si="12"/>
        <v>1651.96</v>
      </c>
      <c r="K52" s="1579">
        <f t="shared" si="13"/>
        <v>30875.359999999997</v>
      </c>
      <c r="L52" s="1116"/>
      <c r="M52" s="1117"/>
      <c r="N52" s="1117"/>
      <c r="O52" s="1117"/>
      <c r="P52" s="1117"/>
      <c r="Q52" s="1118">
        <f t="shared" si="14"/>
        <v>0</v>
      </c>
      <c r="R52" s="1133"/>
      <c r="S52" s="1134"/>
      <c r="T52" s="1134"/>
      <c r="U52" s="1134"/>
      <c r="V52" s="1134"/>
      <c r="W52" s="1132">
        <f t="shared" si="15"/>
        <v>0</v>
      </c>
      <c r="X52" s="1231"/>
      <c r="Y52" s="1231"/>
      <c r="Z52" s="1231"/>
      <c r="AA52" s="1231"/>
      <c r="AB52" s="1231"/>
      <c r="AC52" s="1231">
        <f t="shared" si="16"/>
        <v>0</v>
      </c>
      <c r="AD52" s="1127">
        <v>1989.89</v>
      </c>
      <c r="AE52" s="1128">
        <v>11.84</v>
      </c>
      <c r="AF52" s="1128">
        <v>367.18</v>
      </c>
      <c r="AG52" s="1128">
        <v>0.01</v>
      </c>
      <c r="AH52" s="1128">
        <v>0</v>
      </c>
      <c r="AI52" s="1124">
        <f t="shared" si="17"/>
        <v>2368.92</v>
      </c>
      <c r="AJ52" s="1148">
        <v>15240.32</v>
      </c>
      <c r="AK52" s="1149">
        <v>0</v>
      </c>
      <c r="AL52" s="1149">
        <v>3810.08</v>
      </c>
      <c r="AM52" s="1149">
        <v>0</v>
      </c>
      <c r="AN52" s="1149">
        <v>0</v>
      </c>
      <c r="AO52" s="1154">
        <f t="shared" si="18"/>
        <v>19050.400000000001</v>
      </c>
      <c r="AP52" s="1125"/>
      <c r="AQ52" s="1126"/>
      <c r="AR52" s="1126"/>
      <c r="AS52" s="1126"/>
      <c r="AT52" s="1126"/>
      <c r="AU52" s="1137">
        <f t="shared" si="19"/>
        <v>0</v>
      </c>
      <c r="AV52" s="1141">
        <v>504.18</v>
      </c>
      <c r="AW52" s="1142">
        <v>126.05</v>
      </c>
      <c r="AX52" s="1142">
        <v>0</v>
      </c>
      <c r="AY52" s="1142">
        <v>0</v>
      </c>
      <c r="AZ52" s="1142">
        <v>0</v>
      </c>
      <c r="BA52" s="1140">
        <f t="shared" si="20"/>
        <v>630.23</v>
      </c>
      <c r="BB52" s="1131">
        <v>222.5</v>
      </c>
      <c r="BC52" s="1131">
        <v>55.62</v>
      </c>
      <c r="BD52" s="1131">
        <v>0</v>
      </c>
      <c r="BE52" s="1131">
        <v>0</v>
      </c>
      <c r="BF52" s="1131">
        <v>0</v>
      </c>
      <c r="BG52" s="1132">
        <f t="shared" si="21"/>
        <v>278.12</v>
      </c>
      <c r="BH52" s="1148">
        <v>258.39</v>
      </c>
      <c r="BI52" s="1149">
        <v>466.61</v>
      </c>
      <c r="BJ52" s="1149">
        <v>0</v>
      </c>
      <c r="BK52" s="1149">
        <v>0</v>
      </c>
      <c r="BL52" s="1149">
        <v>0</v>
      </c>
      <c r="BM52" s="1147">
        <f t="shared" si="22"/>
        <v>725</v>
      </c>
      <c r="BN52" s="1145"/>
      <c r="BO52" s="1146"/>
      <c r="BP52" s="1146"/>
      <c r="BQ52" s="1146"/>
      <c r="BR52" s="1146"/>
      <c r="BS52" s="1147">
        <f t="shared" si="23"/>
        <v>0</v>
      </c>
      <c r="BT52" s="1148"/>
      <c r="BU52" s="1149"/>
      <c r="BV52" s="1149"/>
      <c r="BW52" s="1149"/>
      <c r="BX52" s="1149"/>
      <c r="BY52" s="1154">
        <f t="shared" si="24"/>
        <v>0</v>
      </c>
      <c r="BZ52" s="1148">
        <v>20661.57</v>
      </c>
      <c r="CA52" s="1149">
        <v>52613.69</v>
      </c>
      <c r="CB52" s="1149">
        <v>13440.65</v>
      </c>
      <c r="CC52" s="1149">
        <v>-0.1</v>
      </c>
      <c r="CD52" s="1149">
        <v>0</v>
      </c>
      <c r="CE52" s="1154">
        <f t="shared" si="25"/>
        <v>86715.81</v>
      </c>
      <c r="CF52" s="1148">
        <v>4995.62</v>
      </c>
      <c r="CG52" s="1149">
        <v>0</v>
      </c>
      <c r="CH52" s="1149">
        <v>8958.69</v>
      </c>
      <c r="CI52" s="1149">
        <v>1652.02</v>
      </c>
      <c r="CJ52" s="1149">
        <v>0</v>
      </c>
      <c r="CK52" s="1154">
        <f t="shared" si="26"/>
        <v>15606.330000000002</v>
      </c>
      <c r="CL52" s="1148">
        <v>95.2</v>
      </c>
      <c r="CM52" s="1149">
        <v>0</v>
      </c>
      <c r="CN52" s="1149">
        <v>304.8</v>
      </c>
      <c r="CO52" s="1149">
        <v>0</v>
      </c>
      <c r="CP52" s="1149">
        <v>0</v>
      </c>
      <c r="CQ52" s="1147">
        <f t="shared" si="27"/>
        <v>400</v>
      </c>
      <c r="CR52" s="1148"/>
      <c r="CS52" s="1149"/>
      <c r="CT52" s="1149"/>
      <c r="CU52" s="1149"/>
      <c r="CV52" s="1149"/>
      <c r="CW52" s="1154">
        <f t="shared" si="28"/>
        <v>0</v>
      </c>
      <c r="CX52" s="1148">
        <v>-128</v>
      </c>
      <c r="CY52" s="1149">
        <v>-128</v>
      </c>
      <c r="CZ52" s="1149">
        <v>0</v>
      </c>
      <c r="DA52" s="1149">
        <v>0</v>
      </c>
      <c r="DB52" s="1149">
        <v>0</v>
      </c>
      <c r="DC52" s="1147">
        <f t="shared" si="29"/>
        <v>-256</v>
      </c>
      <c r="DD52" s="1148"/>
      <c r="DE52" s="1149"/>
      <c r="DF52" s="1149"/>
      <c r="DG52" s="1149"/>
      <c r="DH52" s="1149"/>
      <c r="DI52" s="1154">
        <f t="shared" si="30"/>
        <v>0</v>
      </c>
      <c r="DJ52" s="1233"/>
      <c r="DK52" s="1233"/>
      <c r="DL52" s="1233"/>
      <c r="DM52" s="1233"/>
      <c r="DN52" s="1233"/>
      <c r="DO52" s="1233">
        <f t="shared" si="31"/>
        <v>0</v>
      </c>
      <c r="DP52" s="1148">
        <v>4254.01</v>
      </c>
      <c r="DQ52" s="1149">
        <v>2935.26</v>
      </c>
      <c r="DR52" s="1149">
        <v>1318.74</v>
      </c>
      <c r="DS52" s="1149">
        <v>-0.01</v>
      </c>
      <c r="DT52" s="1149">
        <v>0</v>
      </c>
      <c r="DU52" s="1155">
        <f t="shared" si="32"/>
        <v>8508</v>
      </c>
      <c r="DV52" s="1148">
        <v>5578.4</v>
      </c>
      <c r="DW52" s="1149">
        <v>0</v>
      </c>
      <c r="DX52" s="1149">
        <v>1023.26</v>
      </c>
      <c r="DY52" s="1149">
        <v>0.04</v>
      </c>
      <c r="DZ52" s="1149">
        <v>0</v>
      </c>
      <c r="EA52" s="1154">
        <f t="shared" si="33"/>
        <v>6601.7</v>
      </c>
    </row>
    <row r="53" spans="1:131" ht="15" customHeight="1">
      <c r="A53" s="746" t="s">
        <v>122</v>
      </c>
      <c r="B53" s="844" t="s">
        <v>271</v>
      </c>
      <c r="C53" s="967" t="s">
        <v>266</v>
      </c>
      <c r="D53" s="842">
        <f t="shared" si="6"/>
        <v>18882.48</v>
      </c>
      <c r="E53" s="842">
        <f t="shared" si="7"/>
        <v>6031.88</v>
      </c>
      <c r="F53" s="842">
        <f t="shared" si="8"/>
        <v>4403.6499999999996</v>
      </c>
      <c r="G53" s="842">
        <f t="shared" si="9"/>
        <v>-0.05</v>
      </c>
      <c r="H53" s="842">
        <f t="shared" si="10"/>
        <v>0</v>
      </c>
      <c r="I53" s="1578">
        <f t="shared" si="11"/>
        <v>29317.960000000003</v>
      </c>
      <c r="J53" s="843">
        <f t="shared" si="12"/>
        <v>-0.05</v>
      </c>
      <c r="K53" s="1579">
        <f t="shared" si="13"/>
        <v>4403.5999999999995</v>
      </c>
      <c r="L53" s="1116"/>
      <c r="M53" s="1117"/>
      <c r="N53" s="1117"/>
      <c r="O53" s="1117"/>
      <c r="P53" s="1117"/>
      <c r="Q53" s="1118">
        <f t="shared" si="14"/>
        <v>0</v>
      </c>
      <c r="R53" s="1133"/>
      <c r="S53" s="1134"/>
      <c r="T53" s="1134"/>
      <c r="U53" s="1134"/>
      <c r="V53" s="1134"/>
      <c r="W53" s="1132">
        <f t="shared" si="15"/>
        <v>0</v>
      </c>
      <c r="X53" s="1232"/>
      <c r="Y53" s="1232"/>
      <c r="Z53" s="1232"/>
      <c r="AA53" s="1232"/>
      <c r="AB53" s="1232"/>
      <c r="AC53" s="1231">
        <f t="shared" si="16"/>
        <v>0</v>
      </c>
      <c r="AD53" s="1125">
        <v>772.51</v>
      </c>
      <c r="AE53" s="1126">
        <v>4.5999999999999996</v>
      </c>
      <c r="AF53" s="1126">
        <v>142.55000000000001</v>
      </c>
      <c r="AG53" s="1126">
        <v>-0.01</v>
      </c>
      <c r="AH53" s="1126">
        <v>0</v>
      </c>
      <c r="AI53" s="1124">
        <f t="shared" si="17"/>
        <v>919.65000000000009</v>
      </c>
      <c r="AJ53" s="1148"/>
      <c r="AK53" s="1149"/>
      <c r="AL53" s="1149"/>
      <c r="AM53" s="1149"/>
      <c r="AN53" s="1149"/>
      <c r="AO53" s="1154">
        <f t="shared" si="18"/>
        <v>0</v>
      </c>
      <c r="AP53" s="1125">
        <v>155.1</v>
      </c>
      <c r="AQ53" s="1126">
        <v>60.38</v>
      </c>
      <c r="AR53" s="1126">
        <v>39.53</v>
      </c>
      <c r="AS53" s="1126">
        <v>-0.01</v>
      </c>
      <c r="AT53" s="1126">
        <v>0</v>
      </c>
      <c r="AU53" s="1137">
        <f t="shared" si="19"/>
        <v>255</v>
      </c>
      <c r="AV53" s="1141">
        <v>362.91</v>
      </c>
      <c r="AW53" s="1142">
        <v>90.73</v>
      </c>
      <c r="AX53" s="1142">
        <v>0</v>
      </c>
      <c r="AY53" s="1142">
        <v>0</v>
      </c>
      <c r="AZ53" s="1142">
        <v>0</v>
      </c>
      <c r="BA53" s="1140">
        <f t="shared" si="20"/>
        <v>453.64000000000004</v>
      </c>
      <c r="BB53" s="1131">
        <v>362.91</v>
      </c>
      <c r="BC53" s="1131">
        <v>90.73</v>
      </c>
      <c r="BD53" s="1131">
        <v>0</v>
      </c>
      <c r="BE53" s="1131">
        <v>0</v>
      </c>
      <c r="BF53" s="1131">
        <v>0</v>
      </c>
      <c r="BG53" s="1132">
        <f t="shared" si="21"/>
        <v>453.64000000000004</v>
      </c>
      <c r="BH53" s="1148"/>
      <c r="BI53" s="1149"/>
      <c r="BJ53" s="1149"/>
      <c r="BK53" s="1149"/>
      <c r="BL53" s="1149"/>
      <c r="BM53" s="1147">
        <f t="shared" si="22"/>
        <v>0</v>
      </c>
      <c r="BN53" s="1148">
        <v>12669</v>
      </c>
      <c r="BO53" s="1149">
        <v>1604.74</v>
      </c>
      <c r="BP53" s="1149">
        <v>2618.2600000000002</v>
      </c>
      <c r="BQ53" s="1149">
        <v>0</v>
      </c>
      <c r="BR53" s="1149">
        <v>0</v>
      </c>
      <c r="BS53" s="1147">
        <f t="shared" si="23"/>
        <v>16892</v>
      </c>
      <c r="BT53" s="1148"/>
      <c r="BU53" s="1149"/>
      <c r="BV53" s="1149"/>
      <c r="BW53" s="1149"/>
      <c r="BX53" s="1149"/>
      <c r="BY53" s="1154">
        <f t="shared" si="24"/>
        <v>0</v>
      </c>
      <c r="BZ53" s="1148">
        <v>1785.47</v>
      </c>
      <c r="CA53" s="1149">
        <v>4180.7</v>
      </c>
      <c r="CB53" s="1149">
        <v>1094.3599999999999</v>
      </c>
      <c r="CC53" s="1149">
        <v>-0.03</v>
      </c>
      <c r="CD53" s="1149">
        <v>0</v>
      </c>
      <c r="CE53" s="1154">
        <f t="shared" si="25"/>
        <v>7060.5</v>
      </c>
      <c r="CF53" s="1145"/>
      <c r="CG53" s="1146"/>
      <c r="CH53" s="1146"/>
      <c r="CI53" s="1146"/>
      <c r="CJ53" s="1146"/>
      <c r="CK53" s="1154">
        <f t="shared" si="26"/>
        <v>0</v>
      </c>
      <c r="CL53" s="1145"/>
      <c r="CM53" s="1146"/>
      <c r="CN53" s="1146"/>
      <c r="CO53" s="1146"/>
      <c r="CP53" s="1146"/>
      <c r="CQ53" s="1147">
        <f t="shared" si="27"/>
        <v>0</v>
      </c>
      <c r="CR53" s="1145"/>
      <c r="CS53" s="1146"/>
      <c r="CT53" s="1146"/>
      <c r="CU53" s="1146"/>
      <c r="CV53" s="1146"/>
      <c r="CW53" s="1154">
        <f t="shared" si="28"/>
        <v>0</v>
      </c>
      <c r="CX53" s="1148"/>
      <c r="CY53" s="1149"/>
      <c r="CZ53" s="1149"/>
      <c r="DA53" s="1149"/>
      <c r="DB53" s="1149"/>
      <c r="DC53" s="1147">
        <f t="shared" si="29"/>
        <v>0</v>
      </c>
      <c r="DD53" s="1148"/>
      <c r="DE53" s="1149"/>
      <c r="DF53" s="1149"/>
      <c r="DG53" s="1149"/>
      <c r="DH53" s="1149"/>
      <c r="DI53" s="1154">
        <f t="shared" si="30"/>
        <v>0</v>
      </c>
      <c r="DJ53" s="1233"/>
      <c r="DK53" s="1233"/>
      <c r="DL53" s="1233"/>
      <c r="DM53" s="1233"/>
      <c r="DN53" s="1233"/>
      <c r="DO53" s="1233">
        <f t="shared" si="31"/>
        <v>0</v>
      </c>
      <c r="DP53" s="1148"/>
      <c r="DQ53" s="1149"/>
      <c r="DR53" s="1149"/>
      <c r="DS53" s="1149"/>
      <c r="DT53" s="1149"/>
      <c r="DU53" s="1155">
        <f t="shared" si="32"/>
        <v>0</v>
      </c>
      <c r="DV53" s="1148">
        <v>2774.58</v>
      </c>
      <c r="DW53" s="1149">
        <v>0</v>
      </c>
      <c r="DX53" s="1149">
        <v>508.95</v>
      </c>
      <c r="DY53" s="1149">
        <v>0</v>
      </c>
      <c r="DZ53" s="1149">
        <v>0</v>
      </c>
      <c r="EA53" s="1154">
        <f t="shared" si="33"/>
        <v>3283.5299999999997</v>
      </c>
    </row>
    <row r="54" spans="1:131" ht="15" customHeight="1">
      <c r="A54" s="746" t="s">
        <v>124</v>
      </c>
      <c r="B54" s="844" t="s">
        <v>125</v>
      </c>
      <c r="C54" s="967" t="s">
        <v>267</v>
      </c>
      <c r="D54" s="842">
        <f t="shared" si="6"/>
        <v>33559.94</v>
      </c>
      <c r="E54" s="842">
        <f t="shared" si="7"/>
        <v>16819.059999999998</v>
      </c>
      <c r="F54" s="842">
        <f t="shared" si="8"/>
        <v>8626.4900000000016</v>
      </c>
      <c r="G54" s="842">
        <f t="shared" si="9"/>
        <v>-0.03</v>
      </c>
      <c r="H54" s="842">
        <f t="shared" si="10"/>
        <v>0</v>
      </c>
      <c r="I54" s="1578">
        <f t="shared" si="11"/>
        <v>59005.460000000006</v>
      </c>
      <c r="J54" s="843">
        <f t="shared" si="12"/>
        <v>-0.03</v>
      </c>
      <c r="K54" s="1579">
        <f t="shared" si="13"/>
        <v>8626.4600000000009</v>
      </c>
      <c r="L54" s="1116"/>
      <c r="M54" s="1117"/>
      <c r="N54" s="1117"/>
      <c r="O54" s="1117"/>
      <c r="P54" s="1117"/>
      <c r="Q54" s="1118">
        <f t="shared" si="14"/>
        <v>0</v>
      </c>
      <c r="R54" s="1133"/>
      <c r="S54" s="1134"/>
      <c r="T54" s="1134"/>
      <c r="U54" s="1134"/>
      <c r="V54" s="1134"/>
      <c r="W54" s="1132">
        <f t="shared" si="15"/>
        <v>0</v>
      </c>
      <c r="X54" s="1231"/>
      <c r="Y54" s="1231"/>
      <c r="Z54" s="1231"/>
      <c r="AA54" s="1231"/>
      <c r="AB54" s="1231"/>
      <c r="AC54" s="1231">
        <f t="shared" si="16"/>
        <v>0</v>
      </c>
      <c r="AD54" s="1127">
        <v>1494.92</v>
      </c>
      <c r="AE54" s="1128">
        <v>8.9</v>
      </c>
      <c r="AF54" s="1128">
        <v>275.85000000000002</v>
      </c>
      <c r="AG54" s="1128">
        <v>0</v>
      </c>
      <c r="AH54" s="1128">
        <v>0</v>
      </c>
      <c r="AI54" s="1124">
        <f t="shared" si="17"/>
        <v>1779.67</v>
      </c>
      <c r="AJ54" s="1148">
        <v>4069.09</v>
      </c>
      <c r="AK54" s="1149">
        <v>0</v>
      </c>
      <c r="AL54" s="1149">
        <v>1017.26</v>
      </c>
      <c r="AM54" s="1149">
        <v>0</v>
      </c>
      <c r="AN54" s="1149">
        <v>0</v>
      </c>
      <c r="AO54" s="1154">
        <f t="shared" si="18"/>
        <v>5086.3500000000004</v>
      </c>
      <c r="AP54" s="1125"/>
      <c r="AQ54" s="1126"/>
      <c r="AR54" s="1126"/>
      <c r="AS54" s="1126"/>
      <c r="AT54" s="1126"/>
      <c r="AU54" s="1137">
        <f t="shared" si="19"/>
        <v>0</v>
      </c>
      <c r="AV54" s="1141">
        <v>465.74</v>
      </c>
      <c r="AW54" s="1142">
        <v>116.44</v>
      </c>
      <c r="AX54" s="1142">
        <v>0</v>
      </c>
      <c r="AY54" s="1142">
        <v>0</v>
      </c>
      <c r="AZ54" s="1142">
        <v>0</v>
      </c>
      <c r="BA54" s="1140">
        <f t="shared" si="20"/>
        <v>582.18000000000006</v>
      </c>
      <c r="BB54" s="1131">
        <v>1490.58</v>
      </c>
      <c r="BC54" s="1131">
        <v>372.64</v>
      </c>
      <c r="BD54" s="1131">
        <v>0</v>
      </c>
      <c r="BE54" s="1131">
        <v>0</v>
      </c>
      <c r="BF54" s="1131">
        <v>0</v>
      </c>
      <c r="BG54" s="1132">
        <f t="shared" si="21"/>
        <v>1863.2199999999998</v>
      </c>
      <c r="BH54" s="1148">
        <v>848.79</v>
      </c>
      <c r="BI54" s="1149">
        <v>1532.8</v>
      </c>
      <c r="BJ54" s="1149">
        <v>0</v>
      </c>
      <c r="BK54" s="1149">
        <v>0</v>
      </c>
      <c r="BL54" s="1149">
        <v>0</v>
      </c>
      <c r="BM54" s="1147">
        <f t="shared" si="22"/>
        <v>2381.59</v>
      </c>
      <c r="BN54" s="1148">
        <v>14374.1</v>
      </c>
      <c r="BO54" s="1149">
        <v>1820.73</v>
      </c>
      <c r="BP54" s="1149">
        <v>2970.65</v>
      </c>
      <c r="BQ54" s="1149">
        <v>-0.02</v>
      </c>
      <c r="BR54" s="1149">
        <v>0</v>
      </c>
      <c r="BS54" s="1147">
        <f t="shared" si="23"/>
        <v>19165.46</v>
      </c>
      <c r="BT54" s="1148"/>
      <c r="BU54" s="1149"/>
      <c r="BV54" s="1149"/>
      <c r="BW54" s="1149"/>
      <c r="BX54" s="1149"/>
      <c r="BY54" s="1154">
        <f t="shared" si="24"/>
        <v>0</v>
      </c>
      <c r="BZ54" s="1148">
        <v>4547.6899999999996</v>
      </c>
      <c r="CA54" s="1149">
        <v>12967.55</v>
      </c>
      <c r="CB54" s="1149">
        <v>3212.78</v>
      </c>
      <c r="CC54" s="1149">
        <v>0</v>
      </c>
      <c r="CD54" s="1149">
        <v>0</v>
      </c>
      <c r="CE54" s="1154">
        <f t="shared" si="25"/>
        <v>20728.019999999997</v>
      </c>
      <c r="CF54" s="1145"/>
      <c r="CG54" s="1146"/>
      <c r="CH54" s="1146"/>
      <c r="CI54" s="1146"/>
      <c r="CJ54" s="1146"/>
      <c r="CK54" s="1154">
        <f t="shared" si="26"/>
        <v>0</v>
      </c>
      <c r="CL54" s="1145"/>
      <c r="CM54" s="1146"/>
      <c r="CN54" s="1146"/>
      <c r="CO54" s="1146"/>
      <c r="CP54" s="1146"/>
      <c r="CQ54" s="1147">
        <f t="shared" si="27"/>
        <v>0</v>
      </c>
      <c r="CR54" s="1148"/>
      <c r="CS54" s="1149"/>
      <c r="CT54" s="1149"/>
      <c r="CU54" s="1149"/>
      <c r="CV54" s="1149"/>
      <c r="CW54" s="1154">
        <f t="shared" si="28"/>
        <v>0</v>
      </c>
      <c r="CX54" s="1148"/>
      <c r="CY54" s="1149"/>
      <c r="CZ54" s="1149"/>
      <c r="DA54" s="1149"/>
      <c r="DB54" s="1149"/>
      <c r="DC54" s="1147">
        <f t="shared" si="29"/>
        <v>0</v>
      </c>
      <c r="DD54" s="1148"/>
      <c r="DE54" s="1149"/>
      <c r="DF54" s="1149"/>
      <c r="DG54" s="1149"/>
      <c r="DH54" s="1149"/>
      <c r="DI54" s="1154">
        <f t="shared" si="30"/>
        <v>0</v>
      </c>
      <c r="DJ54" s="1233"/>
      <c r="DK54" s="1233"/>
      <c r="DL54" s="1233"/>
      <c r="DM54" s="1233"/>
      <c r="DN54" s="1233"/>
      <c r="DO54" s="1233">
        <f t="shared" si="31"/>
        <v>0</v>
      </c>
      <c r="DP54" s="1148"/>
      <c r="DQ54" s="1149"/>
      <c r="DR54" s="1149"/>
      <c r="DS54" s="1149"/>
      <c r="DT54" s="1149"/>
      <c r="DU54" s="1155">
        <f t="shared" si="32"/>
        <v>0</v>
      </c>
      <c r="DV54" s="1148">
        <v>6269.03</v>
      </c>
      <c r="DW54" s="1149">
        <v>0</v>
      </c>
      <c r="DX54" s="1149">
        <v>1149.95</v>
      </c>
      <c r="DY54" s="1149">
        <v>-0.01</v>
      </c>
      <c r="DZ54" s="1149">
        <v>0</v>
      </c>
      <c r="EA54" s="1154">
        <f t="shared" si="33"/>
        <v>7418.9699999999993</v>
      </c>
    </row>
    <row r="55" spans="1:131" ht="15" customHeight="1">
      <c r="A55" s="746" t="s">
        <v>126</v>
      </c>
      <c r="B55" s="844" t="s">
        <v>127</v>
      </c>
      <c r="C55" s="967" t="s">
        <v>266</v>
      </c>
      <c r="D55" s="842">
        <f t="shared" si="6"/>
        <v>29990.2</v>
      </c>
      <c r="E55" s="842">
        <f t="shared" si="7"/>
        <v>30148.730000000003</v>
      </c>
      <c r="F55" s="842">
        <f t="shared" si="8"/>
        <v>8108.2</v>
      </c>
      <c r="G55" s="842">
        <f t="shared" si="9"/>
        <v>-7.0000000000000007E-2</v>
      </c>
      <c r="H55" s="842">
        <f t="shared" si="10"/>
        <v>0</v>
      </c>
      <c r="I55" s="1578">
        <f t="shared" si="11"/>
        <v>68247.06</v>
      </c>
      <c r="J55" s="843">
        <f t="shared" si="12"/>
        <v>-7.0000000000000007E-2</v>
      </c>
      <c r="K55" s="1579">
        <f t="shared" si="13"/>
        <v>8108.13</v>
      </c>
      <c r="L55" s="1116"/>
      <c r="M55" s="1117"/>
      <c r="N55" s="1117"/>
      <c r="O55" s="1117"/>
      <c r="P55" s="1117"/>
      <c r="Q55" s="1118">
        <f t="shared" si="14"/>
        <v>0</v>
      </c>
      <c r="R55" s="1133"/>
      <c r="S55" s="1134"/>
      <c r="T55" s="1134"/>
      <c r="U55" s="1134"/>
      <c r="V55" s="1134"/>
      <c r="W55" s="1132">
        <f t="shared" si="15"/>
        <v>0</v>
      </c>
      <c r="X55" s="1231">
        <v>0</v>
      </c>
      <c r="Y55" s="1231">
        <v>15916.32</v>
      </c>
      <c r="Z55" s="1231">
        <v>0</v>
      </c>
      <c r="AA55" s="1231">
        <v>0</v>
      </c>
      <c r="AB55" s="1231">
        <v>0</v>
      </c>
      <c r="AC55" s="1231">
        <f t="shared" si="16"/>
        <v>15916.32</v>
      </c>
      <c r="AD55" s="1127">
        <v>1580.76</v>
      </c>
      <c r="AE55" s="1128">
        <v>9.42</v>
      </c>
      <c r="AF55" s="1128">
        <v>291.67</v>
      </c>
      <c r="AG55" s="1128">
        <v>-0.01</v>
      </c>
      <c r="AH55" s="1128">
        <v>0</v>
      </c>
      <c r="AI55" s="1124">
        <f t="shared" si="17"/>
        <v>1881.8400000000001</v>
      </c>
      <c r="AJ55" s="1148">
        <v>3760</v>
      </c>
      <c r="AK55" s="1149">
        <v>0</v>
      </c>
      <c r="AL55" s="1149">
        <v>940</v>
      </c>
      <c r="AM55" s="1149">
        <v>0</v>
      </c>
      <c r="AN55" s="1149">
        <v>0</v>
      </c>
      <c r="AO55" s="1154">
        <f t="shared" si="18"/>
        <v>4700</v>
      </c>
      <c r="AP55" s="1125"/>
      <c r="AQ55" s="1126"/>
      <c r="AR55" s="1126"/>
      <c r="AS55" s="1126"/>
      <c r="AT55" s="1126"/>
      <c r="AU55" s="1137">
        <f t="shared" si="19"/>
        <v>0</v>
      </c>
      <c r="AV55" s="1138">
        <v>548.48</v>
      </c>
      <c r="AW55" s="1139">
        <v>137.13</v>
      </c>
      <c r="AX55" s="1139">
        <v>0</v>
      </c>
      <c r="AY55" s="1139">
        <v>0</v>
      </c>
      <c r="AZ55" s="1139">
        <v>0</v>
      </c>
      <c r="BA55" s="1140">
        <f t="shared" si="20"/>
        <v>685.61</v>
      </c>
      <c r="BB55" s="1131">
        <v>558.64</v>
      </c>
      <c r="BC55" s="1131">
        <v>139.66999999999999</v>
      </c>
      <c r="BD55" s="1131">
        <v>0</v>
      </c>
      <c r="BE55" s="1131">
        <v>0</v>
      </c>
      <c r="BF55" s="1131">
        <v>0</v>
      </c>
      <c r="BG55" s="1132">
        <f t="shared" si="21"/>
        <v>698.31</v>
      </c>
      <c r="BH55" s="1145"/>
      <c r="BI55" s="1146"/>
      <c r="BJ55" s="1146"/>
      <c r="BK55" s="1146"/>
      <c r="BL55" s="1146"/>
      <c r="BM55" s="1147">
        <f t="shared" si="22"/>
        <v>0</v>
      </c>
      <c r="BN55" s="1148">
        <v>13762.5</v>
      </c>
      <c r="BO55" s="1149">
        <v>1743.25</v>
      </c>
      <c r="BP55" s="1149">
        <v>2844.24</v>
      </c>
      <c r="BQ55" s="1149">
        <v>0.01</v>
      </c>
      <c r="BR55" s="1149">
        <v>0</v>
      </c>
      <c r="BS55" s="1147">
        <f t="shared" si="23"/>
        <v>18349.999999999996</v>
      </c>
      <c r="BT55" s="1148"/>
      <c r="BU55" s="1149"/>
      <c r="BV55" s="1149"/>
      <c r="BW55" s="1149"/>
      <c r="BX55" s="1149"/>
      <c r="BY55" s="1154">
        <f t="shared" si="24"/>
        <v>0</v>
      </c>
      <c r="BZ55" s="1148">
        <v>3480.97</v>
      </c>
      <c r="CA55" s="1149">
        <v>9925.94</v>
      </c>
      <c r="CB55" s="1149">
        <v>2459.1999999999998</v>
      </c>
      <c r="CC55" s="1149">
        <v>-7.0000000000000007E-2</v>
      </c>
      <c r="CD55" s="1149">
        <v>0</v>
      </c>
      <c r="CE55" s="1154">
        <f t="shared" si="25"/>
        <v>15866.04</v>
      </c>
      <c r="CF55" s="1145"/>
      <c r="CG55" s="1146"/>
      <c r="CH55" s="1146"/>
      <c r="CI55" s="1146"/>
      <c r="CJ55" s="1146"/>
      <c r="CK55" s="1154">
        <f t="shared" si="26"/>
        <v>0</v>
      </c>
      <c r="CL55" s="1145"/>
      <c r="CM55" s="1146"/>
      <c r="CN55" s="1146"/>
      <c r="CO55" s="1146"/>
      <c r="CP55" s="1146"/>
      <c r="CQ55" s="1147">
        <f t="shared" si="27"/>
        <v>0</v>
      </c>
      <c r="CR55" s="1148"/>
      <c r="CS55" s="1149"/>
      <c r="CT55" s="1149"/>
      <c r="CU55" s="1149"/>
      <c r="CV55" s="1149"/>
      <c r="CW55" s="1154">
        <f t="shared" si="28"/>
        <v>0</v>
      </c>
      <c r="CX55" s="1148"/>
      <c r="CY55" s="1149"/>
      <c r="CZ55" s="1149"/>
      <c r="DA55" s="1149"/>
      <c r="DB55" s="1149"/>
      <c r="DC55" s="1147">
        <f t="shared" si="29"/>
        <v>0</v>
      </c>
      <c r="DD55" s="1148"/>
      <c r="DE55" s="1149"/>
      <c r="DF55" s="1149"/>
      <c r="DG55" s="1149"/>
      <c r="DH55" s="1149"/>
      <c r="DI55" s="1154">
        <f t="shared" si="30"/>
        <v>0</v>
      </c>
      <c r="DJ55" s="1233"/>
      <c r="DK55" s="1233"/>
      <c r="DL55" s="1233"/>
      <c r="DM55" s="1233"/>
      <c r="DN55" s="1233"/>
      <c r="DO55" s="1233">
        <f t="shared" si="31"/>
        <v>0</v>
      </c>
      <c r="DP55" s="1148">
        <v>3300</v>
      </c>
      <c r="DQ55" s="1149">
        <v>2277</v>
      </c>
      <c r="DR55" s="1149">
        <v>1023</v>
      </c>
      <c r="DS55" s="1149">
        <v>0</v>
      </c>
      <c r="DT55" s="1149">
        <v>0</v>
      </c>
      <c r="DU55" s="1155">
        <f t="shared" si="32"/>
        <v>6600</v>
      </c>
      <c r="DV55" s="1148">
        <v>2998.85</v>
      </c>
      <c r="DW55" s="1149">
        <v>0</v>
      </c>
      <c r="DX55" s="1149">
        <v>550.09</v>
      </c>
      <c r="DY55" s="1149">
        <v>0</v>
      </c>
      <c r="DZ55" s="1149">
        <v>0</v>
      </c>
      <c r="EA55" s="1154">
        <f t="shared" si="33"/>
        <v>3548.94</v>
      </c>
    </row>
    <row r="56" spans="1:131" ht="15" customHeight="1">
      <c r="A56" s="746" t="s">
        <v>128</v>
      </c>
      <c r="B56" s="844" t="s">
        <v>129</v>
      </c>
      <c r="C56" s="967" t="s">
        <v>266</v>
      </c>
      <c r="D56" s="842">
        <f t="shared" si="6"/>
        <v>3986.6099999999997</v>
      </c>
      <c r="E56" s="842">
        <f t="shared" si="7"/>
        <v>606.97</v>
      </c>
      <c r="F56" s="842">
        <f t="shared" si="8"/>
        <v>825.37</v>
      </c>
      <c r="G56" s="842">
        <f t="shared" si="9"/>
        <v>2699.9799999999996</v>
      </c>
      <c r="H56" s="842">
        <f t="shared" si="10"/>
        <v>1484</v>
      </c>
      <c r="I56" s="1578">
        <f t="shared" si="11"/>
        <v>9602.93</v>
      </c>
      <c r="J56" s="843">
        <f t="shared" si="12"/>
        <v>4183.9799999999996</v>
      </c>
      <c r="K56" s="1579">
        <f t="shared" si="13"/>
        <v>5009.3499999999995</v>
      </c>
      <c r="L56" s="1116"/>
      <c r="M56" s="1117"/>
      <c r="N56" s="1117"/>
      <c r="O56" s="1117"/>
      <c r="P56" s="1117"/>
      <c r="Q56" s="1118">
        <f t="shared" si="14"/>
        <v>0</v>
      </c>
      <c r="R56" s="1133"/>
      <c r="S56" s="1134"/>
      <c r="T56" s="1134"/>
      <c r="U56" s="1134"/>
      <c r="V56" s="1134"/>
      <c r="W56" s="1132">
        <f t="shared" si="15"/>
        <v>0</v>
      </c>
      <c r="X56" s="1231"/>
      <c r="Y56" s="1231"/>
      <c r="Z56" s="1231"/>
      <c r="AA56" s="1231"/>
      <c r="AB56" s="1231"/>
      <c r="AC56" s="1231">
        <f t="shared" si="16"/>
        <v>0</v>
      </c>
      <c r="AD56" s="1127">
        <v>128.44</v>
      </c>
      <c r="AE56" s="1128">
        <v>0.76</v>
      </c>
      <c r="AF56" s="1128">
        <v>23.7</v>
      </c>
      <c r="AG56" s="1128">
        <v>0</v>
      </c>
      <c r="AH56" s="1128">
        <v>0</v>
      </c>
      <c r="AI56" s="1124">
        <f t="shared" si="17"/>
        <v>152.89999999999998</v>
      </c>
      <c r="AJ56" s="1148"/>
      <c r="AK56" s="1149"/>
      <c r="AL56" s="1149"/>
      <c r="AM56" s="1149"/>
      <c r="AN56" s="1149"/>
      <c r="AO56" s="1154">
        <f t="shared" si="18"/>
        <v>0</v>
      </c>
      <c r="AP56" s="1125"/>
      <c r="AQ56" s="1126"/>
      <c r="AR56" s="1126"/>
      <c r="AS56" s="1126"/>
      <c r="AT56" s="1126"/>
      <c r="AU56" s="1137">
        <f t="shared" si="19"/>
        <v>0</v>
      </c>
      <c r="AV56" s="1141">
        <v>75.2</v>
      </c>
      <c r="AW56" s="1142">
        <v>18.8</v>
      </c>
      <c r="AX56" s="1142">
        <v>0</v>
      </c>
      <c r="AY56" s="1142">
        <v>0</v>
      </c>
      <c r="AZ56" s="1142">
        <v>0</v>
      </c>
      <c r="BA56" s="1140">
        <f t="shared" si="20"/>
        <v>94</v>
      </c>
      <c r="BB56" s="1135">
        <v>0</v>
      </c>
      <c r="BC56" s="1136">
        <v>0</v>
      </c>
      <c r="BD56" s="1136">
        <v>0</v>
      </c>
      <c r="BE56" s="1136">
        <v>0</v>
      </c>
      <c r="BF56" s="1136">
        <v>750</v>
      </c>
      <c r="BG56" s="1132">
        <f t="shared" si="21"/>
        <v>750</v>
      </c>
      <c r="BH56" s="1145"/>
      <c r="BI56" s="1146"/>
      <c r="BJ56" s="1146"/>
      <c r="BK56" s="1146"/>
      <c r="BL56" s="1146"/>
      <c r="BM56" s="1147">
        <f t="shared" si="22"/>
        <v>0</v>
      </c>
      <c r="BN56" s="1148">
        <v>3743.25</v>
      </c>
      <c r="BO56" s="1149">
        <v>474.15</v>
      </c>
      <c r="BP56" s="1149">
        <v>773.61</v>
      </c>
      <c r="BQ56" s="1149">
        <v>2699.99</v>
      </c>
      <c r="BR56" s="1149">
        <v>734</v>
      </c>
      <c r="BS56" s="1147">
        <f t="shared" si="23"/>
        <v>8425</v>
      </c>
      <c r="BT56" s="1148"/>
      <c r="BU56" s="1149"/>
      <c r="BV56" s="1149"/>
      <c r="BW56" s="1149"/>
      <c r="BX56" s="1149"/>
      <c r="BY56" s="1154">
        <f t="shared" si="24"/>
        <v>0</v>
      </c>
      <c r="BZ56" s="1148">
        <v>39.72</v>
      </c>
      <c r="CA56" s="1149">
        <v>113.26</v>
      </c>
      <c r="CB56" s="1149">
        <v>28.06</v>
      </c>
      <c r="CC56" s="1149">
        <v>-0.01</v>
      </c>
      <c r="CD56" s="1149">
        <v>0</v>
      </c>
      <c r="CE56" s="1154">
        <f t="shared" si="25"/>
        <v>181.03000000000003</v>
      </c>
      <c r="CF56" s="1145"/>
      <c r="CG56" s="1146"/>
      <c r="CH56" s="1146"/>
      <c r="CI56" s="1146"/>
      <c r="CJ56" s="1146"/>
      <c r="CK56" s="1154">
        <f t="shared" si="26"/>
        <v>0</v>
      </c>
      <c r="CL56" s="1145"/>
      <c r="CM56" s="1146"/>
      <c r="CN56" s="1146"/>
      <c r="CO56" s="1146"/>
      <c r="CP56" s="1146"/>
      <c r="CQ56" s="1147">
        <f t="shared" si="27"/>
        <v>0</v>
      </c>
      <c r="CR56" s="1145"/>
      <c r="CS56" s="1146"/>
      <c r="CT56" s="1146"/>
      <c r="CU56" s="1146"/>
      <c r="CV56" s="1146"/>
      <c r="CW56" s="1154">
        <f t="shared" si="28"/>
        <v>0</v>
      </c>
      <c r="CX56" s="1145"/>
      <c r="CY56" s="1146"/>
      <c r="CZ56" s="1146"/>
      <c r="DA56" s="1146"/>
      <c r="DB56" s="1146"/>
      <c r="DC56" s="1147">
        <f t="shared" si="29"/>
        <v>0</v>
      </c>
      <c r="DD56" s="1148"/>
      <c r="DE56" s="1149"/>
      <c r="DF56" s="1149"/>
      <c r="DG56" s="1149"/>
      <c r="DH56" s="1149"/>
      <c r="DI56" s="1154">
        <f t="shared" si="30"/>
        <v>0</v>
      </c>
      <c r="DJ56" s="1233"/>
      <c r="DK56" s="1233"/>
      <c r="DL56" s="1233"/>
      <c r="DM56" s="1233"/>
      <c r="DN56" s="1233"/>
      <c r="DO56" s="1233">
        <f t="shared" si="31"/>
        <v>0</v>
      </c>
      <c r="DP56" s="1148"/>
      <c r="DQ56" s="1149"/>
      <c r="DR56" s="1149"/>
      <c r="DS56" s="1149"/>
      <c r="DT56" s="1149"/>
      <c r="DU56" s="1155">
        <f t="shared" si="32"/>
        <v>0</v>
      </c>
      <c r="DV56" s="1148"/>
      <c r="DW56" s="1149"/>
      <c r="DX56" s="1149"/>
      <c r="DY56" s="1149"/>
      <c r="DZ56" s="1149"/>
      <c r="EA56" s="1154">
        <f t="shared" si="33"/>
        <v>0</v>
      </c>
    </row>
    <row r="57" spans="1:131" ht="15" customHeight="1">
      <c r="A57" s="746" t="s">
        <v>130</v>
      </c>
      <c r="B57" s="844" t="s">
        <v>131</v>
      </c>
      <c r="C57" s="967" t="s">
        <v>268</v>
      </c>
      <c r="D57" s="842">
        <f t="shared" si="6"/>
        <v>165347.65000000002</v>
      </c>
      <c r="E57" s="842">
        <f t="shared" si="7"/>
        <v>123805.62</v>
      </c>
      <c r="F57" s="842">
        <f t="shared" si="8"/>
        <v>55799.18</v>
      </c>
      <c r="G57" s="842">
        <f t="shared" si="9"/>
        <v>-5.13</v>
      </c>
      <c r="H57" s="842">
        <f t="shared" si="10"/>
        <v>105.36</v>
      </c>
      <c r="I57" s="1578">
        <f t="shared" si="11"/>
        <v>345052.68</v>
      </c>
      <c r="J57" s="843">
        <f t="shared" si="12"/>
        <v>100.23</v>
      </c>
      <c r="K57" s="1579">
        <f t="shared" si="13"/>
        <v>55899.41</v>
      </c>
      <c r="L57" s="1116"/>
      <c r="M57" s="1117"/>
      <c r="N57" s="1117"/>
      <c r="O57" s="1117"/>
      <c r="P57" s="1117"/>
      <c r="Q57" s="1118">
        <f t="shared" si="14"/>
        <v>0</v>
      </c>
      <c r="R57" s="1135"/>
      <c r="S57" s="1136"/>
      <c r="T57" s="1136"/>
      <c r="U57" s="1136"/>
      <c r="V57" s="1136"/>
      <c r="W57" s="1132">
        <f t="shared" si="15"/>
        <v>0</v>
      </c>
      <c r="X57" s="1231">
        <v>0</v>
      </c>
      <c r="Y57" s="1231">
        <v>14998.34</v>
      </c>
      <c r="Z57" s="1231">
        <v>0</v>
      </c>
      <c r="AA57" s="1231">
        <v>0</v>
      </c>
      <c r="AB57" s="1231">
        <v>0</v>
      </c>
      <c r="AC57" s="1231">
        <f t="shared" si="16"/>
        <v>14998.34</v>
      </c>
      <c r="AD57" s="1127">
        <v>2535.9</v>
      </c>
      <c r="AE57" s="1128">
        <v>15.09</v>
      </c>
      <c r="AF57" s="1128">
        <v>467.94</v>
      </c>
      <c r="AG57" s="1128">
        <v>0.01</v>
      </c>
      <c r="AH57" s="1128">
        <v>0</v>
      </c>
      <c r="AI57" s="1124">
        <f t="shared" si="17"/>
        <v>3018.9400000000005</v>
      </c>
      <c r="AJ57" s="1148">
        <v>97154.51</v>
      </c>
      <c r="AK57" s="1149">
        <v>0</v>
      </c>
      <c r="AL57" s="1149">
        <v>24288.639999999999</v>
      </c>
      <c r="AM57" s="1149">
        <v>0</v>
      </c>
      <c r="AN57" s="1149">
        <v>0</v>
      </c>
      <c r="AO57" s="1154">
        <f t="shared" si="18"/>
        <v>121443.15</v>
      </c>
      <c r="AP57" s="1125"/>
      <c r="AQ57" s="1126"/>
      <c r="AR57" s="1126"/>
      <c r="AS57" s="1126"/>
      <c r="AT57" s="1126"/>
      <c r="AU57" s="1137">
        <f t="shared" si="19"/>
        <v>0</v>
      </c>
      <c r="AV57" s="1141">
        <v>483.69</v>
      </c>
      <c r="AW57" s="1142">
        <v>120.92</v>
      </c>
      <c r="AX57" s="1142">
        <v>0</v>
      </c>
      <c r="AY57" s="1142">
        <v>0</v>
      </c>
      <c r="AZ57" s="1142">
        <v>0</v>
      </c>
      <c r="BA57" s="1140">
        <f t="shared" si="20"/>
        <v>604.61</v>
      </c>
      <c r="BB57" s="1131">
        <v>2822.6</v>
      </c>
      <c r="BC57" s="1131">
        <v>705.67</v>
      </c>
      <c r="BD57" s="1131">
        <v>0</v>
      </c>
      <c r="BE57" s="1131">
        <v>0</v>
      </c>
      <c r="BF57" s="1131">
        <v>0</v>
      </c>
      <c r="BG57" s="1132">
        <f t="shared" si="21"/>
        <v>3528.27</v>
      </c>
      <c r="BH57" s="1148">
        <v>384.91</v>
      </c>
      <c r="BI57" s="1149">
        <v>695.09</v>
      </c>
      <c r="BJ57" s="1149">
        <v>0</v>
      </c>
      <c r="BK57" s="1149">
        <v>0</v>
      </c>
      <c r="BL57" s="1149">
        <v>105.36</v>
      </c>
      <c r="BM57" s="1147">
        <f t="shared" si="22"/>
        <v>1185.3599999999999</v>
      </c>
      <c r="BN57" s="1148">
        <v>22103.68</v>
      </c>
      <c r="BO57" s="1149">
        <v>2799.81</v>
      </c>
      <c r="BP57" s="1149">
        <v>4568.1000000000004</v>
      </c>
      <c r="BQ57" s="1149">
        <v>-0.03</v>
      </c>
      <c r="BR57" s="1149">
        <v>0</v>
      </c>
      <c r="BS57" s="1147">
        <f t="shared" si="23"/>
        <v>29471.560000000005</v>
      </c>
      <c r="BT57" s="1148"/>
      <c r="BU57" s="1149"/>
      <c r="BV57" s="1149"/>
      <c r="BW57" s="1149"/>
      <c r="BX57" s="1149"/>
      <c r="BY57" s="1154">
        <f t="shared" si="24"/>
        <v>0</v>
      </c>
      <c r="BZ57" s="1148">
        <v>36150.86</v>
      </c>
      <c r="CA57" s="1149">
        <v>101909.75999999999</v>
      </c>
      <c r="CB57" s="1149">
        <v>25323.93</v>
      </c>
      <c r="CC57" s="1149">
        <v>-0.1</v>
      </c>
      <c r="CD57" s="1149">
        <v>0</v>
      </c>
      <c r="CE57" s="1154">
        <f t="shared" si="25"/>
        <v>163384.44999999998</v>
      </c>
      <c r="CF57" s="1148"/>
      <c r="CG57" s="1149"/>
      <c r="CH57" s="1149"/>
      <c r="CI57" s="1149"/>
      <c r="CJ57" s="1149"/>
      <c r="CK57" s="1154">
        <f t="shared" si="26"/>
        <v>0</v>
      </c>
      <c r="CL57" s="1145"/>
      <c r="CM57" s="1146"/>
      <c r="CN57" s="1146"/>
      <c r="CO57" s="1146"/>
      <c r="CP57" s="1146"/>
      <c r="CQ57" s="1147">
        <f t="shared" si="27"/>
        <v>0</v>
      </c>
      <c r="CR57" s="1145"/>
      <c r="CS57" s="1146"/>
      <c r="CT57" s="1146"/>
      <c r="CU57" s="1146"/>
      <c r="CV57" s="1146"/>
      <c r="CW57" s="1154">
        <f t="shared" si="28"/>
        <v>0</v>
      </c>
      <c r="CX57" s="1145"/>
      <c r="CY57" s="1146"/>
      <c r="CZ57" s="1146"/>
      <c r="DA57" s="1146"/>
      <c r="DB57" s="1146"/>
      <c r="DC57" s="1147">
        <f t="shared" si="29"/>
        <v>0</v>
      </c>
      <c r="DD57" s="1148"/>
      <c r="DE57" s="1149"/>
      <c r="DF57" s="1149"/>
      <c r="DG57" s="1149"/>
      <c r="DH57" s="1149"/>
      <c r="DI57" s="1154">
        <f t="shared" si="30"/>
        <v>0</v>
      </c>
      <c r="DJ57" s="1233"/>
      <c r="DK57" s="1233"/>
      <c r="DL57" s="1233"/>
      <c r="DM57" s="1233"/>
      <c r="DN57" s="1233"/>
      <c r="DO57" s="1233">
        <f t="shared" si="31"/>
        <v>0</v>
      </c>
      <c r="DP57" s="1148">
        <v>3711.5</v>
      </c>
      <c r="DQ57" s="1149">
        <v>2560.94</v>
      </c>
      <c r="DR57" s="1149">
        <v>1150.57</v>
      </c>
      <c r="DS57" s="1149">
        <v>-0.01</v>
      </c>
      <c r="DT57" s="1149">
        <v>0</v>
      </c>
      <c r="DU57" s="1155">
        <f t="shared" si="32"/>
        <v>7423</v>
      </c>
      <c r="DV57" s="1145">
        <v>0</v>
      </c>
      <c r="DW57" s="1146">
        <v>0</v>
      </c>
      <c r="DX57" s="1146">
        <v>0</v>
      </c>
      <c r="DY57" s="1146">
        <v>-5</v>
      </c>
      <c r="DZ57" s="1146">
        <v>0</v>
      </c>
      <c r="EA57" s="1154">
        <f t="shared" si="33"/>
        <v>-5</v>
      </c>
    </row>
    <row r="58" spans="1:131" ht="15" customHeight="1">
      <c r="A58" s="746" t="s">
        <v>132</v>
      </c>
      <c r="B58" s="844" t="s">
        <v>133</v>
      </c>
      <c r="C58" s="967" t="s">
        <v>267</v>
      </c>
      <c r="D58" s="842">
        <f t="shared" si="6"/>
        <v>198184.79999999996</v>
      </c>
      <c r="E58" s="842">
        <f t="shared" si="7"/>
        <v>238009.8</v>
      </c>
      <c r="F58" s="842">
        <f t="shared" si="8"/>
        <v>80750.42</v>
      </c>
      <c r="G58" s="842">
        <f t="shared" si="9"/>
        <v>-450.23</v>
      </c>
      <c r="H58" s="842">
        <f t="shared" si="10"/>
        <v>875401.75</v>
      </c>
      <c r="I58" s="1578">
        <f t="shared" si="11"/>
        <v>1391896.54</v>
      </c>
      <c r="J58" s="843">
        <f t="shared" si="12"/>
        <v>874951.52</v>
      </c>
      <c r="K58" s="1579">
        <f t="shared" si="13"/>
        <v>955701.94000000006</v>
      </c>
      <c r="L58" s="1116"/>
      <c r="M58" s="1117"/>
      <c r="N58" s="1117"/>
      <c r="O58" s="1117"/>
      <c r="P58" s="1117"/>
      <c r="Q58" s="1118">
        <f t="shared" si="14"/>
        <v>0</v>
      </c>
      <c r="R58" s="1133"/>
      <c r="S58" s="1134"/>
      <c r="T58" s="1134"/>
      <c r="U58" s="1134"/>
      <c r="V58" s="1134"/>
      <c r="W58" s="1132">
        <f t="shared" si="15"/>
        <v>0</v>
      </c>
      <c r="X58" s="1231"/>
      <c r="Y58" s="1231"/>
      <c r="Z58" s="1231"/>
      <c r="AA58" s="1231"/>
      <c r="AB58" s="1231"/>
      <c r="AC58" s="1231">
        <f t="shared" si="16"/>
        <v>0</v>
      </c>
      <c r="AD58" s="1127">
        <v>6417.95</v>
      </c>
      <c r="AE58" s="1128">
        <v>38.200000000000003</v>
      </c>
      <c r="AF58" s="1128">
        <v>1184.26</v>
      </c>
      <c r="AG58" s="1128">
        <v>0.01</v>
      </c>
      <c r="AH58" s="1128">
        <v>0</v>
      </c>
      <c r="AI58" s="1124">
        <f t="shared" si="17"/>
        <v>7640.42</v>
      </c>
      <c r="AJ58" s="1148">
        <v>33430.400000000001</v>
      </c>
      <c r="AK58" s="1149">
        <v>0</v>
      </c>
      <c r="AL58" s="1149">
        <v>8357.6</v>
      </c>
      <c r="AM58" s="1149">
        <v>0</v>
      </c>
      <c r="AN58" s="1149">
        <v>875301.75</v>
      </c>
      <c r="AO58" s="1154">
        <f t="shared" si="18"/>
        <v>917089.75</v>
      </c>
      <c r="AP58" s="1125"/>
      <c r="AQ58" s="1126"/>
      <c r="AR58" s="1126"/>
      <c r="AS58" s="1126"/>
      <c r="AT58" s="1126"/>
      <c r="AU58" s="1137">
        <f t="shared" si="19"/>
        <v>0</v>
      </c>
      <c r="AV58" s="1141">
        <v>3791.21</v>
      </c>
      <c r="AW58" s="1142">
        <v>947.79</v>
      </c>
      <c r="AX58" s="1142">
        <v>0</v>
      </c>
      <c r="AY58" s="1142">
        <v>0</v>
      </c>
      <c r="AZ58" s="1142">
        <v>0</v>
      </c>
      <c r="BA58" s="1140">
        <f t="shared" si="20"/>
        <v>4739</v>
      </c>
      <c r="BB58" s="1131">
        <v>10077.469999999999</v>
      </c>
      <c r="BC58" s="1131">
        <v>2519.37</v>
      </c>
      <c r="BD58" s="1131">
        <v>0</v>
      </c>
      <c r="BE58" s="1131">
        <v>0</v>
      </c>
      <c r="BF58" s="1131">
        <v>0</v>
      </c>
      <c r="BG58" s="1132">
        <f t="shared" si="21"/>
        <v>12596.84</v>
      </c>
      <c r="BH58" s="1148">
        <v>883.88</v>
      </c>
      <c r="BI58" s="1149">
        <v>1596.12</v>
      </c>
      <c r="BJ58" s="1149">
        <v>0</v>
      </c>
      <c r="BK58" s="1149">
        <v>0</v>
      </c>
      <c r="BL58" s="1149">
        <v>100</v>
      </c>
      <c r="BM58" s="1147">
        <f t="shared" si="22"/>
        <v>2580</v>
      </c>
      <c r="BN58" s="1148">
        <v>36529.300000000003</v>
      </c>
      <c r="BO58" s="1149">
        <v>4627.07</v>
      </c>
      <c r="BP58" s="1149">
        <v>7549.39</v>
      </c>
      <c r="BQ58" s="1149">
        <v>-0.06</v>
      </c>
      <c r="BR58" s="1149">
        <v>0</v>
      </c>
      <c r="BS58" s="1147">
        <f t="shared" si="23"/>
        <v>48705.700000000004</v>
      </c>
      <c r="BT58" s="1148"/>
      <c r="BU58" s="1149"/>
      <c r="BV58" s="1149"/>
      <c r="BW58" s="1149"/>
      <c r="BX58" s="1149"/>
      <c r="BY58" s="1154">
        <f t="shared" si="24"/>
        <v>0</v>
      </c>
      <c r="BZ58" s="1148">
        <v>88217.4</v>
      </c>
      <c r="CA58" s="1149">
        <v>220862.71</v>
      </c>
      <c r="CB58" s="1149">
        <v>56693.31</v>
      </c>
      <c r="CC58" s="1149">
        <v>-0.17</v>
      </c>
      <c r="CD58" s="1149">
        <v>0</v>
      </c>
      <c r="CE58" s="1154">
        <f t="shared" si="25"/>
        <v>365773.25</v>
      </c>
      <c r="CF58" s="1148">
        <v>1335.33</v>
      </c>
      <c r="CG58" s="1149">
        <v>0</v>
      </c>
      <c r="CH58" s="1149">
        <v>2394.65</v>
      </c>
      <c r="CI58" s="1149">
        <v>0</v>
      </c>
      <c r="CJ58" s="1149">
        <v>0</v>
      </c>
      <c r="CK58" s="1154">
        <f t="shared" si="26"/>
        <v>3729.98</v>
      </c>
      <c r="CL58" s="1145"/>
      <c r="CM58" s="1146"/>
      <c r="CN58" s="1146"/>
      <c r="CO58" s="1146"/>
      <c r="CP58" s="1146"/>
      <c r="CQ58" s="1147">
        <f t="shared" si="27"/>
        <v>0</v>
      </c>
      <c r="CR58" s="1148"/>
      <c r="CS58" s="1149"/>
      <c r="CT58" s="1149"/>
      <c r="CU58" s="1149"/>
      <c r="CV58" s="1149"/>
      <c r="CW58" s="1154">
        <f t="shared" si="28"/>
        <v>0</v>
      </c>
      <c r="CX58" s="1148"/>
      <c r="CY58" s="1149"/>
      <c r="CZ58" s="1149"/>
      <c r="DA58" s="1149"/>
      <c r="DB58" s="1149"/>
      <c r="DC58" s="1147">
        <f t="shared" si="29"/>
        <v>0</v>
      </c>
      <c r="DD58" s="1148"/>
      <c r="DE58" s="1149"/>
      <c r="DF58" s="1149"/>
      <c r="DG58" s="1149"/>
      <c r="DH58" s="1149"/>
      <c r="DI58" s="1154">
        <f t="shared" si="30"/>
        <v>0</v>
      </c>
      <c r="DJ58" s="1233"/>
      <c r="DK58" s="1233"/>
      <c r="DL58" s="1233"/>
      <c r="DM58" s="1233"/>
      <c r="DN58" s="1233"/>
      <c r="DO58" s="1233">
        <f t="shared" si="31"/>
        <v>0</v>
      </c>
      <c r="DP58" s="1148">
        <v>10751.5</v>
      </c>
      <c r="DQ58" s="1149">
        <v>7418.54</v>
      </c>
      <c r="DR58" s="1149">
        <v>3332.97</v>
      </c>
      <c r="DS58" s="1149">
        <v>-0.01</v>
      </c>
      <c r="DT58" s="1149">
        <v>0</v>
      </c>
      <c r="DU58" s="1155">
        <f t="shared" si="32"/>
        <v>21503.000000000004</v>
      </c>
      <c r="DV58" s="1148">
        <v>6750.36</v>
      </c>
      <c r="DW58" s="1149">
        <v>0</v>
      </c>
      <c r="DX58" s="1149">
        <v>1238.24</v>
      </c>
      <c r="DY58" s="1149">
        <v>-450</v>
      </c>
      <c r="DZ58" s="1149">
        <v>0</v>
      </c>
      <c r="EA58" s="1154">
        <f t="shared" si="33"/>
        <v>7538.5999999999995</v>
      </c>
    </row>
    <row r="59" spans="1:131" ht="15" customHeight="1">
      <c r="A59" s="746" t="s">
        <v>134</v>
      </c>
      <c r="B59" s="844" t="s">
        <v>135</v>
      </c>
      <c r="C59" s="967" t="s">
        <v>267</v>
      </c>
      <c r="D59" s="842">
        <f t="shared" si="6"/>
        <v>54845.030000000006</v>
      </c>
      <c r="E59" s="842">
        <f t="shared" si="7"/>
        <v>55398.400000000009</v>
      </c>
      <c r="F59" s="842">
        <f t="shared" si="8"/>
        <v>16807.3</v>
      </c>
      <c r="G59" s="842">
        <f t="shared" si="9"/>
        <v>-0.12000000000000001</v>
      </c>
      <c r="H59" s="842">
        <f t="shared" si="10"/>
        <v>0</v>
      </c>
      <c r="I59" s="1578">
        <f t="shared" si="11"/>
        <v>127050.61000000003</v>
      </c>
      <c r="J59" s="843">
        <f t="shared" si="12"/>
        <v>-0.12000000000000001</v>
      </c>
      <c r="K59" s="1579">
        <f t="shared" si="13"/>
        <v>16807.18</v>
      </c>
      <c r="L59" s="1116"/>
      <c r="M59" s="1117"/>
      <c r="N59" s="1117"/>
      <c r="O59" s="1117"/>
      <c r="P59" s="1117"/>
      <c r="Q59" s="1118">
        <f t="shared" si="14"/>
        <v>0</v>
      </c>
      <c r="R59" s="1133"/>
      <c r="S59" s="1134"/>
      <c r="T59" s="1134"/>
      <c r="U59" s="1134"/>
      <c r="V59" s="1134"/>
      <c r="W59" s="1132">
        <f t="shared" si="15"/>
        <v>0</v>
      </c>
      <c r="X59" s="1231">
        <v>0</v>
      </c>
      <c r="Y59" s="1231">
        <v>9805.7900000000009</v>
      </c>
      <c r="Z59" s="1231">
        <v>0</v>
      </c>
      <c r="AA59" s="1231">
        <v>0</v>
      </c>
      <c r="AB59" s="1231">
        <v>0</v>
      </c>
      <c r="AC59" s="1231">
        <f t="shared" si="16"/>
        <v>9805.7900000000009</v>
      </c>
      <c r="AD59" s="1127">
        <v>2580.64</v>
      </c>
      <c r="AE59" s="1128">
        <v>15.37</v>
      </c>
      <c r="AF59" s="1128">
        <v>476.19</v>
      </c>
      <c r="AG59" s="1128">
        <v>-0.02</v>
      </c>
      <c r="AH59" s="1128">
        <v>0</v>
      </c>
      <c r="AI59" s="1124">
        <f t="shared" si="17"/>
        <v>3072.18</v>
      </c>
      <c r="AJ59" s="1148">
        <v>7675.37</v>
      </c>
      <c r="AK59" s="1149">
        <v>0</v>
      </c>
      <c r="AL59" s="1149">
        <v>1918.84</v>
      </c>
      <c r="AM59" s="1149">
        <v>0</v>
      </c>
      <c r="AN59" s="1149">
        <v>0</v>
      </c>
      <c r="AO59" s="1154">
        <f t="shared" si="18"/>
        <v>9594.2099999999991</v>
      </c>
      <c r="AP59" s="1125"/>
      <c r="AQ59" s="1126"/>
      <c r="AR59" s="1126"/>
      <c r="AS59" s="1126"/>
      <c r="AT59" s="1126"/>
      <c r="AU59" s="1137">
        <f t="shared" si="19"/>
        <v>0</v>
      </c>
      <c r="AV59" s="1141">
        <v>7288.87</v>
      </c>
      <c r="AW59" s="1142">
        <v>1822.21</v>
      </c>
      <c r="AX59" s="1142">
        <v>0</v>
      </c>
      <c r="AY59" s="1142">
        <v>0</v>
      </c>
      <c r="AZ59" s="1142">
        <v>0</v>
      </c>
      <c r="BA59" s="1140">
        <f t="shared" si="20"/>
        <v>9111.08</v>
      </c>
      <c r="BB59" s="1131">
        <v>3716.01</v>
      </c>
      <c r="BC59" s="1131">
        <v>929</v>
      </c>
      <c r="BD59" s="1131">
        <v>0</v>
      </c>
      <c r="BE59" s="1131">
        <v>0</v>
      </c>
      <c r="BF59" s="1131">
        <v>0</v>
      </c>
      <c r="BG59" s="1132">
        <f t="shared" si="21"/>
        <v>4645.01</v>
      </c>
      <c r="BH59" s="1148"/>
      <c r="BI59" s="1149"/>
      <c r="BJ59" s="1149"/>
      <c r="BK59" s="1149"/>
      <c r="BL59" s="1149"/>
      <c r="BM59" s="1147">
        <f t="shared" si="22"/>
        <v>0</v>
      </c>
      <c r="BN59" s="1148">
        <v>15122.69</v>
      </c>
      <c r="BO59" s="1149">
        <v>1915.55</v>
      </c>
      <c r="BP59" s="1149">
        <v>3125.39</v>
      </c>
      <c r="BQ59" s="1149">
        <v>-0.04</v>
      </c>
      <c r="BR59" s="1149">
        <v>0</v>
      </c>
      <c r="BS59" s="1147">
        <f t="shared" si="23"/>
        <v>20163.59</v>
      </c>
      <c r="BT59" s="1148"/>
      <c r="BU59" s="1149"/>
      <c r="BV59" s="1149"/>
      <c r="BW59" s="1149"/>
      <c r="BX59" s="1149"/>
      <c r="BY59" s="1154">
        <f t="shared" si="24"/>
        <v>0</v>
      </c>
      <c r="BZ59" s="1148">
        <v>14347.19</v>
      </c>
      <c r="CA59" s="1149">
        <v>40910.480000000003</v>
      </c>
      <c r="CB59" s="1149">
        <v>10135.74</v>
      </c>
      <c r="CC59" s="1149">
        <v>-0.04</v>
      </c>
      <c r="CD59" s="1149">
        <v>0</v>
      </c>
      <c r="CE59" s="1154">
        <f t="shared" si="25"/>
        <v>65393.37</v>
      </c>
      <c r="CF59" s="1148"/>
      <c r="CG59" s="1149"/>
      <c r="CH59" s="1149"/>
      <c r="CI59" s="1149"/>
      <c r="CJ59" s="1149"/>
      <c r="CK59" s="1154">
        <f t="shared" si="26"/>
        <v>0</v>
      </c>
      <c r="CL59" s="1145">
        <v>118.21</v>
      </c>
      <c r="CM59" s="1146">
        <v>0</v>
      </c>
      <c r="CN59" s="1146">
        <v>378.45</v>
      </c>
      <c r="CO59" s="1146">
        <v>0</v>
      </c>
      <c r="CP59" s="1146">
        <v>0</v>
      </c>
      <c r="CQ59" s="1147">
        <f t="shared" si="27"/>
        <v>496.65999999999997</v>
      </c>
      <c r="CR59" s="1145"/>
      <c r="CS59" s="1146"/>
      <c r="CT59" s="1146"/>
      <c r="CU59" s="1146"/>
      <c r="CV59" s="1146"/>
      <c r="CW59" s="1154">
        <f t="shared" si="28"/>
        <v>0</v>
      </c>
      <c r="CX59" s="1148"/>
      <c r="CY59" s="1149"/>
      <c r="CZ59" s="1149"/>
      <c r="DA59" s="1149"/>
      <c r="DB59" s="1149"/>
      <c r="DC59" s="1147">
        <f t="shared" si="29"/>
        <v>0</v>
      </c>
      <c r="DD59" s="1148">
        <v>-216.28</v>
      </c>
      <c r="DE59" s="1149">
        <v>0</v>
      </c>
      <c r="DF59" s="1149">
        <v>0</v>
      </c>
      <c r="DG59" s="1149">
        <v>0</v>
      </c>
      <c r="DH59" s="1149">
        <v>0</v>
      </c>
      <c r="DI59" s="1154">
        <f t="shared" si="30"/>
        <v>-216.28</v>
      </c>
      <c r="DJ59" s="1233"/>
      <c r="DK59" s="1233"/>
      <c r="DL59" s="1233"/>
      <c r="DM59" s="1233"/>
      <c r="DN59" s="1233"/>
      <c r="DO59" s="1233">
        <f t="shared" si="31"/>
        <v>0</v>
      </c>
      <c r="DP59" s="1148"/>
      <c r="DQ59" s="1149"/>
      <c r="DR59" s="1149"/>
      <c r="DS59" s="1149"/>
      <c r="DT59" s="1149"/>
      <c r="DU59" s="1155">
        <f t="shared" si="32"/>
        <v>0</v>
      </c>
      <c r="DV59" s="1145">
        <v>4212.33</v>
      </c>
      <c r="DW59" s="1146">
        <v>0</v>
      </c>
      <c r="DX59" s="1146">
        <v>772.69</v>
      </c>
      <c r="DY59" s="1146">
        <v>-0.02</v>
      </c>
      <c r="DZ59" s="1146">
        <v>0</v>
      </c>
      <c r="EA59" s="1154">
        <f t="shared" si="33"/>
        <v>4985</v>
      </c>
    </row>
    <row r="60" spans="1:131" ht="15" customHeight="1">
      <c r="A60" s="746" t="s">
        <v>136</v>
      </c>
      <c r="B60" s="844" t="s">
        <v>137</v>
      </c>
      <c r="C60" s="967" t="s">
        <v>266</v>
      </c>
      <c r="D60" s="842">
        <f t="shared" si="6"/>
        <v>23382.46</v>
      </c>
      <c r="E60" s="842">
        <f t="shared" si="7"/>
        <v>14275.71</v>
      </c>
      <c r="F60" s="842">
        <f t="shared" si="8"/>
        <v>7084.24</v>
      </c>
      <c r="G60" s="842">
        <f t="shared" si="9"/>
        <v>-0.04</v>
      </c>
      <c r="H60" s="842">
        <f t="shared" si="10"/>
        <v>301.29000000000002</v>
      </c>
      <c r="I60" s="1578">
        <f t="shared" si="11"/>
        <v>45043.659999999996</v>
      </c>
      <c r="J60" s="843">
        <f t="shared" si="12"/>
        <v>301.25</v>
      </c>
      <c r="K60" s="1579">
        <f t="shared" si="13"/>
        <v>7385.49</v>
      </c>
      <c r="L60" s="1116"/>
      <c r="M60" s="1117"/>
      <c r="N60" s="1117"/>
      <c r="O60" s="1117"/>
      <c r="P60" s="1117"/>
      <c r="Q60" s="1118">
        <f t="shared" si="14"/>
        <v>0</v>
      </c>
      <c r="R60" s="1133"/>
      <c r="S60" s="1134"/>
      <c r="T60" s="1134"/>
      <c r="U60" s="1134"/>
      <c r="V60" s="1134"/>
      <c r="W60" s="1132">
        <f t="shared" si="15"/>
        <v>0</v>
      </c>
      <c r="X60" s="1231"/>
      <c r="Y60" s="1231"/>
      <c r="Z60" s="1231"/>
      <c r="AA60" s="1231"/>
      <c r="AB60" s="1231"/>
      <c r="AC60" s="1231">
        <f t="shared" si="16"/>
        <v>0</v>
      </c>
      <c r="AD60" s="1127">
        <v>2056.91</v>
      </c>
      <c r="AE60" s="1128">
        <v>12.25</v>
      </c>
      <c r="AF60" s="1128">
        <v>379.55</v>
      </c>
      <c r="AG60" s="1128">
        <v>-0.01</v>
      </c>
      <c r="AH60" s="1128">
        <v>0</v>
      </c>
      <c r="AI60" s="1124">
        <f t="shared" si="17"/>
        <v>2448.6999999999998</v>
      </c>
      <c r="AJ60" s="1148">
        <v>12344.72</v>
      </c>
      <c r="AK60" s="1149">
        <v>0</v>
      </c>
      <c r="AL60" s="1149">
        <v>3086.17</v>
      </c>
      <c r="AM60" s="1149">
        <v>0</v>
      </c>
      <c r="AN60" s="1149">
        <v>301.29000000000002</v>
      </c>
      <c r="AO60" s="1154">
        <f t="shared" si="18"/>
        <v>15732.18</v>
      </c>
      <c r="AP60" s="1125"/>
      <c r="AQ60" s="1126"/>
      <c r="AR60" s="1126"/>
      <c r="AS60" s="1126"/>
      <c r="AT60" s="1126"/>
      <c r="AU60" s="1137">
        <f t="shared" si="19"/>
        <v>0</v>
      </c>
      <c r="AV60" s="1138"/>
      <c r="AW60" s="1139"/>
      <c r="AX60" s="1139"/>
      <c r="AY60" s="1139"/>
      <c r="AZ60" s="1139"/>
      <c r="BA60" s="1140">
        <f t="shared" si="20"/>
        <v>0</v>
      </c>
      <c r="BB60" s="1133">
        <v>2813.6</v>
      </c>
      <c r="BC60" s="1134">
        <v>703.4</v>
      </c>
      <c r="BD60" s="1134">
        <v>0</v>
      </c>
      <c r="BE60" s="1134">
        <v>0</v>
      </c>
      <c r="BF60" s="1134">
        <v>0</v>
      </c>
      <c r="BG60" s="1132">
        <f t="shared" si="21"/>
        <v>3517</v>
      </c>
      <c r="BH60" s="1145"/>
      <c r="BI60" s="1146"/>
      <c r="BJ60" s="1146"/>
      <c r="BK60" s="1146"/>
      <c r="BL60" s="1146"/>
      <c r="BM60" s="1147">
        <f t="shared" si="22"/>
        <v>0</v>
      </c>
      <c r="BN60" s="1145"/>
      <c r="BO60" s="1146"/>
      <c r="BP60" s="1146"/>
      <c r="BQ60" s="1146"/>
      <c r="BR60" s="1146"/>
      <c r="BS60" s="1147">
        <f t="shared" si="23"/>
        <v>0</v>
      </c>
      <c r="BT60" s="1148"/>
      <c r="BU60" s="1149"/>
      <c r="BV60" s="1149"/>
      <c r="BW60" s="1149"/>
      <c r="BX60" s="1149"/>
      <c r="BY60" s="1154">
        <f t="shared" si="24"/>
        <v>0</v>
      </c>
      <c r="BZ60" s="1148">
        <v>4835.08</v>
      </c>
      <c r="CA60" s="1149">
        <v>13560.06</v>
      </c>
      <c r="CB60" s="1149">
        <v>3374.16</v>
      </c>
      <c r="CC60" s="1149">
        <v>-0.03</v>
      </c>
      <c r="CD60" s="1149">
        <v>0</v>
      </c>
      <c r="CE60" s="1154">
        <f t="shared" si="25"/>
        <v>21769.27</v>
      </c>
      <c r="CF60" s="1145"/>
      <c r="CG60" s="1146"/>
      <c r="CH60" s="1146"/>
      <c r="CI60" s="1146"/>
      <c r="CJ60" s="1146"/>
      <c r="CK60" s="1154">
        <f t="shared" si="26"/>
        <v>0</v>
      </c>
      <c r="CL60" s="1145"/>
      <c r="CM60" s="1146"/>
      <c r="CN60" s="1146"/>
      <c r="CO60" s="1146"/>
      <c r="CP60" s="1146"/>
      <c r="CQ60" s="1147">
        <f t="shared" si="27"/>
        <v>0</v>
      </c>
      <c r="CR60" s="1145"/>
      <c r="CS60" s="1146"/>
      <c r="CT60" s="1146"/>
      <c r="CU60" s="1146"/>
      <c r="CV60" s="1146"/>
      <c r="CW60" s="1154">
        <f t="shared" si="28"/>
        <v>0</v>
      </c>
      <c r="CX60" s="1148"/>
      <c r="CY60" s="1149"/>
      <c r="CZ60" s="1149"/>
      <c r="DA60" s="1149"/>
      <c r="DB60" s="1149"/>
      <c r="DC60" s="1147">
        <f t="shared" si="29"/>
        <v>0</v>
      </c>
      <c r="DD60" s="1148"/>
      <c r="DE60" s="1149"/>
      <c r="DF60" s="1149"/>
      <c r="DG60" s="1149"/>
      <c r="DH60" s="1149"/>
      <c r="DI60" s="1154">
        <f t="shared" si="30"/>
        <v>0</v>
      </c>
      <c r="DJ60" s="1233"/>
      <c r="DK60" s="1233"/>
      <c r="DL60" s="1233"/>
      <c r="DM60" s="1233"/>
      <c r="DN60" s="1233"/>
      <c r="DO60" s="1233">
        <f t="shared" si="31"/>
        <v>0</v>
      </c>
      <c r="DP60" s="1148"/>
      <c r="DQ60" s="1149"/>
      <c r="DR60" s="1149"/>
      <c r="DS60" s="1149"/>
      <c r="DT60" s="1149"/>
      <c r="DU60" s="1155">
        <f t="shared" si="32"/>
        <v>0</v>
      </c>
      <c r="DV60" s="1148">
        <v>1332.15</v>
      </c>
      <c r="DW60" s="1149">
        <v>0</v>
      </c>
      <c r="DX60" s="1149">
        <v>244.36</v>
      </c>
      <c r="DY60" s="1149">
        <v>0</v>
      </c>
      <c r="DZ60" s="1149">
        <v>0</v>
      </c>
      <c r="EA60" s="1154">
        <f t="shared" si="33"/>
        <v>1576.5100000000002</v>
      </c>
    </row>
    <row r="61" spans="1:131" ht="15" customHeight="1">
      <c r="A61" s="746" t="s">
        <v>140</v>
      </c>
      <c r="B61" s="844" t="s">
        <v>141</v>
      </c>
      <c r="C61" s="967" t="s">
        <v>267</v>
      </c>
      <c r="D61" s="842">
        <f t="shared" si="6"/>
        <v>35796.82</v>
      </c>
      <c r="E61" s="842">
        <f t="shared" si="7"/>
        <v>10202.539999999999</v>
      </c>
      <c r="F61" s="842">
        <f t="shared" si="8"/>
        <v>6436.13</v>
      </c>
      <c r="G61" s="842">
        <f t="shared" si="9"/>
        <v>-0.02</v>
      </c>
      <c r="H61" s="842">
        <f t="shared" si="10"/>
        <v>0</v>
      </c>
      <c r="I61" s="1578">
        <f t="shared" si="11"/>
        <v>52435.47</v>
      </c>
      <c r="J61" s="843">
        <f t="shared" si="12"/>
        <v>-0.02</v>
      </c>
      <c r="K61" s="1579">
        <f t="shared" si="13"/>
        <v>6436.11</v>
      </c>
      <c r="L61" s="1116"/>
      <c r="M61" s="1117"/>
      <c r="N61" s="1117"/>
      <c r="O61" s="1117"/>
      <c r="P61" s="1117"/>
      <c r="Q61" s="1118">
        <f t="shared" si="14"/>
        <v>0</v>
      </c>
      <c r="R61" s="1133"/>
      <c r="S61" s="1134"/>
      <c r="T61" s="1134"/>
      <c r="U61" s="1134"/>
      <c r="V61" s="1134"/>
      <c r="W61" s="1132">
        <f t="shared" si="15"/>
        <v>0</v>
      </c>
      <c r="X61" s="1231"/>
      <c r="Y61" s="1231"/>
      <c r="Z61" s="1231"/>
      <c r="AA61" s="1231"/>
      <c r="AB61" s="1231"/>
      <c r="AC61" s="1231">
        <f t="shared" si="16"/>
        <v>0</v>
      </c>
      <c r="AD61" s="1127">
        <v>1754.91</v>
      </c>
      <c r="AE61" s="1128">
        <v>10.44</v>
      </c>
      <c r="AF61" s="1128">
        <v>323.82</v>
      </c>
      <c r="AG61" s="1128">
        <v>0.01</v>
      </c>
      <c r="AH61" s="1128">
        <v>0</v>
      </c>
      <c r="AI61" s="1124">
        <f t="shared" si="17"/>
        <v>2089.1800000000003</v>
      </c>
      <c r="AJ61" s="1148">
        <v>6779.97</v>
      </c>
      <c r="AK61" s="1149">
        <v>0</v>
      </c>
      <c r="AL61" s="1149">
        <v>1694.97</v>
      </c>
      <c r="AM61" s="1149">
        <v>0</v>
      </c>
      <c r="AN61" s="1149">
        <v>0</v>
      </c>
      <c r="AO61" s="1154">
        <f t="shared" si="18"/>
        <v>8474.94</v>
      </c>
      <c r="AP61" s="1125"/>
      <c r="AQ61" s="1126"/>
      <c r="AR61" s="1126"/>
      <c r="AS61" s="1126"/>
      <c r="AT61" s="1126"/>
      <c r="AU61" s="1137">
        <f t="shared" si="19"/>
        <v>0</v>
      </c>
      <c r="AV61" s="1141">
        <v>5028.75</v>
      </c>
      <c r="AW61" s="1142">
        <v>1257.18</v>
      </c>
      <c r="AX61" s="1142">
        <v>0</v>
      </c>
      <c r="AY61" s="1142">
        <v>0</v>
      </c>
      <c r="AZ61" s="1142">
        <v>0</v>
      </c>
      <c r="BA61" s="1140">
        <f t="shared" si="20"/>
        <v>6285.93</v>
      </c>
      <c r="BB61" s="1131">
        <v>2505.56</v>
      </c>
      <c r="BC61" s="1131">
        <v>626.41</v>
      </c>
      <c r="BD61" s="1131">
        <v>0</v>
      </c>
      <c r="BE61" s="1131">
        <v>0</v>
      </c>
      <c r="BF61" s="1131">
        <v>0</v>
      </c>
      <c r="BG61" s="1132">
        <f t="shared" si="21"/>
        <v>3131.97</v>
      </c>
      <c r="BH61" s="1148">
        <v>1409.3</v>
      </c>
      <c r="BI61" s="1149">
        <v>2544.9499999999998</v>
      </c>
      <c r="BJ61" s="1149">
        <v>0</v>
      </c>
      <c r="BK61" s="1149">
        <v>0</v>
      </c>
      <c r="BL61" s="1149">
        <v>0</v>
      </c>
      <c r="BM61" s="1147">
        <f t="shared" si="22"/>
        <v>3954.25</v>
      </c>
      <c r="BN61" s="1148">
        <v>13083.13</v>
      </c>
      <c r="BO61" s="1149">
        <v>1657.2</v>
      </c>
      <c r="BP61" s="1149">
        <v>2703.83</v>
      </c>
      <c r="BQ61" s="1149">
        <v>0</v>
      </c>
      <c r="BR61" s="1149">
        <v>0</v>
      </c>
      <c r="BS61" s="1147">
        <f t="shared" si="23"/>
        <v>17444.16</v>
      </c>
      <c r="BT61" s="1148"/>
      <c r="BU61" s="1149"/>
      <c r="BV61" s="1149"/>
      <c r="BW61" s="1149"/>
      <c r="BX61" s="1149"/>
      <c r="BY61" s="1154">
        <f t="shared" si="24"/>
        <v>0</v>
      </c>
      <c r="BZ61" s="1148">
        <v>1274.79</v>
      </c>
      <c r="CA61" s="1149">
        <v>1845.77</v>
      </c>
      <c r="CB61" s="1149">
        <v>572.38</v>
      </c>
      <c r="CC61" s="1149">
        <v>-0.02</v>
      </c>
      <c r="CD61" s="1149">
        <v>0</v>
      </c>
      <c r="CE61" s="1154">
        <f t="shared" si="25"/>
        <v>3692.92</v>
      </c>
      <c r="CF61" s="1145"/>
      <c r="CG61" s="1146"/>
      <c r="CH61" s="1146"/>
      <c r="CI61" s="1146"/>
      <c r="CJ61" s="1146"/>
      <c r="CK61" s="1154">
        <f t="shared" si="26"/>
        <v>0</v>
      </c>
      <c r="CL61" s="1145"/>
      <c r="CM61" s="1146"/>
      <c r="CN61" s="1146"/>
      <c r="CO61" s="1146"/>
      <c r="CP61" s="1146"/>
      <c r="CQ61" s="1147">
        <f t="shared" si="27"/>
        <v>0</v>
      </c>
      <c r="CR61" s="1148"/>
      <c r="CS61" s="1149"/>
      <c r="CT61" s="1149"/>
      <c r="CU61" s="1149"/>
      <c r="CV61" s="1149"/>
      <c r="CW61" s="1154">
        <f t="shared" si="28"/>
        <v>0</v>
      </c>
      <c r="CX61" s="1145"/>
      <c r="CY61" s="1146"/>
      <c r="CZ61" s="1146"/>
      <c r="DA61" s="1146"/>
      <c r="DB61" s="1146"/>
      <c r="DC61" s="1147">
        <f t="shared" si="29"/>
        <v>0</v>
      </c>
      <c r="DD61" s="1148"/>
      <c r="DE61" s="1149"/>
      <c r="DF61" s="1149"/>
      <c r="DG61" s="1149"/>
      <c r="DH61" s="1149"/>
      <c r="DI61" s="1154">
        <f t="shared" si="30"/>
        <v>0</v>
      </c>
      <c r="DJ61" s="1233"/>
      <c r="DK61" s="1233"/>
      <c r="DL61" s="1233"/>
      <c r="DM61" s="1233"/>
      <c r="DN61" s="1233"/>
      <c r="DO61" s="1233">
        <f t="shared" si="31"/>
        <v>0</v>
      </c>
      <c r="DP61" s="1148">
        <v>3276.2</v>
      </c>
      <c r="DQ61" s="1149">
        <v>2260.59</v>
      </c>
      <c r="DR61" s="1149">
        <v>1015.62</v>
      </c>
      <c r="DS61" s="1149">
        <v>-0.01</v>
      </c>
      <c r="DT61" s="1149">
        <v>0</v>
      </c>
      <c r="DU61" s="1155">
        <f t="shared" si="32"/>
        <v>6552.4</v>
      </c>
      <c r="DV61" s="1148">
        <v>684.21</v>
      </c>
      <c r="DW61" s="1149">
        <v>0</v>
      </c>
      <c r="DX61" s="1149">
        <v>125.51</v>
      </c>
      <c r="DY61" s="1149">
        <v>0</v>
      </c>
      <c r="DZ61" s="1149">
        <v>0</v>
      </c>
      <c r="EA61" s="1154">
        <f t="shared" si="33"/>
        <v>809.72</v>
      </c>
    </row>
    <row r="62" spans="1:131" ht="15" customHeight="1">
      <c r="A62" s="746" t="s">
        <v>146</v>
      </c>
      <c r="B62" s="844" t="s">
        <v>147</v>
      </c>
      <c r="C62" s="967" t="s">
        <v>264</v>
      </c>
      <c r="D62" s="842">
        <f t="shared" si="6"/>
        <v>35006.070000000007</v>
      </c>
      <c r="E62" s="842">
        <f t="shared" si="7"/>
        <v>7789.57</v>
      </c>
      <c r="F62" s="842">
        <f t="shared" si="8"/>
        <v>9355.83</v>
      </c>
      <c r="G62" s="842">
        <f t="shared" si="9"/>
        <v>390.02</v>
      </c>
      <c r="H62" s="842">
        <f t="shared" si="10"/>
        <v>0</v>
      </c>
      <c r="I62" s="1578">
        <f t="shared" si="11"/>
        <v>52541.490000000005</v>
      </c>
      <c r="J62" s="843">
        <f t="shared" si="12"/>
        <v>390.02</v>
      </c>
      <c r="K62" s="1579">
        <f t="shared" si="13"/>
        <v>9745.85</v>
      </c>
      <c r="L62" s="1116"/>
      <c r="M62" s="1117"/>
      <c r="N62" s="1117"/>
      <c r="O62" s="1117"/>
      <c r="P62" s="1117"/>
      <c r="Q62" s="1118">
        <f t="shared" si="14"/>
        <v>0</v>
      </c>
      <c r="R62" s="1133"/>
      <c r="S62" s="1134"/>
      <c r="T62" s="1134"/>
      <c r="U62" s="1134"/>
      <c r="V62" s="1134"/>
      <c r="W62" s="1132">
        <f t="shared" si="15"/>
        <v>0</v>
      </c>
      <c r="X62" s="1231"/>
      <c r="Y62" s="1231"/>
      <c r="Z62" s="1231"/>
      <c r="AA62" s="1231"/>
      <c r="AB62" s="1231"/>
      <c r="AC62" s="1231">
        <f t="shared" si="16"/>
        <v>0</v>
      </c>
      <c r="AD62" s="1127">
        <v>998.76</v>
      </c>
      <c r="AE62" s="1128">
        <v>5.95</v>
      </c>
      <c r="AF62" s="1128">
        <v>184.29</v>
      </c>
      <c r="AG62" s="1128">
        <v>0</v>
      </c>
      <c r="AH62" s="1128">
        <v>0</v>
      </c>
      <c r="AI62" s="1124">
        <f t="shared" si="17"/>
        <v>1189</v>
      </c>
      <c r="AJ62" s="1148">
        <v>17396</v>
      </c>
      <c r="AK62" s="1149">
        <v>0</v>
      </c>
      <c r="AL62" s="1149">
        <v>4349</v>
      </c>
      <c r="AM62" s="1149">
        <v>0</v>
      </c>
      <c r="AN62" s="1149">
        <v>0</v>
      </c>
      <c r="AO62" s="1154">
        <f t="shared" si="18"/>
        <v>21745</v>
      </c>
      <c r="AP62" s="1125"/>
      <c r="AQ62" s="1126"/>
      <c r="AR62" s="1126"/>
      <c r="AS62" s="1126"/>
      <c r="AT62" s="1126"/>
      <c r="AU62" s="1137">
        <f t="shared" si="19"/>
        <v>0</v>
      </c>
      <c r="AV62" s="1138"/>
      <c r="AW62" s="1139"/>
      <c r="AX62" s="1139"/>
      <c r="AY62" s="1139"/>
      <c r="AZ62" s="1139"/>
      <c r="BA62" s="1140">
        <f t="shared" si="20"/>
        <v>0</v>
      </c>
      <c r="BB62" s="1133"/>
      <c r="BC62" s="1134"/>
      <c r="BD62" s="1134"/>
      <c r="BE62" s="1134"/>
      <c r="BF62" s="1134"/>
      <c r="BG62" s="1132">
        <f t="shared" si="21"/>
        <v>0</v>
      </c>
      <c r="BH62" s="1145">
        <v>322.33</v>
      </c>
      <c r="BI62" s="1146">
        <v>582.05999999999995</v>
      </c>
      <c r="BJ62" s="1146">
        <v>0</v>
      </c>
      <c r="BK62" s="1146">
        <v>0</v>
      </c>
      <c r="BL62" s="1146">
        <v>0</v>
      </c>
      <c r="BM62" s="1147">
        <f t="shared" si="22"/>
        <v>904.38999999999987</v>
      </c>
      <c r="BN62" s="1148">
        <v>10616.17</v>
      </c>
      <c r="BO62" s="1149">
        <v>1344.73</v>
      </c>
      <c r="BP62" s="1149">
        <v>2194.04</v>
      </c>
      <c r="BQ62" s="1149">
        <v>389.95</v>
      </c>
      <c r="BR62" s="1149">
        <v>0</v>
      </c>
      <c r="BS62" s="1147">
        <f t="shared" si="23"/>
        <v>14544.89</v>
      </c>
      <c r="BT62" s="1148"/>
      <c r="BU62" s="1149"/>
      <c r="BV62" s="1149"/>
      <c r="BW62" s="1149"/>
      <c r="BX62" s="1149"/>
      <c r="BY62" s="1154">
        <f t="shared" si="24"/>
        <v>0</v>
      </c>
      <c r="BZ62" s="1148">
        <v>1249.45</v>
      </c>
      <c r="CA62" s="1149">
        <v>3010.58</v>
      </c>
      <c r="CB62" s="1149">
        <v>781.4</v>
      </c>
      <c r="CC62" s="1149">
        <v>0</v>
      </c>
      <c r="CD62" s="1149">
        <v>0</v>
      </c>
      <c r="CE62" s="1154">
        <f t="shared" si="25"/>
        <v>5041.4299999999994</v>
      </c>
      <c r="CF62" s="1148">
        <v>319.06</v>
      </c>
      <c r="CG62" s="1149">
        <v>0</v>
      </c>
      <c r="CH62" s="1149">
        <v>572.16999999999996</v>
      </c>
      <c r="CI62" s="1149">
        <v>0</v>
      </c>
      <c r="CJ62" s="1149">
        <v>0</v>
      </c>
      <c r="CK62" s="1154">
        <f t="shared" si="26"/>
        <v>891.23</v>
      </c>
      <c r="CL62" s="1145"/>
      <c r="CM62" s="1146"/>
      <c r="CN62" s="1146"/>
      <c r="CO62" s="1146"/>
      <c r="CP62" s="1146"/>
      <c r="CQ62" s="1147">
        <f t="shared" si="27"/>
        <v>0</v>
      </c>
      <c r="CR62" s="1145"/>
      <c r="CS62" s="1146"/>
      <c r="CT62" s="1146"/>
      <c r="CU62" s="1146"/>
      <c r="CV62" s="1146"/>
      <c r="CW62" s="1154">
        <f t="shared" si="28"/>
        <v>0</v>
      </c>
      <c r="CX62" s="1148"/>
      <c r="CY62" s="1149"/>
      <c r="CZ62" s="1149"/>
      <c r="DA62" s="1149"/>
      <c r="DB62" s="1149"/>
      <c r="DC62" s="1147">
        <f t="shared" si="29"/>
        <v>0</v>
      </c>
      <c r="DD62" s="1148"/>
      <c r="DE62" s="1149"/>
      <c r="DF62" s="1149"/>
      <c r="DG62" s="1149"/>
      <c r="DH62" s="1149"/>
      <c r="DI62" s="1154">
        <f t="shared" si="30"/>
        <v>0</v>
      </c>
      <c r="DJ62" s="1233"/>
      <c r="DK62" s="1233"/>
      <c r="DL62" s="1233"/>
      <c r="DM62" s="1233"/>
      <c r="DN62" s="1233"/>
      <c r="DO62" s="1233">
        <f t="shared" si="31"/>
        <v>0</v>
      </c>
      <c r="DP62" s="1148">
        <v>4125</v>
      </c>
      <c r="DQ62" s="1149">
        <v>2846.25</v>
      </c>
      <c r="DR62" s="1149">
        <v>1278.75</v>
      </c>
      <c r="DS62" s="1149">
        <v>0</v>
      </c>
      <c r="DT62" s="1149">
        <v>0</v>
      </c>
      <c r="DU62" s="1155">
        <f t="shared" si="32"/>
        <v>8250</v>
      </c>
      <c r="DV62" s="1148">
        <v>-20.7</v>
      </c>
      <c r="DW62" s="1149">
        <v>0</v>
      </c>
      <c r="DX62" s="1149">
        <v>-3.82</v>
      </c>
      <c r="DY62" s="1149">
        <v>7.0000000000000007E-2</v>
      </c>
      <c r="DZ62" s="1149">
        <v>0</v>
      </c>
      <c r="EA62" s="1154">
        <f t="shared" si="33"/>
        <v>-24.45</v>
      </c>
    </row>
    <row r="63" spans="1:131" ht="15" customHeight="1">
      <c r="A63" s="746" t="s">
        <v>148</v>
      </c>
      <c r="B63" s="844" t="s">
        <v>149</v>
      </c>
      <c r="C63" s="967" t="s">
        <v>265</v>
      </c>
      <c r="D63" s="842">
        <f t="shared" si="6"/>
        <v>49862.55</v>
      </c>
      <c r="E63" s="842">
        <f t="shared" si="7"/>
        <v>38883.919999999998</v>
      </c>
      <c r="F63" s="842">
        <f t="shared" si="8"/>
        <v>16799.669999999998</v>
      </c>
      <c r="G63" s="842">
        <f t="shared" si="9"/>
        <v>-0.13000000000000003</v>
      </c>
      <c r="H63" s="842">
        <f t="shared" si="10"/>
        <v>0</v>
      </c>
      <c r="I63" s="1578">
        <f t="shared" si="11"/>
        <v>105546.01</v>
      </c>
      <c r="J63" s="843">
        <f t="shared" si="12"/>
        <v>-0.13000000000000003</v>
      </c>
      <c r="K63" s="1579">
        <f t="shared" si="13"/>
        <v>16799.539999999997</v>
      </c>
      <c r="L63" s="1116"/>
      <c r="M63" s="1117"/>
      <c r="N63" s="1117"/>
      <c r="O63" s="1117"/>
      <c r="P63" s="1117"/>
      <c r="Q63" s="1118">
        <f t="shared" si="14"/>
        <v>0</v>
      </c>
      <c r="R63" s="1133"/>
      <c r="S63" s="1134"/>
      <c r="T63" s="1134"/>
      <c r="U63" s="1134"/>
      <c r="V63" s="1134"/>
      <c r="W63" s="1132">
        <f t="shared" si="15"/>
        <v>0</v>
      </c>
      <c r="X63" s="1231"/>
      <c r="Y63" s="1231"/>
      <c r="Z63" s="1231"/>
      <c r="AA63" s="1231"/>
      <c r="AB63" s="1231"/>
      <c r="AC63" s="1231">
        <f t="shared" si="16"/>
        <v>0</v>
      </c>
      <c r="AD63" s="1127">
        <v>6329.68</v>
      </c>
      <c r="AE63" s="1128">
        <v>37.67</v>
      </c>
      <c r="AF63" s="1128">
        <v>1167.98</v>
      </c>
      <c r="AG63" s="1128">
        <v>0</v>
      </c>
      <c r="AH63" s="1128">
        <v>0</v>
      </c>
      <c r="AI63" s="1124">
        <f t="shared" si="17"/>
        <v>7535.33</v>
      </c>
      <c r="AJ63" s="1148">
        <v>7827.23</v>
      </c>
      <c r="AK63" s="1149">
        <v>0</v>
      </c>
      <c r="AL63" s="1149">
        <v>1956.79</v>
      </c>
      <c r="AM63" s="1149">
        <v>0</v>
      </c>
      <c r="AN63" s="1149">
        <v>0</v>
      </c>
      <c r="AO63" s="1154">
        <f t="shared" si="18"/>
        <v>9784.02</v>
      </c>
      <c r="AP63" s="1125"/>
      <c r="AQ63" s="1126"/>
      <c r="AR63" s="1126"/>
      <c r="AS63" s="1126"/>
      <c r="AT63" s="1126"/>
      <c r="AU63" s="1137">
        <f t="shared" si="19"/>
        <v>0</v>
      </c>
      <c r="AV63" s="1138"/>
      <c r="AW63" s="1139"/>
      <c r="AX63" s="1139"/>
      <c r="AY63" s="1139"/>
      <c r="AZ63" s="1139"/>
      <c r="BA63" s="1140">
        <f t="shared" si="20"/>
        <v>0</v>
      </c>
      <c r="BB63" s="1133"/>
      <c r="BC63" s="1134"/>
      <c r="BD63" s="1134"/>
      <c r="BE63" s="1134"/>
      <c r="BF63" s="1134"/>
      <c r="BG63" s="1132">
        <f t="shared" si="21"/>
        <v>0</v>
      </c>
      <c r="BH63" s="1145"/>
      <c r="BI63" s="1146"/>
      <c r="BJ63" s="1146"/>
      <c r="BK63" s="1146"/>
      <c r="BL63" s="1146"/>
      <c r="BM63" s="1147">
        <f t="shared" si="22"/>
        <v>0</v>
      </c>
      <c r="BN63" s="1148">
        <v>15928.69</v>
      </c>
      <c r="BO63" s="1149">
        <v>2017.66</v>
      </c>
      <c r="BP63" s="1149">
        <v>3291.91</v>
      </c>
      <c r="BQ63" s="1149">
        <v>-0.03</v>
      </c>
      <c r="BR63" s="1149">
        <v>0</v>
      </c>
      <c r="BS63" s="1147">
        <f t="shared" si="23"/>
        <v>21238.230000000003</v>
      </c>
      <c r="BT63" s="1148"/>
      <c r="BU63" s="1149"/>
      <c r="BV63" s="1149"/>
      <c r="BW63" s="1149"/>
      <c r="BX63" s="1149"/>
      <c r="BY63" s="1154">
        <f t="shared" si="24"/>
        <v>0</v>
      </c>
      <c r="BZ63" s="1148">
        <v>12503.37</v>
      </c>
      <c r="CA63" s="1149">
        <v>35166.85</v>
      </c>
      <c r="CB63" s="1149">
        <v>8743.98</v>
      </c>
      <c r="CC63" s="1149">
        <v>-0.11</v>
      </c>
      <c r="CD63" s="1149">
        <v>0</v>
      </c>
      <c r="CE63" s="1154">
        <f t="shared" si="25"/>
        <v>56414.09</v>
      </c>
      <c r="CF63" s="1148"/>
      <c r="CG63" s="1149"/>
      <c r="CH63" s="1149"/>
      <c r="CI63" s="1149"/>
      <c r="CJ63" s="1149"/>
      <c r="CK63" s="1154">
        <f t="shared" si="26"/>
        <v>0</v>
      </c>
      <c r="CL63" s="1145"/>
      <c r="CM63" s="1146"/>
      <c r="CN63" s="1146"/>
      <c r="CO63" s="1146"/>
      <c r="CP63" s="1146"/>
      <c r="CQ63" s="1147">
        <f t="shared" si="27"/>
        <v>0</v>
      </c>
      <c r="CR63" s="1145"/>
      <c r="CS63" s="1146"/>
      <c r="CT63" s="1146"/>
      <c r="CU63" s="1146"/>
      <c r="CV63" s="1146"/>
      <c r="CW63" s="1154">
        <f t="shared" si="28"/>
        <v>0</v>
      </c>
      <c r="CX63" s="1145"/>
      <c r="CY63" s="1146"/>
      <c r="CZ63" s="1146"/>
      <c r="DA63" s="1146"/>
      <c r="DB63" s="1146"/>
      <c r="DC63" s="1147">
        <f t="shared" si="29"/>
        <v>0</v>
      </c>
      <c r="DD63" s="1148"/>
      <c r="DE63" s="1149"/>
      <c r="DF63" s="1149"/>
      <c r="DG63" s="1149"/>
      <c r="DH63" s="1149"/>
      <c r="DI63" s="1154">
        <f t="shared" si="30"/>
        <v>0</v>
      </c>
      <c r="DJ63" s="1233"/>
      <c r="DK63" s="1233"/>
      <c r="DL63" s="1233"/>
      <c r="DM63" s="1233"/>
      <c r="DN63" s="1233"/>
      <c r="DO63" s="1233">
        <f t="shared" si="31"/>
        <v>0</v>
      </c>
      <c r="DP63" s="1148">
        <v>2408.3000000000002</v>
      </c>
      <c r="DQ63" s="1149">
        <v>1661.74</v>
      </c>
      <c r="DR63" s="1149">
        <v>746.57</v>
      </c>
      <c r="DS63" s="1149">
        <v>-0.01</v>
      </c>
      <c r="DT63" s="1149">
        <v>0</v>
      </c>
      <c r="DU63" s="1155">
        <f t="shared" si="32"/>
        <v>4816.5999999999995</v>
      </c>
      <c r="DV63" s="1148">
        <v>4865.28</v>
      </c>
      <c r="DW63" s="1149">
        <v>0</v>
      </c>
      <c r="DX63" s="1149">
        <v>892.44</v>
      </c>
      <c r="DY63" s="1149">
        <v>0.02</v>
      </c>
      <c r="DZ63" s="1149">
        <v>0</v>
      </c>
      <c r="EA63" s="1154">
        <f t="shared" si="33"/>
        <v>5757.74</v>
      </c>
    </row>
    <row r="64" spans="1:131" ht="15" customHeight="1">
      <c r="A64" s="746" t="s">
        <v>150</v>
      </c>
      <c r="B64" s="844" t="s">
        <v>151</v>
      </c>
      <c r="C64" s="967" t="s">
        <v>266</v>
      </c>
      <c r="D64" s="842">
        <f t="shared" si="6"/>
        <v>40994.58</v>
      </c>
      <c r="E64" s="842">
        <f t="shared" si="7"/>
        <v>25931.010000000002</v>
      </c>
      <c r="F64" s="842">
        <f t="shared" si="8"/>
        <v>13714.650000000001</v>
      </c>
      <c r="G64" s="842">
        <f t="shared" si="9"/>
        <v>-1.0000000000000002E-2</v>
      </c>
      <c r="H64" s="842">
        <f t="shared" si="10"/>
        <v>0</v>
      </c>
      <c r="I64" s="1578">
        <f t="shared" si="11"/>
        <v>80640.23</v>
      </c>
      <c r="J64" s="843">
        <f t="shared" si="12"/>
        <v>-1.0000000000000002E-2</v>
      </c>
      <c r="K64" s="1579">
        <f t="shared" si="13"/>
        <v>13714.640000000001</v>
      </c>
      <c r="L64" s="1116"/>
      <c r="M64" s="1117"/>
      <c r="N64" s="1117"/>
      <c r="O64" s="1117"/>
      <c r="P64" s="1117"/>
      <c r="Q64" s="1118">
        <f t="shared" si="14"/>
        <v>0</v>
      </c>
      <c r="R64" s="1133"/>
      <c r="S64" s="1134"/>
      <c r="T64" s="1134"/>
      <c r="U64" s="1134"/>
      <c r="V64" s="1134"/>
      <c r="W64" s="1132">
        <f t="shared" si="15"/>
        <v>0</v>
      </c>
      <c r="X64" s="1231"/>
      <c r="Y64" s="1231"/>
      <c r="Z64" s="1231"/>
      <c r="AA64" s="1231"/>
      <c r="AB64" s="1231"/>
      <c r="AC64" s="1231">
        <f t="shared" si="16"/>
        <v>0</v>
      </c>
      <c r="AD64" s="1127">
        <v>1305.3599999999999</v>
      </c>
      <c r="AE64" s="1128">
        <v>7.77</v>
      </c>
      <c r="AF64" s="1128">
        <v>240.86</v>
      </c>
      <c r="AG64" s="1128">
        <v>0.01</v>
      </c>
      <c r="AH64" s="1128">
        <v>0</v>
      </c>
      <c r="AI64" s="1124">
        <f t="shared" si="17"/>
        <v>1553.9999999999998</v>
      </c>
      <c r="AJ64" s="1148">
        <v>13956</v>
      </c>
      <c r="AK64" s="1149">
        <v>0</v>
      </c>
      <c r="AL64" s="1149">
        <v>3489</v>
      </c>
      <c r="AM64" s="1149">
        <v>0</v>
      </c>
      <c r="AN64" s="1149">
        <v>0</v>
      </c>
      <c r="AO64" s="1154">
        <f t="shared" si="18"/>
        <v>17445</v>
      </c>
      <c r="AP64" s="1125"/>
      <c r="AQ64" s="1126"/>
      <c r="AR64" s="1126"/>
      <c r="AS64" s="1126"/>
      <c r="AT64" s="1126"/>
      <c r="AU64" s="1137">
        <f t="shared" si="19"/>
        <v>0</v>
      </c>
      <c r="AV64" s="1141">
        <v>108</v>
      </c>
      <c r="AW64" s="1142">
        <v>27</v>
      </c>
      <c r="AX64" s="1142">
        <v>0</v>
      </c>
      <c r="AY64" s="1142">
        <v>0</v>
      </c>
      <c r="AZ64" s="1142">
        <v>0</v>
      </c>
      <c r="BA64" s="1140">
        <f t="shared" si="20"/>
        <v>135</v>
      </c>
      <c r="BB64" s="1131">
        <v>1259.51</v>
      </c>
      <c r="BC64" s="1131">
        <v>314.87</v>
      </c>
      <c r="BD64" s="1131">
        <v>0</v>
      </c>
      <c r="BE64" s="1131">
        <v>0</v>
      </c>
      <c r="BF64" s="1131">
        <v>0</v>
      </c>
      <c r="BG64" s="1132">
        <f t="shared" si="21"/>
        <v>1574.38</v>
      </c>
      <c r="BH64" s="1145"/>
      <c r="BI64" s="1146"/>
      <c r="BJ64" s="1146"/>
      <c r="BK64" s="1146"/>
      <c r="BL64" s="1146"/>
      <c r="BM64" s="1147">
        <f t="shared" si="22"/>
        <v>0</v>
      </c>
      <c r="BN64" s="1148">
        <v>13118.99</v>
      </c>
      <c r="BO64" s="1149">
        <v>1661.74</v>
      </c>
      <c r="BP64" s="1149">
        <v>2711.26</v>
      </c>
      <c r="BQ64" s="1149">
        <v>-0.02</v>
      </c>
      <c r="BR64" s="1149">
        <v>0</v>
      </c>
      <c r="BS64" s="1147">
        <f t="shared" si="23"/>
        <v>17491.969999999998</v>
      </c>
      <c r="BT64" s="1148"/>
      <c r="BU64" s="1149"/>
      <c r="BV64" s="1149"/>
      <c r="BW64" s="1149"/>
      <c r="BX64" s="1149"/>
      <c r="BY64" s="1154">
        <f t="shared" si="24"/>
        <v>0</v>
      </c>
      <c r="BZ64" s="1148">
        <v>7826.9</v>
      </c>
      <c r="CA64" s="1149">
        <v>22091.13</v>
      </c>
      <c r="CB64" s="1149">
        <v>5487.78</v>
      </c>
      <c r="CC64" s="1149">
        <v>-0.04</v>
      </c>
      <c r="CD64" s="1149">
        <v>0</v>
      </c>
      <c r="CE64" s="1154">
        <f t="shared" si="25"/>
        <v>35405.769999999997</v>
      </c>
      <c r="CF64" s="1148">
        <v>511.27</v>
      </c>
      <c r="CG64" s="1149">
        <v>0</v>
      </c>
      <c r="CH64" s="1149">
        <v>916.84</v>
      </c>
      <c r="CI64" s="1149">
        <v>0</v>
      </c>
      <c r="CJ64" s="1149">
        <v>0</v>
      </c>
      <c r="CK64" s="1154">
        <f t="shared" si="26"/>
        <v>1428.1100000000001</v>
      </c>
      <c r="CL64" s="1145"/>
      <c r="CM64" s="1146"/>
      <c r="CN64" s="1146"/>
      <c r="CO64" s="1146"/>
      <c r="CP64" s="1146"/>
      <c r="CQ64" s="1147">
        <f t="shared" si="27"/>
        <v>0</v>
      </c>
      <c r="CR64" s="1148"/>
      <c r="CS64" s="1149"/>
      <c r="CT64" s="1149"/>
      <c r="CU64" s="1149"/>
      <c r="CV64" s="1149"/>
      <c r="CW64" s="1154">
        <f t="shared" si="28"/>
        <v>0</v>
      </c>
      <c r="CX64" s="1145"/>
      <c r="CY64" s="1146"/>
      <c r="CZ64" s="1146"/>
      <c r="DA64" s="1146"/>
      <c r="DB64" s="1146"/>
      <c r="DC64" s="1147">
        <f t="shared" si="29"/>
        <v>0</v>
      </c>
      <c r="DD64" s="1148"/>
      <c r="DE64" s="1149"/>
      <c r="DF64" s="1149"/>
      <c r="DG64" s="1149"/>
      <c r="DH64" s="1149"/>
      <c r="DI64" s="1154">
        <f t="shared" si="30"/>
        <v>0</v>
      </c>
      <c r="DJ64" s="1233"/>
      <c r="DK64" s="1233"/>
      <c r="DL64" s="1233"/>
      <c r="DM64" s="1233"/>
      <c r="DN64" s="1233"/>
      <c r="DO64" s="1233">
        <f t="shared" si="31"/>
        <v>0</v>
      </c>
      <c r="DP64" s="1148">
        <v>2650</v>
      </c>
      <c r="DQ64" s="1149">
        <v>1828.5</v>
      </c>
      <c r="DR64" s="1149">
        <v>821.5</v>
      </c>
      <c r="DS64" s="1149">
        <v>0</v>
      </c>
      <c r="DT64" s="1149">
        <v>0</v>
      </c>
      <c r="DU64" s="1155">
        <f t="shared" si="32"/>
        <v>5300</v>
      </c>
      <c r="DV64" s="1148">
        <v>258.55</v>
      </c>
      <c r="DW64" s="1149">
        <v>0</v>
      </c>
      <c r="DX64" s="1149">
        <v>47.41</v>
      </c>
      <c r="DY64" s="1149">
        <v>0.04</v>
      </c>
      <c r="DZ64" s="1149">
        <v>0</v>
      </c>
      <c r="EA64" s="1154">
        <f t="shared" si="33"/>
        <v>306.00000000000006</v>
      </c>
    </row>
    <row r="65" spans="1:131" ht="15" customHeight="1">
      <c r="A65" s="746" t="s">
        <v>152</v>
      </c>
      <c r="B65" s="844" t="s">
        <v>153</v>
      </c>
      <c r="C65" s="967" t="s">
        <v>268</v>
      </c>
      <c r="D65" s="842">
        <f t="shared" si="6"/>
        <v>108309.15999999999</v>
      </c>
      <c r="E65" s="842">
        <f t="shared" si="7"/>
        <v>58044.32</v>
      </c>
      <c r="F65" s="842">
        <f t="shared" si="8"/>
        <v>30645.269999999997</v>
      </c>
      <c r="G65" s="842">
        <f t="shared" si="9"/>
        <v>-0.08</v>
      </c>
      <c r="H65" s="842">
        <f t="shared" si="10"/>
        <v>0</v>
      </c>
      <c r="I65" s="1578">
        <f t="shared" si="11"/>
        <v>196998.66999999998</v>
      </c>
      <c r="J65" s="843">
        <f t="shared" si="12"/>
        <v>-0.08</v>
      </c>
      <c r="K65" s="1579">
        <f t="shared" si="13"/>
        <v>30645.189999999995</v>
      </c>
      <c r="L65" s="1119">
        <v>0</v>
      </c>
      <c r="M65" s="1120">
        <v>2738</v>
      </c>
      <c r="N65" s="1121">
        <v>0</v>
      </c>
      <c r="O65" s="1120">
        <v>0</v>
      </c>
      <c r="P65" s="1120">
        <v>0</v>
      </c>
      <c r="Q65" s="1118">
        <f t="shared" si="14"/>
        <v>2738</v>
      </c>
      <c r="R65" s="1135"/>
      <c r="S65" s="1136"/>
      <c r="T65" s="1136"/>
      <c r="U65" s="1136"/>
      <c r="V65" s="1136"/>
      <c r="W65" s="1132">
        <f t="shared" si="15"/>
        <v>0</v>
      </c>
      <c r="X65" s="1231"/>
      <c r="Y65" s="1231"/>
      <c r="Z65" s="1231"/>
      <c r="AA65" s="1231"/>
      <c r="AB65" s="1231"/>
      <c r="AC65" s="1231">
        <f t="shared" si="16"/>
        <v>0</v>
      </c>
      <c r="AD65" s="1127">
        <v>9724.5300000000007</v>
      </c>
      <c r="AE65" s="1128">
        <v>57.91</v>
      </c>
      <c r="AF65" s="1128">
        <v>1794.4</v>
      </c>
      <c r="AG65" s="1128">
        <v>-0.02</v>
      </c>
      <c r="AH65" s="1128">
        <v>0</v>
      </c>
      <c r="AI65" s="1124">
        <f t="shared" si="17"/>
        <v>11576.82</v>
      </c>
      <c r="AJ65" s="1148">
        <v>35562.35</v>
      </c>
      <c r="AK65" s="1149">
        <v>0</v>
      </c>
      <c r="AL65" s="1149">
        <v>8890.56</v>
      </c>
      <c r="AM65" s="1149">
        <v>0</v>
      </c>
      <c r="AN65" s="1149">
        <v>0</v>
      </c>
      <c r="AO65" s="1154">
        <f t="shared" si="18"/>
        <v>44452.909999999996</v>
      </c>
      <c r="AP65" s="1125"/>
      <c r="AQ65" s="1126"/>
      <c r="AR65" s="1126"/>
      <c r="AS65" s="1126"/>
      <c r="AT65" s="1126"/>
      <c r="AU65" s="1137">
        <f t="shared" si="19"/>
        <v>0</v>
      </c>
      <c r="AV65" s="1141">
        <v>3309.86</v>
      </c>
      <c r="AW65" s="1142">
        <v>827.47</v>
      </c>
      <c r="AX65" s="1142">
        <v>0</v>
      </c>
      <c r="AY65" s="1142">
        <v>0</v>
      </c>
      <c r="AZ65" s="1142">
        <v>0</v>
      </c>
      <c r="BA65" s="1140">
        <f t="shared" si="20"/>
        <v>4137.33</v>
      </c>
      <c r="BB65" s="1131">
        <v>4169.55</v>
      </c>
      <c r="BC65" s="1131">
        <v>1042.3900000000001</v>
      </c>
      <c r="BD65" s="1131">
        <v>0</v>
      </c>
      <c r="BE65" s="1131">
        <v>0</v>
      </c>
      <c r="BF65" s="1131">
        <v>0</v>
      </c>
      <c r="BG65" s="1132">
        <f t="shared" si="21"/>
        <v>5211.9400000000005</v>
      </c>
      <c r="BH65" s="1148">
        <v>286.45</v>
      </c>
      <c r="BI65" s="1149">
        <v>517.26</v>
      </c>
      <c r="BJ65" s="1149">
        <v>0</v>
      </c>
      <c r="BK65" s="1149">
        <v>0</v>
      </c>
      <c r="BL65" s="1149">
        <v>0</v>
      </c>
      <c r="BM65" s="1147">
        <f t="shared" si="22"/>
        <v>803.71</v>
      </c>
      <c r="BN65" s="1148">
        <v>25093.22</v>
      </c>
      <c r="BO65" s="1149">
        <v>3178.47</v>
      </c>
      <c r="BP65" s="1149">
        <v>5185.93</v>
      </c>
      <c r="BQ65" s="1149">
        <v>-0.03</v>
      </c>
      <c r="BR65" s="1149">
        <v>0</v>
      </c>
      <c r="BS65" s="1147">
        <f t="shared" si="23"/>
        <v>33457.590000000004</v>
      </c>
      <c r="BT65" s="1148"/>
      <c r="BU65" s="1149"/>
      <c r="BV65" s="1149"/>
      <c r="BW65" s="1149"/>
      <c r="BX65" s="1149"/>
      <c r="BY65" s="1154">
        <f t="shared" si="24"/>
        <v>0</v>
      </c>
      <c r="BZ65" s="1148">
        <v>15502.75</v>
      </c>
      <c r="CA65" s="1149">
        <v>43752.959999999999</v>
      </c>
      <c r="CB65" s="1149">
        <v>10869.05</v>
      </c>
      <c r="CC65" s="1149">
        <v>-0.02</v>
      </c>
      <c r="CD65" s="1149">
        <v>0</v>
      </c>
      <c r="CE65" s="1154">
        <f t="shared" si="25"/>
        <v>70124.739999999991</v>
      </c>
      <c r="CF65" s="1145"/>
      <c r="CG65" s="1146"/>
      <c r="CH65" s="1146"/>
      <c r="CI65" s="1146"/>
      <c r="CJ65" s="1146"/>
      <c r="CK65" s="1154">
        <f t="shared" si="26"/>
        <v>0</v>
      </c>
      <c r="CL65" s="1145"/>
      <c r="CM65" s="1146"/>
      <c r="CN65" s="1146"/>
      <c r="CO65" s="1146"/>
      <c r="CP65" s="1146"/>
      <c r="CQ65" s="1147">
        <f t="shared" si="27"/>
        <v>0</v>
      </c>
      <c r="CR65" s="1148"/>
      <c r="CS65" s="1149"/>
      <c r="CT65" s="1149"/>
      <c r="CU65" s="1149"/>
      <c r="CV65" s="1149"/>
      <c r="CW65" s="1154">
        <f t="shared" si="28"/>
        <v>0</v>
      </c>
      <c r="CX65" s="1145"/>
      <c r="CY65" s="1146"/>
      <c r="CZ65" s="1146"/>
      <c r="DA65" s="1146"/>
      <c r="DB65" s="1146"/>
      <c r="DC65" s="1147">
        <f t="shared" si="29"/>
        <v>0</v>
      </c>
      <c r="DD65" s="1148">
        <v>-700</v>
      </c>
      <c r="DE65" s="1149">
        <v>0</v>
      </c>
      <c r="DF65" s="1149">
        <v>0</v>
      </c>
      <c r="DG65" s="1149">
        <v>0</v>
      </c>
      <c r="DH65" s="1149">
        <v>0</v>
      </c>
      <c r="DI65" s="1154">
        <f t="shared" si="30"/>
        <v>-700</v>
      </c>
      <c r="DJ65" s="1233"/>
      <c r="DK65" s="1233"/>
      <c r="DL65" s="1233"/>
      <c r="DM65" s="1233"/>
      <c r="DN65" s="1233"/>
      <c r="DO65" s="1233">
        <f t="shared" si="31"/>
        <v>0</v>
      </c>
      <c r="DP65" s="1148">
        <v>8594</v>
      </c>
      <c r="DQ65" s="1149">
        <v>5929.86</v>
      </c>
      <c r="DR65" s="1149">
        <v>2664.14</v>
      </c>
      <c r="DS65" s="1149">
        <v>0</v>
      </c>
      <c r="DT65" s="1149">
        <v>0</v>
      </c>
      <c r="DU65" s="1155">
        <f t="shared" si="32"/>
        <v>17188</v>
      </c>
      <c r="DV65" s="1148">
        <v>6766.45</v>
      </c>
      <c r="DW65" s="1149">
        <v>0</v>
      </c>
      <c r="DX65" s="1149">
        <v>1241.19</v>
      </c>
      <c r="DY65" s="1149">
        <v>-0.01</v>
      </c>
      <c r="DZ65" s="1149">
        <v>0</v>
      </c>
      <c r="EA65" s="1154">
        <f t="shared" si="33"/>
        <v>8007.6299999999992</v>
      </c>
    </row>
    <row r="66" spans="1:131" ht="15" customHeight="1">
      <c r="A66" s="746" t="s">
        <v>154</v>
      </c>
      <c r="B66" s="844" t="s">
        <v>155</v>
      </c>
      <c r="C66" s="967" t="s">
        <v>265</v>
      </c>
      <c r="D66" s="842">
        <f t="shared" si="6"/>
        <v>12229.95</v>
      </c>
      <c r="E66" s="842">
        <f t="shared" si="7"/>
        <v>4737.37</v>
      </c>
      <c r="F66" s="842">
        <f t="shared" si="8"/>
        <v>3627.38</v>
      </c>
      <c r="G66" s="842">
        <f t="shared" si="9"/>
        <v>315.04000000000002</v>
      </c>
      <c r="H66" s="842">
        <f t="shared" si="10"/>
        <v>0</v>
      </c>
      <c r="I66" s="1578">
        <f t="shared" si="11"/>
        <v>20909.740000000002</v>
      </c>
      <c r="J66" s="843">
        <f t="shared" si="12"/>
        <v>315.04000000000002</v>
      </c>
      <c r="K66" s="1579">
        <f t="shared" si="13"/>
        <v>3942.42</v>
      </c>
      <c r="L66" s="1116"/>
      <c r="M66" s="1117"/>
      <c r="N66" s="1117"/>
      <c r="O66" s="1117"/>
      <c r="P66" s="1117"/>
      <c r="Q66" s="1118">
        <f t="shared" si="14"/>
        <v>0</v>
      </c>
      <c r="R66" s="1135"/>
      <c r="S66" s="1136"/>
      <c r="T66" s="1136"/>
      <c r="U66" s="1136"/>
      <c r="V66" s="1136"/>
      <c r="W66" s="1132">
        <f t="shared" si="15"/>
        <v>0</v>
      </c>
      <c r="X66" s="1231"/>
      <c r="Y66" s="1231"/>
      <c r="Z66" s="1231"/>
      <c r="AA66" s="1231"/>
      <c r="AB66" s="1231"/>
      <c r="AC66" s="1231">
        <f t="shared" si="16"/>
        <v>0</v>
      </c>
      <c r="AD66" s="1127">
        <v>1727.06</v>
      </c>
      <c r="AE66" s="1128">
        <v>10.29</v>
      </c>
      <c r="AF66" s="1128">
        <v>318.69</v>
      </c>
      <c r="AG66" s="1128">
        <v>-0.02</v>
      </c>
      <c r="AH66" s="1128">
        <v>0</v>
      </c>
      <c r="AI66" s="1124">
        <f t="shared" si="17"/>
        <v>2056.02</v>
      </c>
      <c r="AJ66" s="1148">
        <v>7737.19</v>
      </c>
      <c r="AK66" s="1149">
        <v>0</v>
      </c>
      <c r="AL66" s="1149">
        <v>1934.3</v>
      </c>
      <c r="AM66" s="1149">
        <v>315.08</v>
      </c>
      <c r="AN66" s="1149">
        <v>0</v>
      </c>
      <c r="AO66" s="1154">
        <f t="shared" si="18"/>
        <v>9986.57</v>
      </c>
      <c r="AP66" s="1125"/>
      <c r="AQ66" s="1126"/>
      <c r="AR66" s="1126"/>
      <c r="AS66" s="1126"/>
      <c r="AT66" s="1126"/>
      <c r="AU66" s="1137">
        <f t="shared" si="19"/>
        <v>0</v>
      </c>
      <c r="AV66" s="1138"/>
      <c r="AW66" s="1139"/>
      <c r="AX66" s="1139"/>
      <c r="AY66" s="1139"/>
      <c r="AZ66" s="1139"/>
      <c r="BA66" s="1140">
        <f t="shared" si="20"/>
        <v>0</v>
      </c>
      <c r="BB66" s="1133"/>
      <c r="BC66" s="1134"/>
      <c r="BD66" s="1134"/>
      <c r="BE66" s="1134"/>
      <c r="BF66" s="1134"/>
      <c r="BG66" s="1132">
        <f t="shared" si="21"/>
        <v>0</v>
      </c>
      <c r="BH66" s="1145"/>
      <c r="BI66" s="1146"/>
      <c r="BJ66" s="1146"/>
      <c r="BK66" s="1146"/>
      <c r="BL66" s="1146"/>
      <c r="BM66" s="1147">
        <f t="shared" si="22"/>
        <v>0</v>
      </c>
      <c r="BN66" s="1145"/>
      <c r="BO66" s="1146"/>
      <c r="BP66" s="1146"/>
      <c r="BQ66" s="1146"/>
      <c r="BR66" s="1146"/>
      <c r="BS66" s="1147">
        <f t="shared" si="23"/>
        <v>0</v>
      </c>
      <c r="BT66" s="1148"/>
      <c r="BU66" s="1149"/>
      <c r="BV66" s="1149"/>
      <c r="BW66" s="1149"/>
      <c r="BX66" s="1149"/>
      <c r="BY66" s="1154">
        <f t="shared" si="24"/>
        <v>0</v>
      </c>
      <c r="BZ66" s="1148">
        <v>1304.0899999999999</v>
      </c>
      <c r="CA66" s="1149">
        <v>3718.57</v>
      </c>
      <c r="CB66" s="1149">
        <v>921.3</v>
      </c>
      <c r="CC66" s="1149">
        <v>-0.01</v>
      </c>
      <c r="CD66" s="1149">
        <v>0</v>
      </c>
      <c r="CE66" s="1154">
        <f t="shared" si="25"/>
        <v>5943.95</v>
      </c>
      <c r="CF66" s="1145"/>
      <c r="CG66" s="1146"/>
      <c r="CH66" s="1146"/>
      <c r="CI66" s="1146"/>
      <c r="CJ66" s="1146"/>
      <c r="CK66" s="1154">
        <f t="shared" si="26"/>
        <v>0</v>
      </c>
      <c r="CL66" s="1145"/>
      <c r="CM66" s="1146"/>
      <c r="CN66" s="1146"/>
      <c r="CO66" s="1146"/>
      <c r="CP66" s="1146"/>
      <c r="CQ66" s="1147">
        <f t="shared" si="27"/>
        <v>0</v>
      </c>
      <c r="CR66" s="1148"/>
      <c r="CS66" s="1149"/>
      <c r="CT66" s="1149"/>
      <c r="CU66" s="1149"/>
      <c r="CV66" s="1149"/>
      <c r="CW66" s="1154">
        <f t="shared" si="28"/>
        <v>0</v>
      </c>
      <c r="CX66" s="1145"/>
      <c r="CY66" s="1146"/>
      <c r="CZ66" s="1146"/>
      <c r="DA66" s="1146"/>
      <c r="DB66" s="1146"/>
      <c r="DC66" s="1147">
        <f t="shared" si="29"/>
        <v>0</v>
      </c>
      <c r="DD66" s="1148"/>
      <c r="DE66" s="1149"/>
      <c r="DF66" s="1149"/>
      <c r="DG66" s="1149"/>
      <c r="DH66" s="1149"/>
      <c r="DI66" s="1154">
        <f t="shared" si="30"/>
        <v>0</v>
      </c>
      <c r="DJ66" s="1233"/>
      <c r="DK66" s="1233"/>
      <c r="DL66" s="1233"/>
      <c r="DM66" s="1233"/>
      <c r="DN66" s="1233"/>
      <c r="DO66" s="1233">
        <f t="shared" si="31"/>
        <v>0</v>
      </c>
      <c r="DP66" s="1148">
        <v>1461.61</v>
      </c>
      <c r="DQ66" s="1149">
        <v>1008.51</v>
      </c>
      <c r="DR66" s="1149">
        <v>453.09</v>
      </c>
      <c r="DS66" s="1149">
        <v>-0.01</v>
      </c>
      <c r="DT66" s="1149">
        <v>0</v>
      </c>
      <c r="DU66" s="1155">
        <f t="shared" si="32"/>
        <v>2923.2</v>
      </c>
      <c r="DV66" s="1145"/>
      <c r="DW66" s="1146"/>
      <c r="DX66" s="1146"/>
      <c r="DY66" s="1146"/>
      <c r="DZ66" s="1146"/>
      <c r="EA66" s="1154">
        <f t="shared" si="33"/>
        <v>0</v>
      </c>
    </row>
    <row r="67" spans="1:131" ht="15" customHeight="1">
      <c r="A67" s="746" t="s">
        <v>156</v>
      </c>
      <c r="B67" s="844" t="s">
        <v>157</v>
      </c>
      <c r="C67" s="967" t="s">
        <v>266</v>
      </c>
      <c r="D67" s="842">
        <f t="shared" si="6"/>
        <v>14541.199999999999</v>
      </c>
      <c r="E67" s="842">
        <f t="shared" si="7"/>
        <v>17963.419999999998</v>
      </c>
      <c r="F67" s="842">
        <f t="shared" si="8"/>
        <v>6161.9</v>
      </c>
      <c r="G67" s="842">
        <f t="shared" si="9"/>
        <v>0</v>
      </c>
      <c r="H67" s="842">
        <f t="shared" si="10"/>
        <v>0</v>
      </c>
      <c r="I67" s="1578">
        <f t="shared" si="11"/>
        <v>38666.519999999997</v>
      </c>
      <c r="J67" s="843">
        <f t="shared" si="12"/>
        <v>0</v>
      </c>
      <c r="K67" s="1579">
        <f t="shared" si="13"/>
        <v>6161.9</v>
      </c>
      <c r="L67" s="1116"/>
      <c r="M67" s="1117"/>
      <c r="N67" s="1117"/>
      <c r="O67" s="1117"/>
      <c r="P67" s="1117"/>
      <c r="Q67" s="1118">
        <f t="shared" si="14"/>
        <v>0</v>
      </c>
      <c r="R67" s="1133"/>
      <c r="S67" s="1134"/>
      <c r="T67" s="1134"/>
      <c r="U67" s="1134"/>
      <c r="V67" s="1134"/>
      <c r="W67" s="1132">
        <f t="shared" si="15"/>
        <v>0</v>
      </c>
      <c r="X67" s="1231"/>
      <c r="Y67" s="1231"/>
      <c r="Z67" s="1231"/>
      <c r="AA67" s="1231"/>
      <c r="AB67" s="1231"/>
      <c r="AC67" s="1231">
        <f t="shared" si="16"/>
        <v>0</v>
      </c>
      <c r="AD67" s="1127"/>
      <c r="AE67" s="1128"/>
      <c r="AF67" s="1128"/>
      <c r="AG67" s="1128"/>
      <c r="AH67" s="1128"/>
      <c r="AI67" s="1124">
        <f t="shared" si="17"/>
        <v>0</v>
      </c>
      <c r="AJ67" s="1145">
        <v>2999.16</v>
      </c>
      <c r="AK67" s="1146">
        <v>0</v>
      </c>
      <c r="AL67" s="1146">
        <v>749.79</v>
      </c>
      <c r="AM67" s="1146">
        <v>0</v>
      </c>
      <c r="AN67" s="1146">
        <v>0</v>
      </c>
      <c r="AO67" s="1154">
        <f t="shared" si="18"/>
        <v>3748.95</v>
      </c>
      <c r="AP67" s="1125"/>
      <c r="AQ67" s="1126"/>
      <c r="AR67" s="1126"/>
      <c r="AS67" s="1126"/>
      <c r="AT67" s="1126"/>
      <c r="AU67" s="1137">
        <f t="shared" si="19"/>
        <v>0</v>
      </c>
      <c r="AV67" s="1138"/>
      <c r="AW67" s="1139"/>
      <c r="AX67" s="1139"/>
      <c r="AY67" s="1139"/>
      <c r="AZ67" s="1139"/>
      <c r="BA67" s="1140">
        <f t="shared" si="20"/>
        <v>0</v>
      </c>
      <c r="BB67" s="1133"/>
      <c r="BC67" s="1134"/>
      <c r="BD67" s="1134"/>
      <c r="BE67" s="1134"/>
      <c r="BF67" s="1134"/>
      <c r="BG67" s="1132">
        <f t="shared" si="21"/>
        <v>0</v>
      </c>
      <c r="BH67" s="1145"/>
      <c r="BI67" s="1146"/>
      <c r="BJ67" s="1146"/>
      <c r="BK67" s="1146"/>
      <c r="BL67" s="1146"/>
      <c r="BM67" s="1147">
        <f t="shared" si="22"/>
        <v>0</v>
      </c>
      <c r="BN67" s="1145"/>
      <c r="BO67" s="1146"/>
      <c r="BP67" s="1146"/>
      <c r="BQ67" s="1146"/>
      <c r="BR67" s="1146"/>
      <c r="BS67" s="1147">
        <f t="shared" si="23"/>
        <v>0</v>
      </c>
      <c r="BT67" s="1148"/>
      <c r="BU67" s="1149"/>
      <c r="BV67" s="1149"/>
      <c r="BW67" s="1149"/>
      <c r="BX67" s="1149"/>
      <c r="BY67" s="1154">
        <f t="shared" si="24"/>
        <v>0</v>
      </c>
      <c r="BZ67" s="1148">
        <v>5993.74</v>
      </c>
      <c r="CA67" s="1149">
        <v>15791.73</v>
      </c>
      <c r="CB67" s="1149">
        <v>3996.02</v>
      </c>
      <c r="CC67" s="1149">
        <v>-0.01</v>
      </c>
      <c r="CD67" s="1149">
        <v>0</v>
      </c>
      <c r="CE67" s="1154">
        <f t="shared" si="25"/>
        <v>25781.480000000003</v>
      </c>
      <c r="CF67" s="1145"/>
      <c r="CG67" s="1146"/>
      <c r="CH67" s="1146"/>
      <c r="CI67" s="1146"/>
      <c r="CJ67" s="1146"/>
      <c r="CK67" s="1154">
        <f t="shared" si="26"/>
        <v>0</v>
      </c>
      <c r="CL67" s="1145"/>
      <c r="CM67" s="1146"/>
      <c r="CN67" s="1146"/>
      <c r="CO67" s="1146"/>
      <c r="CP67" s="1146"/>
      <c r="CQ67" s="1147">
        <f t="shared" si="27"/>
        <v>0</v>
      </c>
      <c r="CR67" s="1148"/>
      <c r="CS67" s="1149"/>
      <c r="CT67" s="1149"/>
      <c r="CU67" s="1149"/>
      <c r="CV67" s="1149"/>
      <c r="CW67" s="1154">
        <f t="shared" si="28"/>
        <v>0</v>
      </c>
      <c r="CX67" s="1148"/>
      <c r="CY67" s="1149"/>
      <c r="CZ67" s="1149"/>
      <c r="DA67" s="1149"/>
      <c r="DB67" s="1149"/>
      <c r="DC67" s="1147">
        <f t="shared" si="29"/>
        <v>0</v>
      </c>
      <c r="DD67" s="1148"/>
      <c r="DE67" s="1149"/>
      <c r="DF67" s="1149"/>
      <c r="DG67" s="1149"/>
      <c r="DH67" s="1149"/>
      <c r="DI67" s="1154">
        <f t="shared" si="30"/>
        <v>0</v>
      </c>
      <c r="DJ67" s="1233"/>
      <c r="DK67" s="1233"/>
      <c r="DL67" s="1233"/>
      <c r="DM67" s="1233"/>
      <c r="DN67" s="1233"/>
      <c r="DO67" s="1233">
        <f t="shared" si="31"/>
        <v>0</v>
      </c>
      <c r="DP67" s="1148">
        <v>3147.38</v>
      </c>
      <c r="DQ67" s="1149">
        <v>2171.69</v>
      </c>
      <c r="DR67" s="1149">
        <v>975.69</v>
      </c>
      <c r="DS67" s="1149">
        <v>-0.01</v>
      </c>
      <c r="DT67" s="1149">
        <v>0</v>
      </c>
      <c r="DU67" s="1155">
        <f t="shared" si="32"/>
        <v>6294.75</v>
      </c>
      <c r="DV67" s="1148">
        <v>2400.92</v>
      </c>
      <c r="DW67" s="1149">
        <v>0</v>
      </c>
      <c r="DX67" s="1149">
        <v>440.4</v>
      </c>
      <c r="DY67" s="1149">
        <v>0.02</v>
      </c>
      <c r="DZ67" s="1149">
        <v>0</v>
      </c>
      <c r="EA67" s="1154">
        <f t="shared" si="33"/>
        <v>2841.34</v>
      </c>
    </row>
    <row r="68" spans="1:131" ht="15" customHeight="1">
      <c r="A68" s="746" t="s">
        <v>162</v>
      </c>
      <c r="B68" s="844" t="s">
        <v>163</v>
      </c>
      <c r="C68" s="967" t="s">
        <v>264</v>
      </c>
      <c r="D68" s="842">
        <f t="shared" si="6"/>
        <v>68517.72</v>
      </c>
      <c r="E68" s="842">
        <f t="shared" si="7"/>
        <v>27991.93</v>
      </c>
      <c r="F68" s="842">
        <f t="shared" si="8"/>
        <v>20094.29</v>
      </c>
      <c r="G68" s="842">
        <f t="shared" si="9"/>
        <v>-0.05</v>
      </c>
      <c r="H68" s="842">
        <f t="shared" si="10"/>
        <v>0</v>
      </c>
      <c r="I68" s="1578">
        <f t="shared" si="11"/>
        <v>116603.89</v>
      </c>
      <c r="J68" s="843">
        <f t="shared" si="12"/>
        <v>-0.05</v>
      </c>
      <c r="K68" s="1579">
        <f t="shared" si="13"/>
        <v>20094.240000000002</v>
      </c>
      <c r="L68" s="1119"/>
      <c r="M68" s="1120"/>
      <c r="N68" s="1120"/>
      <c r="O68" s="1120"/>
      <c r="P68" s="1120"/>
      <c r="Q68" s="1118">
        <f t="shared" si="14"/>
        <v>0</v>
      </c>
      <c r="R68" s="1133"/>
      <c r="S68" s="1134"/>
      <c r="T68" s="1134"/>
      <c r="U68" s="1134"/>
      <c r="V68" s="1134"/>
      <c r="W68" s="1132">
        <f t="shared" si="15"/>
        <v>0</v>
      </c>
      <c r="X68" s="1231"/>
      <c r="Y68" s="1231"/>
      <c r="Z68" s="1231"/>
      <c r="AA68" s="1231"/>
      <c r="AB68" s="1231"/>
      <c r="AC68" s="1231">
        <f t="shared" si="16"/>
        <v>0</v>
      </c>
      <c r="AD68" s="1127">
        <v>4914.71</v>
      </c>
      <c r="AE68" s="1128">
        <v>29.25</v>
      </c>
      <c r="AF68" s="1128">
        <v>906.88</v>
      </c>
      <c r="AG68" s="1128">
        <v>0.01</v>
      </c>
      <c r="AH68" s="1128">
        <v>0</v>
      </c>
      <c r="AI68" s="1124">
        <f t="shared" si="17"/>
        <v>5850.85</v>
      </c>
      <c r="AJ68" s="1148">
        <v>30601.54</v>
      </c>
      <c r="AK68" s="1149">
        <v>0</v>
      </c>
      <c r="AL68" s="1149">
        <v>7650.39</v>
      </c>
      <c r="AM68" s="1149">
        <v>0</v>
      </c>
      <c r="AN68" s="1149">
        <v>0</v>
      </c>
      <c r="AO68" s="1154">
        <f t="shared" si="18"/>
        <v>38251.93</v>
      </c>
      <c r="AP68" s="1125"/>
      <c r="AQ68" s="1126"/>
      <c r="AR68" s="1126"/>
      <c r="AS68" s="1126"/>
      <c r="AT68" s="1126"/>
      <c r="AU68" s="1137">
        <f t="shared" si="19"/>
        <v>0</v>
      </c>
      <c r="AV68" s="1138">
        <v>524.71</v>
      </c>
      <c r="AW68" s="1139">
        <v>131.18</v>
      </c>
      <c r="AX68" s="1139">
        <v>0</v>
      </c>
      <c r="AY68" s="1139">
        <v>0</v>
      </c>
      <c r="AZ68" s="1139">
        <v>0</v>
      </c>
      <c r="BA68" s="1140">
        <f t="shared" si="20"/>
        <v>655.8900000000001</v>
      </c>
      <c r="BB68" s="1131">
        <v>1943.01</v>
      </c>
      <c r="BC68" s="1131">
        <v>485.75</v>
      </c>
      <c r="BD68" s="1131">
        <v>0</v>
      </c>
      <c r="BE68" s="1131">
        <v>0</v>
      </c>
      <c r="BF68" s="1131">
        <v>0</v>
      </c>
      <c r="BG68" s="1132">
        <f t="shared" si="21"/>
        <v>2428.7600000000002</v>
      </c>
      <c r="BH68" s="1148">
        <v>117.93</v>
      </c>
      <c r="BI68" s="1149">
        <v>212.95</v>
      </c>
      <c r="BJ68" s="1149">
        <v>0</v>
      </c>
      <c r="BK68" s="1149">
        <v>0</v>
      </c>
      <c r="BL68" s="1149">
        <v>0</v>
      </c>
      <c r="BM68" s="1147">
        <f t="shared" si="22"/>
        <v>330.88</v>
      </c>
      <c r="BN68" s="1148">
        <v>2846.94</v>
      </c>
      <c r="BO68" s="1149">
        <v>360.62</v>
      </c>
      <c r="BP68" s="1149">
        <v>588.38</v>
      </c>
      <c r="BQ68" s="1149">
        <v>-0.01</v>
      </c>
      <c r="BR68" s="1149">
        <v>0</v>
      </c>
      <c r="BS68" s="1147">
        <f t="shared" si="23"/>
        <v>3795.93</v>
      </c>
      <c r="BT68" s="1148"/>
      <c r="BU68" s="1149"/>
      <c r="BV68" s="1149"/>
      <c r="BW68" s="1149"/>
      <c r="BX68" s="1149"/>
      <c r="BY68" s="1154">
        <f t="shared" si="24"/>
        <v>0</v>
      </c>
      <c r="BZ68" s="1148">
        <v>9709.65</v>
      </c>
      <c r="CA68" s="1149">
        <v>26202.47</v>
      </c>
      <c r="CB68" s="1149">
        <v>6587.23</v>
      </c>
      <c r="CC68" s="1149">
        <v>-0.06</v>
      </c>
      <c r="CD68" s="1149">
        <v>0</v>
      </c>
      <c r="CE68" s="1154">
        <f t="shared" si="25"/>
        <v>42499.290000000008</v>
      </c>
      <c r="CF68" s="1148">
        <v>609.30999999999995</v>
      </c>
      <c r="CG68" s="1149">
        <v>0</v>
      </c>
      <c r="CH68" s="1149">
        <v>1092.73</v>
      </c>
      <c r="CI68" s="1149">
        <v>0</v>
      </c>
      <c r="CJ68" s="1149">
        <v>0</v>
      </c>
      <c r="CK68" s="1154">
        <f t="shared" si="26"/>
        <v>1702.04</v>
      </c>
      <c r="CL68" s="1145"/>
      <c r="CM68" s="1146"/>
      <c r="CN68" s="1146"/>
      <c r="CO68" s="1146"/>
      <c r="CP68" s="1146"/>
      <c r="CQ68" s="1147">
        <f t="shared" si="27"/>
        <v>0</v>
      </c>
      <c r="CR68" s="1148"/>
      <c r="CS68" s="1149"/>
      <c r="CT68" s="1149"/>
      <c r="CU68" s="1149"/>
      <c r="CV68" s="1149"/>
      <c r="CW68" s="1154">
        <f t="shared" si="28"/>
        <v>0</v>
      </c>
      <c r="CX68" s="1145"/>
      <c r="CY68" s="1146"/>
      <c r="CZ68" s="1146"/>
      <c r="DA68" s="1146"/>
      <c r="DB68" s="1146"/>
      <c r="DC68" s="1147">
        <f t="shared" si="29"/>
        <v>0</v>
      </c>
      <c r="DD68" s="1148"/>
      <c r="DE68" s="1149"/>
      <c r="DF68" s="1149"/>
      <c r="DG68" s="1149"/>
      <c r="DH68" s="1149"/>
      <c r="DI68" s="1154">
        <f t="shared" si="30"/>
        <v>0</v>
      </c>
      <c r="DJ68" s="1233"/>
      <c r="DK68" s="1233"/>
      <c r="DL68" s="1233"/>
      <c r="DM68" s="1233"/>
      <c r="DN68" s="1233"/>
      <c r="DO68" s="1233">
        <f t="shared" si="31"/>
        <v>0</v>
      </c>
      <c r="DP68" s="1148">
        <v>825.67</v>
      </c>
      <c r="DQ68" s="1149">
        <v>569.71</v>
      </c>
      <c r="DR68" s="1149">
        <v>255.96</v>
      </c>
      <c r="DS68" s="1149">
        <v>-0.02</v>
      </c>
      <c r="DT68" s="1149">
        <v>0</v>
      </c>
      <c r="DU68" s="1155">
        <f t="shared" si="32"/>
        <v>1651.3200000000002</v>
      </c>
      <c r="DV68" s="1148">
        <v>16424.25</v>
      </c>
      <c r="DW68" s="1149">
        <v>0</v>
      </c>
      <c r="DX68" s="1149">
        <v>3012.72</v>
      </c>
      <c r="DY68" s="1149">
        <v>0.03</v>
      </c>
      <c r="DZ68" s="1149">
        <v>0</v>
      </c>
      <c r="EA68" s="1154">
        <f t="shared" si="33"/>
        <v>19437</v>
      </c>
    </row>
    <row r="69" spans="1:131" ht="15" customHeight="1">
      <c r="A69" s="746" t="s">
        <v>164</v>
      </c>
      <c r="B69" s="844" t="s">
        <v>165</v>
      </c>
      <c r="C69" s="967" t="s">
        <v>266</v>
      </c>
      <c r="D69" s="842">
        <f t="shared" si="6"/>
        <v>29769.670000000002</v>
      </c>
      <c r="E69" s="842">
        <f t="shared" si="7"/>
        <v>8121.3700000000008</v>
      </c>
      <c r="F69" s="842">
        <f t="shared" si="8"/>
        <v>7491.9</v>
      </c>
      <c r="G69" s="842">
        <f t="shared" si="9"/>
        <v>-1.0000000000000002E-2</v>
      </c>
      <c r="H69" s="842">
        <f t="shared" si="10"/>
        <v>0</v>
      </c>
      <c r="I69" s="1578">
        <f t="shared" si="11"/>
        <v>45382.93</v>
      </c>
      <c r="J69" s="843">
        <f t="shared" si="12"/>
        <v>-1.0000000000000002E-2</v>
      </c>
      <c r="K69" s="1579">
        <f t="shared" si="13"/>
        <v>7491.8899999999994</v>
      </c>
      <c r="L69" s="1116"/>
      <c r="M69" s="1117"/>
      <c r="N69" s="1117"/>
      <c r="O69" s="1117"/>
      <c r="P69" s="1117"/>
      <c r="Q69" s="1118">
        <f t="shared" si="14"/>
        <v>0</v>
      </c>
      <c r="R69" s="1133"/>
      <c r="S69" s="1134"/>
      <c r="T69" s="1134"/>
      <c r="U69" s="1134"/>
      <c r="V69" s="1134"/>
      <c r="W69" s="1132">
        <f t="shared" si="15"/>
        <v>0</v>
      </c>
      <c r="X69" s="1231"/>
      <c r="Y69" s="1231"/>
      <c r="Z69" s="1231"/>
      <c r="AA69" s="1231"/>
      <c r="AB69" s="1231"/>
      <c r="AC69" s="1231">
        <f t="shared" si="16"/>
        <v>0</v>
      </c>
      <c r="AD69" s="1127">
        <v>211.6</v>
      </c>
      <c r="AE69" s="1128">
        <v>1.26</v>
      </c>
      <c r="AF69" s="1128">
        <v>39.04</v>
      </c>
      <c r="AG69" s="1128">
        <v>0</v>
      </c>
      <c r="AH69" s="1128">
        <v>0</v>
      </c>
      <c r="AI69" s="1124">
        <f t="shared" si="17"/>
        <v>251.89999999999998</v>
      </c>
      <c r="AJ69" s="1148">
        <v>10027.77</v>
      </c>
      <c r="AK69" s="1149">
        <v>0</v>
      </c>
      <c r="AL69" s="1149">
        <v>2506.9699999999998</v>
      </c>
      <c r="AM69" s="1149">
        <v>0</v>
      </c>
      <c r="AN69" s="1149">
        <v>0</v>
      </c>
      <c r="AO69" s="1154">
        <f t="shared" si="18"/>
        <v>12534.74</v>
      </c>
      <c r="AP69" s="1125"/>
      <c r="AQ69" s="1126"/>
      <c r="AR69" s="1126"/>
      <c r="AS69" s="1126"/>
      <c r="AT69" s="1126"/>
      <c r="AU69" s="1137">
        <f t="shared" si="19"/>
        <v>0</v>
      </c>
      <c r="AV69" s="1138"/>
      <c r="AW69" s="1139"/>
      <c r="AX69" s="1139"/>
      <c r="AY69" s="1139"/>
      <c r="AZ69" s="1139"/>
      <c r="BA69" s="1140">
        <f t="shared" si="20"/>
        <v>0</v>
      </c>
      <c r="BB69" s="1131">
        <v>309.74</v>
      </c>
      <c r="BC69" s="1131">
        <v>77.44</v>
      </c>
      <c r="BD69" s="1131">
        <v>0</v>
      </c>
      <c r="BE69" s="1131">
        <v>0</v>
      </c>
      <c r="BF69" s="1131">
        <v>0</v>
      </c>
      <c r="BG69" s="1132">
        <f t="shared" si="21"/>
        <v>387.18</v>
      </c>
      <c r="BH69" s="1148">
        <v>106.92</v>
      </c>
      <c r="BI69" s="1149">
        <v>193.08</v>
      </c>
      <c r="BJ69" s="1149">
        <v>0</v>
      </c>
      <c r="BK69" s="1149">
        <v>0</v>
      </c>
      <c r="BL69" s="1149">
        <v>0</v>
      </c>
      <c r="BM69" s="1147">
        <f t="shared" si="22"/>
        <v>300</v>
      </c>
      <c r="BN69" s="1148">
        <v>13770.01</v>
      </c>
      <c r="BO69" s="1149">
        <v>1744.2</v>
      </c>
      <c r="BP69" s="1149">
        <v>2845.81</v>
      </c>
      <c r="BQ69" s="1149">
        <v>-0.02</v>
      </c>
      <c r="BR69" s="1149">
        <v>0</v>
      </c>
      <c r="BS69" s="1147">
        <f t="shared" si="23"/>
        <v>18360</v>
      </c>
      <c r="BT69" s="1148"/>
      <c r="BU69" s="1149"/>
      <c r="BV69" s="1149"/>
      <c r="BW69" s="1149"/>
      <c r="BX69" s="1149"/>
      <c r="BY69" s="1154">
        <f t="shared" si="24"/>
        <v>0</v>
      </c>
      <c r="BZ69" s="1148">
        <v>1231.32</v>
      </c>
      <c r="CA69" s="1149">
        <v>3259.13</v>
      </c>
      <c r="CB69" s="1149">
        <v>823.67</v>
      </c>
      <c r="CC69" s="1149">
        <v>-0.01</v>
      </c>
      <c r="CD69" s="1149">
        <v>0</v>
      </c>
      <c r="CE69" s="1154">
        <f t="shared" si="25"/>
        <v>5314.11</v>
      </c>
      <c r="CF69" s="1145"/>
      <c r="CG69" s="1146"/>
      <c r="CH69" s="1146"/>
      <c r="CI69" s="1146"/>
      <c r="CJ69" s="1146"/>
      <c r="CK69" s="1154">
        <f t="shared" si="26"/>
        <v>0</v>
      </c>
      <c r="CL69" s="1145"/>
      <c r="CM69" s="1146"/>
      <c r="CN69" s="1146"/>
      <c r="CO69" s="1146"/>
      <c r="CP69" s="1146"/>
      <c r="CQ69" s="1147">
        <f t="shared" si="27"/>
        <v>0</v>
      </c>
      <c r="CR69" s="1148"/>
      <c r="CS69" s="1149"/>
      <c r="CT69" s="1149"/>
      <c r="CU69" s="1149"/>
      <c r="CV69" s="1149"/>
      <c r="CW69" s="1154">
        <f t="shared" si="28"/>
        <v>0</v>
      </c>
      <c r="CX69" s="1145"/>
      <c r="CY69" s="1146"/>
      <c r="CZ69" s="1146"/>
      <c r="DA69" s="1146"/>
      <c r="DB69" s="1146"/>
      <c r="DC69" s="1147">
        <f t="shared" si="29"/>
        <v>0</v>
      </c>
      <c r="DD69" s="1148"/>
      <c r="DE69" s="1149"/>
      <c r="DF69" s="1149"/>
      <c r="DG69" s="1149"/>
      <c r="DH69" s="1149"/>
      <c r="DI69" s="1154">
        <f t="shared" si="30"/>
        <v>0</v>
      </c>
      <c r="DJ69" s="1233"/>
      <c r="DK69" s="1233"/>
      <c r="DL69" s="1233"/>
      <c r="DM69" s="1233"/>
      <c r="DN69" s="1233"/>
      <c r="DO69" s="1233">
        <f t="shared" si="31"/>
        <v>0</v>
      </c>
      <c r="DP69" s="1148">
        <v>4125</v>
      </c>
      <c r="DQ69" s="1149">
        <v>2846.26</v>
      </c>
      <c r="DR69" s="1149">
        <v>1278.75</v>
      </c>
      <c r="DS69" s="1149">
        <v>-0.01</v>
      </c>
      <c r="DT69" s="1149">
        <v>0</v>
      </c>
      <c r="DU69" s="1155">
        <f t="shared" si="32"/>
        <v>8250</v>
      </c>
      <c r="DV69" s="1145">
        <v>-12.69</v>
      </c>
      <c r="DW69" s="1146">
        <v>0</v>
      </c>
      <c r="DX69" s="1146">
        <v>-2.34</v>
      </c>
      <c r="DY69" s="1146">
        <v>0.03</v>
      </c>
      <c r="DZ69" s="1146">
        <v>0</v>
      </c>
      <c r="EA69" s="1154">
        <f t="shared" si="33"/>
        <v>-15</v>
      </c>
    </row>
    <row r="70" spans="1:131" ht="15" customHeight="1">
      <c r="A70" s="746" t="s">
        <v>168</v>
      </c>
      <c r="B70" s="844" t="s">
        <v>169</v>
      </c>
      <c r="C70" s="967" t="s">
        <v>266</v>
      </c>
      <c r="D70" s="842">
        <f t="shared" si="6"/>
        <v>58492.060000000005</v>
      </c>
      <c r="E70" s="842">
        <f t="shared" si="7"/>
        <v>84731.06</v>
      </c>
      <c r="F70" s="842">
        <f t="shared" si="8"/>
        <v>27736.659999999996</v>
      </c>
      <c r="G70" s="842">
        <f t="shared" si="9"/>
        <v>3.0000000000000006E-2</v>
      </c>
      <c r="H70" s="842">
        <f t="shared" si="10"/>
        <v>0</v>
      </c>
      <c r="I70" s="1578">
        <f t="shared" si="11"/>
        <v>170959.81</v>
      </c>
      <c r="J70" s="843">
        <f t="shared" si="12"/>
        <v>3.0000000000000006E-2</v>
      </c>
      <c r="K70" s="1579">
        <f t="shared" si="13"/>
        <v>27736.689999999995</v>
      </c>
      <c r="L70" s="1116"/>
      <c r="M70" s="1117"/>
      <c r="N70" s="1117"/>
      <c r="O70" s="1117"/>
      <c r="P70" s="1117"/>
      <c r="Q70" s="1118">
        <f t="shared" si="14"/>
        <v>0</v>
      </c>
      <c r="R70" s="1133"/>
      <c r="S70" s="1134"/>
      <c r="T70" s="1134"/>
      <c r="U70" s="1134"/>
      <c r="V70" s="1134"/>
      <c r="W70" s="1132">
        <f t="shared" si="15"/>
        <v>0</v>
      </c>
      <c r="X70" s="1231"/>
      <c r="Y70" s="1231"/>
      <c r="Z70" s="1231"/>
      <c r="AA70" s="1231"/>
      <c r="AB70" s="1231"/>
      <c r="AC70" s="1231">
        <f t="shared" si="16"/>
        <v>0</v>
      </c>
      <c r="AD70" s="1127">
        <v>2877</v>
      </c>
      <c r="AE70" s="1128">
        <v>17.13</v>
      </c>
      <c r="AF70" s="1128">
        <v>530.88</v>
      </c>
      <c r="AG70" s="1128">
        <v>-0.01</v>
      </c>
      <c r="AH70" s="1128">
        <v>0</v>
      </c>
      <c r="AI70" s="1124">
        <f t="shared" si="17"/>
        <v>3425</v>
      </c>
      <c r="AJ70" s="1148">
        <v>25092.560000000001</v>
      </c>
      <c r="AK70" s="1149">
        <v>0</v>
      </c>
      <c r="AL70" s="1149">
        <v>6273.13</v>
      </c>
      <c r="AM70" s="1149">
        <v>0</v>
      </c>
      <c r="AN70" s="1149">
        <v>0</v>
      </c>
      <c r="AO70" s="1154">
        <f t="shared" si="18"/>
        <v>31365.690000000002</v>
      </c>
      <c r="AP70" s="1125"/>
      <c r="AQ70" s="1126"/>
      <c r="AR70" s="1126"/>
      <c r="AS70" s="1126"/>
      <c r="AT70" s="1126"/>
      <c r="AU70" s="1137">
        <f t="shared" si="19"/>
        <v>0</v>
      </c>
      <c r="AV70" s="1138"/>
      <c r="AW70" s="1139"/>
      <c r="AX70" s="1139"/>
      <c r="AY70" s="1139"/>
      <c r="AZ70" s="1139"/>
      <c r="BA70" s="1140">
        <f t="shared" si="20"/>
        <v>0</v>
      </c>
      <c r="BB70" s="1131">
        <v>892.8</v>
      </c>
      <c r="BC70" s="1131">
        <v>223.2</v>
      </c>
      <c r="BD70" s="1131">
        <v>0</v>
      </c>
      <c r="BE70" s="1131">
        <v>0</v>
      </c>
      <c r="BF70" s="1131">
        <v>0</v>
      </c>
      <c r="BG70" s="1132">
        <f t="shared" si="21"/>
        <v>1116</v>
      </c>
      <c r="BH70" s="1145"/>
      <c r="BI70" s="1146"/>
      <c r="BJ70" s="1146"/>
      <c r="BK70" s="1146"/>
      <c r="BL70" s="1146"/>
      <c r="BM70" s="1147">
        <f t="shared" si="22"/>
        <v>0</v>
      </c>
      <c r="BN70" s="1145"/>
      <c r="BO70" s="1146"/>
      <c r="BP70" s="1146"/>
      <c r="BQ70" s="1146"/>
      <c r="BR70" s="1146"/>
      <c r="BS70" s="1147">
        <f t="shared" si="23"/>
        <v>0</v>
      </c>
      <c r="BT70" s="1148"/>
      <c r="BU70" s="1149"/>
      <c r="BV70" s="1149"/>
      <c r="BW70" s="1149"/>
      <c r="BX70" s="1149"/>
      <c r="BY70" s="1154">
        <f t="shared" si="24"/>
        <v>0</v>
      </c>
      <c r="BZ70" s="1148">
        <v>29684.66</v>
      </c>
      <c r="CA70" s="1149">
        <v>84490.73</v>
      </c>
      <c r="CB70" s="1149">
        <v>20942.759999999998</v>
      </c>
      <c r="CC70" s="1149">
        <v>-0.03</v>
      </c>
      <c r="CD70" s="1149">
        <v>0</v>
      </c>
      <c r="CE70" s="1154">
        <f t="shared" si="25"/>
        <v>135118.12</v>
      </c>
      <c r="CF70" s="1145"/>
      <c r="CG70" s="1146"/>
      <c r="CH70" s="1146"/>
      <c r="CI70" s="1146"/>
      <c r="CJ70" s="1146"/>
      <c r="CK70" s="1154">
        <f t="shared" si="26"/>
        <v>0</v>
      </c>
      <c r="CL70" s="1145"/>
      <c r="CM70" s="1146"/>
      <c r="CN70" s="1146"/>
      <c r="CO70" s="1146"/>
      <c r="CP70" s="1146"/>
      <c r="CQ70" s="1147">
        <f t="shared" si="27"/>
        <v>0</v>
      </c>
      <c r="CR70" s="1145"/>
      <c r="CS70" s="1146"/>
      <c r="CT70" s="1146"/>
      <c r="CU70" s="1146"/>
      <c r="CV70" s="1146"/>
      <c r="CW70" s="1154">
        <f t="shared" si="28"/>
        <v>0</v>
      </c>
      <c r="CX70" s="1148"/>
      <c r="CY70" s="1149"/>
      <c r="CZ70" s="1149"/>
      <c r="DA70" s="1149"/>
      <c r="DB70" s="1149"/>
      <c r="DC70" s="1147">
        <f t="shared" si="29"/>
        <v>0</v>
      </c>
      <c r="DD70" s="1148"/>
      <c r="DE70" s="1149"/>
      <c r="DF70" s="1149"/>
      <c r="DG70" s="1149"/>
      <c r="DH70" s="1149"/>
      <c r="DI70" s="1154">
        <f t="shared" si="30"/>
        <v>0</v>
      </c>
      <c r="DJ70" s="1233"/>
      <c r="DK70" s="1233"/>
      <c r="DL70" s="1233"/>
      <c r="DM70" s="1233"/>
      <c r="DN70" s="1233"/>
      <c r="DO70" s="1233">
        <f t="shared" si="31"/>
        <v>0</v>
      </c>
      <c r="DP70" s="1148"/>
      <c r="DQ70" s="1149"/>
      <c r="DR70" s="1149"/>
      <c r="DS70" s="1149"/>
      <c r="DT70" s="1149"/>
      <c r="DU70" s="1155">
        <f t="shared" si="32"/>
        <v>0</v>
      </c>
      <c r="DV70" s="1148">
        <v>-54.96</v>
      </c>
      <c r="DW70" s="1149">
        <v>0</v>
      </c>
      <c r="DX70" s="1149">
        <v>-10.11</v>
      </c>
      <c r="DY70" s="1149">
        <v>7.0000000000000007E-2</v>
      </c>
      <c r="DZ70" s="1149">
        <v>0</v>
      </c>
      <c r="EA70" s="1154">
        <f t="shared" si="33"/>
        <v>-65</v>
      </c>
    </row>
    <row r="71" spans="1:131" ht="15" customHeight="1">
      <c r="A71" s="746" t="s">
        <v>170</v>
      </c>
      <c r="B71" s="844" t="s">
        <v>171</v>
      </c>
      <c r="C71" s="967" t="s">
        <v>267</v>
      </c>
      <c r="D71" s="842">
        <f t="shared" ref="D71:D125" si="34">L71+R71+X71+AD71+AJ71+AP71+AV71+BB71+BH71+BN71+BT71+BZ71+CF71+CL71+CR71+CX71+DD71+DJ71+DP71+DV71</f>
        <v>30654.170000000002</v>
      </c>
      <c r="E71" s="842">
        <f t="shared" ref="E71:E125" si="35">M71+S71+Y71+AE71+AK71+AQ71+AW71+BC71+BI71+BO71+BU71+CA71+CG71+CM71+CS71+CY71+DE71+DK71+DQ71+DW71</f>
        <v>15258.07</v>
      </c>
      <c r="F71" s="842">
        <f t="shared" ref="F71:F125" si="36">N71+T71+Z71+AF71+AL71+AR71+AX71+BD71+BJ71+BP71+BV71+CB71+CH71+CN71+CT71+CZ71+DF71+DL71+DR71+DX71</f>
        <v>11536.55</v>
      </c>
      <c r="G71" s="842">
        <f t="shared" ref="G71:G125" si="37">O71+U71+AA71+AG71+AM71+AS71+AY71+BE71+BK71+BQ71+BW71+CC71+CI71+CO71+CU71+DA71+DG71+DM71+DS71+DY71</f>
        <v>5792.05</v>
      </c>
      <c r="H71" s="842">
        <f t="shared" ref="H71:H125" si="38">P71+V71+AB71+AH71+AN71+AT71+AZ71+BF71+BL71+BR71+BX71+CD71+CJ71+CP71+CV71+DB71+DH71+DN71+DT71+DZ71</f>
        <v>1005.44</v>
      </c>
      <c r="I71" s="1578">
        <f t="shared" ref="I71:I125" si="39">SUM(D71:H71)</f>
        <v>64246.280000000013</v>
      </c>
      <c r="J71" s="843">
        <f t="shared" ref="J71:J125" si="40">G71+H71</f>
        <v>6797.49</v>
      </c>
      <c r="K71" s="1579">
        <f t="shared" ref="K71:K125" si="41">F71+J71</f>
        <v>18334.04</v>
      </c>
      <c r="L71" s="1116"/>
      <c r="M71" s="1117"/>
      <c r="N71" s="1117"/>
      <c r="O71" s="1117"/>
      <c r="P71" s="1117"/>
      <c r="Q71" s="1118">
        <f t="shared" ref="Q71:Q125" si="42">SUM(L71:P71)</f>
        <v>0</v>
      </c>
      <c r="R71" s="1133"/>
      <c r="S71" s="1134"/>
      <c r="T71" s="1134"/>
      <c r="U71" s="1134"/>
      <c r="V71" s="1134"/>
      <c r="W71" s="1132">
        <f t="shared" ref="W71:W125" si="43">SUM(R71:V71)</f>
        <v>0</v>
      </c>
      <c r="X71" s="1231"/>
      <c r="Y71" s="1231"/>
      <c r="Z71" s="1231"/>
      <c r="AA71" s="1231"/>
      <c r="AB71" s="1231"/>
      <c r="AC71" s="1231">
        <f t="shared" ref="AC71:AC125" si="44">SUM(X71:AB71)</f>
        <v>0</v>
      </c>
      <c r="AD71" s="1127">
        <v>1435.13</v>
      </c>
      <c r="AE71" s="1128">
        <v>8.5399999999999991</v>
      </c>
      <c r="AF71" s="1128">
        <v>264.82</v>
      </c>
      <c r="AG71" s="1128">
        <v>595.99</v>
      </c>
      <c r="AH71" s="1128">
        <v>0</v>
      </c>
      <c r="AI71" s="1124">
        <f t="shared" ref="AI71:AI125" si="45">SUM(AD71:AH71)</f>
        <v>2304.48</v>
      </c>
      <c r="AJ71" s="1148">
        <v>1936</v>
      </c>
      <c r="AK71" s="1149">
        <v>0</v>
      </c>
      <c r="AL71" s="1149">
        <v>484</v>
      </c>
      <c r="AM71" s="1149">
        <v>0</v>
      </c>
      <c r="AN71" s="1149">
        <v>0</v>
      </c>
      <c r="AO71" s="1154">
        <f t="shared" ref="AO71:AO125" si="46">SUM(AJ71:AN71)</f>
        <v>2420</v>
      </c>
      <c r="AP71" s="1125"/>
      <c r="AQ71" s="1126"/>
      <c r="AR71" s="1126"/>
      <c r="AS71" s="1126"/>
      <c r="AT71" s="1126"/>
      <c r="AU71" s="1137">
        <f t="shared" ref="AU71:AU125" si="47">SUM(AP71:AT71)</f>
        <v>0</v>
      </c>
      <c r="AV71" s="1138"/>
      <c r="AW71" s="1139"/>
      <c r="AX71" s="1139"/>
      <c r="AY71" s="1139"/>
      <c r="AZ71" s="1139"/>
      <c r="BA71" s="1140">
        <f t="shared" ref="BA71:BA125" si="48">SUM(AV71:AZ71)</f>
        <v>0</v>
      </c>
      <c r="BB71" s="1131">
        <v>1107.2</v>
      </c>
      <c r="BC71" s="1131">
        <v>276.8</v>
      </c>
      <c r="BD71" s="1131">
        <v>0</v>
      </c>
      <c r="BE71" s="1131">
        <v>0</v>
      </c>
      <c r="BF71" s="1131">
        <v>0</v>
      </c>
      <c r="BG71" s="1132">
        <f t="shared" ref="BG71:BG125" si="49">SUM(BB71:BF71)</f>
        <v>1384</v>
      </c>
      <c r="BH71" s="1148">
        <v>289.64</v>
      </c>
      <c r="BI71" s="1149">
        <v>523.04</v>
      </c>
      <c r="BJ71" s="1149">
        <v>0</v>
      </c>
      <c r="BK71" s="1149">
        <v>0</v>
      </c>
      <c r="BL71" s="1149">
        <v>0</v>
      </c>
      <c r="BM71" s="1147">
        <f t="shared" ref="BM71:BM125" si="50">SUM(BH71:BL71)</f>
        <v>812.68</v>
      </c>
      <c r="BN71" s="1148">
        <v>12616.14</v>
      </c>
      <c r="BO71" s="1149">
        <v>1598.08</v>
      </c>
      <c r="BP71" s="1149">
        <v>2607.37</v>
      </c>
      <c r="BQ71" s="1149">
        <v>-0.09</v>
      </c>
      <c r="BR71" s="1149">
        <v>0</v>
      </c>
      <c r="BS71" s="1147">
        <f t="shared" ref="BS71:BS125" si="51">SUM(BN71:BR71)</f>
        <v>16821.5</v>
      </c>
      <c r="BT71" s="1148">
        <v>-575</v>
      </c>
      <c r="BU71" s="1149">
        <v>-575</v>
      </c>
      <c r="BV71" s="1149">
        <v>0</v>
      </c>
      <c r="BW71" s="1149">
        <v>0</v>
      </c>
      <c r="BX71" s="1149">
        <v>0</v>
      </c>
      <c r="BY71" s="1154">
        <f t="shared" ref="BY71:BY125" si="52">SUM(BT71:BX71)</f>
        <v>-1150</v>
      </c>
      <c r="BZ71" s="1148">
        <v>10918.29</v>
      </c>
      <c r="CA71" s="1149">
        <v>13426.61</v>
      </c>
      <c r="CB71" s="1149">
        <v>4465.3900000000003</v>
      </c>
      <c r="CC71" s="1149">
        <v>-0.01</v>
      </c>
      <c r="CD71" s="1149">
        <v>1005.44</v>
      </c>
      <c r="CE71" s="1154">
        <f t="shared" ref="CE71:CE125" si="53">SUM(BZ71:CD71)</f>
        <v>29815.72</v>
      </c>
      <c r="CF71" s="1148">
        <v>1870.12</v>
      </c>
      <c r="CG71" s="1149">
        <v>0</v>
      </c>
      <c r="CH71" s="1149">
        <v>3353.67</v>
      </c>
      <c r="CI71" s="1149">
        <v>4151.55</v>
      </c>
      <c r="CJ71" s="1149">
        <v>0</v>
      </c>
      <c r="CK71" s="1154">
        <f t="shared" ref="CK71:CK125" si="54">SUM(CF71:CJ71)</f>
        <v>9375.34</v>
      </c>
      <c r="CL71" s="1145"/>
      <c r="CM71" s="1146"/>
      <c r="CN71" s="1146"/>
      <c r="CO71" s="1146"/>
      <c r="CP71" s="1146"/>
      <c r="CQ71" s="1147">
        <f t="shared" ref="CQ71:CQ125" si="55">SUM(CL71:CP71)</f>
        <v>0</v>
      </c>
      <c r="CR71" s="1148"/>
      <c r="CS71" s="1149"/>
      <c r="CT71" s="1149"/>
      <c r="CU71" s="1149"/>
      <c r="CV71" s="1149"/>
      <c r="CW71" s="1154">
        <f t="shared" ref="CW71:CW125" si="56">SUM(CR71:CV71)</f>
        <v>0</v>
      </c>
      <c r="CX71" s="1145"/>
      <c r="CY71" s="1146"/>
      <c r="CZ71" s="1146"/>
      <c r="DA71" s="1146"/>
      <c r="DB71" s="1146"/>
      <c r="DC71" s="1147">
        <f t="shared" ref="DC71:DC125" si="57">SUM(CX71:DB71)</f>
        <v>0</v>
      </c>
      <c r="DD71" s="1148">
        <v>-913</v>
      </c>
      <c r="DE71" s="1149">
        <v>0</v>
      </c>
      <c r="DF71" s="1149">
        <v>0</v>
      </c>
      <c r="DG71" s="1149">
        <v>0</v>
      </c>
      <c r="DH71" s="1149">
        <v>0</v>
      </c>
      <c r="DI71" s="1154">
        <f t="shared" ref="DI71:DI125" si="58">SUM(DD71:DH71)</f>
        <v>-913</v>
      </c>
      <c r="DJ71" s="1234"/>
      <c r="DK71" s="1234"/>
      <c r="DL71" s="1234"/>
      <c r="DM71" s="1234"/>
      <c r="DN71" s="1234"/>
      <c r="DO71" s="1233">
        <f t="shared" ref="DO71:DO125" si="59">SUM(DJ71:DN71)</f>
        <v>0</v>
      </c>
      <c r="DP71" s="1145"/>
      <c r="DQ71" s="1146"/>
      <c r="DR71" s="1146"/>
      <c r="DS71" s="1146"/>
      <c r="DT71" s="1146"/>
      <c r="DU71" s="1155">
        <f t="shared" ref="DU71:DU125" si="60">SUM(DP71:DT71)</f>
        <v>0</v>
      </c>
      <c r="DV71" s="1148">
        <v>1969.65</v>
      </c>
      <c r="DW71" s="1149">
        <v>0</v>
      </c>
      <c r="DX71" s="1149">
        <v>361.3</v>
      </c>
      <c r="DY71" s="1149">
        <v>1044.6099999999999</v>
      </c>
      <c r="DZ71" s="1149">
        <v>0</v>
      </c>
      <c r="EA71" s="1154">
        <f t="shared" ref="EA71:EA125" si="61">SUM(DV71:DZ71)</f>
        <v>3375.5600000000004</v>
      </c>
    </row>
    <row r="72" spans="1:131" ht="15" customHeight="1">
      <c r="A72" s="746" t="s">
        <v>172</v>
      </c>
      <c r="B72" s="844" t="s">
        <v>173</v>
      </c>
      <c r="C72" s="967" t="s">
        <v>267</v>
      </c>
      <c r="D72" s="842">
        <f t="shared" si="34"/>
        <v>26153.78</v>
      </c>
      <c r="E72" s="842">
        <f t="shared" si="35"/>
        <v>14695.859999999999</v>
      </c>
      <c r="F72" s="842">
        <f t="shared" si="36"/>
        <v>10442.370000000001</v>
      </c>
      <c r="G72" s="842">
        <f t="shared" si="37"/>
        <v>-0.21999999999999997</v>
      </c>
      <c r="H72" s="842">
        <f t="shared" si="38"/>
        <v>0</v>
      </c>
      <c r="I72" s="1578">
        <f t="shared" si="39"/>
        <v>51291.79</v>
      </c>
      <c r="J72" s="843">
        <f t="shared" si="40"/>
        <v>-0.21999999999999997</v>
      </c>
      <c r="K72" s="1579">
        <f t="shared" si="41"/>
        <v>10442.150000000001</v>
      </c>
      <c r="L72" s="1116"/>
      <c r="M72" s="1117"/>
      <c r="N72" s="1117"/>
      <c r="O72" s="1117"/>
      <c r="P72" s="1117"/>
      <c r="Q72" s="1118">
        <f t="shared" si="42"/>
        <v>0</v>
      </c>
      <c r="R72" s="1133"/>
      <c r="S72" s="1134"/>
      <c r="T72" s="1134"/>
      <c r="U72" s="1134"/>
      <c r="V72" s="1134"/>
      <c r="W72" s="1132">
        <f t="shared" si="43"/>
        <v>0</v>
      </c>
      <c r="X72" s="1231"/>
      <c r="Y72" s="1231"/>
      <c r="Z72" s="1231"/>
      <c r="AA72" s="1231"/>
      <c r="AB72" s="1231"/>
      <c r="AC72" s="1231">
        <f t="shared" si="44"/>
        <v>0</v>
      </c>
      <c r="AD72" s="1127">
        <v>3044.71</v>
      </c>
      <c r="AE72" s="1128">
        <v>18.13</v>
      </c>
      <c r="AF72" s="1128">
        <v>561.83000000000004</v>
      </c>
      <c r="AG72" s="1128">
        <v>-0.03</v>
      </c>
      <c r="AH72" s="1128">
        <v>0</v>
      </c>
      <c r="AI72" s="1124">
        <f t="shared" si="45"/>
        <v>3624.64</v>
      </c>
      <c r="AJ72" s="1148">
        <v>11840.57</v>
      </c>
      <c r="AK72" s="1149">
        <v>0</v>
      </c>
      <c r="AL72" s="1149">
        <v>2960.14</v>
      </c>
      <c r="AM72" s="1149">
        <v>0</v>
      </c>
      <c r="AN72" s="1149">
        <v>0</v>
      </c>
      <c r="AO72" s="1154">
        <f t="shared" si="46"/>
        <v>14800.71</v>
      </c>
      <c r="AP72" s="1125"/>
      <c r="AQ72" s="1126"/>
      <c r="AR72" s="1126"/>
      <c r="AS72" s="1126"/>
      <c r="AT72" s="1126"/>
      <c r="AU72" s="1137">
        <f t="shared" si="47"/>
        <v>0</v>
      </c>
      <c r="AV72" s="1141"/>
      <c r="AW72" s="1142"/>
      <c r="AX72" s="1142"/>
      <c r="AY72" s="1142"/>
      <c r="AZ72" s="1142"/>
      <c r="BA72" s="1140">
        <f t="shared" si="48"/>
        <v>0</v>
      </c>
      <c r="BB72" s="1135"/>
      <c r="BC72" s="1136"/>
      <c r="BD72" s="1136"/>
      <c r="BE72" s="1136"/>
      <c r="BF72" s="1136"/>
      <c r="BG72" s="1132">
        <f t="shared" si="49"/>
        <v>0</v>
      </c>
      <c r="BH72" s="1148"/>
      <c r="BI72" s="1149"/>
      <c r="BJ72" s="1149"/>
      <c r="BK72" s="1149"/>
      <c r="BL72" s="1149"/>
      <c r="BM72" s="1147">
        <f t="shared" si="50"/>
        <v>0</v>
      </c>
      <c r="BN72" s="1148">
        <v>12697.22</v>
      </c>
      <c r="BO72" s="1149">
        <v>1608.34</v>
      </c>
      <c r="BP72" s="1149">
        <v>2624.1</v>
      </c>
      <c r="BQ72" s="1149">
        <v>-0.09</v>
      </c>
      <c r="BR72" s="1149">
        <v>0</v>
      </c>
      <c r="BS72" s="1147">
        <f t="shared" si="51"/>
        <v>16929.57</v>
      </c>
      <c r="BT72" s="1148"/>
      <c r="BU72" s="1149"/>
      <c r="BV72" s="1149"/>
      <c r="BW72" s="1149"/>
      <c r="BX72" s="1149"/>
      <c r="BY72" s="1154">
        <f t="shared" si="52"/>
        <v>0</v>
      </c>
      <c r="BZ72" s="1148">
        <v>5088.3100000000004</v>
      </c>
      <c r="CA72" s="1149">
        <v>13069.39</v>
      </c>
      <c r="CB72" s="1149">
        <v>3330.61</v>
      </c>
      <c r="CC72" s="1149">
        <v>-0.11</v>
      </c>
      <c r="CD72" s="1149">
        <v>0</v>
      </c>
      <c r="CE72" s="1154">
        <f t="shared" si="53"/>
        <v>21488.2</v>
      </c>
      <c r="CF72" s="1145">
        <v>499.99</v>
      </c>
      <c r="CG72" s="1146">
        <v>0</v>
      </c>
      <c r="CH72" s="1146">
        <v>896.64</v>
      </c>
      <c r="CI72" s="1146">
        <v>0</v>
      </c>
      <c r="CJ72" s="1146">
        <v>0</v>
      </c>
      <c r="CK72" s="1154">
        <f t="shared" si="54"/>
        <v>1396.63</v>
      </c>
      <c r="CL72" s="1145">
        <v>1.88</v>
      </c>
      <c r="CM72" s="1146">
        <v>0</v>
      </c>
      <c r="CN72" s="1146">
        <v>6.02</v>
      </c>
      <c r="CO72" s="1146">
        <v>0</v>
      </c>
      <c r="CP72" s="1146">
        <v>0</v>
      </c>
      <c r="CQ72" s="1147">
        <f t="shared" si="55"/>
        <v>7.8999999999999995</v>
      </c>
      <c r="CR72" s="1145"/>
      <c r="CS72" s="1146"/>
      <c r="CT72" s="1146"/>
      <c r="CU72" s="1146"/>
      <c r="CV72" s="1146"/>
      <c r="CW72" s="1154">
        <f t="shared" si="56"/>
        <v>0</v>
      </c>
      <c r="CX72" s="1148"/>
      <c r="CY72" s="1149"/>
      <c r="CZ72" s="1149"/>
      <c r="DA72" s="1149"/>
      <c r="DB72" s="1149"/>
      <c r="DC72" s="1147">
        <f t="shared" si="57"/>
        <v>0</v>
      </c>
      <c r="DD72" s="1148">
        <v>-7362.5</v>
      </c>
      <c r="DE72" s="1149">
        <v>0</v>
      </c>
      <c r="DF72" s="1149">
        <v>0</v>
      </c>
      <c r="DG72" s="1149">
        <v>0</v>
      </c>
      <c r="DH72" s="1149">
        <v>0</v>
      </c>
      <c r="DI72" s="1154">
        <f t="shared" si="58"/>
        <v>-7362.5</v>
      </c>
      <c r="DJ72" s="1233"/>
      <c r="DK72" s="1233"/>
      <c r="DL72" s="1233"/>
      <c r="DM72" s="1233"/>
      <c r="DN72" s="1233"/>
      <c r="DO72" s="1233">
        <f t="shared" si="59"/>
        <v>0</v>
      </c>
      <c r="DP72" s="1148"/>
      <c r="DQ72" s="1149"/>
      <c r="DR72" s="1149"/>
      <c r="DS72" s="1149"/>
      <c r="DT72" s="1149"/>
      <c r="DU72" s="1155">
        <f t="shared" si="60"/>
        <v>0</v>
      </c>
      <c r="DV72" s="1148">
        <v>343.6</v>
      </c>
      <c r="DW72" s="1149">
        <v>0</v>
      </c>
      <c r="DX72" s="1149">
        <v>63.03</v>
      </c>
      <c r="DY72" s="1149">
        <v>0.01</v>
      </c>
      <c r="DZ72" s="1149">
        <v>0</v>
      </c>
      <c r="EA72" s="1154">
        <f t="shared" si="61"/>
        <v>406.64</v>
      </c>
    </row>
    <row r="73" spans="1:131" ht="15" customHeight="1">
      <c r="A73" s="746" t="s">
        <v>174</v>
      </c>
      <c r="B73" s="844" t="s">
        <v>175</v>
      </c>
      <c r="C73" s="967" t="s">
        <v>268</v>
      </c>
      <c r="D73" s="842">
        <f t="shared" si="34"/>
        <v>50871.509999999995</v>
      </c>
      <c r="E73" s="842">
        <f t="shared" si="35"/>
        <v>36544.32</v>
      </c>
      <c r="F73" s="842">
        <f t="shared" si="36"/>
        <v>17255.86</v>
      </c>
      <c r="G73" s="842">
        <f t="shared" si="37"/>
        <v>-7.0000000000000007E-2</v>
      </c>
      <c r="H73" s="842">
        <f t="shared" si="38"/>
        <v>0</v>
      </c>
      <c r="I73" s="1578">
        <f t="shared" si="39"/>
        <v>104671.61999999998</v>
      </c>
      <c r="J73" s="843">
        <f t="shared" si="40"/>
        <v>-7.0000000000000007E-2</v>
      </c>
      <c r="K73" s="1579">
        <f t="shared" si="41"/>
        <v>17255.79</v>
      </c>
      <c r="L73" s="1116"/>
      <c r="M73" s="1117"/>
      <c r="N73" s="1117"/>
      <c r="O73" s="1117"/>
      <c r="P73" s="1117"/>
      <c r="Q73" s="1118">
        <f t="shared" si="42"/>
        <v>0</v>
      </c>
      <c r="R73" s="1133"/>
      <c r="S73" s="1134"/>
      <c r="T73" s="1134"/>
      <c r="U73" s="1134"/>
      <c r="V73" s="1134"/>
      <c r="W73" s="1132">
        <f t="shared" si="43"/>
        <v>0</v>
      </c>
      <c r="X73" s="1231"/>
      <c r="Y73" s="1231"/>
      <c r="Z73" s="1231"/>
      <c r="AA73" s="1231"/>
      <c r="AB73" s="1231"/>
      <c r="AC73" s="1231">
        <f t="shared" si="44"/>
        <v>0</v>
      </c>
      <c r="AD73" s="1127">
        <v>1852.25</v>
      </c>
      <c r="AE73" s="1128">
        <v>11.03</v>
      </c>
      <c r="AF73" s="1128">
        <v>341.79</v>
      </c>
      <c r="AG73" s="1128">
        <v>-0.02</v>
      </c>
      <c r="AH73" s="1128">
        <v>0</v>
      </c>
      <c r="AI73" s="1124">
        <f t="shared" si="45"/>
        <v>2205.0500000000002</v>
      </c>
      <c r="AJ73" s="1148">
        <v>18346.310000000001</v>
      </c>
      <c r="AK73" s="1149">
        <v>0</v>
      </c>
      <c r="AL73" s="1149">
        <v>4586.55</v>
      </c>
      <c r="AM73" s="1149">
        <v>0</v>
      </c>
      <c r="AN73" s="1149">
        <v>0</v>
      </c>
      <c r="AO73" s="1154">
        <f t="shared" si="46"/>
        <v>22932.86</v>
      </c>
      <c r="AP73" s="1125"/>
      <c r="AQ73" s="1126"/>
      <c r="AR73" s="1126"/>
      <c r="AS73" s="1126"/>
      <c r="AT73" s="1126"/>
      <c r="AU73" s="1137">
        <f t="shared" si="47"/>
        <v>0</v>
      </c>
      <c r="AV73" s="1138"/>
      <c r="AW73" s="1139"/>
      <c r="AX73" s="1139"/>
      <c r="AY73" s="1139"/>
      <c r="AZ73" s="1139"/>
      <c r="BA73" s="1140">
        <f t="shared" si="48"/>
        <v>0</v>
      </c>
      <c r="BB73" s="1135"/>
      <c r="BC73" s="1136"/>
      <c r="BD73" s="1136"/>
      <c r="BE73" s="1136"/>
      <c r="BF73" s="1136"/>
      <c r="BG73" s="1132">
        <f t="shared" si="49"/>
        <v>0</v>
      </c>
      <c r="BH73" s="1145"/>
      <c r="BI73" s="1146"/>
      <c r="BJ73" s="1146"/>
      <c r="BK73" s="1146"/>
      <c r="BL73" s="1146"/>
      <c r="BM73" s="1147">
        <f t="shared" si="50"/>
        <v>0</v>
      </c>
      <c r="BN73" s="1148">
        <v>5954.94</v>
      </c>
      <c r="BO73" s="1149">
        <v>754.29</v>
      </c>
      <c r="BP73" s="1149">
        <v>1230.68</v>
      </c>
      <c r="BQ73" s="1149">
        <v>0</v>
      </c>
      <c r="BR73" s="1149">
        <v>0</v>
      </c>
      <c r="BS73" s="1147">
        <f t="shared" si="51"/>
        <v>7939.91</v>
      </c>
      <c r="BT73" s="1148"/>
      <c r="BU73" s="1149"/>
      <c r="BV73" s="1149"/>
      <c r="BW73" s="1149"/>
      <c r="BX73" s="1149"/>
      <c r="BY73" s="1154">
        <f t="shared" si="52"/>
        <v>0</v>
      </c>
      <c r="BZ73" s="1148">
        <v>11503.98</v>
      </c>
      <c r="CA73" s="1149">
        <v>32803.25</v>
      </c>
      <c r="CB73" s="1149">
        <v>8127.12</v>
      </c>
      <c r="CC73" s="1149">
        <v>-0.06</v>
      </c>
      <c r="CD73" s="1149">
        <v>0</v>
      </c>
      <c r="CE73" s="1154">
        <f t="shared" si="53"/>
        <v>52434.29</v>
      </c>
      <c r="CF73" s="1145"/>
      <c r="CG73" s="1146"/>
      <c r="CH73" s="1146"/>
      <c r="CI73" s="1146"/>
      <c r="CJ73" s="1146"/>
      <c r="CK73" s="1154">
        <f t="shared" si="54"/>
        <v>0</v>
      </c>
      <c r="CL73" s="1145"/>
      <c r="CM73" s="1146"/>
      <c r="CN73" s="1146"/>
      <c r="CO73" s="1146"/>
      <c r="CP73" s="1146"/>
      <c r="CQ73" s="1147">
        <f t="shared" si="55"/>
        <v>0</v>
      </c>
      <c r="CR73" s="1148"/>
      <c r="CS73" s="1149"/>
      <c r="CT73" s="1149"/>
      <c r="CU73" s="1149"/>
      <c r="CV73" s="1149"/>
      <c r="CW73" s="1154">
        <f t="shared" si="56"/>
        <v>0</v>
      </c>
      <c r="CX73" s="1145"/>
      <c r="CY73" s="1146"/>
      <c r="CZ73" s="1146"/>
      <c r="DA73" s="1146"/>
      <c r="DB73" s="1146"/>
      <c r="DC73" s="1147">
        <f t="shared" si="57"/>
        <v>0</v>
      </c>
      <c r="DD73" s="1148"/>
      <c r="DE73" s="1149"/>
      <c r="DF73" s="1149"/>
      <c r="DG73" s="1149"/>
      <c r="DH73" s="1149"/>
      <c r="DI73" s="1154">
        <f t="shared" si="58"/>
        <v>0</v>
      </c>
      <c r="DJ73" s="1233"/>
      <c r="DK73" s="1233"/>
      <c r="DL73" s="1233"/>
      <c r="DM73" s="1233"/>
      <c r="DN73" s="1233"/>
      <c r="DO73" s="1233">
        <f t="shared" si="59"/>
        <v>0</v>
      </c>
      <c r="DP73" s="1148">
        <v>4312.7</v>
      </c>
      <c r="DQ73" s="1149">
        <v>2975.75</v>
      </c>
      <c r="DR73" s="1149">
        <v>1336.93</v>
      </c>
      <c r="DS73" s="1149">
        <v>-0.02</v>
      </c>
      <c r="DT73" s="1149">
        <v>0</v>
      </c>
      <c r="DU73" s="1155">
        <f t="shared" si="60"/>
        <v>8625.3599999999988</v>
      </c>
      <c r="DV73" s="1148">
        <v>8901.33</v>
      </c>
      <c r="DW73" s="1149">
        <v>0</v>
      </c>
      <c r="DX73" s="1149">
        <v>1632.79</v>
      </c>
      <c r="DY73" s="1149">
        <v>0.03</v>
      </c>
      <c r="DZ73" s="1149">
        <v>0</v>
      </c>
      <c r="EA73" s="1154">
        <f t="shared" si="61"/>
        <v>10534.15</v>
      </c>
    </row>
    <row r="74" spans="1:131" ht="15" customHeight="1">
      <c r="A74" s="746" t="s">
        <v>178</v>
      </c>
      <c r="B74" s="844" t="s">
        <v>179</v>
      </c>
      <c r="C74" s="967" t="s">
        <v>265</v>
      </c>
      <c r="D74" s="842">
        <f t="shared" si="34"/>
        <v>104245.66999999998</v>
      </c>
      <c r="E74" s="842">
        <f t="shared" si="35"/>
        <v>21564.720000000001</v>
      </c>
      <c r="F74" s="842">
        <f t="shared" si="36"/>
        <v>25248.729999999996</v>
      </c>
      <c r="G74" s="842">
        <f t="shared" si="37"/>
        <v>-0.32</v>
      </c>
      <c r="H74" s="842">
        <f t="shared" si="38"/>
        <v>0</v>
      </c>
      <c r="I74" s="1578">
        <f t="shared" si="39"/>
        <v>151058.79999999999</v>
      </c>
      <c r="J74" s="843">
        <f t="shared" si="40"/>
        <v>-0.32</v>
      </c>
      <c r="K74" s="1579">
        <f t="shared" si="41"/>
        <v>25248.409999999996</v>
      </c>
      <c r="L74" s="1116"/>
      <c r="M74" s="1117"/>
      <c r="N74" s="1117"/>
      <c r="O74" s="1117"/>
      <c r="P74" s="1117"/>
      <c r="Q74" s="1118">
        <f t="shared" si="42"/>
        <v>0</v>
      </c>
      <c r="R74" s="1135"/>
      <c r="S74" s="1136"/>
      <c r="T74" s="1136"/>
      <c r="U74" s="1136"/>
      <c r="V74" s="1136"/>
      <c r="W74" s="1132">
        <f t="shared" si="43"/>
        <v>0</v>
      </c>
      <c r="X74" s="1231"/>
      <c r="Y74" s="1231"/>
      <c r="Z74" s="1231"/>
      <c r="AA74" s="1231"/>
      <c r="AB74" s="1231"/>
      <c r="AC74" s="1231">
        <f t="shared" si="44"/>
        <v>0</v>
      </c>
      <c r="AD74" s="1127">
        <v>6601.13</v>
      </c>
      <c r="AE74" s="1128">
        <v>39.299999999999997</v>
      </c>
      <c r="AF74" s="1128">
        <v>1218.06</v>
      </c>
      <c r="AG74" s="1128">
        <v>-0.01</v>
      </c>
      <c r="AH74" s="1128">
        <v>0</v>
      </c>
      <c r="AI74" s="1124">
        <f t="shared" si="45"/>
        <v>7858.48</v>
      </c>
      <c r="AJ74" s="1148">
        <v>38160.980000000003</v>
      </c>
      <c r="AK74" s="1149">
        <v>0</v>
      </c>
      <c r="AL74" s="1149">
        <v>9540.27</v>
      </c>
      <c r="AM74" s="1149">
        <v>0</v>
      </c>
      <c r="AN74" s="1149">
        <v>0</v>
      </c>
      <c r="AO74" s="1154">
        <f t="shared" si="46"/>
        <v>47701.25</v>
      </c>
      <c r="AP74" s="1127">
        <v>12979.74</v>
      </c>
      <c r="AQ74" s="1128">
        <v>3009.45</v>
      </c>
      <c r="AR74" s="1128">
        <v>2932.95</v>
      </c>
      <c r="AS74" s="1128">
        <v>-7.0000000000000007E-2</v>
      </c>
      <c r="AT74" s="1128">
        <v>0</v>
      </c>
      <c r="AU74" s="1137">
        <f t="shared" si="47"/>
        <v>18922.07</v>
      </c>
      <c r="AV74" s="1141">
        <v>2581.02</v>
      </c>
      <c r="AW74" s="1142">
        <v>645.25</v>
      </c>
      <c r="AX74" s="1142">
        <v>0</v>
      </c>
      <c r="AY74" s="1142">
        <v>0</v>
      </c>
      <c r="AZ74" s="1142">
        <v>0</v>
      </c>
      <c r="BA74" s="1140">
        <f t="shared" si="48"/>
        <v>3226.27</v>
      </c>
      <c r="BB74" s="1131">
        <v>1412.92</v>
      </c>
      <c r="BC74" s="1131">
        <v>353.22</v>
      </c>
      <c r="BD74" s="1131">
        <v>0</v>
      </c>
      <c r="BE74" s="1131">
        <v>0</v>
      </c>
      <c r="BF74" s="1131">
        <v>0</v>
      </c>
      <c r="BG74" s="1132">
        <f t="shared" si="49"/>
        <v>1766.14</v>
      </c>
      <c r="BH74" s="1148"/>
      <c r="BI74" s="1149"/>
      <c r="BJ74" s="1149"/>
      <c r="BK74" s="1149"/>
      <c r="BL74" s="1149"/>
      <c r="BM74" s="1147">
        <f t="shared" si="50"/>
        <v>0</v>
      </c>
      <c r="BN74" s="1148">
        <v>24527.09</v>
      </c>
      <c r="BO74" s="1149">
        <v>3106.76</v>
      </c>
      <c r="BP74" s="1149">
        <v>5068.92</v>
      </c>
      <c r="BQ74" s="1149">
        <v>-0.05</v>
      </c>
      <c r="BR74" s="1149">
        <v>0</v>
      </c>
      <c r="BS74" s="1147">
        <f t="shared" si="51"/>
        <v>32702.719999999998</v>
      </c>
      <c r="BT74" s="1148"/>
      <c r="BU74" s="1149"/>
      <c r="BV74" s="1149"/>
      <c r="BW74" s="1149"/>
      <c r="BX74" s="1149"/>
      <c r="BY74" s="1154">
        <f t="shared" si="52"/>
        <v>0</v>
      </c>
      <c r="BZ74" s="1148">
        <v>5053.6499999999996</v>
      </c>
      <c r="CA74" s="1149">
        <v>14410.74</v>
      </c>
      <c r="CB74" s="1149">
        <v>3570.39</v>
      </c>
      <c r="CC74" s="1149">
        <v>-0.24</v>
      </c>
      <c r="CD74" s="1149">
        <v>0</v>
      </c>
      <c r="CE74" s="1154">
        <f t="shared" si="53"/>
        <v>23034.539999999997</v>
      </c>
      <c r="CF74" s="1145">
        <v>317.75</v>
      </c>
      <c r="CG74" s="1146">
        <v>0</v>
      </c>
      <c r="CH74" s="1146">
        <v>569.80999999999995</v>
      </c>
      <c r="CI74" s="1146">
        <v>0</v>
      </c>
      <c r="CJ74" s="1146">
        <v>0</v>
      </c>
      <c r="CK74" s="1154">
        <f t="shared" si="54"/>
        <v>887.56</v>
      </c>
      <c r="CL74" s="1145"/>
      <c r="CM74" s="1146"/>
      <c r="CN74" s="1146"/>
      <c r="CO74" s="1146"/>
      <c r="CP74" s="1146"/>
      <c r="CQ74" s="1147">
        <f t="shared" si="55"/>
        <v>0</v>
      </c>
      <c r="CR74" s="1148"/>
      <c r="CS74" s="1149"/>
      <c r="CT74" s="1149"/>
      <c r="CU74" s="1149"/>
      <c r="CV74" s="1149"/>
      <c r="CW74" s="1154">
        <f t="shared" si="56"/>
        <v>0</v>
      </c>
      <c r="CX74" s="1148"/>
      <c r="CY74" s="1149"/>
      <c r="CZ74" s="1149"/>
      <c r="DA74" s="1149"/>
      <c r="DB74" s="1149"/>
      <c r="DC74" s="1147">
        <f t="shared" si="57"/>
        <v>0</v>
      </c>
      <c r="DD74" s="1148">
        <v>-191</v>
      </c>
      <c r="DE74" s="1149">
        <v>0</v>
      </c>
      <c r="DF74" s="1149">
        <v>0</v>
      </c>
      <c r="DG74" s="1149">
        <v>0</v>
      </c>
      <c r="DH74" s="1149">
        <v>0</v>
      </c>
      <c r="DI74" s="1154">
        <f t="shared" si="58"/>
        <v>-191</v>
      </c>
      <c r="DJ74" s="1233"/>
      <c r="DK74" s="1233"/>
      <c r="DL74" s="1233"/>
      <c r="DM74" s="1233"/>
      <c r="DN74" s="1233"/>
      <c r="DO74" s="1233">
        <f t="shared" si="59"/>
        <v>0</v>
      </c>
      <c r="DP74" s="1148"/>
      <c r="DQ74" s="1149"/>
      <c r="DR74" s="1149"/>
      <c r="DS74" s="1149"/>
      <c r="DT74" s="1149"/>
      <c r="DU74" s="1155">
        <f t="shared" si="60"/>
        <v>0</v>
      </c>
      <c r="DV74" s="1148">
        <v>12802.39</v>
      </c>
      <c r="DW74" s="1149">
        <v>0</v>
      </c>
      <c r="DX74" s="1149">
        <v>2348.33</v>
      </c>
      <c r="DY74" s="1149">
        <v>0.05</v>
      </c>
      <c r="DZ74" s="1149">
        <v>0</v>
      </c>
      <c r="EA74" s="1154">
        <f t="shared" si="61"/>
        <v>15150.769999999999</v>
      </c>
    </row>
    <row r="75" spans="1:131" ht="15" customHeight="1">
      <c r="A75" s="746" t="s">
        <v>182</v>
      </c>
      <c r="B75" s="844" t="s">
        <v>183</v>
      </c>
      <c r="C75" s="967" t="s">
        <v>266</v>
      </c>
      <c r="D75" s="842">
        <f t="shared" si="34"/>
        <v>24350.93</v>
      </c>
      <c r="E75" s="842">
        <f t="shared" si="35"/>
        <v>30909.29</v>
      </c>
      <c r="F75" s="842">
        <f t="shared" si="36"/>
        <v>7087.64</v>
      </c>
      <c r="G75" s="842">
        <f t="shared" si="37"/>
        <v>-0.04</v>
      </c>
      <c r="H75" s="842">
        <f t="shared" si="38"/>
        <v>1049.99</v>
      </c>
      <c r="I75" s="1578">
        <f t="shared" si="39"/>
        <v>63397.81</v>
      </c>
      <c r="J75" s="843">
        <f t="shared" si="40"/>
        <v>1049.95</v>
      </c>
      <c r="K75" s="1579">
        <f t="shared" si="41"/>
        <v>8137.59</v>
      </c>
      <c r="L75" s="1116"/>
      <c r="M75" s="1117"/>
      <c r="N75" s="1117"/>
      <c r="O75" s="1117"/>
      <c r="P75" s="1117"/>
      <c r="Q75" s="1118">
        <f t="shared" si="42"/>
        <v>0</v>
      </c>
      <c r="R75" s="1133"/>
      <c r="S75" s="1134"/>
      <c r="T75" s="1134"/>
      <c r="U75" s="1134"/>
      <c r="V75" s="1134"/>
      <c r="W75" s="1132">
        <f t="shared" si="43"/>
        <v>0</v>
      </c>
      <c r="X75" s="1232">
        <v>0</v>
      </c>
      <c r="Y75" s="1232">
        <v>17000</v>
      </c>
      <c r="Z75" s="1232">
        <v>0</v>
      </c>
      <c r="AA75" s="1232">
        <v>0</v>
      </c>
      <c r="AB75" s="1232">
        <v>0</v>
      </c>
      <c r="AC75" s="1231">
        <f t="shared" si="44"/>
        <v>17000</v>
      </c>
      <c r="AD75" s="1125"/>
      <c r="AE75" s="1126"/>
      <c r="AF75" s="1126"/>
      <c r="AG75" s="1126"/>
      <c r="AH75" s="1126"/>
      <c r="AI75" s="1124">
        <f t="shared" si="45"/>
        <v>0</v>
      </c>
      <c r="AJ75" s="1148">
        <v>3830.28</v>
      </c>
      <c r="AK75" s="1149">
        <v>0</v>
      </c>
      <c r="AL75" s="1149">
        <v>957.57</v>
      </c>
      <c r="AM75" s="1149">
        <v>0</v>
      </c>
      <c r="AN75" s="1149">
        <v>0</v>
      </c>
      <c r="AO75" s="1154">
        <f t="shared" si="46"/>
        <v>4787.8500000000004</v>
      </c>
      <c r="AP75" s="1125"/>
      <c r="AQ75" s="1126"/>
      <c r="AR75" s="1126"/>
      <c r="AS75" s="1126"/>
      <c r="AT75" s="1126"/>
      <c r="AU75" s="1137">
        <f t="shared" si="47"/>
        <v>0</v>
      </c>
      <c r="AV75" s="1138">
        <v>1112.6099999999999</v>
      </c>
      <c r="AW75" s="1139">
        <v>278.14999999999998</v>
      </c>
      <c r="AX75" s="1139">
        <v>0</v>
      </c>
      <c r="AY75" s="1139">
        <v>0</v>
      </c>
      <c r="AZ75" s="1139">
        <v>0</v>
      </c>
      <c r="BA75" s="1140">
        <f t="shared" si="48"/>
        <v>1390.7599999999998</v>
      </c>
      <c r="BB75" s="1135">
        <v>-304</v>
      </c>
      <c r="BC75" s="1136">
        <v>-76</v>
      </c>
      <c r="BD75" s="1136">
        <v>0</v>
      </c>
      <c r="BE75" s="1136">
        <v>0</v>
      </c>
      <c r="BF75" s="1136">
        <v>-0.01</v>
      </c>
      <c r="BG75" s="1132">
        <f t="shared" si="49"/>
        <v>-380.01</v>
      </c>
      <c r="BH75" s="1145"/>
      <c r="BI75" s="1146"/>
      <c r="BJ75" s="1146"/>
      <c r="BK75" s="1146"/>
      <c r="BL75" s="1146"/>
      <c r="BM75" s="1147">
        <f t="shared" si="50"/>
        <v>0</v>
      </c>
      <c r="BN75" s="1148">
        <v>12816.33</v>
      </c>
      <c r="BO75" s="1149">
        <v>1623.4</v>
      </c>
      <c r="BP75" s="1149">
        <v>2648.71</v>
      </c>
      <c r="BQ75" s="1149">
        <v>0</v>
      </c>
      <c r="BR75" s="1149">
        <v>0</v>
      </c>
      <c r="BS75" s="1147">
        <f t="shared" si="51"/>
        <v>17088.439999999999</v>
      </c>
      <c r="BT75" s="1148"/>
      <c r="BU75" s="1149"/>
      <c r="BV75" s="1149"/>
      <c r="BW75" s="1149"/>
      <c r="BX75" s="1149"/>
      <c r="BY75" s="1154">
        <f t="shared" si="52"/>
        <v>0</v>
      </c>
      <c r="BZ75" s="1148">
        <v>3595.71</v>
      </c>
      <c r="CA75" s="1149">
        <v>9806.74</v>
      </c>
      <c r="CB75" s="1149">
        <v>2458.36</v>
      </c>
      <c r="CC75" s="1149">
        <v>-0.04</v>
      </c>
      <c r="CD75" s="1149">
        <v>1050</v>
      </c>
      <c r="CE75" s="1154">
        <f t="shared" si="53"/>
        <v>16910.77</v>
      </c>
      <c r="CF75" s="1145"/>
      <c r="CG75" s="1146"/>
      <c r="CH75" s="1146"/>
      <c r="CI75" s="1146"/>
      <c r="CJ75" s="1146"/>
      <c r="CK75" s="1154">
        <f t="shared" si="54"/>
        <v>0</v>
      </c>
      <c r="CL75" s="1145"/>
      <c r="CM75" s="1146"/>
      <c r="CN75" s="1146"/>
      <c r="CO75" s="1146"/>
      <c r="CP75" s="1146"/>
      <c r="CQ75" s="1147">
        <f t="shared" si="55"/>
        <v>0</v>
      </c>
      <c r="CR75" s="1148"/>
      <c r="CS75" s="1149"/>
      <c r="CT75" s="1149"/>
      <c r="CU75" s="1149"/>
      <c r="CV75" s="1149"/>
      <c r="CW75" s="1154">
        <f t="shared" si="56"/>
        <v>0</v>
      </c>
      <c r="CX75" s="1145"/>
      <c r="CY75" s="1146"/>
      <c r="CZ75" s="1146"/>
      <c r="DA75" s="1146"/>
      <c r="DB75" s="1146"/>
      <c r="DC75" s="1147">
        <f t="shared" si="57"/>
        <v>0</v>
      </c>
      <c r="DD75" s="1148"/>
      <c r="DE75" s="1149"/>
      <c r="DF75" s="1149"/>
      <c r="DG75" s="1149"/>
      <c r="DH75" s="1149"/>
      <c r="DI75" s="1154">
        <f t="shared" si="58"/>
        <v>0</v>
      </c>
      <c r="DJ75" s="1233"/>
      <c r="DK75" s="1233"/>
      <c r="DL75" s="1233"/>
      <c r="DM75" s="1233"/>
      <c r="DN75" s="1233"/>
      <c r="DO75" s="1233">
        <f t="shared" si="59"/>
        <v>0</v>
      </c>
      <c r="DP75" s="1148">
        <v>3300</v>
      </c>
      <c r="DQ75" s="1149">
        <v>2277</v>
      </c>
      <c r="DR75" s="1149">
        <v>1023</v>
      </c>
      <c r="DS75" s="1149">
        <v>0</v>
      </c>
      <c r="DT75" s="1149">
        <v>0</v>
      </c>
      <c r="DU75" s="1155">
        <f t="shared" si="60"/>
        <v>6600</v>
      </c>
      <c r="DV75" s="1145"/>
      <c r="DW75" s="1146"/>
      <c r="DX75" s="1146"/>
      <c r="DY75" s="1146"/>
      <c r="DZ75" s="1146"/>
      <c r="EA75" s="1154">
        <f t="shared" si="61"/>
        <v>0</v>
      </c>
    </row>
    <row r="76" spans="1:131" ht="15" customHeight="1">
      <c r="A76" s="746" t="s">
        <v>184</v>
      </c>
      <c r="B76" s="844" t="s">
        <v>185</v>
      </c>
      <c r="C76" s="967" t="s">
        <v>266</v>
      </c>
      <c r="D76" s="842">
        <f t="shared" si="34"/>
        <v>48022.96</v>
      </c>
      <c r="E76" s="842">
        <f t="shared" si="35"/>
        <v>84541.94</v>
      </c>
      <c r="F76" s="842">
        <f t="shared" si="36"/>
        <v>24253</v>
      </c>
      <c r="G76" s="842">
        <f t="shared" si="37"/>
        <v>-9.9999999999999992E-2</v>
      </c>
      <c r="H76" s="842">
        <f t="shared" si="38"/>
        <v>0</v>
      </c>
      <c r="I76" s="1578">
        <f t="shared" si="39"/>
        <v>156817.79999999999</v>
      </c>
      <c r="J76" s="843">
        <f t="shared" si="40"/>
        <v>-9.9999999999999992E-2</v>
      </c>
      <c r="K76" s="1579">
        <f t="shared" si="41"/>
        <v>24252.9</v>
      </c>
      <c r="L76" s="1119">
        <v>0</v>
      </c>
      <c r="M76" s="1120">
        <v>3046</v>
      </c>
      <c r="N76" s="1120">
        <v>0</v>
      </c>
      <c r="O76" s="1120">
        <v>0</v>
      </c>
      <c r="P76" s="1120">
        <v>0</v>
      </c>
      <c r="Q76" s="1118">
        <f t="shared" si="42"/>
        <v>3046</v>
      </c>
      <c r="R76" s="1133"/>
      <c r="S76" s="1134"/>
      <c r="T76" s="1134"/>
      <c r="U76" s="1134"/>
      <c r="V76" s="1134"/>
      <c r="W76" s="1132">
        <f t="shared" si="43"/>
        <v>0</v>
      </c>
      <c r="X76" s="1231"/>
      <c r="Y76" s="1231"/>
      <c r="Z76" s="1231"/>
      <c r="AA76" s="1231"/>
      <c r="AB76" s="1231"/>
      <c r="AC76" s="1231">
        <f t="shared" si="44"/>
        <v>0</v>
      </c>
      <c r="AD76" s="1127">
        <v>2868.38</v>
      </c>
      <c r="AE76" s="1128">
        <v>17.079999999999998</v>
      </c>
      <c r="AF76" s="1128">
        <v>529.29</v>
      </c>
      <c r="AG76" s="1128">
        <v>-0.01</v>
      </c>
      <c r="AH76" s="1128">
        <v>0</v>
      </c>
      <c r="AI76" s="1124">
        <f t="shared" si="45"/>
        <v>3414.74</v>
      </c>
      <c r="AJ76" s="1148">
        <v>7446.6</v>
      </c>
      <c r="AK76" s="1149">
        <v>0</v>
      </c>
      <c r="AL76" s="1149">
        <v>1861.62</v>
      </c>
      <c r="AM76" s="1149">
        <v>0</v>
      </c>
      <c r="AN76" s="1149">
        <v>0</v>
      </c>
      <c r="AO76" s="1154">
        <f t="shared" si="46"/>
        <v>9308.2200000000012</v>
      </c>
      <c r="AP76" s="1125"/>
      <c r="AQ76" s="1126"/>
      <c r="AR76" s="1126"/>
      <c r="AS76" s="1126"/>
      <c r="AT76" s="1126"/>
      <c r="AU76" s="1137">
        <f t="shared" si="47"/>
        <v>0</v>
      </c>
      <c r="AV76" s="1138"/>
      <c r="AW76" s="1139"/>
      <c r="AX76" s="1139"/>
      <c r="AY76" s="1139"/>
      <c r="AZ76" s="1139"/>
      <c r="BA76" s="1140">
        <f t="shared" si="48"/>
        <v>0</v>
      </c>
      <c r="BB76" s="1131"/>
      <c r="BC76" s="1131"/>
      <c r="BD76" s="1131"/>
      <c r="BE76" s="1131"/>
      <c r="BF76" s="1131"/>
      <c r="BG76" s="1132">
        <f t="shared" si="49"/>
        <v>0</v>
      </c>
      <c r="BH76" s="1145"/>
      <c r="BI76" s="1146"/>
      <c r="BJ76" s="1146"/>
      <c r="BK76" s="1146"/>
      <c r="BL76" s="1146"/>
      <c r="BM76" s="1147">
        <f t="shared" si="50"/>
        <v>0</v>
      </c>
      <c r="BN76" s="1148">
        <v>5080.3</v>
      </c>
      <c r="BO76" s="1149">
        <v>643.51</v>
      </c>
      <c r="BP76" s="1149">
        <v>1049.93</v>
      </c>
      <c r="BQ76" s="1149">
        <v>-0.02</v>
      </c>
      <c r="BR76" s="1149">
        <v>0</v>
      </c>
      <c r="BS76" s="1147">
        <f t="shared" si="51"/>
        <v>6773.72</v>
      </c>
      <c r="BT76" s="1148"/>
      <c r="BU76" s="1149"/>
      <c r="BV76" s="1149"/>
      <c r="BW76" s="1149"/>
      <c r="BX76" s="1149"/>
      <c r="BY76" s="1154">
        <f t="shared" si="52"/>
        <v>0</v>
      </c>
      <c r="BZ76" s="1148">
        <v>27751.78</v>
      </c>
      <c r="CA76" s="1149">
        <v>78558.350000000006</v>
      </c>
      <c r="CB76" s="1149">
        <v>19500.11</v>
      </c>
      <c r="CC76" s="1149">
        <v>-0.12</v>
      </c>
      <c r="CD76" s="1149">
        <v>0</v>
      </c>
      <c r="CE76" s="1154">
        <f t="shared" si="53"/>
        <v>125810.12000000001</v>
      </c>
      <c r="CF76" s="1145"/>
      <c r="CG76" s="1146"/>
      <c r="CH76" s="1146"/>
      <c r="CI76" s="1146"/>
      <c r="CJ76" s="1146"/>
      <c r="CK76" s="1154">
        <f t="shared" si="54"/>
        <v>0</v>
      </c>
      <c r="CL76" s="1145"/>
      <c r="CM76" s="1146"/>
      <c r="CN76" s="1146"/>
      <c r="CO76" s="1146"/>
      <c r="CP76" s="1146"/>
      <c r="CQ76" s="1147">
        <f t="shared" si="55"/>
        <v>0</v>
      </c>
      <c r="CR76" s="1145"/>
      <c r="CS76" s="1146"/>
      <c r="CT76" s="1146"/>
      <c r="CU76" s="1146"/>
      <c r="CV76" s="1146"/>
      <c r="CW76" s="1154">
        <f t="shared" si="56"/>
        <v>0</v>
      </c>
      <c r="CX76" s="1148"/>
      <c r="CY76" s="1149"/>
      <c r="CZ76" s="1149"/>
      <c r="DA76" s="1149"/>
      <c r="DB76" s="1149"/>
      <c r="DC76" s="1147">
        <f t="shared" si="57"/>
        <v>0</v>
      </c>
      <c r="DD76" s="1148"/>
      <c r="DE76" s="1149"/>
      <c r="DF76" s="1149"/>
      <c r="DG76" s="1149"/>
      <c r="DH76" s="1149"/>
      <c r="DI76" s="1154">
        <f t="shared" si="58"/>
        <v>0</v>
      </c>
      <c r="DJ76" s="1233"/>
      <c r="DK76" s="1233"/>
      <c r="DL76" s="1233"/>
      <c r="DM76" s="1233"/>
      <c r="DN76" s="1233"/>
      <c r="DO76" s="1233">
        <f t="shared" si="59"/>
        <v>0</v>
      </c>
      <c r="DP76" s="1148">
        <v>3300</v>
      </c>
      <c r="DQ76" s="1149">
        <v>2277</v>
      </c>
      <c r="DR76" s="1149">
        <v>1023</v>
      </c>
      <c r="DS76" s="1149">
        <v>0</v>
      </c>
      <c r="DT76" s="1149">
        <v>0</v>
      </c>
      <c r="DU76" s="1155">
        <f t="shared" si="60"/>
        <v>6600</v>
      </c>
      <c r="DV76" s="1148">
        <v>1575.9</v>
      </c>
      <c r="DW76" s="1149">
        <v>0</v>
      </c>
      <c r="DX76" s="1149">
        <v>289.05</v>
      </c>
      <c r="DY76" s="1149">
        <v>0.05</v>
      </c>
      <c r="DZ76" s="1149">
        <v>0</v>
      </c>
      <c r="EA76" s="1154">
        <f t="shared" si="61"/>
        <v>1865</v>
      </c>
    </row>
    <row r="77" spans="1:131" ht="15" customHeight="1">
      <c r="A77" s="746" t="s">
        <v>186</v>
      </c>
      <c r="B77" s="844" t="s">
        <v>187</v>
      </c>
      <c r="C77" s="967" t="s">
        <v>264</v>
      </c>
      <c r="D77" s="842">
        <f t="shared" si="34"/>
        <v>27950.41</v>
      </c>
      <c r="E77" s="842">
        <f t="shared" si="35"/>
        <v>9468.11</v>
      </c>
      <c r="F77" s="842">
        <f t="shared" si="36"/>
        <v>7431.8200000000006</v>
      </c>
      <c r="G77" s="842">
        <f t="shared" si="37"/>
        <v>-2.0000000000000004E-2</v>
      </c>
      <c r="H77" s="842">
        <f t="shared" si="38"/>
        <v>0</v>
      </c>
      <c r="I77" s="1578">
        <f t="shared" si="39"/>
        <v>44850.320000000007</v>
      </c>
      <c r="J77" s="843">
        <f t="shared" si="40"/>
        <v>-2.0000000000000004E-2</v>
      </c>
      <c r="K77" s="1579">
        <f t="shared" si="41"/>
        <v>7431.8</v>
      </c>
      <c r="L77" s="1116"/>
      <c r="M77" s="1117"/>
      <c r="N77" s="1117"/>
      <c r="O77" s="1117"/>
      <c r="P77" s="1117"/>
      <c r="Q77" s="1118">
        <f t="shared" si="42"/>
        <v>0</v>
      </c>
      <c r="R77" s="1133"/>
      <c r="S77" s="1134"/>
      <c r="T77" s="1134"/>
      <c r="U77" s="1134"/>
      <c r="V77" s="1134"/>
      <c r="W77" s="1132">
        <f t="shared" si="43"/>
        <v>0</v>
      </c>
      <c r="X77" s="1231"/>
      <c r="Y77" s="1231"/>
      <c r="Z77" s="1231"/>
      <c r="AA77" s="1231"/>
      <c r="AB77" s="1231"/>
      <c r="AC77" s="1231">
        <f t="shared" si="44"/>
        <v>0</v>
      </c>
      <c r="AD77" s="1127">
        <v>2193.66</v>
      </c>
      <c r="AE77" s="1128">
        <v>13.06</v>
      </c>
      <c r="AF77" s="1128">
        <v>404.79</v>
      </c>
      <c r="AG77" s="1128">
        <v>-0.01</v>
      </c>
      <c r="AH77" s="1128">
        <v>0</v>
      </c>
      <c r="AI77" s="1124">
        <f t="shared" si="45"/>
        <v>2611.4999999999995</v>
      </c>
      <c r="AJ77" s="1148">
        <v>13077.14</v>
      </c>
      <c r="AK77" s="1149">
        <v>0</v>
      </c>
      <c r="AL77" s="1149">
        <v>3269.3</v>
      </c>
      <c r="AM77" s="1149">
        <v>0</v>
      </c>
      <c r="AN77" s="1149">
        <v>0</v>
      </c>
      <c r="AO77" s="1154">
        <f t="shared" si="46"/>
        <v>16346.439999999999</v>
      </c>
      <c r="AP77" s="1125"/>
      <c r="AQ77" s="1126"/>
      <c r="AR77" s="1126"/>
      <c r="AS77" s="1126"/>
      <c r="AT77" s="1126"/>
      <c r="AU77" s="1137">
        <f t="shared" si="47"/>
        <v>0</v>
      </c>
      <c r="AV77" s="1141"/>
      <c r="AW77" s="1142"/>
      <c r="AX77" s="1142"/>
      <c r="AY77" s="1142"/>
      <c r="AZ77" s="1142"/>
      <c r="BA77" s="1140">
        <f t="shared" si="48"/>
        <v>0</v>
      </c>
      <c r="BB77" s="1131">
        <v>959.02</v>
      </c>
      <c r="BC77" s="1131">
        <v>239.75</v>
      </c>
      <c r="BD77" s="1131">
        <v>0</v>
      </c>
      <c r="BE77" s="1131">
        <v>0</v>
      </c>
      <c r="BF77" s="1131">
        <v>0</v>
      </c>
      <c r="BG77" s="1132">
        <f t="shared" si="49"/>
        <v>1198.77</v>
      </c>
      <c r="BH77" s="1145">
        <v>160.38</v>
      </c>
      <c r="BI77" s="1146">
        <v>289.62</v>
      </c>
      <c r="BJ77" s="1146">
        <v>0</v>
      </c>
      <c r="BK77" s="1146">
        <v>0</v>
      </c>
      <c r="BL77" s="1146">
        <v>0</v>
      </c>
      <c r="BM77" s="1147">
        <f t="shared" si="50"/>
        <v>450</v>
      </c>
      <c r="BN77" s="1148">
        <v>5113.05</v>
      </c>
      <c r="BO77" s="1149">
        <v>647.66</v>
      </c>
      <c r="BP77" s="1149">
        <v>1056.71</v>
      </c>
      <c r="BQ77" s="1149">
        <v>-0.02</v>
      </c>
      <c r="BR77" s="1149">
        <v>0</v>
      </c>
      <c r="BS77" s="1147">
        <f t="shared" si="51"/>
        <v>6817.4</v>
      </c>
      <c r="BT77" s="1148"/>
      <c r="BU77" s="1149"/>
      <c r="BV77" s="1149"/>
      <c r="BW77" s="1149"/>
      <c r="BX77" s="1149"/>
      <c r="BY77" s="1154">
        <f t="shared" si="52"/>
        <v>0</v>
      </c>
      <c r="BZ77" s="1148">
        <v>2004.7</v>
      </c>
      <c r="CA77" s="1149">
        <v>5716.39</v>
      </c>
      <c r="CB77" s="1149">
        <v>1416.25</v>
      </c>
      <c r="CC77" s="1149">
        <v>-0.02</v>
      </c>
      <c r="CD77" s="1149">
        <v>0</v>
      </c>
      <c r="CE77" s="1154">
        <f t="shared" si="53"/>
        <v>9137.32</v>
      </c>
      <c r="CF77" s="1145"/>
      <c r="CG77" s="1146"/>
      <c r="CH77" s="1146"/>
      <c r="CI77" s="1146"/>
      <c r="CJ77" s="1146"/>
      <c r="CK77" s="1154">
        <f t="shared" si="54"/>
        <v>0</v>
      </c>
      <c r="CL77" s="1145"/>
      <c r="CM77" s="1146"/>
      <c r="CN77" s="1146"/>
      <c r="CO77" s="1146"/>
      <c r="CP77" s="1146"/>
      <c r="CQ77" s="1147">
        <f t="shared" si="55"/>
        <v>0</v>
      </c>
      <c r="CR77" s="1145"/>
      <c r="CS77" s="1146"/>
      <c r="CT77" s="1146"/>
      <c r="CU77" s="1146"/>
      <c r="CV77" s="1146"/>
      <c r="CW77" s="1154">
        <f t="shared" si="56"/>
        <v>0</v>
      </c>
      <c r="CX77" s="1145"/>
      <c r="CY77" s="1146"/>
      <c r="CZ77" s="1146"/>
      <c r="DA77" s="1146"/>
      <c r="DB77" s="1146"/>
      <c r="DC77" s="1147">
        <f t="shared" si="57"/>
        <v>0</v>
      </c>
      <c r="DD77" s="1148"/>
      <c r="DE77" s="1149"/>
      <c r="DF77" s="1149"/>
      <c r="DG77" s="1149"/>
      <c r="DH77" s="1149"/>
      <c r="DI77" s="1154">
        <f t="shared" si="58"/>
        <v>0</v>
      </c>
      <c r="DJ77" s="1233"/>
      <c r="DK77" s="1233"/>
      <c r="DL77" s="1233"/>
      <c r="DM77" s="1233"/>
      <c r="DN77" s="1233"/>
      <c r="DO77" s="1233">
        <f t="shared" si="59"/>
        <v>0</v>
      </c>
      <c r="DP77" s="1148">
        <v>3712.5</v>
      </c>
      <c r="DQ77" s="1149">
        <v>2561.63</v>
      </c>
      <c r="DR77" s="1149">
        <v>1150.8800000000001</v>
      </c>
      <c r="DS77" s="1149">
        <v>-0.01</v>
      </c>
      <c r="DT77" s="1149">
        <v>0</v>
      </c>
      <c r="DU77" s="1155">
        <f t="shared" si="60"/>
        <v>7425</v>
      </c>
      <c r="DV77" s="1148">
        <v>729.96</v>
      </c>
      <c r="DW77" s="1149">
        <v>0</v>
      </c>
      <c r="DX77" s="1149">
        <v>133.88999999999999</v>
      </c>
      <c r="DY77" s="1149">
        <v>0.04</v>
      </c>
      <c r="DZ77" s="1149">
        <v>0</v>
      </c>
      <c r="EA77" s="1154">
        <f t="shared" si="61"/>
        <v>863.89</v>
      </c>
    </row>
    <row r="78" spans="1:131" ht="15" customHeight="1">
      <c r="A78" s="746" t="s">
        <v>188</v>
      </c>
      <c r="B78" s="844" t="s">
        <v>189</v>
      </c>
      <c r="C78" s="967" t="s">
        <v>267</v>
      </c>
      <c r="D78" s="842">
        <f t="shared" si="34"/>
        <v>216103.15</v>
      </c>
      <c r="E78" s="842">
        <f t="shared" si="35"/>
        <v>182380.45</v>
      </c>
      <c r="F78" s="842">
        <f t="shared" si="36"/>
        <v>79921.279999999999</v>
      </c>
      <c r="G78" s="842">
        <f t="shared" si="37"/>
        <v>-0.28000000000000003</v>
      </c>
      <c r="H78" s="842">
        <f t="shared" si="38"/>
        <v>1179.81</v>
      </c>
      <c r="I78" s="1578">
        <f t="shared" si="39"/>
        <v>479584.41</v>
      </c>
      <c r="J78" s="843">
        <f t="shared" si="40"/>
        <v>1179.53</v>
      </c>
      <c r="K78" s="1579">
        <f t="shared" si="41"/>
        <v>81100.81</v>
      </c>
      <c r="L78" s="1116"/>
      <c r="M78" s="1117"/>
      <c r="N78" s="1117"/>
      <c r="O78" s="1117"/>
      <c r="P78" s="1117"/>
      <c r="Q78" s="1118">
        <f t="shared" si="42"/>
        <v>0</v>
      </c>
      <c r="R78" s="1133"/>
      <c r="S78" s="1134"/>
      <c r="T78" s="1134"/>
      <c r="U78" s="1134"/>
      <c r="V78" s="1134"/>
      <c r="W78" s="1132">
        <f t="shared" si="43"/>
        <v>0</v>
      </c>
      <c r="X78" s="1231">
        <v>0</v>
      </c>
      <c r="Y78" s="1231">
        <v>1778.95</v>
      </c>
      <c r="Z78" s="1231">
        <v>0</v>
      </c>
      <c r="AA78" s="1231">
        <v>0</v>
      </c>
      <c r="AB78" s="1231">
        <v>0</v>
      </c>
      <c r="AC78" s="1231">
        <f t="shared" si="44"/>
        <v>1778.95</v>
      </c>
      <c r="AD78" s="1127">
        <v>5230.51</v>
      </c>
      <c r="AE78" s="1128">
        <v>31.15</v>
      </c>
      <c r="AF78" s="1128">
        <v>965.16</v>
      </c>
      <c r="AG78" s="1128">
        <v>-0.03</v>
      </c>
      <c r="AH78" s="1128">
        <v>0</v>
      </c>
      <c r="AI78" s="1124">
        <f t="shared" si="45"/>
        <v>6226.79</v>
      </c>
      <c r="AJ78" s="1148">
        <v>23685.01</v>
      </c>
      <c r="AK78" s="1149">
        <v>0</v>
      </c>
      <c r="AL78" s="1149">
        <v>5921.29</v>
      </c>
      <c r="AM78" s="1149">
        <v>0</v>
      </c>
      <c r="AN78" s="1149">
        <v>0</v>
      </c>
      <c r="AO78" s="1154">
        <f t="shared" si="46"/>
        <v>29606.3</v>
      </c>
      <c r="AP78" s="1127">
        <v>5307.06</v>
      </c>
      <c r="AQ78" s="1128">
        <v>2641.67</v>
      </c>
      <c r="AR78" s="1128">
        <v>1458.06</v>
      </c>
      <c r="AS78" s="1128">
        <v>-0.04</v>
      </c>
      <c r="AT78" s="1128">
        <v>1179.81</v>
      </c>
      <c r="AU78" s="1137">
        <f t="shared" si="47"/>
        <v>10586.56</v>
      </c>
      <c r="AV78" s="1141">
        <v>4584.46</v>
      </c>
      <c r="AW78" s="1142">
        <v>1146.1199999999999</v>
      </c>
      <c r="AX78" s="1142">
        <v>0</v>
      </c>
      <c r="AY78" s="1142">
        <v>0</v>
      </c>
      <c r="AZ78" s="1142">
        <v>0</v>
      </c>
      <c r="BA78" s="1140">
        <f t="shared" si="48"/>
        <v>5730.58</v>
      </c>
      <c r="BB78" s="1131">
        <v>11474.91</v>
      </c>
      <c r="BC78" s="1131">
        <v>2868.71</v>
      </c>
      <c r="BD78" s="1131">
        <v>0</v>
      </c>
      <c r="BE78" s="1131">
        <v>0</v>
      </c>
      <c r="BF78" s="1131">
        <v>0</v>
      </c>
      <c r="BG78" s="1132">
        <f t="shared" si="49"/>
        <v>14343.619999999999</v>
      </c>
      <c r="BH78" s="1148">
        <v>4084.35</v>
      </c>
      <c r="BI78" s="1149">
        <v>7375.65</v>
      </c>
      <c r="BJ78" s="1149">
        <v>0</v>
      </c>
      <c r="BK78" s="1149">
        <v>0</v>
      </c>
      <c r="BL78" s="1149">
        <v>0</v>
      </c>
      <c r="BM78" s="1147">
        <f t="shared" si="50"/>
        <v>11460</v>
      </c>
      <c r="BN78" s="1148">
        <v>113745.03</v>
      </c>
      <c r="BO78" s="1149">
        <v>14407.7</v>
      </c>
      <c r="BP78" s="1149">
        <v>23507.3</v>
      </c>
      <c r="BQ78" s="1149">
        <v>-0.03</v>
      </c>
      <c r="BR78" s="1149">
        <v>0</v>
      </c>
      <c r="BS78" s="1147">
        <f t="shared" si="51"/>
        <v>151660</v>
      </c>
      <c r="BT78" s="1148">
        <v>-3686.31</v>
      </c>
      <c r="BU78" s="1149">
        <v>-3686.31</v>
      </c>
      <c r="BV78" s="1149">
        <v>0</v>
      </c>
      <c r="BW78" s="1149">
        <v>0.01</v>
      </c>
      <c r="BX78" s="1149">
        <v>0</v>
      </c>
      <c r="BY78" s="1154">
        <f t="shared" si="52"/>
        <v>-7372.61</v>
      </c>
      <c r="BZ78" s="1148">
        <v>51400.73</v>
      </c>
      <c r="CA78" s="1149">
        <v>146567.57</v>
      </c>
      <c r="CB78" s="1149">
        <v>36312.639999999999</v>
      </c>
      <c r="CC78" s="1149">
        <v>-0.23</v>
      </c>
      <c r="CD78" s="1149">
        <v>0</v>
      </c>
      <c r="CE78" s="1154">
        <f t="shared" si="53"/>
        <v>234280.71</v>
      </c>
      <c r="CF78" s="1148">
        <v>3658.55</v>
      </c>
      <c r="CG78" s="1149">
        <v>0</v>
      </c>
      <c r="CH78" s="1149">
        <v>6560.84</v>
      </c>
      <c r="CI78" s="1149">
        <v>0</v>
      </c>
      <c r="CJ78" s="1149">
        <v>0</v>
      </c>
      <c r="CK78" s="1154">
        <f t="shared" si="54"/>
        <v>10219.39</v>
      </c>
      <c r="CL78" s="1145"/>
      <c r="CM78" s="1146"/>
      <c r="CN78" s="1146"/>
      <c r="CO78" s="1146"/>
      <c r="CP78" s="1146"/>
      <c r="CQ78" s="1147">
        <f t="shared" si="55"/>
        <v>0</v>
      </c>
      <c r="CR78" s="1148">
        <v>-1827</v>
      </c>
      <c r="CS78" s="1149">
        <v>0</v>
      </c>
      <c r="CT78" s="1149">
        <v>0</v>
      </c>
      <c r="CU78" s="1149">
        <v>0</v>
      </c>
      <c r="CV78" s="1149">
        <v>0</v>
      </c>
      <c r="CW78" s="1154">
        <f t="shared" si="56"/>
        <v>-1827</v>
      </c>
      <c r="CX78" s="1148">
        <v>-1847</v>
      </c>
      <c r="CY78" s="1149">
        <v>-1847</v>
      </c>
      <c r="CZ78" s="1149">
        <v>0</v>
      </c>
      <c r="DA78" s="1149">
        <v>0</v>
      </c>
      <c r="DB78" s="1149">
        <v>0</v>
      </c>
      <c r="DC78" s="1147">
        <f t="shared" si="57"/>
        <v>-3694</v>
      </c>
      <c r="DD78" s="1148">
        <v>-16937.52</v>
      </c>
      <c r="DE78" s="1149">
        <v>0</v>
      </c>
      <c r="DF78" s="1149">
        <v>0</v>
      </c>
      <c r="DG78" s="1149">
        <v>0</v>
      </c>
      <c r="DH78" s="1149">
        <v>0</v>
      </c>
      <c r="DI78" s="1154">
        <f t="shared" si="58"/>
        <v>-16937.52</v>
      </c>
      <c r="DJ78" s="1233"/>
      <c r="DK78" s="1233"/>
      <c r="DL78" s="1233"/>
      <c r="DM78" s="1233"/>
      <c r="DN78" s="1233"/>
      <c r="DO78" s="1233">
        <f t="shared" si="59"/>
        <v>0</v>
      </c>
      <c r="DP78" s="1148">
        <v>16081.5</v>
      </c>
      <c r="DQ78" s="1149">
        <v>11096.24</v>
      </c>
      <c r="DR78" s="1149">
        <v>4985.2700000000004</v>
      </c>
      <c r="DS78" s="1149">
        <v>-0.01</v>
      </c>
      <c r="DT78" s="1149">
        <v>0</v>
      </c>
      <c r="DU78" s="1155">
        <f t="shared" si="60"/>
        <v>32163</v>
      </c>
      <c r="DV78" s="1148">
        <v>1148.8699999999999</v>
      </c>
      <c r="DW78" s="1149">
        <v>0</v>
      </c>
      <c r="DX78" s="1149">
        <v>210.72</v>
      </c>
      <c r="DY78" s="1149">
        <v>0.05</v>
      </c>
      <c r="DZ78" s="1149">
        <v>0</v>
      </c>
      <c r="EA78" s="1154">
        <f t="shared" si="61"/>
        <v>1359.6399999999999</v>
      </c>
    </row>
    <row r="79" spans="1:131" ht="15" customHeight="1">
      <c r="A79" s="746" t="s">
        <v>190</v>
      </c>
      <c r="B79" s="844" t="s">
        <v>191</v>
      </c>
      <c r="C79" s="967" t="s">
        <v>268</v>
      </c>
      <c r="D79" s="842">
        <f t="shared" si="34"/>
        <v>84036.65</v>
      </c>
      <c r="E79" s="842">
        <f t="shared" si="35"/>
        <v>30326.010000000002</v>
      </c>
      <c r="F79" s="842">
        <f t="shared" si="36"/>
        <v>18863.7</v>
      </c>
      <c r="G79" s="842">
        <f t="shared" si="37"/>
        <v>-9.0000000000000011E-2</v>
      </c>
      <c r="H79" s="842">
        <f t="shared" si="38"/>
        <v>0</v>
      </c>
      <c r="I79" s="1578">
        <f t="shared" si="39"/>
        <v>133226.27000000002</v>
      </c>
      <c r="J79" s="843">
        <f t="shared" si="40"/>
        <v>-9.0000000000000011E-2</v>
      </c>
      <c r="K79" s="1579">
        <f t="shared" si="41"/>
        <v>18863.61</v>
      </c>
      <c r="L79" s="1116"/>
      <c r="M79" s="1117"/>
      <c r="N79" s="1117"/>
      <c r="O79" s="1117"/>
      <c r="P79" s="1117"/>
      <c r="Q79" s="1118">
        <f t="shared" si="42"/>
        <v>0</v>
      </c>
      <c r="R79" s="1133"/>
      <c r="S79" s="1134"/>
      <c r="T79" s="1134"/>
      <c r="U79" s="1134"/>
      <c r="V79" s="1134"/>
      <c r="W79" s="1132">
        <f t="shared" si="43"/>
        <v>0</v>
      </c>
      <c r="X79" s="1231"/>
      <c r="Y79" s="1231"/>
      <c r="Z79" s="1231"/>
      <c r="AA79" s="1231"/>
      <c r="AB79" s="1231"/>
      <c r="AC79" s="1231">
        <f t="shared" si="44"/>
        <v>0</v>
      </c>
      <c r="AD79" s="1127">
        <v>3318.87</v>
      </c>
      <c r="AE79" s="1128">
        <v>19.75</v>
      </c>
      <c r="AF79" s="1128">
        <v>612.41</v>
      </c>
      <c r="AG79" s="1128">
        <v>0.01</v>
      </c>
      <c r="AH79" s="1128">
        <v>0</v>
      </c>
      <c r="AI79" s="1124">
        <f t="shared" si="45"/>
        <v>3951.04</v>
      </c>
      <c r="AJ79" s="1148">
        <v>26550.74</v>
      </c>
      <c r="AK79" s="1149">
        <v>0</v>
      </c>
      <c r="AL79" s="1149">
        <v>6637.69</v>
      </c>
      <c r="AM79" s="1149">
        <v>0</v>
      </c>
      <c r="AN79" s="1149">
        <v>0</v>
      </c>
      <c r="AO79" s="1154">
        <f t="shared" si="46"/>
        <v>33188.43</v>
      </c>
      <c r="AP79" s="1125"/>
      <c r="AQ79" s="1126"/>
      <c r="AR79" s="1126"/>
      <c r="AS79" s="1126"/>
      <c r="AT79" s="1126"/>
      <c r="AU79" s="1137">
        <f t="shared" si="47"/>
        <v>0</v>
      </c>
      <c r="AV79" s="1141">
        <v>7185.88</v>
      </c>
      <c r="AW79" s="1142">
        <v>1796.47</v>
      </c>
      <c r="AX79" s="1142">
        <v>0</v>
      </c>
      <c r="AY79" s="1142">
        <v>0</v>
      </c>
      <c r="AZ79" s="1142">
        <v>0</v>
      </c>
      <c r="BA79" s="1140">
        <f t="shared" si="48"/>
        <v>8982.35</v>
      </c>
      <c r="BB79" s="1131">
        <v>10142.049999999999</v>
      </c>
      <c r="BC79" s="1131">
        <v>2535.5</v>
      </c>
      <c r="BD79" s="1131">
        <v>0</v>
      </c>
      <c r="BE79" s="1131">
        <v>0</v>
      </c>
      <c r="BF79" s="1131">
        <v>0</v>
      </c>
      <c r="BG79" s="1132">
        <f t="shared" si="49"/>
        <v>12677.55</v>
      </c>
      <c r="BH79" s="1145"/>
      <c r="BI79" s="1146"/>
      <c r="BJ79" s="1146"/>
      <c r="BK79" s="1146"/>
      <c r="BL79" s="1146"/>
      <c r="BM79" s="1147">
        <f t="shared" si="50"/>
        <v>0</v>
      </c>
      <c r="BN79" s="1148">
        <v>18271.13</v>
      </c>
      <c r="BO79" s="1149">
        <v>2314.36</v>
      </c>
      <c r="BP79" s="1149">
        <v>3776.06</v>
      </c>
      <c r="BQ79" s="1149">
        <v>-0.05</v>
      </c>
      <c r="BR79" s="1149">
        <v>0</v>
      </c>
      <c r="BS79" s="1147">
        <f t="shared" si="51"/>
        <v>24361.500000000004</v>
      </c>
      <c r="BT79" s="1148"/>
      <c r="BU79" s="1149"/>
      <c r="BV79" s="1149"/>
      <c r="BW79" s="1149"/>
      <c r="BX79" s="1149"/>
      <c r="BY79" s="1154">
        <f t="shared" si="52"/>
        <v>0</v>
      </c>
      <c r="BZ79" s="1148">
        <v>5316.39</v>
      </c>
      <c r="CA79" s="1149">
        <v>15121.18</v>
      </c>
      <c r="CB79" s="1149">
        <v>3748.81</v>
      </c>
      <c r="CC79" s="1149">
        <v>-0.13</v>
      </c>
      <c r="CD79" s="1149">
        <v>0</v>
      </c>
      <c r="CE79" s="1154">
        <f t="shared" si="53"/>
        <v>24186.25</v>
      </c>
      <c r="CF79" s="1145"/>
      <c r="CG79" s="1146"/>
      <c r="CH79" s="1146"/>
      <c r="CI79" s="1146"/>
      <c r="CJ79" s="1146"/>
      <c r="CK79" s="1154">
        <f t="shared" si="54"/>
        <v>0</v>
      </c>
      <c r="CL79" s="1145"/>
      <c r="CM79" s="1146"/>
      <c r="CN79" s="1146"/>
      <c r="CO79" s="1146"/>
      <c r="CP79" s="1146"/>
      <c r="CQ79" s="1147">
        <f t="shared" si="55"/>
        <v>0</v>
      </c>
      <c r="CR79" s="1148"/>
      <c r="CS79" s="1149"/>
      <c r="CT79" s="1149"/>
      <c r="CU79" s="1149"/>
      <c r="CV79" s="1149"/>
      <c r="CW79" s="1154">
        <f t="shared" si="56"/>
        <v>0</v>
      </c>
      <c r="CX79" s="1145"/>
      <c r="CY79" s="1146"/>
      <c r="CZ79" s="1146"/>
      <c r="DA79" s="1146"/>
      <c r="DB79" s="1146"/>
      <c r="DC79" s="1147">
        <f t="shared" si="57"/>
        <v>0</v>
      </c>
      <c r="DD79" s="1148">
        <v>-500</v>
      </c>
      <c r="DE79" s="1149">
        <v>0</v>
      </c>
      <c r="DF79" s="1149">
        <v>0</v>
      </c>
      <c r="DG79" s="1149">
        <v>0</v>
      </c>
      <c r="DH79" s="1149">
        <v>0</v>
      </c>
      <c r="DI79" s="1154">
        <f t="shared" si="58"/>
        <v>-500</v>
      </c>
      <c r="DJ79" s="1233"/>
      <c r="DK79" s="1233"/>
      <c r="DL79" s="1233"/>
      <c r="DM79" s="1233"/>
      <c r="DN79" s="1233"/>
      <c r="DO79" s="1233">
        <f t="shared" si="59"/>
        <v>0</v>
      </c>
      <c r="DP79" s="1148">
        <v>12375</v>
      </c>
      <c r="DQ79" s="1149">
        <v>8538.75</v>
      </c>
      <c r="DR79" s="1149">
        <v>3836.25</v>
      </c>
      <c r="DS79" s="1149">
        <v>0</v>
      </c>
      <c r="DT79" s="1149">
        <v>0</v>
      </c>
      <c r="DU79" s="1155">
        <f t="shared" si="60"/>
        <v>24750</v>
      </c>
      <c r="DV79" s="1148">
        <v>1376.59</v>
      </c>
      <c r="DW79" s="1149">
        <v>0</v>
      </c>
      <c r="DX79" s="1149">
        <v>252.48</v>
      </c>
      <c r="DY79" s="1149">
        <v>0.08</v>
      </c>
      <c r="DZ79" s="1149">
        <v>0</v>
      </c>
      <c r="EA79" s="1154">
        <f t="shared" si="61"/>
        <v>1629.1499999999999</v>
      </c>
    </row>
    <row r="80" spans="1:131" ht="15" customHeight="1">
      <c r="A80" s="746" t="s">
        <v>194</v>
      </c>
      <c r="B80" s="844" t="s">
        <v>195</v>
      </c>
      <c r="C80" s="967" t="s">
        <v>267</v>
      </c>
      <c r="D80" s="842">
        <f t="shared" si="34"/>
        <v>24214.66</v>
      </c>
      <c r="E80" s="842">
        <f t="shared" si="35"/>
        <v>2165.9800000000005</v>
      </c>
      <c r="F80" s="842">
        <f t="shared" si="36"/>
        <v>4651.2900000000009</v>
      </c>
      <c r="G80" s="842">
        <f t="shared" si="37"/>
        <v>-6.9999999999999993E-2</v>
      </c>
      <c r="H80" s="842">
        <f t="shared" si="38"/>
        <v>0</v>
      </c>
      <c r="I80" s="1578">
        <f t="shared" si="39"/>
        <v>31031.86</v>
      </c>
      <c r="J80" s="843">
        <f t="shared" si="40"/>
        <v>-6.9999999999999993E-2</v>
      </c>
      <c r="K80" s="1579">
        <f t="shared" si="41"/>
        <v>4651.2200000000012</v>
      </c>
      <c r="L80" s="1116"/>
      <c r="M80" s="1117"/>
      <c r="N80" s="1117"/>
      <c r="O80" s="1117"/>
      <c r="P80" s="1117"/>
      <c r="Q80" s="1118">
        <f t="shared" si="42"/>
        <v>0</v>
      </c>
      <c r="R80" s="1133"/>
      <c r="S80" s="1134"/>
      <c r="T80" s="1134"/>
      <c r="U80" s="1134"/>
      <c r="V80" s="1134"/>
      <c r="W80" s="1132">
        <f t="shared" si="43"/>
        <v>0</v>
      </c>
      <c r="X80" s="1232"/>
      <c r="Y80" s="1232"/>
      <c r="Z80" s="1232"/>
      <c r="AA80" s="1232"/>
      <c r="AB80" s="1232"/>
      <c r="AC80" s="1231">
        <f t="shared" si="44"/>
        <v>0</v>
      </c>
      <c r="AD80" s="1125"/>
      <c r="AE80" s="1126"/>
      <c r="AF80" s="1126"/>
      <c r="AG80" s="1126"/>
      <c r="AH80" s="1126"/>
      <c r="AI80" s="1124">
        <f t="shared" si="45"/>
        <v>0</v>
      </c>
      <c r="AJ80" s="1148">
        <v>4620.79</v>
      </c>
      <c r="AK80" s="1149">
        <v>0</v>
      </c>
      <c r="AL80" s="1149">
        <v>1155.21</v>
      </c>
      <c r="AM80" s="1149">
        <v>0</v>
      </c>
      <c r="AN80" s="1149">
        <v>0</v>
      </c>
      <c r="AO80" s="1154">
        <f t="shared" si="46"/>
        <v>5776</v>
      </c>
      <c r="AP80" s="1125"/>
      <c r="AQ80" s="1126"/>
      <c r="AR80" s="1126"/>
      <c r="AS80" s="1126"/>
      <c r="AT80" s="1126"/>
      <c r="AU80" s="1137">
        <f t="shared" si="47"/>
        <v>0</v>
      </c>
      <c r="AV80" s="1138">
        <v>595.96</v>
      </c>
      <c r="AW80" s="1139">
        <v>148.99</v>
      </c>
      <c r="AX80" s="1139">
        <v>0</v>
      </c>
      <c r="AY80" s="1139">
        <v>0</v>
      </c>
      <c r="AZ80" s="1139">
        <v>0</v>
      </c>
      <c r="BA80" s="1140">
        <f t="shared" si="48"/>
        <v>744.95</v>
      </c>
      <c r="BB80" s="1131">
        <v>1564.59</v>
      </c>
      <c r="BC80" s="1131">
        <v>391.16</v>
      </c>
      <c r="BD80" s="1131">
        <v>0</v>
      </c>
      <c r="BE80" s="1131">
        <v>0</v>
      </c>
      <c r="BF80" s="1131">
        <v>0</v>
      </c>
      <c r="BG80" s="1132">
        <f t="shared" si="49"/>
        <v>1955.75</v>
      </c>
      <c r="BH80" s="1145"/>
      <c r="BI80" s="1146"/>
      <c r="BJ80" s="1146"/>
      <c r="BK80" s="1146"/>
      <c r="BL80" s="1146"/>
      <c r="BM80" s="1147">
        <f t="shared" si="50"/>
        <v>0</v>
      </c>
      <c r="BN80" s="1148">
        <v>12563.65</v>
      </c>
      <c r="BO80" s="1149">
        <v>1591.41</v>
      </c>
      <c r="BP80" s="1149">
        <v>2596.5100000000002</v>
      </c>
      <c r="BQ80" s="1149">
        <v>-0.06</v>
      </c>
      <c r="BR80" s="1149">
        <v>0</v>
      </c>
      <c r="BS80" s="1147">
        <f t="shared" si="51"/>
        <v>16751.509999999998</v>
      </c>
      <c r="BT80" s="1148"/>
      <c r="BU80" s="1149"/>
      <c r="BV80" s="1149"/>
      <c r="BW80" s="1149"/>
      <c r="BX80" s="1149"/>
      <c r="BY80" s="1154">
        <f t="shared" si="52"/>
        <v>0</v>
      </c>
      <c r="BZ80" s="1148">
        <v>12.06</v>
      </c>
      <c r="CA80" s="1149">
        <v>34.42</v>
      </c>
      <c r="CB80" s="1149">
        <v>8.5299999999999994</v>
      </c>
      <c r="CC80" s="1149">
        <v>-0.01</v>
      </c>
      <c r="CD80" s="1149">
        <v>0</v>
      </c>
      <c r="CE80" s="1154">
        <f t="shared" si="53"/>
        <v>55.000000000000007</v>
      </c>
      <c r="CF80" s="1145"/>
      <c r="CG80" s="1146"/>
      <c r="CH80" s="1146"/>
      <c r="CI80" s="1146"/>
      <c r="CJ80" s="1146"/>
      <c r="CK80" s="1154">
        <f t="shared" si="54"/>
        <v>0</v>
      </c>
      <c r="CL80" s="1145"/>
      <c r="CM80" s="1146"/>
      <c r="CN80" s="1146"/>
      <c r="CO80" s="1146"/>
      <c r="CP80" s="1146"/>
      <c r="CQ80" s="1147">
        <f t="shared" si="55"/>
        <v>0</v>
      </c>
      <c r="CR80" s="1148"/>
      <c r="CS80" s="1149"/>
      <c r="CT80" s="1149"/>
      <c r="CU80" s="1149"/>
      <c r="CV80" s="1149"/>
      <c r="CW80" s="1154">
        <f t="shared" si="56"/>
        <v>0</v>
      </c>
      <c r="CX80" s="1145"/>
      <c r="CY80" s="1146"/>
      <c r="CZ80" s="1146"/>
      <c r="DA80" s="1146"/>
      <c r="DB80" s="1146"/>
      <c r="DC80" s="1147">
        <f t="shared" si="57"/>
        <v>0</v>
      </c>
      <c r="DD80" s="1148"/>
      <c r="DE80" s="1149"/>
      <c r="DF80" s="1149"/>
      <c r="DG80" s="1149"/>
      <c r="DH80" s="1149"/>
      <c r="DI80" s="1154">
        <f t="shared" si="58"/>
        <v>0</v>
      </c>
      <c r="DJ80" s="1234"/>
      <c r="DK80" s="1234"/>
      <c r="DL80" s="1234"/>
      <c r="DM80" s="1234"/>
      <c r="DN80" s="1234"/>
      <c r="DO80" s="1233">
        <f t="shared" si="59"/>
        <v>0</v>
      </c>
      <c r="DP80" s="1145"/>
      <c r="DQ80" s="1146"/>
      <c r="DR80" s="1146"/>
      <c r="DS80" s="1146"/>
      <c r="DT80" s="1146"/>
      <c r="DU80" s="1155">
        <f t="shared" si="60"/>
        <v>0</v>
      </c>
      <c r="DV80" s="1148">
        <v>4857.6099999999997</v>
      </c>
      <c r="DW80" s="1149">
        <v>0</v>
      </c>
      <c r="DX80" s="1149">
        <v>891.04</v>
      </c>
      <c r="DY80" s="1149">
        <v>0</v>
      </c>
      <c r="DZ80" s="1149">
        <v>0</v>
      </c>
      <c r="EA80" s="1154">
        <f t="shared" si="61"/>
        <v>5748.65</v>
      </c>
    </row>
    <row r="81" spans="1:131" ht="15" customHeight="1">
      <c r="A81" s="746" t="s">
        <v>198</v>
      </c>
      <c r="B81" s="844" t="s">
        <v>199</v>
      </c>
      <c r="C81" s="967" t="s">
        <v>266</v>
      </c>
      <c r="D81" s="842">
        <f t="shared" si="34"/>
        <v>23499.41</v>
      </c>
      <c r="E81" s="842">
        <f t="shared" si="35"/>
        <v>25311.870000000003</v>
      </c>
      <c r="F81" s="842">
        <f t="shared" si="36"/>
        <v>6432.34</v>
      </c>
      <c r="G81" s="842">
        <f t="shared" si="37"/>
        <v>0.03</v>
      </c>
      <c r="H81" s="842">
        <f t="shared" si="38"/>
        <v>0</v>
      </c>
      <c r="I81" s="1578">
        <f t="shared" si="39"/>
        <v>55243.649999999994</v>
      </c>
      <c r="J81" s="843">
        <f t="shared" si="40"/>
        <v>0.03</v>
      </c>
      <c r="K81" s="1579">
        <f t="shared" si="41"/>
        <v>6432.37</v>
      </c>
      <c r="L81" s="1116"/>
      <c r="M81" s="1117"/>
      <c r="N81" s="1117"/>
      <c r="O81" s="1117"/>
      <c r="P81" s="1117"/>
      <c r="Q81" s="1118">
        <f t="shared" si="42"/>
        <v>0</v>
      </c>
      <c r="R81" s="1135"/>
      <c r="S81" s="1136"/>
      <c r="T81" s="1136"/>
      <c r="U81" s="1136"/>
      <c r="V81" s="1136"/>
      <c r="W81" s="1132">
        <f t="shared" si="43"/>
        <v>0</v>
      </c>
      <c r="X81" s="1231">
        <v>0</v>
      </c>
      <c r="Y81" s="1231">
        <v>13743.78</v>
      </c>
      <c r="Z81" s="1231">
        <v>0</v>
      </c>
      <c r="AA81" s="1231">
        <v>0</v>
      </c>
      <c r="AB81" s="1231">
        <v>0</v>
      </c>
      <c r="AC81" s="1231">
        <f t="shared" si="44"/>
        <v>13743.78</v>
      </c>
      <c r="AD81" s="1127">
        <v>337.44</v>
      </c>
      <c r="AE81" s="1128">
        <v>2.0099999999999998</v>
      </c>
      <c r="AF81" s="1128">
        <v>62.27</v>
      </c>
      <c r="AG81" s="1128">
        <v>0</v>
      </c>
      <c r="AH81" s="1128">
        <v>0</v>
      </c>
      <c r="AI81" s="1124">
        <f t="shared" si="45"/>
        <v>401.71999999999997</v>
      </c>
      <c r="AJ81" s="1148">
        <v>2812</v>
      </c>
      <c r="AK81" s="1149">
        <v>0</v>
      </c>
      <c r="AL81" s="1149">
        <v>703</v>
      </c>
      <c r="AM81" s="1149">
        <v>0</v>
      </c>
      <c r="AN81" s="1149">
        <v>0</v>
      </c>
      <c r="AO81" s="1154">
        <f t="shared" si="46"/>
        <v>3515</v>
      </c>
      <c r="AP81" s="1125"/>
      <c r="AQ81" s="1126"/>
      <c r="AR81" s="1126"/>
      <c r="AS81" s="1126"/>
      <c r="AT81" s="1126"/>
      <c r="AU81" s="1137">
        <f t="shared" si="47"/>
        <v>0</v>
      </c>
      <c r="AV81" s="1138"/>
      <c r="AW81" s="1139"/>
      <c r="AX81" s="1139"/>
      <c r="AY81" s="1139"/>
      <c r="AZ81" s="1139"/>
      <c r="BA81" s="1140">
        <f t="shared" si="48"/>
        <v>0</v>
      </c>
      <c r="BB81" s="1133"/>
      <c r="BC81" s="1134"/>
      <c r="BD81" s="1134"/>
      <c r="BE81" s="1134"/>
      <c r="BF81" s="1134"/>
      <c r="BG81" s="1132">
        <f t="shared" si="49"/>
        <v>0</v>
      </c>
      <c r="BH81" s="1145">
        <v>363.88</v>
      </c>
      <c r="BI81" s="1146">
        <v>657.1</v>
      </c>
      <c r="BJ81" s="1146">
        <v>0</v>
      </c>
      <c r="BK81" s="1146">
        <v>0</v>
      </c>
      <c r="BL81" s="1146">
        <v>0</v>
      </c>
      <c r="BM81" s="1147">
        <f t="shared" si="50"/>
        <v>1020.98</v>
      </c>
      <c r="BN81" s="1148">
        <v>14090.25</v>
      </c>
      <c r="BO81" s="1149">
        <v>1784.77</v>
      </c>
      <c r="BP81" s="1149">
        <v>2911.99</v>
      </c>
      <c r="BQ81" s="1149">
        <v>-0.01</v>
      </c>
      <c r="BR81" s="1149">
        <v>0</v>
      </c>
      <c r="BS81" s="1147">
        <f t="shared" si="51"/>
        <v>18787.000000000004</v>
      </c>
      <c r="BT81" s="1148"/>
      <c r="BU81" s="1149"/>
      <c r="BV81" s="1149"/>
      <c r="BW81" s="1149"/>
      <c r="BX81" s="1149"/>
      <c r="BY81" s="1154">
        <f t="shared" si="52"/>
        <v>0</v>
      </c>
      <c r="BZ81" s="1148">
        <v>2456.4299999999998</v>
      </c>
      <c r="CA81" s="1149">
        <v>6847.21</v>
      </c>
      <c r="CB81" s="1149">
        <v>1706.52</v>
      </c>
      <c r="CC81" s="1149">
        <v>0.01</v>
      </c>
      <c r="CD81" s="1149">
        <v>0</v>
      </c>
      <c r="CE81" s="1154">
        <f t="shared" si="53"/>
        <v>11010.17</v>
      </c>
      <c r="CF81" s="1145"/>
      <c r="CG81" s="1146"/>
      <c r="CH81" s="1146"/>
      <c r="CI81" s="1146"/>
      <c r="CJ81" s="1146"/>
      <c r="CK81" s="1154">
        <f t="shared" si="54"/>
        <v>0</v>
      </c>
      <c r="CL81" s="1145"/>
      <c r="CM81" s="1146"/>
      <c r="CN81" s="1146"/>
      <c r="CO81" s="1146"/>
      <c r="CP81" s="1146"/>
      <c r="CQ81" s="1147">
        <f t="shared" si="55"/>
        <v>0</v>
      </c>
      <c r="CR81" s="1145"/>
      <c r="CS81" s="1146"/>
      <c r="CT81" s="1146"/>
      <c r="CU81" s="1146"/>
      <c r="CV81" s="1146"/>
      <c r="CW81" s="1154">
        <f t="shared" si="56"/>
        <v>0</v>
      </c>
      <c r="CX81" s="1145"/>
      <c r="CY81" s="1146"/>
      <c r="CZ81" s="1146"/>
      <c r="DA81" s="1146"/>
      <c r="DB81" s="1146"/>
      <c r="DC81" s="1147">
        <f t="shared" si="57"/>
        <v>0</v>
      </c>
      <c r="DD81" s="1148"/>
      <c r="DE81" s="1149"/>
      <c r="DF81" s="1149"/>
      <c r="DG81" s="1149"/>
      <c r="DH81" s="1149"/>
      <c r="DI81" s="1154">
        <f t="shared" si="58"/>
        <v>0</v>
      </c>
      <c r="DJ81" s="1233"/>
      <c r="DK81" s="1233"/>
      <c r="DL81" s="1233"/>
      <c r="DM81" s="1233"/>
      <c r="DN81" s="1233"/>
      <c r="DO81" s="1233">
        <f t="shared" si="59"/>
        <v>0</v>
      </c>
      <c r="DP81" s="1148">
        <v>3300</v>
      </c>
      <c r="DQ81" s="1149">
        <v>2277</v>
      </c>
      <c r="DR81" s="1149">
        <v>1023</v>
      </c>
      <c r="DS81" s="1149">
        <v>0</v>
      </c>
      <c r="DT81" s="1149">
        <v>0</v>
      </c>
      <c r="DU81" s="1155">
        <f t="shared" si="60"/>
        <v>6600</v>
      </c>
      <c r="DV81" s="1145">
        <v>139.41</v>
      </c>
      <c r="DW81" s="1146">
        <v>0</v>
      </c>
      <c r="DX81" s="1146">
        <v>25.56</v>
      </c>
      <c r="DY81" s="1146">
        <v>0.03</v>
      </c>
      <c r="DZ81" s="1146">
        <v>0</v>
      </c>
      <c r="EA81" s="1154">
        <f t="shared" si="61"/>
        <v>165</v>
      </c>
    </row>
    <row r="82" spans="1:131" ht="15" customHeight="1">
      <c r="A82" s="746" t="s">
        <v>202</v>
      </c>
      <c r="B82" s="844" t="s">
        <v>203</v>
      </c>
      <c r="C82" s="967" t="s">
        <v>265</v>
      </c>
      <c r="D82" s="842">
        <f t="shared" si="34"/>
        <v>184491.17</v>
      </c>
      <c r="E82" s="842">
        <f t="shared" si="35"/>
        <v>140972.60999999999</v>
      </c>
      <c r="F82" s="842">
        <f t="shared" si="36"/>
        <v>64754.47</v>
      </c>
      <c r="G82" s="842">
        <f t="shared" si="37"/>
        <v>-0.26000000000000006</v>
      </c>
      <c r="H82" s="842">
        <f t="shared" si="38"/>
        <v>37.58</v>
      </c>
      <c r="I82" s="1578">
        <f t="shared" si="39"/>
        <v>390255.57</v>
      </c>
      <c r="J82" s="843">
        <f t="shared" si="40"/>
        <v>37.32</v>
      </c>
      <c r="K82" s="1579">
        <f t="shared" si="41"/>
        <v>64791.79</v>
      </c>
      <c r="L82" s="1116"/>
      <c r="M82" s="1117"/>
      <c r="N82" s="1117"/>
      <c r="O82" s="1117"/>
      <c r="P82" s="1117"/>
      <c r="Q82" s="1118">
        <f t="shared" si="42"/>
        <v>0</v>
      </c>
      <c r="R82" s="1133"/>
      <c r="S82" s="1134"/>
      <c r="T82" s="1134"/>
      <c r="U82" s="1134"/>
      <c r="V82" s="1134"/>
      <c r="W82" s="1132">
        <f t="shared" si="43"/>
        <v>0</v>
      </c>
      <c r="X82" s="1231"/>
      <c r="Y82" s="1231"/>
      <c r="Z82" s="1231"/>
      <c r="AA82" s="1231"/>
      <c r="AB82" s="1231"/>
      <c r="AC82" s="1231">
        <f t="shared" si="44"/>
        <v>0</v>
      </c>
      <c r="AD82" s="1127">
        <v>7716.25</v>
      </c>
      <c r="AE82" s="1128">
        <v>45.95</v>
      </c>
      <c r="AF82" s="1128">
        <v>1423.83</v>
      </c>
      <c r="AG82" s="1128">
        <v>-0.03</v>
      </c>
      <c r="AH82" s="1128">
        <v>37.58</v>
      </c>
      <c r="AI82" s="1124">
        <f t="shared" si="45"/>
        <v>9223.5799999999981</v>
      </c>
      <c r="AJ82" s="1148">
        <v>51320.44</v>
      </c>
      <c r="AK82" s="1149">
        <v>0</v>
      </c>
      <c r="AL82" s="1149">
        <v>12830.11</v>
      </c>
      <c r="AM82" s="1149">
        <v>0</v>
      </c>
      <c r="AN82" s="1149">
        <v>0</v>
      </c>
      <c r="AO82" s="1154">
        <f t="shared" si="46"/>
        <v>64150.55</v>
      </c>
      <c r="AP82" s="1127">
        <v>18006.82</v>
      </c>
      <c r="AQ82" s="1128">
        <v>1518.58</v>
      </c>
      <c r="AR82" s="1128">
        <v>3581.61</v>
      </c>
      <c r="AS82" s="1128">
        <v>-0.05</v>
      </c>
      <c r="AT82" s="1128">
        <v>0</v>
      </c>
      <c r="AU82" s="1137">
        <f t="shared" si="47"/>
        <v>23106.960000000003</v>
      </c>
      <c r="AV82" s="1141">
        <v>3903.25</v>
      </c>
      <c r="AW82" s="1142">
        <v>975.81</v>
      </c>
      <c r="AX82" s="1142">
        <v>0</v>
      </c>
      <c r="AY82" s="1142">
        <v>0</v>
      </c>
      <c r="AZ82" s="1142">
        <v>0</v>
      </c>
      <c r="BA82" s="1140">
        <f t="shared" si="48"/>
        <v>4879.0599999999995</v>
      </c>
      <c r="BB82" s="1131">
        <v>10608.14</v>
      </c>
      <c r="BC82" s="1131">
        <v>2652.06</v>
      </c>
      <c r="BD82" s="1131">
        <v>0</v>
      </c>
      <c r="BE82" s="1131">
        <v>0</v>
      </c>
      <c r="BF82" s="1131">
        <v>0</v>
      </c>
      <c r="BG82" s="1132">
        <f t="shared" si="49"/>
        <v>13260.199999999999</v>
      </c>
      <c r="BH82" s="1148">
        <v>474.01</v>
      </c>
      <c r="BI82" s="1149">
        <v>855.99</v>
      </c>
      <c r="BJ82" s="1149">
        <v>0</v>
      </c>
      <c r="BK82" s="1149">
        <v>0</v>
      </c>
      <c r="BL82" s="1149">
        <v>0</v>
      </c>
      <c r="BM82" s="1147">
        <f t="shared" si="50"/>
        <v>1330</v>
      </c>
      <c r="BN82" s="1148">
        <v>28499.91</v>
      </c>
      <c r="BO82" s="1149">
        <v>3610</v>
      </c>
      <c r="BP82" s="1149">
        <v>5889.98</v>
      </c>
      <c r="BQ82" s="1149">
        <v>-0.04</v>
      </c>
      <c r="BR82" s="1149">
        <v>0</v>
      </c>
      <c r="BS82" s="1147">
        <f t="shared" si="51"/>
        <v>37999.85</v>
      </c>
      <c r="BT82" s="1148"/>
      <c r="BU82" s="1149"/>
      <c r="BV82" s="1149"/>
      <c r="BW82" s="1149"/>
      <c r="BX82" s="1149"/>
      <c r="BY82" s="1154">
        <f t="shared" si="52"/>
        <v>0</v>
      </c>
      <c r="BZ82" s="1148">
        <v>44512.4</v>
      </c>
      <c r="CA82" s="1149">
        <v>126744.7</v>
      </c>
      <c r="CB82" s="1149">
        <v>31413.03</v>
      </c>
      <c r="CC82" s="1149">
        <v>-0.17</v>
      </c>
      <c r="CD82" s="1149">
        <v>0</v>
      </c>
      <c r="CE82" s="1154">
        <f t="shared" si="53"/>
        <v>202669.96</v>
      </c>
      <c r="CF82" s="1148">
        <v>3067.14</v>
      </c>
      <c r="CG82" s="1149">
        <v>0</v>
      </c>
      <c r="CH82" s="1149">
        <v>5500.31</v>
      </c>
      <c r="CI82" s="1149">
        <v>0</v>
      </c>
      <c r="CJ82" s="1149">
        <v>0</v>
      </c>
      <c r="CK82" s="1154">
        <f t="shared" si="54"/>
        <v>8567.4500000000007</v>
      </c>
      <c r="CL82" s="1145"/>
      <c r="CM82" s="1146"/>
      <c r="CN82" s="1146"/>
      <c r="CO82" s="1146"/>
      <c r="CP82" s="1146"/>
      <c r="CQ82" s="1147">
        <f t="shared" si="55"/>
        <v>0</v>
      </c>
      <c r="CR82" s="1148"/>
      <c r="CS82" s="1149"/>
      <c r="CT82" s="1149"/>
      <c r="CU82" s="1149"/>
      <c r="CV82" s="1149"/>
      <c r="CW82" s="1154">
        <f t="shared" si="56"/>
        <v>0</v>
      </c>
      <c r="CX82" s="1148"/>
      <c r="CY82" s="1149"/>
      <c r="CZ82" s="1149"/>
      <c r="DA82" s="1149"/>
      <c r="DB82" s="1149"/>
      <c r="DC82" s="1147">
        <f t="shared" si="57"/>
        <v>0</v>
      </c>
      <c r="DD82" s="1148">
        <v>-1484.39</v>
      </c>
      <c r="DE82" s="1149">
        <v>0</v>
      </c>
      <c r="DF82" s="1149">
        <v>0</v>
      </c>
      <c r="DG82" s="1149">
        <v>0</v>
      </c>
      <c r="DH82" s="1149">
        <v>0</v>
      </c>
      <c r="DI82" s="1154">
        <f t="shared" si="58"/>
        <v>-1484.39</v>
      </c>
      <c r="DJ82" s="1233"/>
      <c r="DK82" s="1233"/>
      <c r="DL82" s="1233"/>
      <c r="DM82" s="1233"/>
      <c r="DN82" s="1233"/>
      <c r="DO82" s="1233">
        <f t="shared" si="59"/>
        <v>0</v>
      </c>
      <c r="DP82" s="1148">
        <v>6622.5</v>
      </c>
      <c r="DQ82" s="1149">
        <v>4569.5200000000004</v>
      </c>
      <c r="DR82" s="1149">
        <v>2052.98</v>
      </c>
      <c r="DS82" s="1149">
        <v>-0.03</v>
      </c>
      <c r="DT82" s="1149">
        <v>0</v>
      </c>
      <c r="DU82" s="1155">
        <f t="shared" si="60"/>
        <v>13244.97</v>
      </c>
      <c r="DV82" s="1148">
        <v>11244.7</v>
      </c>
      <c r="DW82" s="1149">
        <v>0</v>
      </c>
      <c r="DX82" s="1149">
        <v>2062.62</v>
      </c>
      <c r="DY82" s="1149">
        <v>0.06</v>
      </c>
      <c r="DZ82" s="1149">
        <v>0</v>
      </c>
      <c r="EA82" s="1154">
        <f t="shared" si="61"/>
        <v>13307.38</v>
      </c>
    </row>
    <row r="83" spans="1:131" ht="15" customHeight="1">
      <c r="A83" s="746" t="s">
        <v>204</v>
      </c>
      <c r="B83" s="844" t="s">
        <v>205</v>
      </c>
      <c r="C83" s="967" t="s">
        <v>265</v>
      </c>
      <c r="D83" s="842">
        <f t="shared" si="34"/>
        <v>27396.400000000005</v>
      </c>
      <c r="E83" s="842">
        <f t="shared" si="35"/>
        <v>11029.7</v>
      </c>
      <c r="F83" s="842">
        <f t="shared" si="36"/>
        <v>7902.3</v>
      </c>
      <c r="G83" s="842">
        <f t="shared" si="37"/>
        <v>-0.10000000000000002</v>
      </c>
      <c r="H83" s="842">
        <f t="shared" si="38"/>
        <v>0</v>
      </c>
      <c r="I83" s="1578">
        <f t="shared" si="39"/>
        <v>46328.30000000001</v>
      </c>
      <c r="J83" s="843">
        <f t="shared" si="40"/>
        <v>-0.10000000000000002</v>
      </c>
      <c r="K83" s="1579">
        <f t="shared" si="41"/>
        <v>7902.2</v>
      </c>
      <c r="L83" s="1116"/>
      <c r="M83" s="1117"/>
      <c r="N83" s="1117"/>
      <c r="O83" s="1117"/>
      <c r="P83" s="1117"/>
      <c r="Q83" s="1118">
        <f t="shared" si="42"/>
        <v>0</v>
      </c>
      <c r="R83" s="1133"/>
      <c r="S83" s="1134"/>
      <c r="T83" s="1134"/>
      <c r="U83" s="1134"/>
      <c r="V83" s="1134"/>
      <c r="W83" s="1132">
        <f t="shared" si="43"/>
        <v>0</v>
      </c>
      <c r="X83" s="1231"/>
      <c r="Y83" s="1231"/>
      <c r="Z83" s="1231"/>
      <c r="AA83" s="1231"/>
      <c r="AB83" s="1231"/>
      <c r="AC83" s="1231">
        <f t="shared" si="44"/>
        <v>0</v>
      </c>
      <c r="AD83" s="1127">
        <v>5001.75</v>
      </c>
      <c r="AE83" s="1128">
        <v>29.78</v>
      </c>
      <c r="AF83" s="1128">
        <v>922.93999999999994</v>
      </c>
      <c r="AG83" s="1128">
        <v>0</v>
      </c>
      <c r="AH83" s="1128">
        <v>0</v>
      </c>
      <c r="AI83" s="1124">
        <f t="shared" si="45"/>
        <v>5954.4699999999993</v>
      </c>
      <c r="AJ83" s="1148">
        <v>11124.4</v>
      </c>
      <c r="AK83" s="1149">
        <v>0</v>
      </c>
      <c r="AL83" s="1149">
        <v>2781.1</v>
      </c>
      <c r="AM83" s="1149">
        <v>0</v>
      </c>
      <c r="AN83" s="1149">
        <v>0</v>
      </c>
      <c r="AO83" s="1154">
        <f t="shared" si="46"/>
        <v>13905.5</v>
      </c>
      <c r="AP83" s="1127">
        <v>394.75</v>
      </c>
      <c r="AQ83" s="1128">
        <v>243.23000000000002</v>
      </c>
      <c r="AR83" s="1128">
        <v>117.03</v>
      </c>
      <c r="AS83" s="1128">
        <v>-0.01</v>
      </c>
      <c r="AT83" s="1128">
        <v>0</v>
      </c>
      <c r="AU83" s="1137">
        <f t="shared" si="47"/>
        <v>755</v>
      </c>
      <c r="AV83" s="1141">
        <v>309.11</v>
      </c>
      <c r="AW83" s="1142">
        <v>77.28</v>
      </c>
      <c r="AX83" s="1142">
        <v>0</v>
      </c>
      <c r="AY83" s="1142">
        <v>0</v>
      </c>
      <c r="AZ83" s="1142">
        <v>0</v>
      </c>
      <c r="BA83" s="1140">
        <f t="shared" si="48"/>
        <v>386.39</v>
      </c>
      <c r="BB83" s="1131">
        <v>510.4</v>
      </c>
      <c r="BC83" s="1131">
        <v>127.6</v>
      </c>
      <c r="BD83" s="1131">
        <v>0</v>
      </c>
      <c r="BE83" s="1131">
        <v>0</v>
      </c>
      <c r="BF83" s="1131">
        <v>0</v>
      </c>
      <c r="BG83" s="1132">
        <f t="shared" si="49"/>
        <v>638</v>
      </c>
      <c r="BH83" s="1145">
        <v>187.11</v>
      </c>
      <c r="BI83" s="1146">
        <v>337.89</v>
      </c>
      <c r="BJ83" s="1146">
        <v>0</v>
      </c>
      <c r="BK83" s="1146">
        <v>0</v>
      </c>
      <c r="BL83" s="1146">
        <v>0</v>
      </c>
      <c r="BM83" s="1147">
        <f t="shared" si="50"/>
        <v>525</v>
      </c>
      <c r="BN83" s="1148">
        <v>6273.75</v>
      </c>
      <c r="BO83" s="1149">
        <v>794.7</v>
      </c>
      <c r="BP83" s="1149">
        <v>1296.6000000000001</v>
      </c>
      <c r="BQ83" s="1149">
        <v>-0.05</v>
      </c>
      <c r="BR83" s="1149">
        <v>0</v>
      </c>
      <c r="BS83" s="1147">
        <f t="shared" si="51"/>
        <v>8365</v>
      </c>
      <c r="BT83" s="1148"/>
      <c r="BU83" s="1149"/>
      <c r="BV83" s="1149"/>
      <c r="BW83" s="1149"/>
      <c r="BX83" s="1149"/>
      <c r="BY83" s="1154">
        <f t="shared" si="52"/>
        <v>0</v>
      </c>
      <c r="BZ83" s="1148">
        <v>3303.1</v>
      </c>
      <c r="CA83" s="1149">
        <v>9419.2200000000012</v>
      </c>
      <c r="CB83" s="1149">
        <v>2333.67</v>
      </c>
      <c r="CC83" s="1149">
        <v>-0.14000000000000001</v>
      </c>
      <c r="CD83" s="1149">
        <v>0</v>
      </c>
      <c r="CE83" s="1154">
        <f t="shared" si="53"/>
        <v>15055.850000000002</v>
      </c>
      <c r="CF83" s="1145"/>
      <c r="CG83" s="1146"/>
      <c r="CH83" s="1146"/>
      <c r="CI83" s="1146"/>
      <c r="CJ83" s="1146"/>
      <c r="CK83" s="1154">
        <f t="shared" si="54"/>
        <v>0</v>
      </c>
      <c r="CL83" s="1145"/>
      <c r="CM83" s="1146"/>
      <c r="CN83" s="1146"/>
      <c r="CO83" s="1146"/>
      <c r="CP83" s="1146"/>
      <c r="CQ83" s="1147">
        <f t="shared" si="55"/>
        <v>0</v>
      </c>
      <c r="CR83" s="1148"/>
      <c r="CS83" s="1149"/>
      <c r="CT83" s="1149"/>
      <c r="CU83" s="1149"/>
      <c r="CV83" s="1149"/>
      <c r="CW83" s="1154">
        <f t="shared" si="56"/>
        <v>0</v>
      </c>
      <c r="CX83" s="1145"/>
      <c r="CY83" s="1146"/>
      <c r="CZ83" s="1146"/>
      <c r="DA83" s="1146"/>
      <c r="DB83" s="1146"/>
      <c r="DC83" s="1147">
        <f t="shared" si="57"/>
        <v>0</v>
      </c>
      <c r="DD83" s="1148">
        <v>-2166.6</v>
      </c>
      <c r="DE83" s="1149">
        <v>0</v>
      </c>
      <c r="DF83" s="1149">
        <v>0</v>
      </c>
      <c r="DG83" s="1149">
        <v>0</v>
      </c>
      <c r="DH83" s="1149">
        <v>0</v>
      </c>
      <c r="DI83" s="1154">
        <f t="shared" si="58"/>
        <v>-2166.6</v>
      </c>
      <c r="DJ83" s="1234"/>
      <c r="DK83" s="1234"/>
      <c r="DL83" s="1234"/>
      <c r="DM83" s="1234"/>
      <c r="DN83" s="1234"/>
      <c r="DO83" s="1233">
        <f t="shared" si="59"/>
        <v>0</v>
      </c>
      <c r="DP83" s="1145"/>
      <c r="DQ83" s="1146"/>
      <c r="DR83" s="1146"/>
      <c r="DS83" s="1146"/>
      <c r="DT83" s="1146"/>
      <c r="DU83" s="1155">
        <f t="shared" si="60"/>
        <v>0</v>
      </c>
      <c r="DV83" s="1148">
        <v>2458.63</v>
      </c>
      <c r="DW83" s="1149">
        <v>0</v>
      </c>
      <c r="DX83" s="1149">
        <v>450.96000000000004</v>
      </c>
      <c r="DY83" s="1149">
        <v>9.9999999999999992E-2</v>
      </c>
      <c r="DZ83" s="1149">
        <v>0</v>
      </c>
      <c r="EA83" s="1154">
        <f t="shared" si="61"/>
        <v>2909.69</v>
      </c>
    </row>
    <row r="84" spans="1:131" ht="15" customHeight="1">
      <c r="A84" s="746" t="s">
        <v>206</v>
      </c>
      <c r="B84" s="844" t="s">
        <v>207</v>
      </c>
      <c r="C84" s="967" t="s">
        <v>267</v>
      </c>
      <c r="D84" s="842">
        <f t="shared" si="34"/>
        <v>133117.58000000002</v>
      </c>
      <c r="E84" s="842">
        <f t="shared" si="35"/>
        <v>105960.62000000001</v>
      </c>
      <c r="F84" s="842">
        <f t="shared" si="36"/>
        <v>47753.21</v>
      </c>
      <c r="G84" s="842">
        <f t="shared" si="37"/>
        <v>-0.26</v>
      </c>
      <c r="H84" s="842">
        <f t="shared" si="38"/>
        <v>0</v>
      </c>
      <c r="I84" s="1578">
        <f t="shared" si="39"/>
        <v>286831.15000000002</v>
      </c>
      <c r="J84" s="843">
        <f t="shared" si="40"/>
        <v>-0.26</v>
      </c>
      <c r="K84" s="1579">
        <f t="shared" si="41"/>
        <v>47752.95</v>
      </c>
      <c r="L84" s="1116"/>
      <c r="M84" s="1117"/>
      <c r="N84" s="1117"/>
      <c r="O84" s="1117"/>
      <c r="P84" s="1117"/>
      <c r="Q84" s="1118">
        <f t="shared" si="42"/>
        <v>0</v>
      </c>
      <c r="R84" s="1133"/>
      <c r="S84" s="1134"/>
      <c r="T84" s="1134"/>
      <c r="U84" s="1134"/>
      <c r="V84" s="1134"/>
      <c r="W84" s="1132">
        <f t="shared" si="43"/>
        <v>0</v>
      </c>
      <c r="X84" s="1231"/>
      <c r="Y84" s="1231"/>
      <c r="Z84" s="1231"/>
      <c r="AA84" s="1231"/>
      <c r="AB84" s="1231"/>
      <c r="AC84" s="1231">
        <f t="shared" si="44"/>
        <v>0</v>
      </c>
      <c r="AD84" s="1127">
        <v>7389</v>
      </c>
      <c r="AE84" s="1128">
        <v>44.019999999999996</v>
      </c>
      <c r="AF84" s="1128">
        <v>1363.48</v>
      </c>
      <c r="AG84" s="1128">
        <v>-0.09</v>
      </c>
      <c r="AH84" s="1128">
        <v>0</v>
      </c>
      <c r="AI84" s="1124">
        <f t="shared" si="45"/>
        <v>8796.41</v>
      </c>
      <c r="AJ84" s="1148">
        <v>21521.010000000002</v>
      </c>
      <c r="AK84" s="1149">
        <v>0</v>
      </c>
      <c r="AL84" s="1149">
        <v>5380.3</v>
      </c>
      <c r="AM84" s="1149">
        <v>0</v>
      </c>
      <c r="AN84" s="1149">
        <v>0</v>
      </c>
      <c r="AO84" s="1154">
        <f t="shared" si="46"/>
        <v>26901.31</v>
      </c>
      <c r="AP84" s="1125"/>
      <c r="AQ84" s="1126"/>
      <c r="AR84" s="1126"/>
      <c r="AS84" s="1126"/>
      <c r="AT84" s="1126"/>
      <c r="AU84" s="1137">
        <f t="shared" si="47"/>
        <v>0</v>
      </c>
      <c r="AV84" s="1141">
        <v>9986.7799999999988</v>
      </c>
      <c r="AW84" s="1142">
        <v>2496.71</v>
      </c>
      <c r="AX84" s="1142">
        <v>0</v>
      </c>
      <c r="AY84" s="1142">
        <v>0</v>
      </c>
      <c r="AZ84" s="1142">
        <v>0</v>
      </c>
      <c r="BA84" s="1140">
        <f t="shared" si="48"/>
        <v>12483.489999999998</v>
      </c>
      <c r="BB84" s="1131">
        <v>15239.19</v>
      </c>
      <c r="BC84" s="1131">
        <v>3809.8</v>
      </c>
      <c r="BD84" s="1131">
        <v>0</v>
      </c>
      <c r="BE84" s="1131">
        <v>0</v>
      </c>
      <c r="BF84" s="1131">
        <v>0</v>
      </c>
      <c r="BG84" s="1132">
        <f t="shared" si="49"/>
        <v>19048.990000000002</v>
      </c>
      <c r="BH84" s="1148">
        <v>570.24</v>
      </c>
      <c r="BI84" s="1149">
        <v>1029.76</v>
      </c>
      <c r="BJ84" s="1149">
        <v>0</v>
      </c>
      <c r="BK84" s="1149">
        <v>0</v>
      </c>
      <c r="BL84" s="1149">
        <v>0</v>
      </c>
      <c r="BM84" s="1147">
        <f t="shared" si="50"/>
        <v>1600</v>
      </c>
      <c r="BN84" s="1148">
        <v>5215.99</v>
      </c>
      <c r="BO84" s="1149">
        <v>660.74</v>
      </c>
      <c r="BP84" s="1149">
        <v>1078</v>
      </c>
      <c r="BQ84" s="1149">
        <v>-0.1</v>
      </c>
      <c r="BR84" s="1149">
        <v>0</v>
      </c>
      <c r="BS84" s="1147">
        <f t="shared" si="51"/>
        <v>6954.6299999999992</v>
      </c>
      <c r="BT84" s="1148"/>
      <c r="BU84" s="1149"/>
      <c r="BV84" s="1149"/>
      <c r="BW84" s="1149"/>
      <c r="BX84" s="1149"/>
      <c r="BY84" s="1154">
        <f t="shared" si="52"/>
        <v>0</v>
      </c>
      <c r="BZ84" s="1148">
        <v>53609.96</v>
      </c>
      <c r="CA84" s="1149">
        <v>90922.99</v>
      </c>
      <c r="CB84" s="1149">
        <v>26510.83</v>
      </c>
      <c r="CC84" s="1149">
        <v>-0.17</v>
      </c>
      <c r="CD84" s="1149">
        <v>0</v>
      </c>
      <c r="CE84" s="1154">
        <f t="shared" si="53"/>
        <v>171043.61000000002</v>
      </c>
      <c r="CF84" s="1148">
        <v>5307.68</v>
      </c>
      <c r="CG84" s="1149">
        <v>0</v>
      </c>
      <c r="CH84" s="1149">
        <v>9518.25</v>
      </c>
      <c r="CI84" s="1149">
        <v>0</v>
      </c>
      <c r="CJ84" s="1149">
        <v>0</v>
      </c>
      <c r="CK84" s="1154">
        <f t="shared" si="54"/>
        <v>14825.93</v>
      </c>
      <c r="CL84" s="1145"/>
      <c r="CM84" s="1146"/>
      <c r="CN84" s="1146"/>
      <c r="CO84" s="1146"/>
      <c r="CP84" s="1146"/>
      <c r="CQ84" s="1147">
        <f t="shared" si="55"/>
        <v>0</v>
      </c>
      <c r="CR84" s="1148"/>
      <c r="CS84" s="1149"/>
      <c r="CT84" s="1149"/>
      <c r="CU84" s="1149"/>
      <c r="CV84" s="1149"/>
      <c r="CW84" s="1154">
        <f t="shared" si="56"/>
        <v>0</v>
      </c>
      <c r="CX84" s="1148"/>
      <c r="CY84" s="1149"/>
      <c r="CZ84" s="1149"/>
      <c r="DA84" s="1149"/>
      <c r="DB84" s="1149"/>
      <c r="DC84" s="1147">
        <f t="shared" si="57"/>
        <v>0</v>
      </c>
      <c r="DD84" s="1148"/>
      <c r="DE84" s="1149"/>
      <c r="DF84" s="1149"/>
      <c r="DG84" s="1149"/>
      <c r="DH84" s="1149"/>
      <c r="DI84" s="1154">
        <f t="shared" si="58"/>
        <v>0</v>
      </c>
      <c r="DJ84" s="1233"/>
      <c r="DK84" s="1233"/>
      <c r="DL84" s="1233"/>
      <c r="DM84" s="1233"/>
      <c r="DN84" s="1233"/>
      <c r="DO84" s="1233">
        <f t="shared" si="59"/>
        <v>0</v>
      </c>
      <c r="DP84" s="1148">
        <v>10140</v>
      </c>
      <c r="DQ84" s="1149">
        <v>6996.6</v>
      </c>
      <c r="DR84" s="1149">
        <v>3143.4</v>
      </c>
      <c r="DS84" s="1149">
        <v>0</v>
      </c>
      <c r="DT84" s="1149">
        <v>0</v>
      </c>
      <c r="DU84" s="1155">
        <f t="shared" si="60"/>
        <v>20280</v>
      </c>
      <c r="DV84" s="1148">
        <v>4137.7299999999996</v>
      </c>
      <c r="DW84" s="1149">
        <v>0</v>
      </c>
      <c r="DX84" s="1149">
        <v>758.95</v>
      </c>
      <c r="DY84" s="1149">
        <v>0.1</v>
      </c>
      <c r="DZ84" s="1149">
        <v>0</v>
      </c>
      <c r="EA84" s="1154">
        <f t="shared" si="61"/>
        <v>4896.78</v>
      </c>
    </row>
    <row r="85" spans="1:131" ht="15" customHeight="1">
      <c r="A85" s="746" t="s">
        <v>208</v>
      </c>
      <c r="B85" s="844" t="s">
        <v>209</v>
      </c>
      <c r="C85" s="967" t="s">
        <v>268</v>
      </c>
      <c r="D85" s="842">
        <f t="shared" si="34"/>
        <v>111628.17</v>
      </c>
      <c r="E85" s="842">
        <f t="shared" si="35"/>
        <v>48594.559999999998</v>
      </c>
      <c r="F85" s="842">
        <f t="shared" si="36"/>
        <v>29519.03</v>
      </c>
      <c r="G85" s="842">
        <f t="shared" si="37"/>
        <v>-0.17999999999999997</v>
      </c>
      <c r="H85" s="842">
        <f t="shared" si="38"/>
        <v>0</v>
      </c>
      <c r="I85" s="1578">
        <f t="shared" si="39"/>
        <v>189741.58</v>
      </c>
      <c r="J85" s="843">
        <f t="shared" si="40"/>
        <v>-0.17999999999999997</v>
      </c>
      <c r="K85" s="1579">
        <f t="shared" si="41"/>
        <v>29518.85</v>
      </c>
      <c r="L85" s="1116"/>
      <c r="M85" s="1117"/>
      <c r="N85" s="1117"/>
      <c r="O85" s="1117"/>
      <c r="P85" s="1117"/>
      <c r="Q85" s="1118">
        <f t="shared" si="42"/>
        <v>0</v>
      </c>
      <c r="R85" s="1133"/>
      <c r="S85" s="1134"/>
      <c r="T85" s="1134"/>
      <c r="U85" s="1134"/>
      <c r="V85" s="1134"/>
      <c r="W85" s="1132">
        <f t="shared" si="43"/>
        <v>0</v>
      </c>
      <c r="X85" s="1231"/>
      <c r="Y85" s="1231"/>
      <c r="Z85" s="1231"/>
      <c r="AA85" s="1231"/>
      <c r="AB85" s="1231"/>
      <c r="AC85" s="1231">
        <f t="shared" si="44"/>
        <v>0</v>
      </c>
      <c r="AD85" s="1127">
        <v>8689.7999999999993</v>
      </c>
      <c r="AE85" s="1128">
        <v>51.72</v>
      </c>
      <c r="AF85" s="1128">
        <v>1603.48</v>
      </c>
      <c r="AG85" s="1128">
        <v>0</v>
      </c>
      <c r="AH85" s="1128">
        <v>0</v>
      </c>
      <c r="AI85" s="1124">
        <f t="shared" si="45"/>
        <v>10344.999999999998</v>
      </c>
      <c r="AJ85" s="1148">
        <v>39118.11</v>
      </c>
      <c r="AK85" s="1149">
        <v>0</v>
      </c>
      <c r="AL85" s="1149">
        <v>9779.52</v>
      </c>
      <c r="AM85" s="1149">
        <v>0</v>
      </c>
      <c r="AN85" s="1149">
        <v>0</v>
      </c>
      <c r="AO85" s="1154">
        <f t="shared" si="46"/>
        <v>48897.630000000005</v>
      </c>
      <c r="AP85" s="1125"/>
      <c r="AQ85" s="1126"/>
      <c r="AR85" s="1126"/>
      <c r="AS85" s="1126"/>
      <c r="AT85" s="1126"/>
      <c r="AU85" s="1137">
        <f t="shared" si="47"/>
        <v>0</v>
      </c>
      <c r="AV85" s="1138"/>
      <c r="AW85" s="1139"/>
      <c r="AX85" s="1139"/>
      <c r="AY85" s="1139"/>
      <c r="AZ85" s="1139"/>
      <c r="BA85" s="1140">
        <f t="shared" si="48"/>
        <v>0</v>
      </c>
      <c r="BB85" s="1131">
        <v>10792.05</v>
      </c>
      <c r="BC85" s="1131">
        <v>2697.99</v>
      </c>
      <c r="BD85" s="1131">
        <v>0</v>
      </c>
      <c r="BE85" s="1131">
        <v>0</v>
      </c>
      <c r="BF85" s="1131">
        <v>0</v>
      </c>
      <c r="BG85" s="1132">
        <f t="shared" si="49"/>
        <v>13490.039999999999</v>
      </c>
      <c r="BH85" s="1145"/>
      <c r="BI85" s="1146"/>
      <c r="BJ85" s="1146"/>
      <c r="BK85" s="1146"/>
      <c r="BL85" s="1146"/>
      <c r="BM85" s="1147">
        <f t="shared" si="50"/>
        <v>0</v>
      </c>
      <c r="BN85" s="1148">
        <v>19317.25</v>
      </c>
      <c r="BO85" s="1149">
        <v>2446.85</v>
      </c>
      <c r="BP85" s="1149">
        <v>3992.23</v>
      </c>
      <c r="BQ85" s="1149">
        <v>-0.06</v>
      </c>
      <c r="BR85" s="1149">
        <v>0</v>
      </c>
      <c r="BS85" s="1147">
        <f t="shared" si="51"/>
        <v>25756.269999999997</v>
      </c>
      <c r="BT85" s="1148"/>
      <c r="BU85" s="1149"/>
      <c r="BV85" s="1149"/>
      <c r="BW85" s="1149"/>
      <c r="BX85" s="1149"/>
      <c r="BY85" s="1154">
        <f t="shared" si="52"/>
        <v>0</v>
      </c>
      <c r="BZ85" s="1148">
        <v>18731.509999999998</v>
      </c>
      <c r="CA85" s="1149">
        <v>40836.370000000003</v>
      </c>
      <c r="CB85" s="1149">
        <v>10926.22</v>
      </c>
      <c r="CC85" s="1149">
        <v>-0.11</v>
      </c>
      <c r="CD85" s="1149">
        <v>0</v>
      </c>
      <c r="CE85" s="1154">
        <f t="shared" si="53"/>
        <v>70493.990000000005</v>
      </c>
      <c r="CF85" s="1145"/>
      <c r="CG85" s="1146"/>
      <c r="CH85" s="1146"/>
      <c r="CI85" s="1146"/>
      <c r="CJ85" s="1146"/>
      <c r="CK85" s="1154">
        <f t="shared" si="54"/>
        <v>0</v>
      </c>
      <c r="CL85" s="1145"/>
      <c r="CM85" s="1146"/>
      <c r="CN85" s="1146"/>
      <c r="CO85" s="1146"/>
      <c r="CP85" s="1146"/>
      <c r="CQ85" s="1147">
        <f t="shared" si="55"/>
        <v>0</v>
      </c>
      <c r="CR85" s="1145"/>
      <c r="CS85" s="1146"/>
      <c r="CT85" s="1146"/>
      <c r="CU85" s="1146"/>
      <c r="CV85" s="1146"/>
      <c r="CW85" s="1154">
        <f t="shared" si="56"/>
        <v>0</v>
      </c>
      <c r="CX85" s="1145"/>
      <c r="CY85" s="1146"/>
      <c r="CZ85" s="1146"/>
      <c r="DA85" s="1146"/>
      <c r="DB85" s="1146"/>
      <c r="DC85" s="1147">
        <f t="shared" si="57"/>
        <v>0</v>
      </c>
      <c r="DD85" s="1148"/>
      <c r="DE85" s="1149"/>
      <c r="DF85" s="1149"/>
      <c r="DG85" s="1149"/>
      <c r="DH85" s="1149"/>
      <c r="DI85" s="1154">
        <f t="shared" si="58"/>
        <v>0</v>
      </c>
      <c r="DJ85" s="1234"/>
      <c r="DK85" s="1234"/>
      <c r="DL85" s="1234"/>
      <c r="DM85" s="1234"/>
      <c r="DN85" s="1234"/>
      <c r="DO85" s="1233">
        <f t="shared" si="59"/>
        <v>0</v>
      </c>
      <c r="DP85" s="1145">
        <v>3712.51</v>
      </c>
      <c r="DQ85" s="1146">
        <v>2561.63</v>
      </c>
      <c r="DR85" s="1146">
        <v>1150.8800000000001</v>
      </c>
      <c r="DS85" s="1146">
        <v>-0.02</v>
      </c>
      <c r="DT85" s="1146">
        <v>0</v>
      </c>
      <c r="DU85" s="1155">
        <f t="shared" si="60"/>
        <v>7425</v>
      </c>
      <c r="DV85" s="1148">
        <v>11266.94</v>
      </c>
      <c r="DW85" s="1149">
        <v>0</v>
      </c>
      <c r="DX85" s="1149">
        <v>2066.6999999999998</v>
      </c>
      <c r="DY85" s="1149">
        <v>0.01</v>
      </c>
      <c r="DZ85" s="1149">
        <v>0</v>
      </c>
      <c r="EA85" s="1154">
        <f t="shared" si="61"/>
        <v>13333.65</v>
      </c>
    </row>
    <row r="86" spans="1:131" ht="15" customHeight="1">
      <c r="A86" s="746" t="s">
        <v>210</v>
      </c>
      <c r="B86" s="844" t="s">
        <v>211</v>
      </c>
      <c r="C86" s="967" t="s">
        <v>268</v>
      </c>
      <c r="D86" s="842">
        <f t="shared" si="34"/>
        <v>64188.73</v>
      </c>
      <c r="E86" s="842">
        <f t="shared" si="35"/>
        <v>89567.890000000014</v>
      </c>
      <c r="F86" s="842">
        <f t="shared" si="36"/>
        <v>22290.720000000001</v>
      </c>
      <c r="G86" s="842">
        <f t="shared" si="37"/>
        <v>2132.6099999999997</v>
      </c>
      <c r="H86" s="842">
        <f t="shared" si="38"/>
        <v>0</v>
      </c>
      <c r="I86" s="1578">
        <f t="shared" si="39"/>
        <v>178179.95</v>
      </c>
      <c r="J86" s="843">
        <f t="shared" si="40"/>
        <v>2132.6099999999997</v>
      </c>
      <c r="K86" s="1579">
        <f t="shared" si="41"/>
        <v>24423.33</v>
      </c>
      <c r="L86" s="1119">
        <v>0</v>
      </c>
      <c r="M86" s="1120">
        <v>16867.080000000002</v>
      </c>
      <c r="N86" s="1120">
        <v>0</v>
      </c>
      <c r="O86" s="1120">
        <v>2132.67</v>
      </c>
      <c r="P86" s="1120">
        <v>0</v>
      </c>
      <c r="Q86" s="1118">
        <f t="shared" si="42"/>
        <v>18999.75</v>
      </c>
      <c r="R86" s="1133"/>
      <c r="S86" s="1134"/>
      <c r="T86" s="1134"/>
      <c r="U86" s="1134"/>
      <c r="V86" s="1134"/>
      <c r="W86" s="1132">
        <f t="shared" si="43"/>
        <v>0</v>
      </c>
      <c r="X86" s="1231"/>
      <c r="Y86" s="1231"/>
      <c r="Z86" s="1231"/>
      <c r="AA86" s="1231"/>
      <c r="AB86" s="1231"/>
      <c r="AC86" s="1231">
        <f t="shared" si="44"/>
        <v>0</v>
      </c>
      <c r="AD86" s="1127">
        <v>5259.28</v>
      </c>
      <c r="AE86" s="1128">
        <v>31.32</v>
      </c>
      <c r="AF86" s="1128">
        <v>970.46</v>
      </c>
      <c r="AG86" s="1128">
        <v>-0.01</v>
      </c>
      <c r="AH86" s="1128">
        <v>0</v>
      </c>
      <c r="AI86" s="1124">
        <f t="shared" si="45"/>
        <v>6261.0499999999993</v>
      </c>
      <c r="AJ86" s="1148">
        <v>9076.5400000000009</v>
      </c>
      <c r="AK86" s="1149">
        <v>0</v>
      </c>
      <c r="AL86" s="1149">
        <v>2269.13</v>
      </c>
      <c r="AM86" s="1149">
        <v>0</v>
      </c>
      <c r="AN86" s="1149">
        <v>0</v>
      </c>
      <c r="AO86" s="1154">
        <f t="shared" si="46"/>
        <v>11345.670000000002</v>
      </c>
      <c r="AP86" s="1125"/>
      <c r="AQ86" s="1126"/>
      <c r="AR86" s="1126"/>
      <c r="AS86" s="1126"/>
      <c r="AT86" s="1126"/>
      <c r="AU86" s="1137">
        <f t="shared" si="47"/>
        <v>0</v>
      </c>
      <c r="AV86" s="1141">
        <v>7983.17</v>
      </c>
      <c r="AW86" s="1142">
        <v>1995.79</v>
      </c>
      <c r="AX86" s="1142">
        <v>0</v>
      </c>
      <c r="AY86" s="1142">
        <v>0</v>
      </c>
      <c r="AZ86" s="1142">
        <v>0</v>
      </c>
      <c r="BA86" s="1140">
        <f t="shared" si="48"/>
        <v>9978.9599999999991</v>
      </c>
      <c r="BB86" s="1131">
        <v>5677.88</v>
      </c>
      <c r="BC86" s="1131">
        <v>1419.47</v>
      </c>
      <c r="BD86" s="1131">
        <v>0</v>
      </c>
      <c r="BE86" s="1131">
        <v>0</v>
      </c>
      <c r="BF86" s="1131">
        <v>0</v>
      </c>
      <c r="BG86" s="1132">
        <f t="shared" si="49"/>
        <v>7097.35</v>
      </c>
      <c r="BH86" s="1148">
        <v>564.53</v>
      </c>
      <c r="BI86" s="1149">
        <v>1019.47</v>
      </c>
      <c r="BJ86" s="1149">
        <v>0</v>
      </c>
      <c r="BK86" s="1149">
        <v>0</v>
      </c>
      <c r="BL86" s="1149">
        <v>0</v>
      </c>
      <c r="BM86" s="1147">
        <f t="shared" si="50"/>
        <v>1584</v>
      </c>
      <c r="BN86" s="1148">
        <v>1499.52</v>
      </c>
      <c r="BO86" s="1149">
        <v>189.96</v>
      </c>
      <c r="BP86" s="1149">
        <v>309.92</v>
      </c>
      <c r="BQ86" s="1149">
        <v>-0.03</v>
      </c>
      <c r="BR86" s="1149">
        <v>0</v>
      </c>
      <c r="BS86" s="1147">
        <f t="shared" si="51"/>
        <v>1999.3700000000001</v>
      </c>
      <c r="BT86" s="1148"/>
      <c r="BU86" s="1149"/>
      <c r="BV86" s="1149"/>
      <c r="BW86" s="1149"/>
      <c r="BX86" s="1149"/>
      <c r="BY86" s="1154">
        <f t="shared" si="52"/>
        <v>0</v>
      </c>
      <c r="BZ86" s="1148">
        <v>23187.05</v>
      </c>
      <c r="CA86" s="1149">
        <v>65767.8</v>
      </c>
      <c r="CB86" s="1149">
        <v>16316.67</v>
      </c>
      <c r="CC86" s="1149">
        <v>-7.0000000000000007E-2</v>
      </c>
      <c r="CD86" s="1149">
        <v>0</v>
      </c>
      <c r="CE86" s="1154">
        <f t="shared" si="53"/>
        <v>105271.45</v>
      </c>
      <c r="CF86" s="1145"/>
      <c r="CG86" s="1146"/>
      <c r="CH86" s="1146"/>
      <c r="CI86" s="1146"/>
      <c r="CJ86" s="1146"/>
      <c r="CK86" s="1154">
        <f t="shared" si="54"/>
        <v>0</v>
      </c>
      <c r="CL86" s="1145"/>
      <c r="CM86" s="1146"/>
      <c r="CN86" s="1146"/>
      <c r="CO86" s="1146"/>
      <c r="CP86" s="1146"/>
      <c r="CQ86" s="1147">
        <f t="shared" si="55"/>
        <v>0</v>
      </c>
      <c r="CR86" s="1145"/>
      <c r="CS86" s="1146"/>
      <c r="CT86" s="1146"/>
      <c r="CU86" s="1146"/>
      <c r="CV86" s="1146"/>
      <c r="CW86" s="1154">
        <f t="shared" si="56"/>
        <v>0</v>
      </c>
      <c r="CX86" s="1145"/>
      <c r="CY86" s="1146"/>
      <c r="CZ86" s="1146"/>
      <c r="DA86" s="1146"/>
      <c r="DB86" s="1146"/>
      <c r="DC86" s="1147">
        <f t="shared" si="57"/>
        <v>0</v>
      </c>
      <c r="DD86" s="1148"/>
      <c r="DE86" s="1149"/>
      <c r="DF86" s="1149"/>
      <c r="DG86" s="1149"/>
      <c r="DH86" s="1149"/>
      <c r="DI86" s="1154">
        <f t="shared" si="58"/>
        <v>0</v>
      </c>
      <c r="DJ86" s="1233"/>
      <c r="DK86" s="1233"/>
      <c r="DL86" s="1233"/>
      <c r="DM86" s="1233"/>
      <c r="DN86" s="1233"/>
      <c r="DO86" s="1233">
        <f t="shared" si="59"/>
        <v>0</v>
      </c>
      <c r="DP86" s="1148">
        <v>3300</v>
      </c>
      <c r="DQ86" s="1149">
        <v>2277</v>
      </c>
      <c r="DR86" s="1149">
        <v>1023</v>
      </c>
      <c r="DS86" s="1149">
        <v>0</v>
      </c>
      <c r="DT86" s="1149">
        <v>0</v>
      </c>
      <c r="DU86" s="1155">
        <f t="shared" si="60"/>
        <v>6600</v>
      </c>
      <c r="DV86" s="1148">
        <v>7640.76</v>
      </c>
      <c r="DW86" s="1149">
        <v>0</v>
      </c>
      <c r="DX86" s="1149">
        <v>1401.54</v>
      </c>
      <c r="DY86" s="1149">
        <v>0.05</v>
      </c>
      <c r="DZ86" s="1149">
        <v>0</v>
      </c>
      <c r="EA86" s="1154">
        <f t="shared" si="61"/>
        <v>9042.3499999999985</v>
      </c>
    </row>
    <row r="87" spans="1:131" ht="15" customHeight="1">
      <c r="A87" s="746" t="s">
        <v>212</v>
      </c>
      <c r="B87" s="844" t="s">
        <v>213</v>
      </c>
      <c r="C87" s="967" t="s">
        <v>267</v>
      </c>
      <c r="D87" s="842">
        <f t="shared" si="34"/>
        <v>47734.82</v>
      </c>
      <c r="E87" s="842">
        <f t="shared" si="35"/>
        <v>37045.789999999994</v>
      </c>
      <c r="F87" s="842">
        <f t="shared" si="36"/>
        <v>13337.23</v>
      </c>
      <c r="G87" s="842">
        <f t="shared" si="37"/>
        <v>4.0000000000000008E-2</v>
      </c>
      <c r="H87" s="842">
        <f t="shared" si="38"/>
        <v>0</v>
      </c>
      <c r="I87" s="1578">
        <f t="shared" si="39"/>
        <v>98117.879999999976</v>
      </c>
      <c r="J87" s="843">
        <f t="shared" si="40"/>
        <v>4.0000000000000008E-2</v>
      </c>
      <c r="K87" s="1579">
        <f t="shared" si="41"/>
        <v>13337.27</v>
      </c>
      <c r="L87" s="1119">
        <v>0</v>
      </c>
      <c r="M87" s="1120">
        <v>7219.14</v>
      </c>
      <c r="N87" s="1120">
        <v>0</v>
      </c>
      <c r="O87" s="1120">
        <v>0</v>
      </c>
      <c r="P87" s="1120">
        <v>0</v>
      </c>
      <c r="Q87" s="1118">
        <f t="shared" si="42"/>
        <v>7219.14</v>
      </c>
      <c r="R87" s="1135"/>
      <c r="S87" s="1136"/>
      <c r="T87" s="1136"/>
      <c r="U87" s="1136"/>
      <c r="V87" s="1136"/>
      <c r="W87" s="1132">
        <f t="shared" si="43"/>
        <v>0</v>
      </c>
      <c r="X87" s="1231">
        <v>0</v>
      </c>
      <c r="Y87" s="1231">
        <v>14934.14</v>
      </c>
      <c r="Z87" s="1231">
        <v>0</v>
      </c>
      <c r="AA87" s="1231">
        <v>0</v>
      </c>
      <c r="AB87" s="1231">
        <v>0</v>
      </c>
      <c r="AC87" s="1231">
        <f t="shared" si="44"/>
        <v>14934.14</v>
      </c>
      <c r="AD87" s="1127">
        <v>3779.91</v>
      </c>
      <c r="AE87" s="1128">
        <v>22.51</v>
      </c>
      <c r="AF87" s="1128">
        <v>697.5</v>
      </c>
      <c r="AG87" s="1128">
        <v>-0.03</v>
      </c>
      <c r="AH87" s="1128">
        <v>0</v>
      </c>
      <c r="AI87" s="1124">
        <f t="shared" si="45"/>
        <v>4499.8900000000003</v>
      </c>
      <c r="AJ87" s="1148">
        <v>11960.67</v>
      </c>
      <c r="AK87" s="1149">
        <v>0</v>
      </c>
      <c r="AL87" s="1149">
        <v>2990.16</v>
      </c>
      <c r="AM87" s="1149">
        <v>0</v>
      </c>
      <c r="AN87" s="1149">
        <v>0</v>
      </c>
      <c r="AO87" s="1154">
        <f t="shared" si="46"/>
        <v>14950.83</v>
      </c>
      <c r="AP87" s="1125"/>
      <c r="AQ87" s="1126"/>
      <c r="AR87" s="1126"/>
      <c r="AS87" s="1126"/>
      <c r="AT87" s="1126"/>
      <c r="AU87" s="1137">
        <f t="shared" si="47"/>
        <v>0</v>
      </c>
      <c r="AV87" s="1141">
        <v>624.03</v>
      </c>
      <c r="AW87" s="1142">
        <v>156.01</v>
      </c>
      <c r="AX87" s="1142">
        <v>0</v>
      </c>
      <c r="AY87" s="1142">
        <v>0</v>
      </c>
      <c r="AZ87" s="1142">
        <v>0</v>
      </c>
      <c r="BA87" s="1140">
        <f t="shared" si="48"/>
        <v>780.04</v>
      </c>
      <c r="BB87" s="1131">
        <v>3095.19</v>
      </c>
      <c r="BC87" s="1131">
        <v>773.81</v>
      </c>
      <c r="BD87" s="1131">
        <v>0</v>
      </c>
      <c r="BE87" s="1131">
        <v>0</v>
      </c>
      <c r="BF87" s="1131">
        <v>0</v>
      </c>
      <c r="BG87" s="1132">
        <f t="shared" si="49"/>
        <v>3869</v>
      </c>
      <c r="BH87" s="1145"/>
      <c r="BI87" s="1146"/>
      <c r="BJ87" s="1146"/>
      <c r="BK87" s="1146"/>
      <c r="BL87" s="1146"/>
      <c r="BM87" s="1147">
        <f t="shared" si="50"/>
        <v>0</v>
      </c>
      <c r="BN87" s="1148">
        <v>12873.3</v>
      </c>
      <c r="BO87" s="1149">
        <v>1630.62</v>
      </c>
      <c r="BP87" s="1149">
        <v>2660.48</v>
      </c>
      <c r="BQ87" s="1149">
        <v>0</v>
      </c>
      <c r="BR87" s="1149">
        <v>0</v>
      </c>
      <c r="BS87" s="1147">
        <f t="shared" si="51"/>
        <v>17164.399999999998</v>
      </c>
      <c r="BT87" s="1148"/>
      <c r="BU87" s="1149"/>
      <c r="BV87" s="1149"/>
      <c r="BW87" s="1149"/>
      <c r="BX87" s="1149"/>
      <c r="BY87" s="1154">
        <f t="shared" si="52"/>
        <v>0</v>
      </c>
      <c r="BZ87" s="1148">
        <v>8192.11</v>
      </c>
      <c r="CA87" s="1149">
        <v>12309.56</v>
      </c>
      <c r="CB87" s="1149">
        <v>3760.48</v>
      </c>
      <c r="CC87" s="1149">
        <v>0</v>
      </c>
      <c r="CD87" s="1149">
        <v>0</v>
      </c>
      <c r="CE87" s="1154">
        <f t="shared" si="53"/>
        <v>24262.149999999998</v>
      </c>
      <c r="CF87" s="1148">
        <v>1184.07</v>
      </c>
      <c r="CG87" s="1149">
        <v>0</v>
      </c>
      <c r="CH87" s="1149">
        <v>2123.35</v>
      </c>
      <c r="CI87" s="1149">
        <v>0</v>
      </c>
      <c r="CJ87" s="1149">
        <v>0</v>
      </c>
      <c r="CK87" s="1154">
        <f t="shared" si="54"/>
        <v>3307.42</v>
      </c>
      <c r="CL87" s="1145"/>
      <c r="CM87" s="1146"/>
      <c r="CN87" s="1146"/>
      <c r="CO87" s="1146"/>
      <c r="CP87" s="1146"/>
      <c r="CQ87" s="1147">
        <f t="shared" si="55"/>
        <v>0</v>
      </c>
      <c r="CR87" s="1145"/>
      <c r="CS87" s="1146"/>
      <c r="CT87" s="1146"/>
      <c r="CU87" s="1146"/>
      <c r="CV87" s="1146"/>
      <c r="CW87" s="1154">
        <f t="shared" si="56"/>
        <v>0</v>
      </c>
      <c r="CX87" s="1148"/>
      <c r="CY87" s="1149"/>
      <c r="CZ87" s="1149"/>
      <c r="DA87" s="1149"/>
      <c r="DB87" s="1149"/>
      <c r="DC87" s="1147">
        <f t="shared" si="57"/>
        <v>0</v>
      </c>
      <c r="DD87" s="1148"/>
      <c r="DE87" s="1149"/>
      <c r="DF87" s="1149"/>
      <c r="DG87" s="1149"/>
      <c r="DH87" s="1149"/>
      <c r="DI87" s="1154">
        <f t="shared" si="58"/>
        <v>0</v>
      </c>
      <c r="DJ87" s="1233"/>
      <c r="DK87" s="1233"/>
      <c r="DL87" s="1233"/>
      <c r="DM87" s="1233"/>
      <c r="DN87" s="1233"/>
      <c r="DO87" s="1233">
        <f t="shared" si="59"/>
        <v>0</v>
      </c>
      <c r="DP87" s="1148"/>
      <c r="DQ87" s="1149"/>
      <c r="DR87" s="1149"/>
      <c r="DS87" s="1149"/>
      <c r="DT87" s="1149"/>
      <c r="DU87" s="1155">
        <f t="shared" si="60"/>
        <v>0</v>
      </c>
      <c r="DV87" s="1148">
        <v>6025.54</v>
      </c>
      <c r="DW87" s="1149">
        <v>0</v>
      </c>
      <c r="DX87" s="1149">
        <v>1105.26</v>
      </c>
      <c r="DY87" s="1149">
        <v>7.0000000000000007E-2</v>
      </c>
      <c r="DZ87" s="1149">
        <v>0</v>
      </c>
      <c r="EA87" s="1154">
        <f t="shared" si="61"/>
        <v>7130.87</v>
      </c>
    </row>
    <row r="88" spans="1:131" ht="15" customHeight="1">
      <c r="A88" s="746" t="s">
        <v>214</v>
      </c>
      <c r="B88" s="844" t="s">
        <v>215</v>
      </c>
      <c r="C88" s="967" t="s">
        <v>268</v>
      </c>
      <c r="D88" s="842">
        <f t="shared" si="34"/>
        <v>113549.62</v>
      </c>
      <c r="E88" s="842">
        <f t="shared" si="35"/>
        <v>55856.04</v>
      </c>
      <c r="F88" s="842">
        <f t="shared" si="36"/>
        <v>34796.960000000006</v>
      </c>
      <c r="G88" s="842">
        <f t="shared" si="37"/>
        <v>-6.9999999999999993E-2</v>
      </c>
      <c r="H88" s="842">
        <f t="shared" si="38"/>
        <v>0</v>
      </c>
      <c r="I88" s="1578">
        <f t="shared" si="39"/>
        <v>204202.55</v>
      </c>
      <c r="J88" s="843">
        <f t="shared" si="40"/>
        <v>-6.9999999999999993E-2</v>
      </c>
      <c r="K88" s="1579">
        <f t="shared" si="41"/>
        <v>34796.890000000007</v>
      </c>
      <c r="L88" s="1116"/>
      <c r="M88" s="1117"/>
      <c r="N88" s="1117"/>
      <c r="O88" s="1117"/>
      <c r="P88" s="1117"/>
      <c r="Q88" s="1118">
        <f t="shared" si="42"/>
        <v>0</v>
      </c>
      <c r="R88" s="1133"/>
      <c r="S88" s="1134"/>
      <c r="T88" s="1134"/>
      <c r="U88" s="1134"/>
      <c r="V88" s="1134"/>
      <c r="W88" s="1132">
        <f t="shared" si="43"/>
        <v>0</v>
      </c>
      <c r="X88" s="1231"/>
      <c r="Y88" s="1231"/>
      <c r="Z88" s="1231"/>
      <c r="AA88" s="1231"/>
      <c r="AB88" s="1231"/>
      <c r="AC88" s="1231">
        <f t="shared" si="44"/>
        <v>0</v>
      </c>
      <c r="AD88" s="1127">
        <v>7368.92</v>
      </c>
      <c r="AE88" s="1128">
        <v>43.87</v>
      </c>
      <c r="AF88" s="1128">
        <v>1359.74</v>
      </c>
      <c r="AG88" s="1128">
        <v>-0.01</v>
      </c>
      <c r="AH88" s="1128">
        <v>0</v>
      </c>
      <c r="AI88" s="1124">
        <f t="shared" si="45"/>
        <v>8772.52</v>
      </c>
      <c r="AJ88" s="1148">
        <v>61172.87</v>
      </c>
      <c r="AK88" s="1149">
        <v>0</v>
      </c>
      <c r="AL88" s="1149">
        <v>15293.21</v>
      </c>
      <c r="AM88" s="1149">
        <v>0</v>
      </c>
      <c r="AN88" s="1149">
        <v>0</v>
      </c>
      <c r="AO88" s="1154">
        <f t="shared" si="46"/>
        <v>76466.080000000002</v>
      </c>
      <c r="AP88" s="1125"/>
      <c r="AQ88" s="1126"/>
      <c r="AR88" s="1126"/>
      <c r="AS88" s="1126"/>
      <c r="AT88" s="1126"/>
      <c r="AU88" s="1137">
        <f t="shared" si="47"/>
        <v>0</v>
      </c>
      <c r="AV88" s="1141">
        <v>-392.14</v>
      </c>
      <c r="AW88" s="1142">
        <v>-98.03</v>
      </c>
      <c r="AX88" s="1142">
        <v>0</v>
      </c>
      <c r="AY88" s="1142">
        <v>0</v>
      </c>
      <c r="AZ88" s="1142">
        <v>0</v>
      </c>
      <c r="BA88" s="1140">
        <f t="shared" si="48"/>
        <v>-490.16999999999996</v>
      </c>
      <c r="BB88" s="1131">
        <v>1669.15</v>
      </c>
      <c r="BC88" s="1131">
        <v>417.28</v>
      </c>
      <c r="BD88" s="1131">
        <v>0</v>
      </c>
      <c r="BE88" s="1131">
        <v>0</v>
      </c>
      <c r="BF88" s="1131">
        <v>0</v>
      </c>
      <c r="BG88" s="1132">
        <f t="shared" si="49"/>
        <v>2086.4300000000003</v>
      </c>
      <c r="BH88" s="1148">
        <v>109.06</v>
      </c>
      <c r="BI88" s="1149">
        <v>196.94</v>
      </c>
      <c r="BJ88" s="1149">
        <v>0</v>
      </c>
      <c r="BK88" s="1149">
        <v>0</v>
      </c>
      <c r="BL88" s="1149">
        <v>0</v>
      </c>
      <c r="BM88" s="1147">
        <f t="shared" si="50"/>
        <v>306</v>
      </c>
      <c r="BN88" s="1145">
        <v>967.49</v>
      </c>
      <c r="BO88" s="1146">
        <v>122.55</v>
      </c>
      <c r="BP88" s="1146">
        <v>199.95</v>
      </c>
      <c r="BQ88" s="1146">
        <v>-0.02</v>
      </c>
      <c r="BR88" s="1146">
        <v>0</v>
      </c>
      <c r="BS88" s="1147">
        <f t="shared" si="51"/>
        <v>1289.97</v>
      </c>
      <c r="BT88" s="1148"/>
      <c r="BU88" s="1149"/>
      <c r="BV88" s="1149"/>
      <c r="BW88" s="1149"/>
      <c r="BX88" s="1149"/>
      <c r="BY88" s="1154">
        <f t="shared" si="52"/>
        <v>0</v>
      </c>
      <c r="BZ88" s="1148">
        <v>29457.43</v>
      </c>
      <c r="CA88" s="1149">
        <v>51600.91</v>
      </c>
      <c r="CB88" s="1149">
        <v>14868.04</v>
      </c>
      <c r="CC88" s="1149">
        <v>-0.05</v>
      </c>
      <c r="CD88" s="1149">
        <v>0</v>
      </c>
      <c r="CE88" s="1154">
        <f t="shared" si="53"/>
        <v>95926.33</v>
      </c>
      <c r="CF88" s="1145"/>
      <c r="CG88" s="1146"/>
      <c r="CH88" s="1146"/>
      <c r="CI88" s="1146"/>
      <c r="CJ88" s="1146"/>
      <c r="CK88" s="1154">
        <f t="shared" si="54"/>
        <v>0</v>
      </c>
      <c r="CL88" s="1145"/>
      <c r="CM88" s="1146"/>
      <c r="CN88" s="1146"/>
      <c r="CO88" s="1146"/>
      <c r="CP88" s="1146"/>
      <c r="CQ88" s="1147">
        <f t="shared" si="55"/>
        <v>0</v>
      </c>
      <c r="CR88" s="1148"/>
      <c r="CS88" s="1149"/>
      <c r="CT88" s="1149"/>
      <c r="CU88" s="1149"/>
      <c r="CV88" s="1149"/>
      <c r="CW88" s="1154">
        <f t="shared" si="56"/>
        <v>0</v>
      </c>
      <c r="CX88" s="1145"/>
      <c r="CY88" s="1146"/>
      <c r="CZ88" s="1146"/>
      <c r="DA88" s="1146"/>
      <c r="DB88" s="1146"/>
      <c r="DC88" s="1147">
        <f t="shared" si="57"/>
        <v>0</v>
      </c>
      <c r="DD88" s="1148"/>
      <c r="DE88" s="1149"/>
      <c r="DF88" s="1149"/>
      <c r="DG88" s="1149"/>
      <c r="DH88" s="1149"/>
      <c r="DI88" s="1154">
        <f t="shared" si="58"/>
        <v>0</v>
      </c>
      <c r="DJ88" s="1233"/>
      <c r="DK88" s="1233"/>
      <c r="DL88" s="1233"/>
      <c r="DM88" s="1233"/>
      <c r="DN88" s="1233"/>
      <c r="DO88" s="1233">
        <f t="shared" si="59"/>
        <v>0</v>
      </c>
      <c r="DP88" s="1148">
        <v>5177.58</v>
      </c>
      <c r="DQ88" s="1149">
        <v>3572.52</v>
      </c>
      <c r="DR88" s="1149">
        <v>1605.05</v>
      </c>
      <c r="DS88" s="1149">
        <v>-0.04</v>
      </c>
      <c r="DT88" s="1149">
        <v>0</v>
      </c>
      <c r="DU88" s="1155">
        <f t="shared" si="60"/>
        <v>10355.109999999999</v>
      </c>
      <c r="DV88" s="1148">
        <v>8019.26</v>
      </c>
      <c r="DW88" s="1149">
        <v>0</v>
      </c>
      <c r="DX88" s="1149">
        <v>1470.97</v>
      </c>
      <c r="DY88" s="1149">
        <v>0.05</v>
      </c>
      <c r="DZ88" s="1149">
        <v>0</v>
      </c>
      <c r="EA88" s="1154">
        <f t="shared" si="61"/>
        <v>9490.2799999999988</v>
      </c>
    </row>
    <row r="89" spans="1:131" ht="15" customHeight="1">
      <c r="A89" s="746" t="s">
        <v>216</v>
      </c>
      <c r="B89" s="844" t="s">
        <v>217</v>
      </c>
      <c r="C89" s="967" t="s">
        <v>264</v>
      </c>
      <c r="D89" s="842">
        <f t="shared" si="34"/>
        <v>79285.12999999999</v>
      </c>
      <c r="E89" s="842">
        <f t="shared" si="35"/>
        <v>41033.129999999997</v>
      </c>
      <c r="F89" s="842">
        <f t="shared" si="36"/>
        <v>24034.649999999998</v>
      </c>
      <c r="G89" s="842">
        <f t="shared" si="37"/>
        <v>-0.14000000000000001</v>
      </c>
      <c r="H89" s="842">
        <f t="shared" si="38"/>
        <v>0</v>
      </c>
      <c r="I89" s="1578">
        <f t="shared" si="39"/>
        <v>144352.76999999996</v>
      </c>
      <c r="J89" s="843">
        <f t="shared" si="40"/>
        <v>-0.14000000000000001</v>
      </c>
      <c r="K89" s="1579">
        <f t="shared" si="41"/>
        <v>24034.51</v>
      </c>
      <c r="L89" s="1116"/>
      <c r="M89" s="1117"/>
      <c r="N89" s="1117"/>
      <c r="O89" s="1117"/>
      <c r="P89" s="1117"/>
      <c r="Q89" s="1118">
        <f t="shared" si="42"/>
        <v>0</v>
      </c>
      <c r="R89" s="1135"/>
      <c r="S89" s="1136"/>
      <c r="T89" s="1136"/>
      <c r="U89" s="1136"/>
      <c r="V89" s="1136"/>
      <c r="W89" s="1132">
        <f t="shared" si="43"/>
        <v>0</v>
      </c>
      <c r="X89" s="1231"/>
      <c r="Y89" s="1231"/>
      <c r="Z89" s="1231"/>
      <c r="AA89" s="1231"/>
      <c r="AB89" s="1231"/>
      <c r="AC89" s="1231">
        <f t="shared" si="44"/>
        <v>0</v>
      </c>
      <c r="AD89" s="1127">
        <v>3810.24</v>
      </c>
      <c r="AE89" s="1128">
        <v>22.69</v>
      </c>
      <c r="AF89" s="1128">
        <v>703.08</v>
      </c>
      <c r="AG89" s="1128">
        <v>-0.01</v>
      </c>
      <c r="AH89" s="1128">
        <v>0</v>
      </c>
      <c r="AI89" s="1124">
        <f t="shared" si="45"/>
        <v>4536</v>
      </c>
      <c r="AJ89" s="1148">
        <v>34767.32</v>
      </c>
      <c r="AK89" s="1149">
        <v>0</v>
      </c>
      <c r="AL89" s="1149">
        <v>8691.86</v>
      </c>
      <c r="AM89" s="1149">
        <v>0</v>
      </c>
      <c r="AN89" s="1149">
        <v>0</v>
      </c>
      <c r="AO89" s="1154">
        <f t="shared" si="46"/>
        <v>43459.18</v>
      </c>
      <c r="AP89" s="1125"/>
      <c r="AQ89" s="1126"/>
      <c r="AR89" s="1126"/>
      <c r="AS89" s="1126"/>
      <c r="AT89" s="1126"/>
      <c r="AU89" s="1137">
        <f t="shared" si="47"/>
        <v>0</v>
      </c>
      <c r="AV89" s="1138"/>
      <c r="AW89" s="1139"/>
      <c r="AX89" s="1139"/>
      <c r="AY89" s="1139"/>
      <c r="AZ89" s="1139"/>
      <c r="BA89" s="1140">
        <f t="shared" si="48"/>
        <v>0</v>
      </c>
      <c r="BB89" s="1131">
        <v>636.33000000000004</v>
      </c>
      <c r="BC89" s="1131">
        <v>159.08000000000001</v>
      </c>
      <c r="BD89" s="1131">
        <v>0</v>
      </c>
      <c r="BE89" s="1131">
        <v>0</v>
      </c>
      <c r="BF89" s="1131">
        <v>0</v>
      </c>
      <c r="BG89" s="1132">
        <f t="shared" si="49"/>
        <v>795.41000000000008</v>
      </c>
      <c r="BH89" s="1145"/>
      <c r="BI89" s="1146"/>
      <c r="BJ89" s="1146"/>
      <c r="BK89" s="1146"/>
      <c r="BL89" s="1146"/>
      <c r="BM89" s="1147">
        <f t="shared" si="50"/>
        <v>0</v>
      </c>
      <c r="BN89" s="1148">
        <v>13873.74</v>
      </c>
      <c r="BO89" s="1149">
        <v>1757.34</v>
      </c>
      <c r="BP89" s="1149">
        <v>2867.24</v>
      </c>
      <c r="BQ89" s="1149">
        <v>-0.05</v>
      </c>
      <c r="BR89" s="1149">
        <v>0</v>
      </c>
      <c r="BS89" s="1147">
        <f t="shared" si="51"/>
        <v>18498.27</v>
      </c>
      <c r="BT89" s="1148"/>
      <c r="BU89" s="1149"/>
      <c r="BV89" s="1149"/>
      <c r="BW89" s="1149"/>
      <c r="BX89" s="1149"/>
      <c r="BY89" s="1154">
        <f t="shared" si="52"/>
        <v>0</v>
      </c>
      <c r="BZ89" s="1148">
        <v>14259.57</v>
      </c>
      <c r="CA89" s="1149">
        <v>36975.03</v>
      </c>
      <c r="CB89" s="1149">
        <v>9397.77</v>
      </c>
      <c r="CC89" s="1149">
        <v>-0.06</v>
      </c>
      <c r="CD89" s="1149">
        <v>0</v>
      </c>
      <c r="CE89" s="1154">
        <f t="shared" si="53"/>
        <v>60632.31</v>
      </c>
      <c r="CF89" s="1145">
        <v>-128.31</v>
      </c>
      <c r="CG89" s="1146">
        <v>0</v>
      </c>
      <c r="CH89" s="1146">
        <v>-230.09</v>
      </c>
      <c r="CI89" s="1146">
        <v>0</v>
      </c>
      <c r="CJ89" s="1146">
        <v>0</v>
      </c>
      <c r="CK89" s="1154">
        <f t="shared" si="54"/>
        <v>-358.4</v>
      </c>
      <c r="CL89" s="1145"/>
      <c r="CM89" s="1146"/>
      <c r="CN89" s="1146"/>
      <c r="CO89" s="1146"/>
      <c r="CP89" s="1146"/>
      <c r="CQ89" s="1147">
        <f t="shared" si="55"/>
        <v>0</v>
      </c>
      <c r="CR89" s="1148">
        <v>-15</v>
      </c>
      <c r="CS89" s="1149">
        <v>0</v>
      </c>
      <c r="CT89" s="1149">
        <v>0</v>
      </c>
      <c r="CU89" s="1149">
        <v>0</v>
      </c>
      <c r="CV89" s="1149">
        <v>0</v>
      </c>
      <c r="CW89" s="1154">
        <f t="shared" si="56"/>
        <v>-15</v>
      </c>
      <c r="CX89" s="1148"/>
      <c r="CY89" s="1149"/>
      <c r="CZ89" s="1149"/>
      <c r="DA89" s="1149"/>
      <c r="DB89" s="1149"/>
      <c r="DC89" s="1147">
        <f t="shared" si="57"/>
        <v>0</v>
      </c>
      <c r="DD89" s="1148"/>
      <c r="DE89" s="1149"/>
      <c r="DF89" s="1149"/>
      <c r="DG89" s="1149"/>
      <c r="DH89" s="1149"/>
      <c r="DI89" s="1154">
        <f t="shared" si="58"/>
        <v>0</v>
      </c>
      <c r="DJ89" s="1233"/>
      <c r="DK89" s="1233"/>
      <c r="DL89" s="1233"/>
      <c r="DM89" s="1233"/>
      <c r="DN89" s="1233"/>
      <c r="DO89" s="1233">
        <f t="shared" si="59"/>
        <v>0</v>
      </c>
      <c r="DP89" s="1148">
        <v>3071.01</v>
      </c>
      <c r="DQ89" s="1149">
        <v>2118.9899999999998</v>
      </c>
      <c r="DR89" s="1149">
        <v>952.01</v>
      </c>
      <c r="DS89" s="1149">
        <v>-0.01</v>
      </c>
      <c r="DT89" s="1149">
        <v>0</v>
      </c>
      <c r="DU89" s="1155">
        <f t="shared" si="60"/>
        <v>6142</v>
      </c>
      <c r="DV89" s="1148">
        <v>9010.23</v>
      </c>
      <c r="DW89" s="1149">
        <v>0</v>
      </c>
      <c r="DX89" s="1149">
        <v>1652.78</v>
      </c>
      <c r="DY89" s="1149">
        <v>-0.01</v>
      </c>
      <c r="DZ89" s="1149">
        <v>0</v>
      </c>
      <c r="EA89" s="1154">
        <f t="shared" si="61"/>
        <v>10663</v>
      </c>
    </row>
    <row r="90" spans="1:131" ht="15" customHeight="1">
      <c r="A90" s="746" t="s">
        <v>218</v>
      </c>
      <c r="B90" s="844" t="s">
        <v>219</v>
      </c>
      <c r="C90" s="967" t="s">
        <v>267</v>
      </c>
      <c r="D90" s="842">
        <f t="shared" si="34"/>
        <v>183695.19999999998</v>
      </c>
      <c r="E90" s="842">
        <f t="shared" si="35"/>
        <v>240985.21</v>
      </c>
      <c r="F90" s="842">
        <f t="shared" si="36"/>
        <v>80172.63</v>
      </c>
      <c r="G90" s="842">
        <f t="shared" si="37"/>
        <v>10481.400000000001</v>
      </c>
      <c r="H90" s="842">
        <f t="shared" si="38"/>
        <v>530.1</v>
      </c>
      <c r="I90" s="1578">
        <f t="shared" si="39"/>
        <v>515864.54</v>
      </c>
      <c r="J90" s="843">
        <f t="shared" si="40"/>
        <v>11011.500000000002</v>
      </c>
      <c r="K90" s="1579">
        <f t="shared" si="41"/>
        <v>91184.13</v>
      </c>
      <c r="L90" s="1116"/>
      <c r="M90" s="1117"/>
      <c r="N90" s="1117"/>
      <c r="O90" s="1117"/>
      <c r="P90" s="1117"/>
      <c r="Q90" s="1118">
        <f t="shared" si="42"/>
        <v>0</v>
      </c>
      <c r="R90" s="1135">
        <v>0</v>
      </c>
      <c r="S90" s="1136">
        <v>0</v>
      </c>
      <c r="T90" s="1136">
        <v>0</v>
      </c>
      <c r="U90" s="1136">
        <v>9836.7800000000007</v>
      </c>
      <c r="V90" s="1136">
        <v>530.1</v>
      </c>
      <c r="W90" s="1132">
        <f t="shared" si="43"/>
        <v>10366.880000000001</v>
      </c>
      <c r="X90" s="1231"/>
      <c r="Y90" s="1231"/>
      <c r="Z90" s="1231"/>
      <c r="AA90" s="1231"/>
      <c r="AB90" s="1231"/>
      <c r="AC90" s="1231">
        <f t="shared" si="44"/>
        <v>0</v>
      </c>
      <c r="AD90" s="1127">
        <v>6373.26</v>
      </c>
      <c r="AE90" s="1128">
        <v>37.92</v>
      </c>
      <c r="AF90" s="1128">
        <v>1176.03</v>
      </c>
      <c r="AG90" s="1128">
        <v>0.02</v>
      </c>
      <c r="AH90" s="1128">
        <v>0</v>
      </c>
      <c r="AI90" s="1124">
        <f t="shared" si="45"/>
        <v>7587.2300000000005</v>
      </c>
      <c r="AJ90" s="1148">
        <v>24296.799999999999</v>
      </c>
      <c r="AK90" s="1149">
        <v>0</v>
      </c>
      <c r="AL90" s="1149">
        <v>6074.2</v>
      </c>
      <c r="AM90" s="1149">
        <v>0</v>
      </c>
      <c r="AN90" s="1149">
        <v>0</v>
      </c>
      <c r="AO90" s="1154">
        <f t="shared" si="46"/>
        <v>30371</v>
      </c>
      <c r="AP90" s="1125"/>
      <c r="AQ90" s="1126"/>
      <c r="AR90" s="1126"/>
      <c r="AS90" s="1126"/>
      <c r="AT90" s="1126"/>
      <c r="AU90" s="1137">
        <f t="shared" si="47"/>
        <v>0</v>
      </c>
      <c r="AV90" s="1141">
        <v>4423.2</v>
      </c>
      <c r="AW90" s="1142">
        <v>1105.8</v>
      </c>
      <c r="AX90" s="1142">
        <v>0</v>
      </c>
      <c r="AY90" s="1142">
        <v>0</v>
      </c>
      <c r="AZ90" s="1142">
        <v>0</v>
      </c>
      <c r="BA90" s="1140">
        <f t="shared" si="48"/>
        <v>5529</v>
      </c>
      <c r="BB90" s="1131">
        <v>16193.3</v>
      </c>
      <c r="BC90" s="1131">
        <v>4048.34</v>
      </c>
      <c r="BD90" s="1131">
        <v>0</v>
      </c>
      <c r="BE90" s="1131">
        <v>0</v>
      </c>
      <c r="BF90" s="1131">
        <v>0</v>
      </c>
      <c r="BG90" s="1132">
        <f t="shared" si="49"/>
        <v>20241.64</v>
      </c>
      <c r="BH90" s="1148">
        <v>1423.81</v>
      </c>
      <c r="BI90" s="1149">
        <v>2571.19</v>
      </c>
      <c r="BJ90" s="1149">
        <v>0</v>
      </c>
      <c r="BK90" s="1149">
        <v>0</v>
      </c>
      <c r="BL90" s="1149">
        <v>0</v>
      </c>
      <c r="BM90" s="1147">
        <f t="shared" si="50"/>
        <v>3995</v>
      </c>
      <c r="BN90" s="1148">
        <v>28442.46</v>
      </c>
      <c r="BO90" s="1149">
        <v>3602.73</v>
      </c>
      <c r="BP90" s="1149">
        <v>5878.1</v>
      </c>
      <c r="BQ90" s="1149">
        <v>644.54999999999995</v>
      </c>
      <c r="BR90" s="1149">
        <v>0</v>
      </c>
      <c r="BS90" s="1147">
        <f t="shared" si="51"/>
        <v>38567.840000000004</v>
      </c>
      <c r="BT90" s="1148">
        <v>-149</v>
      </c>
      <c r="BU90" s="1149">
        <v>-149</v>
      </c>
      <c r="BV90" s="1149">
        <v>0</v>
      </c>
      <c r="BW90" s="1149">
        <v>0.09</v>
      </c>
      <c r="BX90" s="1149">
        <v>0</v>
      </c>
      <c r="BY90" s="1154">
        <f t="shared" si="52"/>
        <v>-297.91000000000003</v>
      </c>
      <c r="BZ90" s="1148">
        <v>83024.28</v>
      </c>
      <c r="CA90" s="1149">
        <v>227392.55</v>
      </c>
      <c r="CB90" s="1149">
        <v>56938.59</v>
      </c>
      <c r="CC90" s="1149">
        <v>-0.06</v>
      </c>
      <c r="CD90" s="1149">
        <v>0</v>
      </c>
      <c r="CE90" s="1154">
        <f t="shared" si="53"/>
        <v>367355.35999999993</v>
      </c>
      <c r="CF90" s="1148">
        <v>2993.58</v>
      </c>
      <c r="CG90" s="1149">
        <v>0</v>
      </c>
      <c r="CH90" s="1149">
        <v>5368.36</v>
      </c>
      <c r="CI90" s="1149">
        <v>0</v>
      </c>
      <c r="CJ90" s="1149">
        <v>0</v>
      </c>
      <c r="CK90" s="1154">
        <f t="shared" si="54"/>
        <v>8361.9399999999987</v>
      </c>
      <c r="CL90" s="1145">
        <v>411.88</v>
      </c>
      <c r="CM90" s="1146">
        <v>0</v>
      </c>
      <c r="CN90" s="1146">
        <v>1318.69</v>
      </c>
      <c r="CO90" s="1146">
        <v>0</v>
      </c>
      <c r="CP90" s="1146">
        <v>0</v>
      </c>
      <c r="CQ90" s="1147">
        <f t="shared" si="55"/>
        <v>1730.5700000000002</v>
      </c>
      <c r="CR90" s="1148"/>
      <c r="CS90" s="1149"/>
      <c r="CT90" s="1149"/>
      <c r="CU90" s="1149"/>
      <c r="CV90" s="1149"/>
      <c r="CW90" s="1154">
        <f t="shared" si="56"/>
        <v>0</v>
      </c>
      <c r="CX90" s="1145"/>
      <c r="CY90" s="1146"/>
      <c r="CZ90" s="1146"/>
      <c r="DA90" s="1146"/>
      <c r="DB90" s="1146"/>
      <c r="DC90" s="1147">
        <f t="shared" si="57"/>
        <v>0</v>
      </c>
      <c r="DD90" s="1148"/>
      <c r="DE90" s="1149"/>
      <c r="DF90" s="1149"/>
      <c r="DG90" s="1149"/>
      <c r="DH90" s="1149"/>
      <c r="DI90" s="1154">
        <f t="shared" si="58"/>
        <v>0</v>
      </c>
      <c r="DJ90" s="1233"/>
      <c r="DK90" s="1233"/>
      <c r="DL90" s="1233"/>
      <c r="DM90" s="1233"/>
      <c r="DN90" s="1233"/>
      <c r="DO90" s="1233">
        <f t="shared" si="59"/>
        <v>0</v>
      </c>
      <c r="DP90" s="1148">
        <v>3443</v>
      </c>
      <c r="DQ90" s="1149">
        <v>2375.6799999999998</v>
      </c>
      <c r="DR90" s="1149">
        <v>1067.3399999999999</v>
      </c>
      <c r="DS90" s="1149">
        <v>-0.02</v>
      </c>
      <c r="DT90" s="1149">
        <v>0</v>
      </c>
      <c r="DU90" s="1155">
        <f t="shared" si="60"/>
        <v>6886</v>
      </c>
      <c r="DV90" s="1148">
        <v>12818.63</v>
      </c>
      <c r="DW90" s="1149">
        <v>0</v>
      </c>
      <c r="DX90" s="1149">
        <v>2351.3200000000002</v>
      </c>
      <c r="DY90" s="1149">
        <v>0.04</v>
      </c>
      <c r="DZ90" s="1149">
        <v>0</v>
      </c>
      <c r="EA90" s="1154">
        <f t="shared" si="61"/>
        <v>15169.99</v>
      </c>
    </row>
    <row r="91" spans="1:131" ht="15" customHeight="1">
      <c r="A91" s="746" t="s">
        <v>220</v>
      </c>
      <c r="B91" s="844" t="s">
        <v>221</v>
      </c>
      <c r="C91" s="967" t="s">
        <v>267</v>
      </c>
      <c r="D91" s="842">
        <f t="shared" si="34"/>
        <v>33510.840000000004</v>
      </c>
      <c r="E91" s="842">
        <f t="shared" si="35"/>
        <v>34137.25</v>
      </c>
      <c r="F91" s="842">
        <f t="shared" si="36"/>
        <v>2872.53</v>
      </c>
      <c r="G91" s="842">
        <f t="shared" si="37"/>
        <v>25669.919999999998</v>
      </c>
      <c r="H91" s="842">
        <f t="shared" si="38"/>
        <v>0</v>
      </c>
      <c r="I91" s="1578">
        <f t="shared" si="39"/>
        <v>96190.54</v>
      </c>
      <c r="J91" s="843">
        <f t="shared" si="40"/>
        <v>25669.919999999998</v>
      </c>
      <c r="K91" s="1579">
        <f t="shared" si="41"/>
        <v>28542.449999999997</v>
      </c>
      <c r="L91" s="1116"/>
      <c r="M91" s="1117"/>
      <c r="N91" s="1117"/>
      <c r="O91" s="1117"/>
      <c r="P91" s="1117"/>
      <c r="Q91" s="1118">
        <f t="shared" si="42"/>
        <v>0</v>
      </c>
      <c r="R91" s="1135">
        <v>0</v>
      </c>
      <c r="S91" s="1136">
        <v>0</v>
      </c>
      <c r="T91" s="1136">
        <v>0</v>
      </c>
      <c r="U91" s="1136">
        <v>25999.919999999998</v>
      </c>
      <c r="V91" s="1136">
        <v>0</v>
      </c>
      <c r="W91" s="1132">
        <f t="shared" si="43"/>
        <v>25999.919999999998</v>
      </c>
      <c r="X91" s="1231"/>
      <c r="Y91" s="1231"/>
      <c r="Z91" s="1231"/>
      <c r="AA91" s="1231"/>
      <c r="AB91" s="1231"/>
      <c r="AC91" s="1231">
        <f t="shared" si="44"/>
        <v>0</v>
      </c>
      <c r="AD91" s="1127">
        <v>50.93</v>
      </c>
      <c r="AE91" s="1128">
        <v>0.31</v>
      </c>
      <c r="AF91" s="1128">
        <v>9.4</v>
      </c>
      <c r="AG91" s="1128">
        <v>0</v>
      </c>
      <c r="AH91" s="1128">
        <v>0</v>
      </c>
      <c r="AI91" s="1124">
        <f t="shared" si="45"/>
        <v>60.64</v>
      </c>
      <c r="AJ91" s="1148">
        <v>13780.8</v>
      </c>
      <c r="AK91" s="1149">
        <v>0</v>
      </c>
      <c r="AL91" s="1149">
        <v>3445.2</v>
      </c>
      <c r="AM91" s="1149">
        <v>0</v>
      </c>
      <c r="AN91" s="1149">
        <v>0</v>
      </c>
      <c r="AO91" s="1154">
        <f t="shared" si="46"/>
        <v>17226</v>
      </c>
      <c r="AP91" s="1125"/>
      <c r="AQ91" s="1126"/>
      <c r="AR91" s="1126"/>
      <c r="AS91" s="1126"/>
      <c r="AT91" s="1126"/>
      <c r="AU91" s="1137">
        <f t="shared" si="47"/>
        <v>0</v>
      </c>
      <c r="AV91" s="1141">
        <v>3159.31</v>
      </c>
      <c r="AW91" s="1142">
        <v>789.84</v>
      </c>
      <c r="AX91" s="1142">
        <v>0</v>
      </c>
      <c r="AY91" s="1142">
        <v>0</v>
      </c>
      <c r="AZ91" s="1142">
        <v>0</v>
      </c>
      <c r="BA91" s="1140">
        <f t="shared" si="48"/>
        <v>3949.15</v>
      </c>
      <c r="BB91" s="1131">
        <v>5782.33</v>
      </c>
      <c r="BC91" s="1131">
        <v>1445.59</v>
      </c>
      <c r="BD91" s="1131">
        <v>0</v>
      </c>
      <c r="BE91" s="1131">
        <v>0</v>
      </c>
      <c r="BF91" s="1131">
        <v>0</v>
      </c>
      <c r="BG91" s="1132">
        <f t="shared" si="49"/>
        <v>7227.92</v>
      </c>
      <c r="BH91" s="1148">
        <v>1036.24</v>
      </c>
      <c r="BI91" s="1149">
        <v>1871.26</v>
      </c>
      <c r="BJ91" s="1149">
        <v>0</v>
      </c>
      <c r="BK91" s="1149">
        <v>0</v>
      </c>
      <c r="BL91" s="1149">
        <v>0</v>
      </c>
      <c r="BM91" s="1147">
        <f t="shared" si="50"/>
        <v>2907.5</v>
      </c>
      <c r="BN91" s="1145"/>
      <c r="BO91" s="1146"/>
      <c r="BP91" s="1146"/>
      <c r="BQ91" s="1146"/>
      <c r="BR91" s="1146"/>
      <c r="BS91" s="1147">
        <f t="shared" si="51"/>
        <v>0</v>
      </c>
      <c r="BT91" s="1148">
        <v>-81.5</v>
      </c>
      <c r="BU91" s="1149">
        <v>-81.5</v>
      </c>
      <c r="BV91" s="1149">
        <v>0</v>
      </c>
      <c r="BW91" s="1149">
        <v>0</v>
      </c>
      <c r="BX91" s="1149">
        <v>0</v>
      </c>
      <c r="BY91" s="1154">
        <f t="shared" si="52"/>
        <v>-163</v>
      </c>
      <c r="BZ91" s="1148">
        <v>9343.34</v>
      </c>
      <c r="CA91" s="1149">
        <v>26411.62</v>
      </c>
      <c r="CB91" s="1149">
        <v>6558.4</v>
      </c>
      <c r="CC91" s="1149">
        <v>0</v>
      </c>
      <c r="CD91" s="1149">
        <v>0</v>
      </c>
      <c r="CE91" s="1154">
        <f t="shared" si="53"/>
        <v>42313.36</v>
      </c>
      <c r="CF91" s="1148">
        <v>-4907.1099999999997</v>
      </c>
      <c r="CG91" s="1149">
        <v>0</v>
      </c>
      <c r="CH91" s="1149">
        <v>-8799.91</v>
      </c>
      <c r="CI91" s="1149">
        <v>0</v>
      </c>
      <c r="CJ91" s="1149">
        <v>0</v>
      </c>
      <c r="CK91" s="1154">
        <f t="shared" si="54"/>
        <v>-13707.02</v>
      </c>
      <c r="CL91" s="1145"/>
      <c r="CM91" s="1146"/>
      <c r="CN91" s="1146"/>
      <c r="CO91" s="1146"/>
      <c r="CP91" s="1146"/>
      <c r="CQ91" s="1147">
        <f t="shared" si="55"/>
        <v>0</v>
      </c>
      <c r="CR91" s="1148"/>
      <c r="CS91" s="1149"/>
      <c r="CT91" s="1149"/>
      <c r="CU91" s="1149"/>
      <c r="CV91" s="1149"/>
      <c r="CW91" s="1154">
        <f t="shared" si="56"/>
        <v>0</v>
      </c>
      <c r="CX91" s="1148"/>
      <c r="CY91" s="1149"/>
      <c r="CZ91" s="1149"/>
      <c r="DA91" s="1149"/>
      <c r="DB91" s="1149"/>
      <c r="DC91" s="1147">
        <f t="shared" si="57"/>
        <v>0</v>
      </c>
      <c r="DD91" s="1148"/>
      <c r="DE91" s="1149"/>
      <c r="DF91" s="1149"/>
      <c r="DG91" s="1149"/>
      <c r="DH91" s="1149"/>
      <c r="DI91" s="1154">
        <f t="shared" si="58"/>
        <v>0</v>
      </c>
      <c r="DJ91" s="1233"/>
      <c r="DK91" s="1233"/>
      <c r="DL91" s="1233"/>
      <c r="DM91" s="1233"/>
      <c r="DN91" s="1233"/>
      <c r="DO91" s="1233">
        <f t="shared" si="59"/>
        <v>0</v>
      </c>
      <c r="DP91" s="1148">
        <v>5362.5</v>
      </c>
      <c r="DQ91" s="1149">
        <v>3700.13</v>
      </c>
      <c r="DR91" s="1149">
        <v>1662.38</v>
      </c>
      <c r="DS91" s="1149">
        <v>-0.01</v>
      </c>
      <c r="DT91" s="1149">
        <v>0</v>
      </c>
      <c r="DU91" s="1155">
        <f t="shared" si="60"/>
        <v>10725.000000000002</v>
      </c>
      <c r="DV91" s="1148">
        <v>-16</v>
      </c>
      <c r="DW91" s="1149">
        <v>0</v>
      </c>
      <c r="DX91" s="1149">
        <v>-2.94</v>
      </c>
      <c r="DY91" s="1149">
        <v>-329.99</v>
      </c>
      <c r="DZ91" s="1149">
        <v>0</v>
      </c>
      <c r="EA91" s="1154">
        <f t="shared" si="61"/>
        <v>-348.93</v>
      </c>
    </row>
    <row r="92" spans="1:131" ht="15" customHeight="1">
      <c r="A92" s="746" t="s">
        <v>224</v>
      </c>
      <c r="B92" s="844" t="s">
        <v>225</v>
      </c>
      <c r="C92" s="967" t="s">
        <v>264</v>
      </c>
      <c r="D92" s="842">
        <f t="shared" si="34"/>
        <v>82241.640000000014</v>
      </c>
      <c r="E92" s="842">
        <f t="shared" si="35"/>
        <v>22742.43</v>
      </c>
      <c r="F92" s="842">
        <f t="shared" si="36"/>
        <v>22715.71</v>
      </c>
      <c r="G92" s="842">
        <f t="shared" si="37"/>
        <v>57291.87</v>
      </c>
      <c r="H92" s="842">
        <f t="shared" si="38"/>
        <v>11341.05</v>
      </c>
      <c r="I92" s="1578">
        <f t="shared" si="39"/>
        <v>196332.69999999998</v>
      </c>
      <c r="J92" s="843">
        <f t="shared" si="40"/>
        <v>68632.92</v>
      </c>
      <c r="K92" s="1579">
        <f t="shared" si="41"/>
        <v>91348.63</v>
      </c>
      <c r="L92" s="1116">
        <v>0</v>
      </c>
      <c r="M92" s="1117">
        <v>-5</v>
      </c>
      <c r="N92" s="1117">
        <v>0</v>
      </c>
      <c r="O92" s="1117">
        <v>0</v>
      </c>
      <c r="P92" s="1117">
        <v>0</v>
      </c>
      <c r="Q92" s="1118">
        <f t="shared" si="42"/>
        <v>-5</v>
      </c>
      <c r="R92" s="1133"/>
      <c r="S92" s="1134"/>
      <c r="T92" s="1134"/>
      <c r="U92" s="1134"/>
      <c r="V92" s="1134"/>
      <c r="W92" s="1132">
        <f t="shared" si="43"/>
        <v>0</v>
      </c>
      <c r="X92" s="1231"/>
      <c r="Y92" s="1231"/>
      <c r="Z92" s="1231"/>
      <c r="AA92" s="1231"/>
      <c r="AB92" s="1231"/>
      <c r="AC92" s="1231">
        <f t="shared" si="44"/>
        <v>0</v>
      </c>
      <c r="AD92" s="1127">
        <v>1208.76</v>
      </c>
      <c r="AE92" s="1128">
        <v>7.19</v>
      </c>
      <c r="AF92" s="1128">
        <v>223.04</v>
      </c>
      <c r="AG92" s="1128">
        <v>0.01</v>
      </c>
      <c r="AH92" s="1128">
        <v>0</v>
      </c>
      <c r="AI92" s="1124">
        <f t="shared" si="45"/>
        <v>1439</v>
      </c>
      <c r="AJ92" s="1148">
        <v>51938.37</v>
      </c>
      <c r="AK92" s="1149">
        <v>0</v>
      </c>
      <c r="AL92" s="1149">
        <v>12984.63</v>
      </c>
      <c r="AM92" s="1149">
        <v>56822.12</v>
      </c>
      <c r="AN92" s="1149">
        <v>11192.06</v>
      </c>
      <c r="AO92" s="1154">
        <f t="shared" si="46"/>
        <v>132937.18</v>
      </c>
      <c r="AP92" s="1127">
        <v>4446.8</v>
      </c>
      <c r="AQ92" s="1128">
        <v>2628.1</v>
      </c>
      <c r="AR92" s="1128">
        <v>1297.78</v>
      </c>
      <c r="AS92" s="1128">
        <v>45.46</v>
      </c>
      <c r="AT92" s="1128">
        <v>0</v>
      </c>
      <c r="AU92" s="1137">
        <f t="shared" si="47"/>
        <v>8418.14</v>
      </c>
      <c r="AV92" s="1138"/>
      <c r="AW92" s="1139"/>
      <c r="AX92" s="1139"/>
      <c r="AY92" s="1139"/>
      <c r="AZ92" s="1139"/>
      <c r="BA92" s="1140">
        <f t="shared" si="48"/>
        <v>0</v>
      </c>
      <c r="BB92" s="1135"/>
      <c r="BC92" s="1136"/>
      <c r="BD92" s="1136"/>
      <c r="BE92" s="1136"/>
      <c r="BF92" s="1136"/>
      <c r="BG92" s="1132">
        <f t="shared" si="49"/>
        <v>0</v>
      </c>
      <c r="BH92" s="1145"/>
      <c r="BI92" s="1146"/>
      <c r="BJ92" s="1146"/>
      <c r="BK92" s="1146"/>
      <c r="BL92" s="1146"/>
      <c r="BM92" s="1147">
        <f t="shared" si="50"/>
        <v>0</v>
      </c>
      <c r="BN92" s="1148">
        <v>9303.91</v>
      </c>
      <c r="BO92" s="1149">
        <v>1178.5</v>
      </c>
      <c r="BP92" s="1149">
        <v>1922.79</v>
      </c>
      <c r="BQ92" s="1149">
        <v>-0.01</v>
      </c>
      <c r="BR92" s="1149">
        <v>148.99</v>
      </c>
      <c r="BS92" s="1147">
        <f t="shared" si="51"/>
        <v>12554.18</v>
      </c>
      <c r="BT92" s="1148"/>
      <c r="BU92" s="1149"/>
      <c r="BV92" s="1149"/>
      <c r="BW92" s="1149"/>
      <c r="BX92" s="1149"/>
      <c r="BY92" s="1154">
        <f t="shared" si="52"/>
        <v>0</v>
      </c>
      <c r="BZ92" s="1148">
        <v>5841.49</v>
      </c>
      <c r="CA92" s="1149">
        <v>16656.82</v>
      </c>
      <c r="CB92" s="1149">
        <v>4126.79</v>
      </c>
      <c r="CC92" s="1149">
        <v>424.31</v>
      </c>
      <c r="CD92" s="1149">
        <v>0</v>
      </c>
      <c r="CE92" s="1154">
        <f t="shared" si="53"/>
        <v>27049.41</v>
      </c>
      <c r="CF92" s="1145"/>
      <c r="CG92" s="1146"/>
      <c r="CH92" s="1146"/>
      <c r="CI92" s="1146"/>
      <c r="CJ92" s="1146"/>
      <c r="CK92" s="1154">
        <f t="shared" si="54"/>
        <v>0</v>
      </c>
      <c r="CL92" s="1145"/>
      <c r="CM92" s="1146"/>
      <c r="CN92" s="1146"/>
      <c r="CO92" s="1146"/>
      <c r="CP92" s="1146"/>
      <c r="CQ92" s="1147">
        <f t="shared" si="55"/>
        <v>0</v>
      </c>
      <c r="CR92" s="1148"/>
      <c r="CS92" s="1149"/>
      <c r="CT92" s="1149"/>
      <c r="CU92" s="1149"/>
      <c r="CV92" s="1149"/>
      <c r="CW92" s="1154">
        <f t="shared" si="56"/>
        <v>0</v>
      </c>
      <c r="CX92" s="1145"/>
      <c r="CY92" s="1146"/>
      <c r="CZ92" s="1146"/>
      <c r="DA92" s="1146"/>
      <c r="DB92" s="1146"/>
      <c r="DC92" s="1147">
        <f t="shared" si="57"/>
        <v>0</v>
      </c>
      <c r="DD92" s="1148"/>
      <c r="DE92" s="1149"/>
      <c r="DF92" s="1149"/>
      <c r="DG92" s="1149"/>
      <c r="DH92" s="1149"/>
      <c r="DI92" s="1154">
        <f t="shared" si="58"/>
        <v>0</v>
      </c>
      <c r="DJ92" s="1233"/>
      <c r="DK92" s="1233"/>
      <c r="DL92" s="1233"/>
      <c r="DM92" s="1233"/>
      <c r="DN92" s="1233"/>
      <c r="DO92" s="1233">
        <f t="shared" si="59"/>
        <v>0</v>
      </c>
      <c r="DP92" s="1148">
        <v>3299.75</v>
      </c>
      <c r="DQ92" s="1149">
        <v>2276.8200000000002</v>
      </c>
      <c r="DR92" s="1149">
        <v>1022.92</v>
      </c>
      <c r="DS92" s="1149">
        <v>0</v>
      </c>
      <c r="DT92" s="1149">
        <v>0</v>
      </c>
      <c r="DU92" s="1155">
        <f t="shared" si="60"/>
        <v>6599.49</v>
      </c>
      <c r="DV92" s="1148">
        <v>6202.56</v>
      </c>
      <c r="DW92" s="1149">
        <v>0</v>
      </c>
      <c r="DX92" s="1149">
        <v>1137.76</v>
      </c>
      <c r="DY92" s="1149">
        <v>-0.02</v>
      </c>
      <c r="DZ92" s="1149">
        <v>0</v>
      </c>
      <c r="EA92" s="1154">
        <f t="shared" si="61"/>
        <v>7340.3</v>
      </c>
    </row>
    <row r="93" spans="1:131" ht="15" customHeight="1">
      <c r="A93" s="746" t="s">
        <v>226</v>
      </c>
      <c r="B93" s="844" t="s">
        <v>227</v>
      </c>
      <c r="C93" s="967" t="s">
        <v>264</v>
      </c>
      <c r="D93" s="842">
        <f t="shared" si="34"/>
        <v>51173.350000000006</v>
      </c>
      <c r="E93" s="842">
        <f t="shared" si="35"/>
        <v>18183.830000000002</v>
      </c>
      <c r="F93" s="842">
        <f t="shared" si="36"/>
        <v>13815.83</v>
      </c>
      <c r="G93" s="842">
        <f t="shared" si="37"/>
        <v>-0.02</v>
      </c>
      <c r="H93" s="842">
        <f t="shared" si="38"/>
        <v>8947.2800000000007</v>
      </c>
      <c r="I93" s="1578">
        <f t="shared" si="39"/>
        <v>92120.27</v>
      </c>
      <c r="J93" s="843">
        <f t="shared" si="40"/>
        <v>8947.26</v>
      </c>
      <c r="K93" s="1579">
        <f t="shared" si="41"/>
        <v>22763.09</v>
      </c>
      <c r="L93" s="1116"/>
      <c r="M93" s="1117"/>
      <c r="N93" s="1117"/>
      <c r="O93" s="1117"/>
      <c r="P93" s="1117"/>
      <c r="Q93" s="1118">
        <f t="shared" si="42"/>
        <v>0</v>
      </c>
      <c r="R93" s="1135"/>
      <c r="S93" s="1136"/>
      <c r="T93" s="1136"/>
      <c r="U93" s="1136"/>
      <c r="V93" s="1136"/>
      <c r="W93" s="1132">
        <f t="shared" si="43"/>
        <v>0</v>
      </c>
      <c r="X93" s="1231">
        <v>0</v>
      </c>
      <c r="Y93" s="1231">
        <v>4056.27</v>
      </c>
      <c r="Z93" s="1231">
        <v>0</v>
      </c>
      <c r="AA93" s="1231">
        <v>0</v>
      </c>
      <c r="AB93" s="1231">
        <v>0</v>
      </c>
      <c r="AC93" s="1231">
        <f t="shared" si="44"/>
        <v>4056.27</v>
      </c>
      <c r="AD93" s="1127">
        <v>3111.67</v>
      </c>
      <c r="AE93" s="1128">
        <v>18.52</v>
      </c>
      <c r="AF93" s="1128">
        <v>574.16999999999996</v>
      </c>
      <c r="AG93" s="1128">
        <v>0.01</v>
      </c>
      <c r="AH93" s="1128">
        <v>0</v>
      </c>
      <c r="AI93" s="1124">
        <f t="shared" si="45"/>
        <v>3704.3700000000003</v>
      </c>
      <c r="AJ93" s="1148">
        <v>28390.240000000002</v>
      </c>
      <c r="AK93" s="1149">
        <v>0</v>
      </c>
      <c r="AL93" s="1149">
        <v>7097.61</v>
      </c>
      <c r="AM93" s="1149">
        <v>0</v>
      </c>
      <c r="AN93" s="1149">
        <v>8947.2800000000007</v>
      </c>
      <c r="AO93" s="1154">
        <f t="shared" si="46"/>
        <v>44435.13</v>
      </c>
      <c r="AP93" s="1125"/>
      <c r="AQ93" s="1126"/>
      <c r="AR93" s="1126"/>
      <c r="AS93" s="1126"/>
      <c r="AT93" s="1126"/>
      <c r="AU93" s="1137">
        <f t="shared" si="47"/>
        <v>0</v>
      </c>
      <c r="AV93" s="1138"/>
      <c r="AW93" s="1139"/>
      <c r="AX93" s="1139"/>
      <c r="AY93" s="1139"/>
      <c r="AZ93" s="1139"/>
      <c r="BA93" s="1140">
        <f t="shared" si="48"/>
        <v>0</v>
      </c>
      <c r="BB93" s="1131">
        <v>320.75</v>
      </c>
      <c r="BC93" s="1131">
        <v>80.19</v>
      </c>
      <c r="BD93" s="1131">
        <v>0</v>
      </c>
      <c r="BE93" s="1131">
        <v>0</v>
      </c>
      <c r="BF93" s="1131">
        <v>0</v>
      </c>
      <c r="BG93" s="1132">
        <f t="shared" si="49"/>
        <v>400.94</v>
      </c>
      <c r="BH93" s="1145"/>
      <c r="BI93" s="1146"/>
      <c r="BJ93" s="1146"/>
      <c r="BK93" s="1146"/>
      <c r="BL93" s="1146"/>
      <c r="BM93" s="1147">
        <f t="shared" si="50"/>
        <v>0</v>
      </c>
      <c r="BN93" s="1148">
        <v>161.74</v>
      </c>
      <c r="BO93" s="1149">
        <v>20.49</v>
      </c>
      <c r="BP93" s="1149">
        <v>33.43</v>
      </c>
      <c r="BQ93" s="1149">
        <v>-0.01</v>
      </c>
      <c r="BR93" s="1149">
        <v>0</v>
      </c>
      <c r="BS93" s="1147">
        <f t="shared" si="51"/>
        <v>215.65000000000003</v>
      </c>
      <c r="BT93" s="1148"/>
      <c r="BU93" s="1149"/>
      <c r="BV93" s="1149"/>
      <c r="BW93" s="1149"/>
      <c r="BX93" s="1149"/>
      <c r="BY93" s="1154">
        <f t="shared" si="52"/>
        <v>0</v>
      </c>
      <c r="BZ93" s="1148">
        <v>4434.9799999999996</v>
      </c>
      <c r="CA93" s="1149">
        <v>11593.36</v>
      </c>
      <c r="CB93" s="1149">
        <v>2940.02</v>
      </c>
      <c r="CC93" s="1149">
        <v>-0.04</v>
      </c>
      <c r="CD93" s="1149">
        <v>0</v>
      </c>
      <c r="CE93" s="1154">
        <f t="shared" si="53"/>
        <v>18968.32</v>
      </c>
      <c r="CF93" s="1145"/>
      <c r="CG93" s="1146"/>
      <c r="CH93" s="1146"/>
      <c r="CI93" s="1146"/>
      <c r="CJ93" s="1146"/>
      <c r="CK93" s="1154">
        <f t="shared" si="54"/>
        <v>0</v>
      </c>
      <c r="CL93" s="1145"/>
      <c r="CM93" s="1146"/>
      <c r="CN93" s="1146"/>
      <c r="CO93" s="1146"/>
      <c r="CP93" s="1146"/>
      <c r="CQ93" s="1147">
        <f t="shared" si="55"/>
        <v>0</v>
      </c>
      <c r="CR93" s="1145"/>
      <c r="CS93" s="1146"/>
      <c r="CT93" s="1146"/>
      <c r="CU93" s="1146"/>
      <c r="CV93" s="1146"/>
      <c r="CW93" s="1154">
        <f t="shared" si="56"/>
        <v>0</v>
      </c>
      <c r="CX93" s="1145"/>
      <c r="CY93" s="1146"/>
      <c r="CZ93" s="1146"/>
      <c r="DA93" s="1146"/>
      <c r="DB93" s="1146"/>
      <c r="DC93" s="1147">
        <f t="shared" si="57"/>
        <v>0</v>
      </c>
      <c r="DD93" s="1148">
        <v>-116.04</v>
      </c>
      <c r="DE93" s="1149">
        <v>0</v>
      </c>
      <c r="DF93" s="1149">
        <v>0</v>
      </c>
      <c r="DG93" s="1149">
        <v>0</v>
      </c>
      <c r="DH93" s="1149">
        <v>0</v>
      </c>
      <c r="DI93" s="1154">
        <f t="shared" si="58"/>
        <v>-116.04</v>
      </c>
      <c r="DJ93" s="1233"/>
      <c r="DK93" s="1233"/>
      <c r="DL93" s="1233"/>
      <c r="DM93" s="1233"/>
      <c r="DN93" s="1233"/>
      <c r="DO93" s="1233">
        <f t="shared" si="59"/>
        <v>0</v>
      </c>
      <c r="DP93" s="1148">
        <v>3500</v>
      </c>
      <c r="DQ93" s="1149">
        <v>2415</v>
      </c>
      <c r="DR93" s="1149">
        <v>1085</v>
      </c>
      <c r="DS93" s="1149">
        <v>0</v>
      </c>
      <c r="DT93" s="1149">
        <v>0</v>
      </c>
      <c r="DU93" s="1155">
        <f t="shared" si="60"/>
        <v>7000</v>
      </c>
      <c r="DV93" s="1148">
        <v>11370.01</v>
      </c>
      <c r="DW93" s="1149">
        <v>0</v>
      </c>
      <c r="DX93" s="1149">
        <v>2085.6</v>
      </c>
      <c r="DY93" s="1149">
        <v>0.02</v>
      </c>
      <c r="DZ93" s="1149">
        <v>0</v>
      </c>
      <c r="EA93" s="1154">
        <f t="shared" si="61"/>
        <v>13455.630000000001</v>
      </c>
    </row>
    <row r="94" spans="1:131" ht="15" customHeight="1">
      <c r="A94" s="746" t="s">
        <v>228</v>
      </c>
      <c r="B94" s="844" t="s">
        <v>229</v>
      </c>
      <c r="C94" s="967" t="s">
        <v>268</v>
      </c>
      <c r="D94" s="842">
        <f t="shared" si="34"/>
        <v>104930.04</v>
      </c>
      <c r="E94" s="842">
        <f t="shared" si="35"/>
        <v>65280.12</v>
      </c>
      <c r="F94" s="842">
        <f t="shared" si="36"/>
        <v>31179.22</v>
      </c>
      <c r="G94" s="842">
        <f t="shared" si="37"/>
        <v>-0.15000000000000002</v>
      </c>
      <c r="H94" s="842">
        <f t="shared" si="38"/>
        <v>0</v>
      </c>
      <c r="I94" s="1578">
        <f t="shared" si="39"/>
        <v>201389.23</v>
      </c>
      <c r="J94" s="843">
        <f t="shared" si="40"/>
        <v>-0.15000000000000002</v>
      </c>
      <c r="K94" s="1579">
        <f t="shared" si="41"/>
        <v>31179.07</v>
      </c>
      <c r="L94" s="1116"/>
      <c r="M94" s="1117"/>
      <c r="N94" s="1117"/>
      <c r="O94" s="1117"/>
      <c r="P94" s="1117"/>
      <c r="Q94" s="1118">
        <f t="shared" si="42"/>
        <v>0</v>
      </c>
      <c r="R94" s="1133"/>
      <c r="S94" s="1134"/>
      <c r="T94" s="1134"/>
      <c r="U94" s="1134"/>
      <c r="V94" s="1134"/>
      <c r="W94" s="1132">
        <f t="shared" si="43"/>
        <v>0</v>
      </c>
      <c r="X94" s="1231"/>
      <c r="Y94" s="1231"/>
      <c r="Z94" s="1231"/>
      <c r="AA94" s="1231"/>
      <c r="AB94" s="1231"/>
      <c r="AC94" s="1231">
        <f t="shared" si="44"/>
        <v>0</v>
      </c>
      <c r="AD94" s="1127"/>
      <c r="AE94" s="1128"/>
      <c r="AF94" s="1128"/>
      <c r="AG94" s="1128"/>
      <c r="AH94" s="1128"/>
      <c r="AI94" s="1124">
        <f t="shared" si="45"/>
        <v>0</v>
      </c>
      <c r="AJ94" s="1148">
        <v>32337.37</v>
      </c>
      <c r="AK94" s="1149">
        <v>0</v>
      </c>
      <c r="AL94" s="1149">
        <v>8084.28</v>
      </c>
      <c r="AM94" s="1149">
        <v>0</v>
      </c>
      <c r="AN94" s="1149">
        <v>0</v>
      </c>
      <c r="AO94" s="1154">
        <f t="shared" si="46"/>
        <v>40421.65</v>
      </c>
      <c r="AP94" s="1127">
        <v>25562.14</v>
      </c>
      <c r="AQ94" s="1128">
        <v>8237.91</v>
      </c>
      <c r="AR94" s="1128">
        <v>6200.03</v>
      </c>
      <c r="AS94" s="1128">
        <v>-0.08</v>
      </c>
      <c r="AT94" s="1128">
        <v>0</v>
      </c>
      <c r="AU94" s="1137">
        <f t="shared" si="47"/>
        <v>40000</v>
      </c>
      <c r="AV94" s="1141">
        <v>2072.19</v>
      </c>
      <c r="AW94" s="1142">
        <v>518.04999999999995</v>
      </c>
      <c r="AX94" s="1142">
        <v>0</v>
      </c>
      <c r="AY94" s="1142">
        <v>0</v>
      </c>
      <c r="AZ94" s="1142">
        <v>0</v>
      </c>
      <c r="BA94" s="1140">
        <f t="shared" si="48"/>
        <v>2590.2399999999998</v>
      </c>
      <c r="BB94" s="1131">
        <v>6942.89</v>
      </c>
      <c r="BC94" s="1131">
        <v>1735.73</v>
      </c>
      <c r="BD94" s="1131">
        <v>0</v>
      </c>
      <c r="BE94" s="1131">
        <v>0</v>
      </c>
      <c r="BF94" s="1131">
        <v>0</v>
      </c>
      <c r="BG94" s="1132">
        <f t="shared" si="49"/>
        <v>8678.6200000000008</v>
      </c>
      <c r="BH94" s="1148">
        <v>320.76</v>
      </c>
      <c r="BI94" s="1149">
        <v>579.24</v>
      </c>
      <c r="BJ94" s="1149">
        <v>0</v>
      </c>
      <c r="BK94" s="1149">
        <v>0</v>
      </c>
      <c r="BL94" s="1149">
        <v>0</v>
      </c>
      <c r="BM94" s="1147">
        <f t="shared" si="50"/>
        <v>900</v>
      </c>
      <c r="BN94" s="1148">
        <v>7724.4</v>
      </c>
      <c r="BO94" s="1149">
        <v>978.43</v>
      </c>
      <c r="BP94" s="1149">
        <v>1596.38</v>
      </c>
      <c r="BQ94" s="1149">
        <v>-0.02</v>
      </c>
      <c r="BR94" s="1149">
        <v>0</v>
      </c>
      <c r="BS94" s="1147">
        <f t="shared" si="51"/>
        <v>10299.189999999999</v>
      </c>
      <c r="BT94" s="1148"/>
      <c r="BU94" s="1149"/>
      <c r="BV94" s="1149"/>
      <c r="BW94" s="1149"/>
      <c r="BX94" s="1149"/>
      <c r="BY94" s="1154">
        <f t="shared" si="52"/>
        <v>0</v>
      </c>
      <c r="BZ94" s="1148">
        <v>21756.11</v>
      </c>
      <c r="CA94" s="1149">
        <v>51023.23</v>
      </c>
      <c r="CB94" s="1149">
        <v>13349.63</v>
      </c>
      <c r="CC94" s="1149">
        <v>-0.11</v>
      </c>
      <c r="CD94" s="1149">
        <v>0</v>
      </c>
      <c r="CE94" s="1154">
        <f t="shared" si="53"/>
        <v>86128.86</v>
      </c>
      <c r="CF94" s="1145"/>
      <c r="CG94" s="1146"/>
      <c r="CH94" s="1146"/>
      <c r="CI94" s="1146"/>
      <c r="CJ94" s="1146"/>
      <c r="CK94" s="1154">
        <f t="shared" si="54"/>
        <v>0</v>
      </c>
      <c r="CL94" s="1145"/>
      <c r="CM94" s="1146"/>
      <c r="CN94" s="1146"/>
      <c r="CO94" s="1146"/>
      <c r="CP94" s="1146"/>
      <c r="CQ94" s="1147">
        <f t="shared" si="55"/>
        <v>0</v>
      </c>
      <c r="CR94" s="1148"/>
      <c r="CS94" s="1149"/>
      <c r="CT94" s="1149"/>
      <c r="CU94" s="1149"/>
      <c r="CV94" s="1149"/>
      <c r="CW94" s="1154">
        <f t="shared" si="56"/>
        <v>0</v>
      </c>
      <c r="CX94" s="1145"/>
      <c r="CY94" s="1146"/>
      <c r="CZ94" s="1146"/>
      <c r="DA94" s="1146"/>
      <c r="DB94" s="1146"/>
      <c r="DC94" s="1147">
        <f t="shared" si="57"/>
        <v>0</v>
      </c>
      <c r="DD94" s="1148">
        <v>-203.14</v>
      </c>
      <c r="DE94" s="1149">
        <v>0</v>
      </c>
      <c r="DF94" s="1149">
        <v>0</v>
      </c>
      <c r="DG94" s="1149">
        <v>0</v>
      </c>
      <c r="DH94" s="1149">
        <v>0</v>
      </c>
      <c r="DI94" s="1154">
        <f t="shared" si="58"/>
        <v>-203.14</v>
      </c>
      <c r="DJ94" s="1233"/>
      <c r="DK94" s="1233"/>
      <c r="DL94" s="1233"/>
      <c r="DM94" s="1233"/>
      <c r="DN94" s="1233"/>
      <c r="DO94" s="1233">
        <f t="shared" si="59"/>
        <v>0</v>
      </c>
      <c r="DP94" s="1148">
        <v>3199.33</v>
      </c>
      <c r="DQ94" s="1149">
        <v>2207.5300000000002</v>
      </c>
      <c r="DR94" s="1149">
        <v>991.79</v>
      </c>
      <c r="DS94" s="1149">
        <v>0</v>
      </c>
      <c r="DT94" s="1149">
        <v>0</v>
      </c>
      <c r="DU94" s="1155">
        <f t="shared" si="60"/>
        <v>6398.6500000000005</v>
      </c>
      <c r="DV94" s="1148">
        <v>5217.99</v>
      </c>
      <c r="DW94" s="1149">
        <v>0</v>
      </c>
      <c r="DX94" s="1149">
        <v>957.11</v>
      </c>
      <c r="DY94" s="1149">
        <v>0.06</v>
      </c>
      <c r="DZ94" s="1149">
        <v>0</v>
      </c>
      <c r="EA94" s="1154">
        <f t="shared" si="61"/>
        <v>6175.16</v>
      </c>
    </row>
    <row r="95" spans="1:131" ht="15" customHeight="1">
      <c r="A95" s="746" t="s">
        <v>232</v>
      </c>
      <c r="B95" s="844" t="s">
        <v>233</v>
      </c>
      <c r="C95" s="967" t="s">
        <v>267</v>
      </c>
      <c r="D95" s="842">
        <f t="shared" si="34"/>
        <v>48374.75</v>
      </c>
      <c r="E95" s="842">
        <f t="shared" si="35"/>
        <v>50016.57</v>
      </c>
      <c r="F95" s="842">
        <f t="shared" si="36"/>
        <v>19596.739999999998</v>
      </c>
      <c r="G95" s="842">
        <f t="shared" si="37"/>
        <v>-0.14000000000000001</v>
      </c>
      <c r="H95" s="842">
        <f t="shared" si="38"/>
        <v>0</v>
      </c>
      <c r="I95" s="1578">
        <f t="shared" si="39"/>
        <v>117987.92</v>
      </c>
      <c r="J95" s="843">
        <f t="shared" si="40"/>
        <v>-0.14000000000000001</v>
      </c>
      <c r="K95" s="1579">
        <f t="shared" si="41"/>
        <v>19596.599999999999</v>
      </c>
      <c r="L95" s="1116"/>
      <c r="M95" s="1117"/>
      <c r="N95" s="1117"/>
      <c r="O95" s="1117"/>
      <c r="P95" s="1117"/>
      <c r="Q95" s="1118">
        <f t="shared" si="42"/>
        <v>0</v>
      </c>
      <c r="R95" s="1133"/>
      <c r="S95" s="1134"/>
      <c r="T95" s="1134"/>
      <c r="U95" s="1134"/>
      <c r="V95" s="1134"/>
      <c r="W95" s="1132">
        <f t="shared" si="43"/>
        <v>0</v>
      </c>
      <c r="X95" s="1231"/>
      <c r="Y95" s="1231"/>
      <c r="Z95" s="1231"/>
      <c r="AA95" s="1231"/>
      <c r="AB95" s="1231"/>
      <c r="AC95" s="1231">
        <f t="shared" si="44"/>
        <v>0</v>
      </c>
      <c r="AD95" s="1127">
        <v>779.15</v>
      </c>
      <c r="AE95" s="1128">
        <v>4.6399999999999997</v>
      </c>
      <c r="AF95" s="1128">
        <v>143.78</v>
      </c>
      <c r="AG95" s="1128">
        <v>0</v>
      </c>
      <c r="AH95" s="1128">
        <v>0</v>
      </c>
      <c r="AI95" s="1124">
        <f t="shared" si="45"/>
        <v>927.56999999999994</v>
      </c>
      <c r="AJ95" s="1148">
        <v>5669.06</v>
      </c>
      <c r="AK95" s="1149">
        <v>0</v>
      </c>
      <c r="AL95" s="1149">
        <v>1417.28</v>
      </c>
      <c r="AM95" s="1149">
        <v>0</v>
      </c>
      <c r="AN95" s="1149">
        <v>0</v>
      </c>
      <c r="AO95" s="1154">
        <f t="shared" si="46"/>
        <v>7086.34</v>
      </c>
      <c r="AP95" s="1125"/>
      <c r="AQ95" s="1126"/>
      <c r="AR95" s="1126"/>
      <c r="AS95" s="1126"/>
      <c r="AT95" s="1126"/>
      <c r="AU95" s="1137">
        <f t="shared" si="47"/>
        <v>0</v>
      </c>
      <c r="AV95" s="1141">
        <v>2763.74</v>
      </c>
      <c r="AW95" s="1142">
        <v>690.93</v>
      </c>
      <c r="AX95" s="1142">
        <v>0</v>
      </c>
      <c r="AY95" s="1142">
        <v>0</v>
      </c>
      <c r="AZ95" s="1142">
        <v>0</v>
      </c>
      <c r="BA95" s="1140">
        <f t="shared" si="48"/>
        <v>3454.6699999999996</v>
      </c>
      <c r="BB95" s="1131">
        <v>3577.84</v>
      </c>
      <c r="BC95" s="1131">
        <v>894.5</v>
      </c>
      <c r="BD95" s="1131">
        <v>0</v>
      </c>
      <c r="BE95" s="1131">
        <v>0</v>
      </c>
      <c r="BF95" s="1131">
        <v>0</v>
      </c>
      <c r="BG95" s="1132">
        <f t="shared" si="49"/>
        <v>4472.34</v>
      </c>
      <c r="BH95" s="1148">
        <v>106.92</v>
      </c>
      <c r="BI95" s="1149">
        <v>193.08</v>
      </c>
      <c r="BJ95" s="1149">
        <v>0</v>
      </c>
      <c r="BK95" s="1149">
        <v>0</v>
      </c>
      <c r="BL95" s="1149">
        <v>0</v>
      </c>
      <c r="BM95" s="1147">
        <f t="shared" si="50"/>
        <v>300</v>
      </c>
      <c r="BN95" s="1148">
        <v>5424.18</v>
      </c>
      <c r="BO95" s="1149">
        <v>687.09</v>
      </c>
      <c r="BP95" s="1149">
        <v>1121.03</v>
      </c>
      <c r="BQ95" s="1149">
        <v>-7.0000000000000007E-2</v>
      </c>
      <c r="BR95" s="1149">
        <v>0</v>
      </c>
      <c r="BS95" s="1147">
        <f t="shared" si="51"/>
        <v>7232.2300000000005</v>
      </c>
      <c r="BT95" s="1148"/>
      <c r="BU95" s="1149"/>
      <c r="BV95" s="1149"/>
      <c r="BW95" s="1149"/>
      <c r="BX95" s="1149"/>
      <c r="BY95" s="1154">
        <f t="shared" si="52"/>
        <v>0</v>
      </c>
      <c r="BZ95" s="1148">
        <v>15816.14</v>
      </c>
      <c r="CA95" s="1149">
        <v>45094.15</v>
      </c>
      <c r="CB95" s="1149">
        <v>11172.56</v>
      </c>
      <c r="CC95" s="1149">
        <v>-7.0000000000000007E-2</v>
      </c>
      <c r="CD95" s="1149">
        <v>0</v>
      </c>
      <c r="CE95" s="1154">
        <f t="shared" si="53"/>
        <v>72082.78</v>
      </c>
      <c r="CF95" s="1148">
        <v>1665.14</v>
      </c>
      <c r="CG95" s="1149">
        <v>0</v>
      </c>
      <c r="CH95" s="1149">
        <v>2986.08</v>
      </c>
      <c r="CI95" s="1149">
        <v>0</v>
      </c>
      <c r="CJ95" s="1149">
        <v>0</v>
      </c>
      <c r="CK95" s="1154">
        <f t="shared" si="54"/>
        <v>4651.22</v>
      </c>
      <c r="CL95" s="1145"/>
      <c r="CM95" s="1146"/>
      <c r="CN95" s="1146"/>
      <c r="CO95" s="1146"/>
      <c r="CP95" s="1146"/>
      <c r="CQ95" s="1147">
        <f t="shared" si="55"/>
        <v>0</v>
      </c>
      <c r="CR95" s="1148"/>
      <c r="CS95" s="1149"/>
      <c r="CT95" s="1149"/>
      <c r="CU95" s="1149"/>
      <c r="CV95" s="1149"/>
      <c r="CW95" s="1154">
        <f t="shared" si="56"/>
        <v>0</v>
      </c>
      <c r="CX95" s="1148"/>
      <c r="CY95" s="1149"/>
      <c r="CZ95" s="1149"/>
      <c r="DA95" s="1149"/>
      <c r="DB95" s="1149"/>
      <c r="DC95" s="1147">
        <f t="shared" si="57"/>
        <v>0</v>
      </c>
      <c r="DD95" s="1148"/>
      <c r="DE95" s="1149"/>
      <c r="DF95" s="1149"/>
      <c r="DG95" s="1149"/>
      <c r="DH95" s="1149"/>
      <c r="DI95" s="1154">
        <f t="shared" si="58"/>
        <v>0</v>
      </c>
      <c r="DJ95" s="1233"/>
      <c r="DK95" s="1233"/>
      <c r="DL95" s="1233"/>
      <c r="DM95" s="1233"/>
      <c r="DN95" s="1233"/>
      <c r="DO95" s="1233">
        <f t="shared" si="59"/>
        <v>0</v>
      </c>
      <c r="DP95" s="1148">
        <v>3553.9</v>
      </c>
      <c r="DQ95" s="1149">
        <v>2452.1799999999998</v>
      </c>
      <c r="DR95" s="1149">
        <v>1101.71</v>
      </c>
      <c r="DS95" s="1149">
        <v>-0.02</v>
      </c>
      <c r="DT95" s="1149">
        <v>0</v>
      </c>
      <c r="DU95" s="1155">
        <f t="shared" si="60"/>
        <v>7107.7699999999995</v>
      </c>
      <c r="DV95" s="1148">
        <v>9018.68</v>
      </c>
      <c r="DW95" s="1149">
        <v>0</v>
      </c>
      <c r="DX95" s="1149">
        <v>1654.3</v>
      </c>
      <c r="DY95" s="1149">
        <v>0.02</v>
      </c>
      <c r="DZ95" s="1149">
        <v>0</v>
      </c>
      <c r="EA95" s="1154">
        <f t="shared" si="61"/>
        <v>10673</v>
      </c>
    </row>
    <row r="96" spans="1:131" ht="15" customHeight="1">
      <c r="A96" s="746" t="s">
        <v>234</v>
      </c>
      <c r="B96" s="844" t="s">
        <v>235</v>
      </c>
      <c r="C96" s="967" t="s">
        <v>268</v>
      </c>
      <c r="D96" s="842">
        <f t="shared" si="34"/>
        <v>82473.490000000005</v>
      </c>
      <c r="E96" s="842">
        <f t="shared" si="35"/>
        <v>40482.550000000003</v>
      </c>
      <c r="F96" s="842">
        <f t="shared" si="36"/>
        <v>25322.100000000002</v>
      </c>
      <c r="G96" s="842">
        <f t="shared" si="37"/>
        <v>194.16000000000003</v>
      </c>
      <c r="H96" s="842">
        <f t="shared" si="38"/>
        <v>0</v>
      </c>
      <c r="I96" s="1578">
        <f t="shared" si="39"/>
        <v>148472.30000000002</v>
      </c>
      <c r="J96" s="843">
        <f t="shared" si="40"/>
        <v>194.16000000000003</v>
      </c>
      <c r="K96" s="1579">
        <f t="shared" si="41"/>
        <v>25516.260000000002</v>
      </c>
      <c r="L96" s="1116"/>
      <c r="M96" s="1117"/>
      <c r="N96" s="1117"/>
      <c r="O96" s="1117"/>
      <c r="P96" s="1117"/>
      <c r="Q96" s="1118">
        <f t="shared" si="42"/>
        <v>0</v>
      </c>
      <c r="R96" s="1135"/>
      <c r="S96" s="1136"/>
      <c r="T96" s="1136"/>
      <c r="U96" s="1136"/>
      <c r="V96" s="1136"/>
      <c r="W96" s="1132">
        <f t="shared" si="43"/>
        <v>0</v>
      </c>
      <c r="X96" s="1231">
        <v>0</v>
      </c>
      <c r="Y96" s="1231">
        <v>7205.11</v>
      </c>
      <c r="Z96" s="1231">
        <v>0</v>
      </c>
      <c r="AA96" s="1231">
        <v>18</v>
      </c>
      <c r="AB96" s="1231">
        <v>0</v>
      </c>
      <c r="AC96" s="1231">
        <f t="shared" si="44"/>
        <v>7223.11</v>
      </c>
      <c r="AD96" s="1127">
        <v>8415.18</v>
      </c>
      <c r="AE96" s="1128">
        <v>50.07</v>
      </c>
      <c r="AF96" s="1128">
        <v>1552.79</v>
      </c>
      <c r="AG96" s="1128">
        <v>0.05</v>
      </c>
      <c r="AH96" s="1128">
        <v>0</v>
      </c>
      <c r="AI96" s="1124">
        <f t="shared" si="45"/>
        <v>10018.09</v>
      </c>
      <c r="AJ96" s="1148">
        <v>25053.29</v>
      </c>
      <c r="AK96" s="1149">
        <v>0</v>
      </c>
      <c r="AL96" s="1149">
        <v>6263.33</v>
      </c>
      <c r="AM96" s="1149">
        <v>0</v>
      </c>
      <c r="AN96" s="1149">
        <v>0</v>
      </c>
      <c r="AO96" s="1154">
        <f t="shared" si="46"/>
        <v>31316.620000000003</v>
      </c>
      <c r="AP96" s="1125"/>
      <c r="AQ96" s="1126"/>
      <c r="AR96" s="1126"/>
      <c r="AS96" s="1126"/>
      <c r="AT96" s="1126"/>
      <c r="AU96" s="1137">
        <f t="shared" si="47"/>
        <v>0</v>
      </c>
      <c r="AV96" s="1138"/>
      <c r="AW96" s="1139"/>
      <c r="AX96" s="1139"/>
      <c r="AY96" s="1139"/>
      <c r="AZ96" s="1139"/>
      <c r="BA96" s="1140">
        <f t="shared" si="48"/>
        <v>0</v>
      </c>
      <c r="BB96" s="1131">
        <v>3376.8</v>
      </c>
      <c r="BC96" s="1131">
        <v>844.2</v>
      </c>
      <c r="BD96" s="1131">
        <v>0</v>
      </c>
      <c r="BE96" s="1131">
        <v>4.4400000000000004</v>
      </c>
      <c r="BF96" s="1131">
        <v>0</v>
      </c>
      <c r="BG96" s="1132">
        <f t="shared" si="49"/>
        <v>4225.4399999999996</v>
      </c>
      <c r="BH96" s="1148">
        <v>98.01</v>
      </c>
      <c r="BI96" s="1149">
        <v>176.99</v>
      </c>
      <c r="BJ96" s="1149">
        <v>0</v>
      </c>
      <c r="BK96" s="1149">
        <v>0</v>
      </c>
      <c r="BL96" s="1149">
        <v>0</v>
      </c>
      <c r="BM96" s="1147">
        <f t="shared" si="50"/>
        <v>275</v>
      </c>
      <c r="BN96" s="1148">
        <v>22458.03</v>
      </c>
      <c r="BO96" s="1149">
        <v>2844.68</v>
      </c>
      <c r="BP96" s="1149">
        <v>4641.33</v>
      </c>
      <c r="BQ96" s="1149">
        <v>171.72</v>
      </c>
      <c r="BR96" s="1149">
        <v>0</v>
      </c>
      <c r="BS96" s="1147">
        <f t="shared" si="51"/>
        <v>30115.760000000002</v>
      </c>
      <c r="BT96" s="1148"/>
      <c r="BU96" s="1149"/>
      <c r="BV96" s="1149"/>
      <c r="BW96" s="1149"/>
      <c r="BX96" s="1149"/>
      <c r="BY96" s="1154">
        <f t="shared" si="52"/>
        <v>0</v>
      </c>
      <c r="BZ96" s="1148">
        <v>10055.01</v>
      </c>
      <c r="CA96" s="1149">
        <v>28671.5</v>
      </c>
      <c r="CB96" s="1149">
        <v>7103.48</v>
      </c>
      <c r="CC96" s="1149">
        <v>-0.1</v>
      </c>
      <c r="CD96" s="1149">
        <v>0</v>
      </c>
      <c r="CE96" s="1154">
        <f t="shared" si="53"/>
        <v>45829.890000000007</v>
      </c>
      <c r="CF96" s="1148">
        <v>2016.84</v>
      </c>
      <c r="CG96" s="1149">
        <v>0</v>
      </c>
      <c r="CH96" s="1149">
        <v>3616.81</v>
      </c>
      <c r="CI96" s="1149">
        <v>-0.01</v>
      </c>
      <c r="CJ96" s="1149">
        <v>0</v>
      </c>
      <c r="CK96" s="1154">
        <f t="shared" si="54"/>
        <v>5633.6399999999994</v>
      </c>
      <c r="CL96" s="1145"/>
      <c r="CM96" s="1146"/>
      <c r="CN96" s="1146"/>
      <c r="CO96" s="1146"/>
      <c r="CP96" s="1146"/>
      <c r="CQ96" s="1147">
        <f t="shared" si="55"/>
        <v>0</v>
      </c>
      <c r="CR96" s="1148"/>
      <c r="CS96" s="1149"/>
      <c r="CT96" s="1149"/>
      <c r="CU96" s="1149"/>
      <c r="CV96" s="1149"/>
      <c r="CW96" s="1154">
        <f t="shared" si="56"/>
        <v>0</v>
      </c>
      <c r="CX96" s="1148"/>
      <c r="CY96" s="1149"/>
      <c r="CZ96" s="1149"/>
      <c r="DA96" s="1149"/>
      <c r="DB96" s="1149"/>
      <c r="DC96" s="1147">
        <f t="shared" si="57"/>
        <v>0</v>
      </c>
      <c r="DD96" s="1148"/>
      <c r="DE96" s="1149"/>
      <c r="DF96" s="1149"/>
      <c r="DG96" s="1149"/>
      <c r="DH96" s="1149"/>
      <c r="DI96" s="1154">
        <f t="shared" si="58"/>
        <v>0</v>
      </c>
      <c r="DJ96" s="1233"/>
      <c r="DK96" s="1233"/>
      <c r="DL96" s="1233"/>
      <c r="DM96" s="1233"/>
      <c r="DN96" s="1233"/>
      <c r="DO96" s="1233">
        <f t="shared" si="59"/>
        <v>0</v>
      </c>
      <c r="DP96" s="1148">
        <v>1000</v>
      </c>
      <c r="DQ96" s="1149">
        <v>690</v>
      </c>
      <c r="DR96" s="1149">
        <v>310</v>
      </c>
      <c r="DS96" s="1149">
        <v>0</v>
      </c>
      <c r="DT96" s="1149">
        <v>0</v>
      </c>
      <c r="DU96" s="1155">
        <f t="shared" si="60"/>
        <v>2000</v>
      </c>
      <c r="DV96" s="1148">
        <v>10000.33</v>
      </c>
      <c r="DW96" s="1149">
        <v>0</v>
      </c>
      <c r="DX96" s="1149">
        <v>1834.36</v>
      </c>
      <c r="DY96" s="1149">
        <v>0.06</v>
      </c>
      <c r="DZ96" s="1149">
        <v>0</v>
      </c>
      <c r="EA96" s="1154">
        <f t="shared" si="61"/>
        <v>11834.75</v>
      </c>
    </row>
    <row r="97" spans="1:131" ht="15" customHeight="1">
      <c r="A97" s="746" t="s">
        <v>236</v>
      </c>
      <c r="B97" s="844" t="s">
        <v>237</v>
      </c>
      <c r="C97" s="967" t="s">
        <v>266</v>
      </c>
      <c r="D97" s="842">
        <f t="shared" si="34"/>
        <v>33430.080000000002</v>
      </c>
      <c r="E97" s="842">
        <f t="shared" si="35"/>
        <v>24303.93</v>
      </c>
      <c r="F97" s="842">
        <f t="shared" si="36"/>
        <v>11157.290000000003</v>
      </c>
      <c r="G97" s="842">
        <f t="shared" si="37"/>
        <v>-9.0000000000000011E-2</v>
      </c>
      <c r="H97" s="842">
        <f t="shared" si="38"/>
        <v>0</v>
      </c>
      <c r="I97" s="1578">
        <f t="shared" si="39"/>
        <v>68891.210000000006</v>
      </c>
      <c r="J97" s="843">
        <f t="shared" si="40"/>
        <v>-9.0000000000000011E-2</v>
      </c>
      <c r="K97" s="1579">
        <f t="shared" si="41"/>
        <v>11157.200000000003</v>
      </c>
      <c r="L97" s="1116"/>
      <c r="M97" s="1117"/>
      <c r="N97" s="1117"/>
      <c r="O97" s="1117"/>
      <c r="P97" s="1117"/>
      <c r="Q97" s="1118">
        <f t="shared" si="42"/>
        <v>0</v>
      </c>
      <c r="R97" s="1133"/>
      <c r="S97" s="1134"/>
      <c r="T97" s="1134"/>
      <c r="U97" s="1134"/>
      <c r="V97" s="1134"/>
      <c r="W97" s="1132">
        <f t="shared" si="43"/>
        <v>0</v>
      </c>
      <c r="X97" s="1231"/>
      <c r="Y97" s="1231"/>
      <c r="Z97" s="1231"/>
      <c r="AA97" s="1231"/>
      <c r="AB97" s="1231"/>
      <c r="AC97" s="1231">
        <f t="shared" si="44"/>
        <v>0</v>
      </c>
      <c r="AD97" s="1127"/>
      <c r="AE97" s="1128"/>
      <c r="AF97" s="1128"/>
      <c r="AG97" s="1128"/>
      <c r="AH97" s="1128"/>
      <c r="AI97" s="1124">
        <f t="shared" si="45"/>
        <v>0</v>
      </c>
      <c r="AJ97" s="1148">
        <v>9420</v>
      </c>
      <c r="AK97" s="1149">
        <v>0</v>
      </c>
      <c r="AL97" s="1149">
        <v>2355</v>
      </c>
      <c r="AM97" s="1149">
        <v>0</v>
      </c>
      <c r="AN97" s="1149">
        <v>0</v>
      </c>
      <c r="AO97" s="1154">
        <f t="shared" si="46"/>
        <v>11775</v>
      </c>
      <c r="AP97" s="1125"/>
      <c r="AQ97" s="1126"/>
      <c r="AR97" s="1126"/>
      <c r="AS97" s="1126"/>
      <c r="AT97" s="1126"/>
      <c r="AU97" s="1137">
        <f t="shared" si="47"/>
        <v>0</v>
      </c>
      <c r="AV97" s="1138"/>
      <c r="AW97" s="1139"/>
      <c r="AX97" s="1139"/>
      <c r="AY97" s="1139"/>
      <c r="AZ97" s="1139"/>
      <c r="BA97" s="1140">
        <f t="shared" si="48"/>
        <v>0</v>
      </c>
      <c r="BB97" s="1131">
        <v>261.10000000000002</v>
      </c>
      <c r="BC97" s="1131">
        <v>65.27</v>
      </c>
      <c r="BD97" s="1131">
        <v>0</v>
      </c>
      <c r="BE97" s="1131">
        <v>0</v>
      </c>
      <c r="BF97" s="1131">
        <v>0</v>
      </c>
      <c r="BG97" s="1132">
        <f t="shared" si="49"/>
        <v>326.37</v>
      </c>
      <c r="BH97" s="1145"/>
      <c r="BI97" s="1146"/>
      <c r="BJ97" s="1146"/>
      <c r="BK97" s="1146"/>
      <c r="BL97" s="1146"/>
      <c r="BM97" s="1147">
        <f t="shared" si="50"/>
        <v>0</v>
      </c>
      <c r="BN97" s="1148">
        <v>12173.08</v>
      </c>
      <c r="BO97" s="1149">
        <v>1541.94</v>
      </c>
      <c r="BP97" s="1149">
        <v>2515.79</v>
      </c>
      <c r="BQ97" s="1149">
        <v>-7.0000000000000007E-2</v>
      </c>
      <c r="BR97" s="1149">
        <v>0</v>
      </c>
      <c r="BS97" s="1147">
        <f t="shared" si="51"/>
        <v>16230.740000000002</v>
      </c>
      <c r="BT97" s="1148"/>
      <c r="BU97" s="1149"/>
      <c r="BV97" s="1149"/>
      <c r="BW97" s="1149"/>
      <c r="BX97" s="1149"/>
      <c r="BY97" s="1154">
        <f t="shared" si="52"/>
        <v>0</v>
      </c>
      <c r="BZ97" s="1148">
        <v>7061.37</v>
      </c>
      <c r="CA97" s="1149">
        <v>20135.09</v>
      </c>
      <c r="CB97" s="1149">
        <v>4988.5200000000004</v>
      </c>
      <c r="CC97" s="1149">
        <v>-0.04</v>
      </c>
      <c r="CD97" s="1149">
        <v>0</v>
      </c>
      <c r="CE97" s="1154">
        <f t="shared" si="53"/>
        <v>32184.94</v>
      </c>
      <c r="CF97" s="1145"/>
      <c r="CG97" s="1146"/>
      <c r="CH97" s="1146"/>
      <c r="CI97" s="1146"/>
      <c r="CJ97" s="1146"/>
      <c r="CK97" s="1154">
        <f t="shared" si="54"/>
        <v>0</v>
      </c>
      <c r="CL97" s="1145"/>
      <c r="CM97" s="1146"/>
      <c r="CN97" s="1146"/>
      <c r="CO97" s="1146"/>
      <c r="CP97" s="1146"/>
      <c r="CQ97" s="1147">
        <f t="shared" si="55"/>
        <v>0</v>
      </c>
      <c r="CR97" s="1145"/>
      <c r="CS97" s="1146"/>
      <c r="CT97" s="1146"/>
      <c r="CU97" s="1146"/>
      <c r="CV97" s="1146"/>
      <c r="CW97" s="1154">
        <f t="shared" si="56"/>
        <v>0</v>
      </c>
      <c r="CX97" s="1145"/>
      <c r="CY97" s="1146"/>
      <c r="CZ97" s="1146"/>
      <c r="DA97" s="1146"/>
      <c r="DB97" s="1146"/>
      <c r="DC97" s="1147">
        <f t="shared" si="57"/>
        <v>0</v>
      </c>
      <c r="DD97" s="1148"/>
      <c r="DE97" s="1149"/>
      <c r="DF97" s="1149"/>
      <c r="DG97" s="1149"/>
      <c r="DH97" s="1149"/>
      <c r="DI97" s="1154">
        <f t="shared" si="58"/>
        <v>0</v>
      </c>
      <c r="DJ97" s="1233"/>
      <c r="DK97" s="1233"/>
      <c r="DL97" s="1233"/>
      <c r="DM97" s="1233"/>
      <c r="DN97" s="1233"/>
      <c r="DO97" s="1233">
        <f t="shared" si="59"/>
        <v>0</v>
      </c>
      <c r="DP97" s="1148">
        <v>3712.5</v>
      </c>
      <c r="DQ97" s="1149">
        <v>2561.63</v>
      </c>
      <c r="DR97" s="1149">
        <v>1150.8800000000001</v>
      </c>
      <c r="DS97" s="1149">
        <v>-0.01</v>
      </c>
      <c r="DT97" s="1149">
        <v>0</v>
      </c>
      <c r="DU97" s="1155">
        <f t="shared" si="60"/>
        <v>7425</v>
      </c>
      <c r="DV97" s="1148">
        <v>802.03</v>
      </c>
      <c r="DW97" s="1149">
        <v>0</v>
      </c>
      <c r="DX97" s="1149">
        <v>147.1</v>
      </c>
      <c r="DY97" s="1149">
        <v>0.03</v>
      </c>
      <c r="DZ97" s="1149">
        <v>0</v>
      </c>
      <c r="EA97" s="1154">
        <f t="shared" si="61"/>
        <v>949.16</v>
      </c>
    </row>
    <row r="98" spans="1:131" ht="15" customHeight="1">
      <c r="A98" s="746" t="s">
        <v>242</v>
      </c>
      <c r="B98" s="844" t="s">
        <v>243</v>
      </c>
      <c r="C98" s="967" t="s">
        <v>268</v>
      </c>
      <c r="D98" s="842">
        <f t="shared" si="34"/>
        <v>256241.82</v>
      </c>
      <c r="E98" s="842">
        <f t="shared" si="35"/>
        <v>170534.57</v>
      </c>
      <c r="F98" s="842">
        <f t="shared" si="36"/>
        <v>78987.05</v>
      </c>
      <c r="G98" s="842">
        <f t="shared" si="37"/>
        <v>-0.05</v>
      </c>
      <c r="H98" s="842">
        <f t="shared" si="38"/>
        <v>0</v>
      </c>
      <c r="I98" s="1578">
        <f t="shared" si="39"/>
        <v>505763.39</v>
      </c>
      <c r="J98" s="843">
        <f t="shared" si="40"/>
        <v>-0.05</v>
      </c>
      <c r="K98" s="1579">
        <f t="shared" si="41"/>
        <v>78987</v>
      </c>
      <c r="L98" s="1116"/>
      <c r="M98" s="1117"/>
      <c r="N98" s="1117"/>
      <c r="O98" s="1117"/>
      <c r="P98" s="1117"/>
      <c r="Q98" s="1118">
        <f t="shared" si="42"/>
        <v>0</v>
      </c>
      <c r="R98" s="1133"/>
      <c r="S98" s="1134"/>
      <c r="T98" s="1134"/>
      <c r="U98" s="1134"/>
      <c r="V98" s="1134"/>
      <c r="W98" s="1132">
        <f t="shared" si="43"/>
        <v>0</v>
      </c>
      <c r="X98" s="1231"/>
      <c r="Y98" s="1231"/>
      <c r="Z98" s="1231"/>
      <c r="AA98" s="1231"/>
      <c r="AB98" s="1231"/>
      <c r="AC98" s="1231">
        <f t="shared" si="44"/>
        <v>0</v>
      </c>
      <c r="AD98" s="1127">
        <v>7198.56</v>
      </c>
      <c r="AE98" s="1128">
        <v>42.85</v>
      </c>
      <c r="AF98" s="1128">
        <v>1328.31</v>
      </c>
      <c r="AG98" s="1128">
        <v>0</v>
      </c>
      <c r="AH98" s="1128">
        <v>0</v>
      </c>
      <c r="AI98" s="1124">
        <f t="shared" si="45"/>
        <v>8569.7200000000012</v>
      </c>
      <c r="AJ98" s="1148">
        <v>121684.89</v>
      </c>
      <c r="AK98" s="1149">
        <v>0</v>
      </c>
      <c r="AL98" s="1149">
        <v>30421.21</v>
      </c>
      <c r="AM98" s="1149">
        <v>0</v>
      </c>
      <c r="AN98" s="1149">
        <v>0</v>
      </c>
      <c r="AO98" s="1154">
        <f t="shared" si="46"/>
        <v>152106.1</v>
      </c>
      <c r="AP98" s="1125"/>
      <c r="AQ98" s="1126"/>
      <c r="AR98" s="1126"/>
      <c r="AS98" s="1126"/>
      <c r="AT98" s="1126"/>
      <c r="AU98" s="1137">
        <f t="shared" si="47"/>
        <v>0</v>
      </c>
      <c r="AV98" s="1141">
        <v>10742.4</v>
      </c>
      <c r="AW98" s="1142">
        <v>2685.6</v>
      </c>
      <c r="AX98" s="1142">
        <v>0</v>
      </c>
      <c r="AY98" s="1142">
        <v>0</v>
      </c>
      <c r="AZ98" s="1142">
        <v>0</v>
      </c>
      <c r="BA98" s="1140">
        <f t="shared" si="48"/>
        <v>13428</v>
      </c>
      <c r="BB98" s="1131">
        <v>18852.009999999998</v>
      </c>
      <c r="BC98" s="1131">
        <v>4712.99</v>
      </c>
      <c r="BD98" s="1131">
        <v>0</v>
      </c>
      <c r="BE98" s="1131">
        <v>0</v>
      </c>
      <c r="BF98" s="1131">
        <v>0</v>
      </c>
      <c r="BG98" s="1132">
        <f t="shared" si="49"/>
        <v>23565</v>
      </c>
      <c r="BH98" s="1148">
        <v>1186.81</v>
      </c>
      <c r="BI98" s="1149">
        <v>2143.19</v>
      </c>
      <c r="BJ98" s="1149">
        <v>0</v>
      </c>
      <c r="BK98" s="1149">
        <v>0</v>
      </c>
      <c r="BL98" s="1149">
        <v>0</v>
      </c>
      <c r="BM98" s="1147">
        <f t="shared" si="50"/>
        <v>3330</v>
      </c>
      <c r="BN98" s="1148">
        <v>29606.26</v>
      </c>
      <c r="BO98" s="1149">
        <v>3750.15</v>
      </c>
      <c r="BP98" s="1149">
        <v>6118.65</v>
      </c>
      <c r="BQ98" s="1149">
        <v>-0.06</v>
      </c>
      <c r="BR98" s="1149">
        <v>0</v>
      </c>
      <c r="BS98" s="1147">
        <f t="shared" si="51"/>
        <v>39475</v>
      </c>
      <c r="BT98" s="1148"/>
      <c r="BU98" s="1149"/>
      <c r="BV98" s="1149"/>
      <c r="BW98" s="1149"/>
      <c r="BX98" s="1149"/>
      <c r="BY98" s="1154">
        <f t="shared" si="52"/>
        <v>0</v>
      </c>
      <c r="BZ98" s="1148">
        <v>55287.96</v>
      </c>
      <c r="CA98" s="1149">
        <v>157199.79</v>
      </c>
      <c r="CB98" s="1149">
        <v>38975.870000000003</v>
      </c>
      <c r="CC98" s="1149">
        <v>-0.05</v>
      </c>
      <c r="CD98" s="1149">
        <v>0</v>
      </c>
      <c r="CE98" s="1154">
        <f t="shared" si="53"/>
        <v>251463.57</v>
      </c>
      <c r="CF98" s="1145"/>
      <c r="CG98" s="1146"/>
      <c r="CH98" s="1146"/>
      <c r="CI98" s="1146"/>
      <c r="CJ98" s="1146"/>
      <c r="CK98" s="1154">
        <f t="shared" si="54"/>
        <v>0</v>
      </c>
      <c r="CL98" s="1145"/>
      <c r="CM98" s="1146"/>
      <c r="CN98" s="1146"/>
      <c r="CO98" s="1146"/>
      <c r="CP98" s="1146"/>
      <c r="CQ98" s="1147">
        <f t="shared" si="55"/>
        <v>0</v>
      </c>
      <c r="CR98" s="1145"/>
      <c r="CS98" s="1146"/>
      <c r="CT98" s="1146"/>
      <c r="CU98" s="1146"/>
      <c r="CV98" s="1146"/>
      <c r="CW98" s="1154">
        <f t="shared" si="56"/>
        <v>0</v>
      </c>
      <c r="CX98" s="1145"/>
      <c r="CY98" s="1146"/>
      <c r="CZ98" s="1146"/>
      <c r="DA98" s="1146"/>
      <c r="DB98" s="1146"/>
      <c r="DC98" s="1147">
        <f t="shared" si="57"/>
        <v>0</v>
      </c>
      <c r="DD98" s="1148"/>
      <c r="DE98" s="1149"/>
      <c r="DF98" s="1149"/>
      <c r="DG98" s="1149"/>
      <c r="DH98" s="1149"/>
      <c r="DI98" s="1154">
        <f t="shared" si="58"/>
        <v>0</v>
      </c>
      <c r="DJ98" s="1234"/>
      <c r="DK98" s="1234"/>
      <c r="DL98" s="1234"/>
      <c r="DM98" s="1234"/>
      <c r="DN98" s="1234"/>
      <c r="DO98" s="1233">
        <f t="shared" si="59"/>
        <v>0</v>
      </c>
      <c r="DP98" s="1145"/>
      <c r="DQ98" s="1146"/>
      <c r="DR98" s="1146"/>
      <c r="DS98" s="1146"/>
      <c r="DT98" s="1146"/>
      <c r="DU98" s="1155">
        <f t="shared" si="60"/>
        <v>0</v>
      </c>
      <c r="DV98" s="1148">
        <v>11682.93</v>
      </c>
      <c r="DW98" s="1149">
        <v>0</v>
      </c>
      <c r="DX98" s="1149">
        <v>2143.0100000000002</v>
      </c>
      <c r="DY98" s="1149">
        <v>0.06</v>
      </c>
      <c r="DZ98" s="1149">
        <v>0</v>
      </c>
      <c r="EA98" s="1154">
        <f t="shared" si="61"/>
        <v>13826</v>
      </c>
    </row>
    <row r="99" spans="1:131" ht="15" customHeight="1">
      <c r="A99" s="746" t="s">
        <v>244</v>
      </c>
      <c r="B99" s="844" t="s">
        <v>245</v>
      </c>
      <c r="C99" s="967" t="s">
        <v>268</v>
      </c>
      <c r="D99" s="842">
        <f t="shared" si="34"/>
        <v>121346.01999999997</v>
      </c>
      <c r="E99" s="842">
        <f t="shared" si="35"/>
        <v>28212.83</v>
      </c>
      <c r="F99" s="842">
        <f t="shared" si="36"/>
        <v>27470.639999999999</v>
      </c>
      <c r="G99" s="842">
        <f t="shared" si="37"/>
        <v>-0.15</v>
      </c>
      <c r="H99" s="842">
        <f t="shared" si="38"/>
        <v>0</v>
      </c>
      <c r="I99" s="1578">
        <f t="shared" si="39"/>
        <v>177029.34</v>
      </c>
      <c r="J99" s="843">
        <f t="shared" si="40"/>
        <v>-0.15</v>
      </c>
      <c r="K99" s="1579">
        <f t="shared" si="41"/>
        <v>27470.489999999998</v>
      </c>
      <c r="L99" s="1116"/>
      <c r="M99" s="1117"/>
      <c r="N99" s="1117"/>
      <c r="O99" s="1117"/>
      <c r="P99" s="1117"/>
      <c r="Q99" s="1118">
        <f t="shared" si="42"/>
        <v>0</v>
      </c>
      <c r="R99" s="1133"/>
      <c r="S99" s="1134"/>
      <c r="T99" s="1134"/>
      <c r="U99" s="1134"/>
      <c r="V99" s="1134"/>
      <c r="W99" s="1132">
        <f t="shared" si="43"/>
        <v>0</v>
      </c>
      <c r="X99" s="1231"/>
      <c r="Y99" s="1231"/>
      <c r="Z99" s="1231"/>
      <c r="AA99" s="1231"/>
      <c r="AB99" s="1231"/>
      <c r="AC99" s="1231">
        <f t="shared" si="44"/>
        <v>0</v>
      </c>
      <c r="AD99" s="1127">
        <v>7297.51</v>
      </c>
      <c r="AE99" s="1128">
        <v>43.45</v>
      </c>
      <c r="AF99" s="1128">
        <v>1346.58</v>
      </c>
      <c r="AG99" s="1128">
        <v>-0.03</v>
      </c>
      <c r="AH99" s="1128">
        <v>0</v>
      </c>
      <c r="AI99" s="1124">
        <f t="shared" si="45"/>
        <v>8687.51</v>
      </c>
      <c r="AJ99" s="1148">
        <v>63802.36</v>
      </c>
      <c r="AK99" s="1149">
        <v>0</v>
      </c>
      <c r="AL99" s="1149">
        <v>15950.6</v>
      </c>
      <c r="AM99" s="1149">
        <v>0</v>
      </c>
      <c r="AN99" s="1149">
        <v>0</v>
      </c>
      <c r="AO99" s="1154">
        <f t="shared" si="46"/>
        <v>79752.960000000006</v>
      </c>
      <c r="AP99" s="1125"/>
      <c r="AQ99" s="1126"/>
      <c r="AR99" s="1126"/>
      <c r="AS99" s="1126"/>
      <c r="AT99" s="1126"/>
      <c r="AU99" s="1137">
        <f t="shared" si="47"/>
        <v>0</v>
      </c>
      <c r="AV99" s="1141">
        <v>5730.15</v>
      </c>
      <c r="AW99" s="1142">
        <v>1432.54</v>
      </c>
      <c r="AX99" s="1142">
        <v>0</v>
      </c>
      <c r="AY99" s="1142">
        <v>0</v>
      </c>
      <c r="AZ99" s="1142">
        <v>0</v>
      </c>
      <c r="BA99" s="1140">
        <f t="shared" si="48"/>
        <v>7162.69</v>
      </c>
      <c r="BB99" s="1131">
        <v>10612.78</v>
      </c>
      <c r="BC99" s="1131">
        <v>2653.18</v>
      </c>
      <c r="BD99" s="1131">
        <v>0</v>
      </c>
      <c r="BE99" s="1131">
        <v>0</v>
      </c>
      <c r="BF99" s="1131">
        <v>0</v>
      </c>
      <c r="BG99" s="1132">
        <f t="shared" si="49"/>
        <v>13265.960000000001</v>
      </c>
      <c r="BH99" s="1148">
        <v>989.01</v>
      </c>
      <c r="BI99" s="1149">
        <v>1785.99</v>
      </c>
      <c r="BJ99" s="1149">
        <v>0</v>
      </c>
      <c r="BK99" s="1149">
        <v>0</v>
      </c>
      <c r="BL99" s="1149">
        <v>0</v>
      </c>
      <c r="BM99" s="1147">
        <f t="shared" si="50"/>
        <v>2775</v>
      </c>
      <c r="BN99" s="1148">
        <v>18224.62</v>
      </c>
      <c r="BO99" s="1149">
        <v>2308.46</v>
      </c>
      <c r="BP99" s="1149">
        <v>3766.43</v>
      </c>
      <c r="BQ99" s="1149">
        <v>-0.05</v>
      </c>
      <c r="BR99" s="1149">
        <v>0</v>
      </c>
      <c r="BS99" s="1147">
        <f t="shared" si="51"/>
        <v>24299.46</v>
      </c>
      <c r="BT99" s="1148"/>
      <c r="BU99" s="1149"/>
      <c r="BV99" s="1149"/>
      <c r="BW99" s="1149"/>
      <c r="BX99" s="1149"/>
      <c r="BY99" s="1154">
        <f t="shared" si="52"/>
        <v>0</v>
      </c>
      <c r="BZ99" s="1148">
        <v>5831</v>
      </c>
      <c r="CA99" s="1149">
        <v>16194.2</v>
      </c>
      <c r="CB99" s="1149">
        <v>4040.01</v>
      </c>
      <c r="CC99" s="1149">
        <v>-0.06</v>
      </c>
      <c r="CD99" s="1149">
        <v>0</v>
      </c>
      <c r="CE99" s="1154">
        <f t="shared" si="53"/>
        <v>26065.149999999998</v>
      </c>
      <c r="CF99" s="1145"/>
      <c r="CG99" s="1146"/>
      <c r="CH99" s="1146"/>
      <c r="CI99" s="1146"/>
      <c r="CJ99" s="1146"/>
      <c r="CK99" s="1154">
        <f t="shared" si="54"/>
        <v>0</v>
      </c>
      <c r="CL99" s="1145"/>
      <c r="CM99" s="1146"/>
      <c r="CN99" s="1146"/>
      <c r="CO99" s="1146"/>
      <c r="CP99" s="1146"/>
      <c r="CQ99" s="1147">
        <f t="shared" si="55"/>
        <v>0</v>
      </c>
      <c r="CR99" s="1148"/>
      <c r="CS99" s="1149"/>
      <c r="CT99" s="1149"/>
      <c r="CU99" s="1149"/>
      <c r="CV99" s="1149"/>
      <c r="CW99" s="1154">
        <f t="shared" si="56"/>
        <v>0</v>
      </c>
      <c r="CX99" s="1148"/>
      <c r="CY99" s="1149"/>
      <c r="CZ99" s="1149"/>
      <c r="DA99" s="1149"/>
      <c r="DB99" s="1149"/>
      <c r="DC99" s="1147">
        <f t="shared" si="57"/>
        <v>0</v>
      </c>
      <c r="DD99" s="1148">
        <v>-250.5</v>
      </c>
      <c r="DE99" s="1149">
        <v>0</v>
      </c>
      <c r="DF99" s="1149">
        <v>0</v>
      </c>
      <c r="DG99" s="1149">
        <v>0</v>
      </c>
      <c r="DH99" s="1149">
        <v>0</v>
      </c>
      <c r="DI99" s="1154">
        <f t="shared" si="58"/>
        <v>-250.5</v>
      </c>
      <c r="DJ99" s="1233"/>
      <c r="DK99" s="1233"/>
      <c r="DL99" s="1233"/>
      <c r="DM99" s="1233"/>
      <c r="DN99" s="1233"/>
      <c r="DO99" s="1233">
        <f t="shared" si="59"/>
        <v>0</v>
      </c>
      <c r="DP99" s="1148">
        <v>5500</v>
      </c>
      <c r="DQ99" s="1149">
        <v>3795.01</v>
      </c>
      <c r="DR99" s="1149">
        <v>1705.01</v>
      </c>
      <c r="DS99" s="1149">
        <v>-0.02</v>
      </c>
      <c r="DT99" s="1149">
        <v>0</v>
      </c>
      <c r="DU99" s="1155">
        <f t="shared" si="60"/>
        <v>11000</v>
      </c>
      <c r="DV99" s="1148">
        <v>3609.09</v>
      </c>
      <c r="DW99" s="1149">
        <v>0</v>
      </c>
      <c r="DX99" s="1149">
        <v>662.01</v>
      </c>
      <c r="DY99" s="1149">
        <v>0.01</v>
      </c>
      <c r="DZ99" s="1149">
        <v>0</v>
      </c>
      <c r="EA99" s="1154">
        <f t="shared" si="61"/>
        <v>4271.1100000000006</v>
      </c>
    </row>
    <row r="100" spans="1:131" ht="15" customHeight="1">
      <c r="A100" s="746" t="s">
        <v>246</v>
      </c>
      <c r="B100" s="844" t="s">
        <v>310</v>
      </c>
      <c r="C100" s="967" t="s">
        <v>264</v>
      </c>
      <c r="D100" s="842">
        <f t="shared" si="34"/>
        <v>111699.90999999999</v>
      </c>
      <c r="E100" s="842">
        <f t="shared" si="35"/>
        <v>55538.709999999992</v>
      </c>
      <c r="F100" s="842">
        <f t="shared" si="36"/>
        <v>36354.840000000004</v>
      </c>
      <c r="G100" s="842">
        <f t="shared" si="37"/>
        <v>-0.04</v>
      </c>
      <c r="H100" s="842">
        <f t="shared" si="38"/>
        <v>15083.58</v>
      </c>
      <c r="I100" s="1578">
        <f t="shared" si="39"/>
        <v>218676.99999999997</v>
      </c>
      <c r="J100" s="843">
        <f t="shared" si="40"/>
        <v>15083.539999999999</v>
      </c>
      <c r="K100" s="1579">
        <f t="shared" si="41"/>
        <v>51438.380000000005</v>
      </c>
      <c r="L100" s="1116"/>
      <c r="M100" s="1117"/>
      <c r="N100" s="1117"/>
      <c r="O100" s="1117"/>
      <c r="P100" s="1117"/>
      <c r="Q100" s="1118">
        <f t="shared" si="42"/>
        <v>0</v>
      </c>
      <c r="R100" s="1133"/>
      <c r="S100" s="1134"/>
      <c r="T100" s="1134"/>
      <c r="U100" s="1134"/>
      <c r="V100" s="1134"/>
      <c r="W100" s="1132">
        <f t="shared" si="43"/>
        <v>0</v>
      </c>
      <c r="X100" s="1231"/>
      <c r="Y100" s="1231"/>
      <c r="Z100" s="1231"/>
      <c r="AA100" s="1231"/>
      <c r="AB100" s="1231"/>
      <c r="AC100" s="1231">
        <f t="shared" si="44"/>
        <v>0</v>
      </c>
      <c r="AD100" s="1127">
        <v>6177.85</v>
      </c>
      <c r="AE100" s="1128">
        <v>36.770000000000003</v>
      </c>
      <c r="AF100" s="1128">
        <v>1139.96</v>
      </c>
      <c r="AG100" s="1128">
        <v>0.01</v>
      </c>
      <c r="AH100" s="1128">
        <v>0</v>
      </c>
      <c r="AI100" s="1124">
        <f t="shared" si="45"/>
        <v>7354.5900000000011</v>
      </c>
      <c r="AJ100" s="1148">
        <v>44190.6</v>
      </c>
      <c r="AK100" s="1149">
        <v>0</v>
      </c>
      <c r="AL100" s="1149">
        <v>11047.65</v>
      </c>
      <c r="AM100" s="1149">
        <v>0</v>
      </c>
      <c r="AN100" s="1149">
        <v>12462.58</v>
      </c>
      <c r="AO100" s="1154">
        <f t="shared" si="46"/>
        <v>67700.83</v>
      </c>
      <c r="AP100" s="1125"/>
      <c r="AQ100" s="1126"/>
      <c r="AR100" s="1126"/>
      <c r="AS100" s="1126"/>
      <c r="AT100" s="1126"/>
      <c r="AU100" s="1137">
        <f t="shared" si="47"/>
        <v>0</v>
      </c>
      <c r="AV100" s="1138"/>
      <c r="AW100" s="1139"/>
      <c r="AX100" s="1139"/>
      <c r="AY100" s="1139"/>
      <c r="AZ100" s="1139"/>
      <c r="BA100" s="1140">
        <f t="shared" si="48"/>
        <v>0</v>
      </c>
      <c r="BB100" s="1131"/>
      <c r="BC100" s="1131"/>
      <c r="BD100" s="1131"/>
      <c r="BE100" s="1131"/>
      <c r="BF100" s="1131"/>
      <c r="BG100" s="1132">
        <f t="shared" si="49"/>
        <v>0</v>
      </c>
      <c r="BH100" s="1148">
        <v>288.68</v>
      </c>
      <c r="BI100" s="1149">
        <v>521.32000000000005</v>
      </c>
      <c r="BJ100" s="1149">
        <v>0</v>
      </c>
      <c r="BK100" s="1149">
        <v>0</v>
      </c>
      <c r="BL100" s="1149">
        <v>0</v>
      </c>
      <c r="BM100" s="1147">
        <f t="shared" si="50"/>
        <v>810</v>
      </c>
      <c r="BN100" s="1148">
        <v>30251.24</v>
      </c>
      <c r="BO100" s="1149">
        <v>3831.82</v>
      </c>
      <c r="BP100" s="1149">
        <v>6251.9</v>
      </c>
      <c r="BQ100" s="1149">
        <v>-0.04</v>
      </c>
      <c r="BR100" s="1149">
        <v>0</v>
      </c>
      <c r="BS100" s="1147">
        <f t="shared" si="51"/>
        <v>40334.920000000006</v>
      </c>
      <c r="BT100" s="1148">
        <v>-242.5</v>
      </c>
      <c r="BU100" s="1149">
        <v>-242.5</v>
      </c>
      <c r="BV100" s="1149">
        <v>0</v>
      </c>
      <c r="BW100" s="1149">
        <v>0</v>
      </c>
      <c r="BX100" s="1149">
        <v>0</v>
      </c>
      <c r="BY100" s="1154">
        <f t="shared" si="52"/>
        <v>-485</v>
      </c>
      <c r="BZ100" s="1148">
        <v>16196.61</v>
      </c>
      <c r="CA100" s="1149">
        <v>45974.46</v>
      </c>
      <c r="CB100" s="1149">
        <v>11403.8</v>
      </c>
      <c r="CC100" s="1149">
        <v>-0.05</v>
      </c>
      <c r="CD100" s="1149">
        <v>0</v>
      </c>
      <c r="CE100" s="1154">
        <f t="shared" si="53"/>
        <v>73574.819999999992</v>
      </c>
      <c r="CF100" s="1148">
        <v>1563.4</v>
      </c>
      <c r="CG100" s="1149">
        <v>0</v>
      </c>
      <c r="CH100" s="1149">
        <v>2803.64</v>
      </c>
      <c r="CI100" s="1149">
        <v>0</v>
      </c>
      <c r="CJ100" s="1149">
        <v>0</v>
      </c>
      <c r="CK100" s="1154">
        <f t="shared" si="54"/>
        <v>4367.04</v>
      </c>
      <c r="CL100" s="1145"/>
      <c r="CM100" s="1146"/>
      <c r="CN100" s="1146"/>
      <c r="CO100" s="1146"/>
      <c r="CP100" s="1146"/>
      <c r="CQ100" s="1147">
        <f t="shared" si="55"/>
        <v>0</v>
      </c>
      <c r="CR100" s="1148">
        <v>-160</v>
      </c>
      <c r="CS100" s="1149">
        <v>0</v>
      </c>
      <c r="CT100" s="1149">
        <v>0</v>
      </c>
      <c r="CU100" s="1149">
        <v>0</v>
      </c>
      <c r="CV100" s="1149">
        <v>0</v>
      </c>
      <c r="CW100" s="1154">
        <f t="shared" si="56"/>
        <v>-160</v>
      </c>
      <c r="CX100" s="1148"/>
      <c r="CY100" s="1149"/>
      <c r="CZ100" s="1149"/>
      <c r="DA100" s="1149"/>
      <c r="DB100" s="1149"/>
      <c r="DC100" s="1147">
        <f t="shared" si="57"/>
        <v>0</v>
      </c>
      <c r="DD100" s="1148">
        <v>-1363.2</v>
      </c>
      <c r="DE100" s="1149">
        <v>0</v>
      </c>
      <c r="DF100" s="1149">
        <v>0</v>
      </c>
      <c r="DG100" s="1149">
        <v>0</v>
      </c>
      <c r="DH100" s="1149">
        <v>0</v>
      </c>
      <c r="DI100" s="1154">
        <f t="shared" si="58"/>
        <v>-1363.2</v>
      </c>
      <c r="DJ100" s="1233"/>
      <c r="DK100" s="1233"/>
      <c r="DL100" s="1233"/>
      <c r="DM100" s="1233"/>
      <c r="DN100" s="1233"/>
      <c r="DO100" s="1233">
        <f t="shared" si="59"/>
        <v>0</v>
      </c>
      <c r="DP100" s="1148">
        <v>7850.5</v>
      </c>
      <c r="DQ100" s="1149">
        <v>5416.84</v>
      </c>
      <c r="DR100" s="1149">
        <v>2433.66</v>
      </c>
      <c r="DS100" s="1149">
        <v>0</v>
      </c>
      <c r="DT100" s="1149">
        <v>0</v>
      </c>
      <c r="DU100" s="1155">
        <f t="shared" si="60"/>
        <v>15701</v>
      </c>
      <c r="DV100" s="1148">
        <v>6946.73</v>
      </c>
      <c r="DW100" s="1149">
        <v>0</v>
      </c>
      <c r="DX100" s="1149">
        <v>1274.23</v>
      </c>
      <c r="DY100" s="1149">
        <v>0.04</v>
      </c>
      <c r="DZ100" s="1149">
        <v>2621</v>
      </c>
      <c r="EA100" s="1154">
        <f t="shared" si="61"/>
        <v>10842</v>
      </c>
    </row>
    <row r="101" spans="1:131" ht="15" customHeight="1">
      <c r="A101" s="746" t="s">
        <v>14</v>
      </c>
      <c r="B101" s="844" t="s">
        <v>15</v>
      </c>
      <c r="C101" s="967" t="s">
        <v>267</v>
      </c>
      <c r="D101" s="842">
        <f t="shared" si="34"/>
        <v>223283.46999999997</v>
      </c>
      <c r="E101" s="842">
        <f t="shared" si="35"/>
        <v>73656.710000000006</v>
      </c>
      <c r="F101" s="842">
        <f t="shared" si="36"/>
        <v>80309.48</v>
      </c>
      <c r="G101" s="842">
        <f t="shared" si="37"/>
        <v>79.86</v>
      </c>
      <c r="H101" s="842">
        <f t="shared" si="38"/>
        <v>187697.72</v>
      </c>
      <c r="I101" s="1578">
        <f t="shared" si="39"/>
        <v>565027.24</v>
      </c>
      <c r="J101" s="843">
        <f t="shared" si="40"/>
        <v>187777.58</v>
      </c>
      <c r="K101" s="1579">
        <f t="shared" si="41"/>
        <v>268087.06</v>
      </c>
      <c r="L101" s="1116"/>
      <c r="M101" s="1117"/>
      <c r="N101" s="1117"/>
      <c r="O101" s="1117"/>
      <c r="P101" s="1117"/>
      <c r="Q101" s="1118">
        <f t="shared" si="42"/>
        <v>0</v>
      </c>
      <c r="R101" s="1133">
        <v>0</v>
      </c>
      <c r="S101" s="1134">
        <v>0</v>
      </c>
      <c r="T101" s="1134">
        <v>0</v>
      </c>
      <c r="U101" s="1134">
        <v>0</v>
      </c>
      <c r="V101" s="1134">
        <v>54667.03</v>
      </c>
      <c r="W101" s="1132">
        <f t="shared" si="43"/>
        <v>54667.03</v>
      </c>
      <c r="X101" s="1231">
        <v>0</v>
      </c>
      <c r="Y101" s="1231">
        <v>18915.03</v>
      </c>
      <c r="Z101" s="1231">
        <v>0</v>
      </c>
      <c r="AA101" s="1231">
        <v>0</v>
      </c>
      <c r="AB101" s="1231">
        <v>0</v>
      </c>
      <c r="AC101" s="1231">
        <f t="shared" si="44"/>
        <v>18915.03</v>
      </c>
      <c r="AD101" s="1127">
        <v>8803.4500000000007</v>
      </c>
      <c r="AE101" s="1128">
        <v>52.39</v>
      </c>
      <c r="AF101" s="1128">
        <v>1624.45</v>
      </c>
      <c r="AG101" s="1128">
        <v>0.01</v>
      </c>
      <c r="AH101" s="1128">
        <v>0</v>
      </c>
      <c r="AI101" s="1124">
        <f t="shared" si="45"/>
        <v>10480.300000000001</v>
      </c>
      <c r="AJ101" s="1148">
        <v>76680.800000000003</v>
      </c>
      <c r="AK101" s="1149">
        <v>0</v>
      </c>
      <c r="AL101" s="1149">
        <v>19170.2</v>
      </c>
      <c r="AM101" s="1149">
        <v>0</v>
      </c>
      <c r="AN101" s="1149">
        <v>130314.12</v>
      </c>
      <c r="AO101" s="1154">
        <f t="shared" si="46"/>
        <v>226165.12</v>
      </c>
      <c r="AP101" s="1127">
        <v>5785.27</v>
      </c>
      <c r="AQ101" s="1128">
        <v>2189.0300000000002</v>
      </c>
      <c r="AR101" s="1128">
        <v>1462.73</v>
      </c>
      <c r="AS101" s="1128">
        <v>-0.03</v>
      </c>
      <c r="AT101" s="1128">
        <v>0</v>
      </c>
      <c r="AU101" s="1137">
        <f t="shared" si="47"/>
        <v>9437</v>
      </c>
      <c r="AV101" s="1141">
        <v>14817</v>
      </c>
      <c r="AW101" s="1142">
        <v>3704.26</v>
      </c>
      <c r="AX101" s="1142">
        <v>0</v>
      </c>
      <c r="AY101" s="1142">
        <v>0</v>
      </c>
      <c r="AZ101" s="1142">
        <v>0</v>
      </c>
      <c r="BA101" s="1140">
        <f t="shared" si="48"/>
        <v>18521.260000000002</v>
      </c>
      <c r="BB101" s="1131">
        <v>11484.84</v>
      </c>
      <c r="BC101" s="1131">
        <v>2871.19</v>
      </c>
      <c r="BD101" s="1131">
        <v>0</v>
      </c>
      <c r="BE101" s="1131">
        <v>0</v>
      </c>
      <c r="BF101" s="1131">
        <v>0</v>
      </c>
      <c r="BG101" s="1132">
        <f t="shared" si="49"/>
        <v>14356.03</v>
      </c>
      <c r="BH101" s="1148">
        <v>1780.22</v>
      </c>
      <c r="BI101" s="1149">
        <v>3214.78</v>
      </c>
      <c r="BJ101" s="1149">
        <v>0</v>
      </c>
      <c r="BK101" s="1149">
        <v>0</v>
      </c>
      <c r="BL101" s="1149">
        <v>0</v>
      </c>
      <c r="BM101" s="1147">
        <f t="shared" si="50"/>
        <v>4995</v>
      </c>
      <c r="BN101" s="1148">
        <v>48153.82</v>
      </c>
      <c r="BO101" s="1149">
        <v>6099.45</v>
      </c>
      <c r="BP101" s="1149">
        <v>9951.77</v>
      </c>
      <c r="BQ101" s="1149">
        <v>-0.04</v>
      </c>
      <c r="BR101" s="1149">
        <v>0</v>
      </c>
      <c r="BS101" s="1147">
        <f t="shared" si="51"/>
        <v>64204.999999999993</v>
      </c>
      <c r="BT101" s="1148"/>
      <c r="BU101" s="1149"/>
      <c r="BV101" s="1149"/>
      <c r="BW101" s="1149"/>
      <c r="BX101" s="1149"/>
      <c r="BY101" s="1154">
        <f t="shared" si="52"/>
        <v>0</v>
      </c>
      <c r="BZ101" s="1148">
        <v>19107.150000000001</v>
      </c>
      <c r="CA101" s="1149">
        <v>30253.23</v>
      </c>
      <c r="CB101" s="1149">
        <v>9053.89</v>
      </c>
      <c r="CC101" s="1149">
        <v>-0.03</v>
      </c>
      <c r="CD101" s="1149">
        <v>0</v>
      </c>
      <c r="CE101" s="1154">
        <f t="shared" si="53"/>
        <v>58414.240000000005</v>
      </c>
      <c r="CF101" s="1148">
        <v>19323.27</v>
      </c>
      <c r="CG101" s="1149">
        <v>0</v>
      </c>
      <c r="CH101" s="1149">
        <v>34652.33</v>
      </c>
      <c r="CI101" s="1149">
        <v>80</v>
      </c>
      <c r="CJ101" s="1149">
        <v>0</v>
      </c>
      <c r="CK101" s="1154">
        <f t="shared" si="54"/>
        <v>54055.600000000006</v>
      </c>
      <c r="CL101" s="1145"/>
      <c r="CM101" s="1146"/>
      <c r="CN101" s="1146"/>
      <c r="CO101" s="1146"/>
      <c r="CP101" s="1146"/>
      <c r="CQ101" s="1147">
        <f t="shared" si="55"/>
        <v>0</v>
      </c>
      <c r="CR101" s="1148"/>
      <c r="CS101" s="1149"/>
      <c r="CT101" s="1149"/>
      <c r="CU101" s="1149"/>
      <c r="CV101" s="1149"/>
      <c r="CW101" s="1154">
        <f t="shared" si="56"/>
        <v>0</v>
      </c>
      <c r="CX101" s="1148"/>
      <c r="CY101" s="1149"/>
      <c r="CZ101" s="1149"/>
      <c r="DA101" s="1149"/>
      <c r="DB101" s="1149"/>
      <c r="DC101" s="1147">
        <f t="shared" si="57"/>
        <v>0</v>
      </c>
      <c r="DD101" s="1148"/>
      <c r="DE101" s="1149"/>
      <c r="DF101" s="1149"/>
      <c r="DG101" s="1149"/>
      <c r="DH101" s="1149"/>
      <c r="DI101" s="1154">
        <f t="shared" si="58"/>
        <v>0</v>
      </c>
      <c r="DJ101" s="1233">
        <v>-250</v>
      </c>
      <c r="DK101" s="1233">
        <v>0</v>
      </c>
      <c r="DL101" s="1233">
        <v>0</v>
      </c>
      <c r="DM101" s="1233">
        <v>0</v>
      </c>
      <c r="DN101" s="1233">
        <v>0</v>
      </c>
      <c r="DO101" s="1233">
        <f t="shared" si="59"/>
        <v>-250</v>
      </c>
      <c r="DP101" s="1148">
        <v>9213.56</v>
      </c>
      <c r="DQ101" s="1149">
        <v>6357.35</v>
      </c>
      <c r="DR101" s="1149">
        <v>2856.2</v>
      </c>
      <c r="DS101" s="1149">
        <v>-0.05</v>
      </c>
      <c r="DT101" s="1149">
        <v>0</v>
      </c>
      <c r="DU101" s="1155">
        <f t="shared" si="60"/>
        <v>18427.060000000001</v>
      </c>
      <c r="DV101" s="1148">
        <v>8384.09</v>
      </c>
      <c r="DW101" s="1149">
        <v>0</v>
      </c>
      <c r="DX101" s="1149">
        <v>1537.91</v>
      </c>
      <c r="DY101" s="1149">
        <v>0</v>
      </c>
      <c r="DZ101" s="1149">
        <v>2716.57</v>
      </c>
      <c r="EA101" s="1154">
        <f t="shared" si="61"/>
        <v>12638.57</v>
      </c>
    </row>
    <row r="102" spans="1:131" ht="15" customHeight="1">
      <c r="A102" s="746" t="s">
        <v>34</v>
      </c>
      <c r="B102" s="844" t="s">
        <v>35</v>
      </c>
      <c r="C102" s="967" t="s">
        <v>268</v>
      </c>
      <c r="D102" s="842">
        <f t="shared" si="34"/>
        <v>106358.07</v>
      </c>
      <c r="E102" s="842">
        <f t="shared" si="35"/>
        <v>106959.33</v>
      </c>
      <c r="F102" s="842">
        <f t="shared" si="36"/>
        <v>42633.08</v>
      </c>
      <c r="G102" s="842">
        <f t="shared" si="37"/>
        <v>-0.2</v>
      </c>
      <c r="H102" s="842">
        <f t="shared" si="38"/>
        <v>0</v>
      </c>
      <c r="I102" s="1578">
        <f t="shared" si="39"/>
        <v>255950.28000000003</v>
      </c>
      <c r="J102" s="843">
        <f t="shared" si="40"/>
        <v>-0.2</v>
      </c>
      <c r="K102" s="1579">
        <f t="shared" si="41"/>
        <v>42632.880000000005</v>
      </c>
      <c r="L102" s="1116"/>
      <c r="M102" s="1117"/>
      <c r="N102" s="1117"/>
      <c r="O102" s="1117"/>
      <c r="P102" s="1117"/>
      <c r="Q102" s="1118">
        <f t="shared" si="42"/>
        <v>0</v>
      </c>
      <c r="R102" s="1133"/>
      <c r="S102" s="1134"/>
      <c r="T102" s="1134"/>
      <c r="U102" s="1134"/>
      <c r="V102" s="1134"/>
      <c r="W102" s="1132">
        <f t="shared" si="43"/>
        <v>0</v>
      </c>
      <c r="X102" s="1231"/>
      <c r="Y102" s="1231"/>
      <c r="Z102" s="1231"/>
      <c r="AA102" s="1231"/>
      <c r="AB102" s="1231"/>
      <c r="AC102" s="1231">
        <f t="shared" si="44"/>
        <v>0</v>
      </c>
      <c r="AD102" s="1127">
        <v>4623.1000000000004</v>
      </c>
      <c r="AE102" s="1128">
        <v>27.52</v>
      </c>
      <c r="AF102" s="1128">
        <v>853.07</v>
      </c>
      <c r="AG102" s="1128">
        <v>0.01</v>
      </c>
      <c r="AH102" s="1128">
        <v>0</v>
      </c>
      <c r="AI102" s="1124">
        <f t="shared" si="45"/>
        <v>5503.7000000000007</v>
      </c>
      <c r="AJ102" s="1148">
        <v>22193.41</v>
      </c>
      <c r="AK102" s="1149">
        <v>0</v>
      </c>
      <c r="AL102" s="1149">
        <v>5548.39</v>
      </c>
      <c r="AM102" s="1149">
        <v>0</v>
      </c>
      <c r="AN102" s="1149">
        <v>0</v>
      </c>
      <c r="AO102" s="1154">
        <f t="shared" si="46"/>
        <v>27741.8</v>
      </c>
      <c r="AP102" s="1127">
        <v>5376.76</v>
      </c>
      <c r="AQ102" s="1128">
        <v>1264.55</v>
      </c>
      <c r="AR102" s="1128">
        <v>1218.22</v>
      </c>
      <c r="AS102" s="1128">
        <v>-0.01</v>
      </c>
      <c r="AT102" s="1128">
        <v>0</v>
      </c>
      <c r="AU102" s="1137">
        <f t="shared" si="47"/>
        <v>7859.52</v>
      </c>
      <c r="AV102" s="1141">
        <v>3077</v>
      </c>
      <c r="AW102" s="1142">
        <v>769.25</v>
      </c>
      <c r="AX102" s="1142">
        <v>0</v>
      </c>
      <c r="AY102" s="1142">
        <v>0</v>
      </c>
      <c r="AZ102" s="1142">
        <v>0</v>
      </c>
      <c r="BA102" s="1140">
        <f t="shared" si="48"/>
        <v>3846.25</v>
      </c>
      <c r="BB102" s="1131">
        <v>5908.79</v>
      </c>
      <c r="BC102" s="1131">
        <v>1477.21</v>
      </c>
      <c r="BD102" s="1131">
        <v>0</v>
      </c>
      <c r="BE102" s="1131">
        <v>0</v>
      </c>
      <c r="BF102" s="1131">
        <v>0</v>
      </c>
      <c r="BG102" s="1132">
        <f t="shared" si="49"/>
        <v>7386</v>
      </c>
      <c r="BH102" s="1148">
        <v>150.35</v>
      </c>
      <c r="BI102" s="1149">
        <v>271.51</v>
      </c>
      <c r="BJ102" s="1149">
        <v>0</v>
      </c>
      <c r="BK102" s="1149">
        <v>0</v>
      </c>
      <c r="BL102" s="1149">
        <v>0</v>
      </c>
      <c r="BM102" s="1147">
        <f t="shared" si="50"/>
        <v>421.86</v>
      </c>
      <c r="BN102" s="1148">
        <v>15402.01</v>
      </c>
      <c r="BO102" s="1149">
        <v>1950.93</v>
      </c>
      <c r="BP102" s="1149">
        <v>3183.09</v>
      </c>
      <c r="BQ102" s="1149">
        <v>-0.03</v>
      </c>
      <c r="BR102" s="1149">
        <v>0</v>
      </c>
      <c r="BS102" s="1147">
        <f t="shared" si="51"/>
        <v>20536</v>
      </c>
      <c r="BT102" s="1148"/>
      <c r="BU102" s="1149"/>
      <c r="BV102" s="1149"/>
      <c r="BW102" s="1149"/>
      <c r="BX102" s="1149"/>
      <c r="BY102" s="1154">
        <f t="shared" si="52"/>
        <v>0</v>
      </c>
      <c r="BZ102" s="1148">
        <v>40412.18</v>
      </c>
      <c r="CA102" s="1149">
        <v>99985.89</v>
      </c>
      <c r="CB102" s="1149">
        <v>25752.63</v>
      </c>
      <c r="CC102" s="1149">
        <v>-0.16</v>
      </c>
      <c r="CD102" s="1149">
        <v>0</v>
      </c>
      <c r="CE102" s="1154">
        <f t="shared" si="53"/>
        <v>166150.54</v>
      </c>
      <c r="CF102" s="1148">
        <v>2584.92</v>
      </c>
      <c r="CG102" s="1149">
        <v>0</v>
      </c>
      <c r="CH102" s="1149">
        <v>4635.51</v>
      </c>
      <c r="CI102" s="1149">
        <v>0</v>
      </c>
      <c r="CJ102" s="1149">
        <v>0</v>
      </c>
      <c r="CK102" s="1154">
        <f t="shared" si="54"/>
        <v>7220.43</v>
      </c>
      <c r="CL102" s="1145"/>
      <c r="CM102" s="1146"/>
      <c r="CN102" s="1146"/>
      <c r="CO102" s="1146"/>
      <c r="CP102" s="1146"/>
      <c r="CQ102" s="1147">
        <f t="shared" si="55"/>
        <v>0</v>
      </c>
      <c r="CR102" s="1148"/>
      <c r="CS102" s="1149"/>
      <c r="CT102" s="1149"/>
      <c r="CU102" s="1149"/>
      <c r="CV102" s="1149"/>
      <c r="CW102" s="1154">
        <f t="shared" si="56"/>
        <v>0</v>
      </c>
      <c r="CX102" s="1148"/>
      <c r="CY102" s="1149"/>
      <c r="CZ102" s="1149"/>
      <c r="DA102" s="1149"/>
      <c r="DB102" s="1149"/>
      <c r="DC102" s="1147">
        <f t="shared" si="57"/>
        <v>0</v>
      </c>
      <c r="DD102" s="1148">
        <v>-20</v>
      </c>
      <c r="DE102" s="1149">
        <v>0</v>
      </c>
      <c r="DF102" s="1149">
        <v>0</v>
      </c>
      <c r="DG102" s="1149">
        <v>0</v>
      </c>
      <c r="DH102" s="1149">
        <v>0</v>
      </c>
      <c r="DI102" s="1154">
        <f t="shared" si="58"/>
        <v>-20</v>
      </c>
      <c r="DJ102" s="1233"/>
      <c r="DK102" s="1233"/>
      <c r="DL102" s="1233"/>
      <c r="DM102" s="1233"/>
      <c r="DN102" s="1233"/>
      <c r="DO102" s="1233">
        <f t="shared" si="59"/>
        <v>0</v>
      </c>
      <c r="DP102" s="1148">
        <v>1757.21</v>
      </c>
      <c r="DQ102" s="1149">
        <v>1212.47</v>
      </c>
      <c r="DR102" s="1149">
        <v>544.74</v>
      </c>
      <c r="DS102" s="1149">
        <v>0</v>
      </c>
      <c r="DT102" s="1149">
        <v>0</v>
      </c>
      <c r="DU102" s="1155">
        <f t="shared" si="60"/>
        <v>3514.42</v>
      </c>
      <c r="DV102" s="1148">
        <v>4892.34</v>
      </c>
      <c r="DW102" s="1149">
        <v>0</v>
      </c>
      <c r="DX102" s="1149">
        <v>897.43</v>
      </c>
      <c r="DY102" s="1149">
        <v>-0.01</v>
      </c>
      <c r="DZ102" s="1149">
        <v>0</v>
      </c>
      <c r="EA102" s="1154">
        <f t="shared" si="61"/>
        <v>5789.76</v>
      </c>
    </row>
    <row r="103" spans="1:131" ht="15" customHeight="1">
      <c r="A103" s="746" t="s">
        <v>52</v>
      </c>
      <c r="B103" s="844" t="s">
        <v>53</v>
      </c>
      <c r="C103" s="967" t="s">
        <v>265</v>
      </c>
      <c r="D103" s="842">
        <f t="shared" si="34"/>
        <v>164078.71</v>
      </c>
      <c r="E103" s="842">
        <f t="shared" si="35"/>
        <v>69729.88</v>
      </c>
      <c r="F103" s="842">
        <f t="shared" si="36"/>
        <v>56924.170000000006</v>
      </c>
      <c r="G103" s="842">
        <f t="shared" si="37"/>
        <v>-0.24000000000000002</v>
      </c>
      <c r="H103" s="842">
        <f t="shared" si="38"/>
        <v>2219.91</v>
      </c>
      <c r="I103" s="1578">
        <f t="shared" si="39"/>
        <v>292952.43</v>
      </c>
      <c r="J103" s="843">
        <f t="shared" si="40"/>
        <v>2219.67</v>
      </c>
      <c r="K103" s="1579">
        <f t="shared" si="41"/>
        <v>59143.840000000004</v>
      </c>
      <c r="L103" s="1116"/>
      <c r="M103" s="1117"/>
      <c r="N103" s="1117"/>
      <c r="O103" s="1117"/>
      <c r="P103" s="1117"/>
      <c r="Q103" s="1118">
        <f t="shared" si="42"/>
        <v>0</v>
      </c>
      <c r="R103" s="1133"/>
      <c r="S103" s="1134"/>
      <c r="T103" s="1134"/>
      <c r="U103" s="1134"/>
      <c r="V103" s="1134"/>
      <c r="W103" s="1132">
        <f t="shared" si="43"/>
        <v>0</v>
      </c>
      <c r="X103" s="1231"/>
      <c r="Y103" s="1231"/>
      <c r="Z103" s="1231"/>
      <c r="AA103" s="1231"/>
      <c r="AB103" s="1231"/>
      <c r="AC103" s="1231">
        <f t="shared" si="44"/>
        <v>0</v>
      </c>
      <c r="AD103" s="1127">
        <v>6187.42</v>
      </c>
      <c r="AE103" s="1128">
        <v>36.840000000000003</v>
      </c>
      <c r="AF103" s="1128">
        <v>1141.73</v>
      </c>
      <c r="AG103" s="1128">
        <v>0</v>
      </c>
      <c r="AH103" s="1128">
        <v>0</v>
      </c>
      <c r="AI103" s="1124">
        <f t="shared" si="45"/>
        <v>7365.99</v>
      </c>
      <c r="AJ103" s="1148">
        <v>18344.63</v>
      </c>
      <c r="AK103" s="1149">
        <v>0</v>
      </c>
      <c r="AL103" s="1149">
        <v>4586.17</v>
      </c>
      <c r="AM103" s="1149">
        <v>0</v>
      </c>
      <c r="AN103" s="1149">
        <v>0</v>
      </c>
      <c r="AO103" s="1154">
        <f t="shared" si="46"/>
        <v>22930.800000000003</v>
      </c>
      <c r="AP103" s="1125"/>
      <c r="AQ103" s="1126"/>
      <c r="AR103" s="1126"/>
      <c r="AS103" s="1126"/>
      <c r="AT103" s="1126"/>
      <c r="AU103" s="1137">
        <f t="shared" si="47"/>
        <v>0</v>
      </c>
      <c r="AV103" s="1141">
        <v>10096.44</v>
      </c>
      <c r="AW103" s="1142">
        <v>2524.12</v>
      </c>
      <c r="AX103" s="1142">
        <v>0</v>
      </c>
      <c r="AY103" s="1142">
        <v>0</v>
      </c>
      <c r="AZ103" s="1142">
        <v>0</v>
      </c>
      <c r="BA103" s="1140">
        <f t="shared" si="48"/>
        <v>12620.560000000001</v>
      </c>
      <c r="BB103" s="1131">
        <v>18852</v>
      </c>
      <c r="BC103" s="1131">
        <v>4713</v>
      </c>
      <c r="BD103" s="1131">
        <v>0</v>
      </c>
      <c r="BE103" s="1131">
        <v>0</v>
      </c>
      <c r="BF103" s="1131">
        <v>0</v>
      </c>
      <c r="BG103" s="1132">
        <f t="shared" si="49"/>
        <v>23565</v>
      </c>
      <c r="BH103" s="1148">
        <v>3040.1</v>
      </c>
      <c r="BI103" s="1149">
        <v>5489.9</v>
      </c>
      <c r="BJ103" s="1149">
        <v>0</v>
      </c>
      <c r="BK103" s="1149">
        <v>0</v>
      </c>
      <c r="BL103" s="1149">
        <v>0</v>
      </c>
      <c r="BM103" s="1147">
        <f t="shared" si="50"/>
        <v>8530</v>
      </c>
      <c r="BN103" s="1148">
        <v>53196.04</v>
      </c>
      <c r="BO103" s="1149">
        <v>6738.2</v>
      </c>
      <c r="BP103" s="1149">
        <v>10993.9</v>
      </c>
      <c r="BQ103" s="1149">
        <v>-0.14000000000000001</v>
      </c>
      <c r="BR103" s="1149">
        <v>0</v>
      </c>
      <c r="BS103" s="1147">
        <f t="shared" si="51"/>
        <v>70928</v>
      </c>
      <c r="BT103" s="1148">
        <v>-1547.09</v>
      </c>
      <c r="BU103" s="1149">
        <v>-1547.09</v>
      </c>
      <c r="BV103" s="1149">
        <v>0</v>
      </c>
      <c r="BW103" s="1149">
        <v>0.03</v>
      </c>
      <c r="BX103" s="1149">
        <v>0</v>
      </c>
      <c r="BY103" s="1154">
        <f t="shared" si="52"/>
        <v>-3094.1499999999996</v>
      </c>
      <c r="BZ103" s="1148">
        <v>20741.560000000001</v>
      </c>
      <c r="CA103" s="1149">
        <v>43202.11</v>
      </c>
      <c r="CB103" s="1149">
        <v>11728.92</v>
      </c>
      <c r="CC103" s="1149">
        <v>-0.16</v>
      </c>
      <c r="CD103" s="1149">
        <v>2219.91</v>
      </c>
      <c r="CE103" s="1154">
        <f t="shared" si="53"/>
        <v>77892.34</v>
      </c>
      <c r="CF103" s="1148">
        <v>12702.98</v>
      </c>
      <c r="CG103" s="1149">
        <v>0</v>
      </c>
      <c r="CH103" s="1149">
        <v>22780.21</v>
      </c>
      <c r="CI103" s="1149">
        <v>0</v>
      </c>
      <c r="CJ103" s="1149">
        <v>0</v>
      </c>
      <c r="CK103" s="1154">
        <f t="shared" si="54"/>
        <v>35483.19</v>
      </c>
      <c r="CL103" s="1145"/>
      <c r="CM103" s="1146"/>
      <c r="CN103" s="1146"/>
      <c r="CO103" s="1146"/>
      <c r="CP103" s="1146"/>
      <c r="CQ103" s="1147">
        <f t="shared" si="55"/>
        <v>0</v>
      </c>
      <c r="CR103" s="1148"/>
      <c r="CS103" s="1149"/>
      <c r="CT103" s="1149"/>
      <c r="CU103" s="1149"/>
      <c r="CV103" s="1149"/>
      <c r="CW103" s="1154">
        <f t="shared" si="56"/>
        <v>0</v>
      </c>
      <c r="CX103" s="1148"/>
      <c r="CY103" s="1149"/>
      <c r="CZ103" s="1149"/>
      <c r="DA103" s="1149"/>
      <c r="DB103" s="1149"/>
      <c r="DC103" s="1147">
        <f t="shared" si="57"/>
        <v>0</v>
      </c>
      <c r="DD103" s="1148"/>
      <c r="DE103" s="1149"/>
      <c r="DF103" s="1149"/>
      <c r="DG103" s="1149"/>
      <c r="DH103" s="1149"/>
      <c r="DI103" s="1154">
        <f t="shared" si="58"/>
        <v>0</v>
      </c>
      <c r="DJ103" s="1234"/>
      <c r="DK103" s="1234"/>
      <c r="DL103" s="1234"/>
      <c r="DM103" s="1234"/>
      <c r="DN103" s="1234"/>
      <c r="DO103" s="1233">
        <f t="shared" si="59"/>
        <v>0</v>
      </c>
      <c r="DP103" s="1145">
        <v>12424.36</v>
      </c>
      <c r="DQ103" s="1146">
        <v>8572.7999999999993</v>
      </c>
      <c r="DR103" s="1146">
        <v>3851.55</v>
      </c>
      <c r="DS103" s="1146">
        <v>-0.01</v>
      </c>
      <c r="DT103" s="1146">
        <v>0</v>
      </c>
      <c r="DU103" s="1155">
        <f t="shared" si="60"/>
        <v>24848.7</v>
      </c>
      <c r="DV103" s="1148">
        <v>10040.27</v>
      </c>
      <c r="DW103" s="1149">
        <v>0</v>
      </c>
      <c r="DX103" s="1149">
        <v>1841.69</v>
      </c>
      <c r="DY103" s="1149">
        <v>0.04</v>
      </c>
      <c r="DZ103" s="1149">
        <v>0</v>
      </c>
      <c r="EA103" s="1154">
        <f t="shared" si="61"/>
        <v>11882.000000000002</v>
      </c>
    </row>
    <row r="104" spans="1:131" ht="15" customHeight="1">
      <c r="A104" s="746" t="s">
        <v>54</v>
      </c>
      <c r="B104" s="844" t="s">
        <v>55</v>
      </c>
      <c r="C104" s="967" t="s">
        <v>264</v>
      </c>
      <c r="D104" s="842">
        <f t="shared" si="34"/>
        <v>332981</v>
      </c>
      <c r="E104" s="842">
        <f t="shared" si="35"/>
        <v>273373.03000000003</v>
      </c>
      <c r="F104" s="842">
        <f t="shared" si="36"/>
        <v>114894.30000000002</v>
      </c>
      <c r="G104" s="842">
        <f t="shared" si="37"/>
        <v>-7.0000000000000007E-2</v>
      </c>
      <c r="H104" s="842">
        <f t="shared" si="38"/>
        <v>0</v>
      </c>
      <c r="I104" s="1578">
        <f t="shared" si="39"/>
        <v>721248.26000000013</v>
      </c>
      <c r="J104" s="843">
        <f t="shared" si="40"/>
        <v>-7.0000000000000007E-2</v>
      </c>
      <c r="K104" s="1579">
        <f t="shared" si="41"/>
        <v>114894.23000000001</v>
      </c>
      <c r="L104" s="1116"/>
      <c r="M104" s="1117"/>
      <c r="N104" s="1117"/>
      <c r="O104" s="1117"/>
      <c r="P104" s="1117"/>
      <c r="Q104" s="1118">
        <f t="shared" si="42"/>
        <v>0</v>
      </c>
      <c r="R104" s="1135"/>
      <c r="S104" s="1136"/>
      <c r="T104" s="1136"/>
      <c r="U104" s="1136"/>
      <c r="V104" s="1136"/>
      <c r="W104" s="1132">
        <f t="shared" si="43"/>
        <v>0</v>
      </c>
      <c r="X104" s="1231"/>
      <c r="Y104" s="1231"/>
      <c r="Z104" s="1231"/>
      <c r="AA104" s="1231"/>
      <c r="AB104" s="1231"/>
      <c r="AC104" s="1231">
        <f t="shared" si="44"/>
        <v>0</v>
      </c>
      <c r="AD104" s="1127">
        <v>18737.98</v>
      </c>
      <c r="AE104" s="1128">
        <v>111.55</v>
      </c>
      <c r="AF104" s="1128">
        <v>3457.62</v>
      </c>
      <c r="AG104" s="1128">
        <v>-0.01</v>
      </c>
      <c r="AH104" s="1128">
        <v>0</v>
      </c>
      <c r="AI104" s="1124">
        <f t="shared" si="45"/>
        <v>22307.14</v>
      </c>
      <c r="AJ104" s="1148">
        <v>49050.8</v>
      </c>
      <c r="AK104" s="1149">
        <v>0</v>
      </c>
      <c r="AL104" s="1149">
        <v>12262.7</v>
      </c>
      <c r="AM104" s="1149">
        <v>0</v>
      </c>
      <c r="AN104" s="1149">
        <v>0</v>
      </c>
      <c r="AO104" s="1154">
        <f t="shared" si="46"/>
        <v>61313.5</v>
      </c>
      <c r="AP104" s="1127">
        <v>3568.41</v>
      </c>
      <c r="AQ104" s="1128">
        <v>2275.63</v>
      </c>
      <c r="AR104" s="1128">
        <v>1071.99</v>
      </c>
      <c r="AS104" s="1128">
        <v>-0.03</v>
      </c>
      <c r="AT104" s="1128">
        <v>0</v>
      </c>
      <c r="AU104" s="1137">
        <f t="shared" si="47"/>
        <v>6916</v>
      </c>
      <c r="AV104" s="1141"/>
      <c r="AW104" s="1142"/>
      <c r="AX104" s="1142"/>
      <c r="AY104" s="1142"/>
      <c r="AZ104" s="1142"/>
      <c r="BA104" s="1140">
        <f t="shared" si="48"/>
        <v>0</v>
      </c>
      <c r="BB104" s="1131">
        <v>6317.56</v>
      </c>
      <c r="BC104" s="1131">
        <v>1579.38</v>
      </c>
      <c r="BD104" s="1131">
        <v>0</v>
      </c>
      <c r="BE104" s="1131">
        <v>0</v>
      </c>
      <c r="BF104" s="1131">
        <v>0</v>
      </c>
      <c r="BG104" s="1132">
        <f t="shared" si="49"/>
        <v>7896.9400000000005</v>
      </c>
      <c r="BH104" s="1148">
        <v>4490.63</v>
      </c>
      <c r="BI104" s="1149">
        <v>8109.37</v>
      </c>
      <c r="BJ104" s="1149">
        <v>0</v>
      </c>
      <c r="BK104" s="1149">
        <v>0</v>
      </c>
      <c r="BL104" s="1149">
        <v>0</v>
      </c>
      <c r="BM104" s="1147">
        <f t="shared" si="50"/>
        <v>12600</v>
      </c>
      <c r="BN104" s="1148">
        <v>41382.21</v>
      </c>
      <c r="BO104" s="1149">
        <v>5241.7700000000004</v>
      </c>
      <c r="BP104" s="1149">
        <v>8552.34</v>
      </c>
      <c r="BQ104" s="1149">
        <v>-0.06</v>
      </c>
      <c r="BR104" s="1149">
        <v>0</v>
      </c>
      <c r="BS104" s="1147">
        <f t="shared" si="51"/>
        <v>55176.259999999995</v>
      </c>
      <c r="BT104" s="1148">
        <v>-911.61</v>
      </c>
      <c r="BU104" s="1149">
        <v>-911.61</v>
      </c>
      <c r="BV104" s="1149">
        <v>0</v>
      </c>
      <c r="BW104" s="1149">
        <v>0.01</v>
      </c>
      <c r="BX104" s="1149">
        <v>0</v>
      </c>
      <c r="BY104" s="1154">
        <f t="shared" si="52"/>
        <v>-1823.21</v>
      </c>
      <c r="BZ104" s="1148">
        <v>192903.45</v>
      </c>
      <c r="CA104" s="1149">
        <v>255416.56</v>
      </c>
      <c r="CB104" s="1149">
        <v>82232.11</v>
      </c>
      <c r="CC104" s="1149">
        <v>-0.01</v>
      </c>
      <c r="CD104" s="1149">
        <v>0</v>
      </c>
      <c r="CE104" s="1154">
        <f t="shared" si="53"/>
        <v>530552.11</v>
      </c>
      <c r="CF104" s="1148">
        <v>2148</v>
      </c>
      <c r="CG104" s="1149">
        <v>0</v>
      </c>
      <c r="CH104" s="1149">
        <v>3852</v>
      </c>
      <c r="CI104" s="1149">
        <v>0</v>
      </c>
      <c r="CJ104" s="1149">
        <v>0</v>
      </c>
      <c r="CK104" s="1154">
        <f t="shared" si="54"/>
        <v>6000</v>
      </c>
      <c r="CL104" s="1145"/>
      <c r="CM104" s="1146"/>
      <c r="CN104" s="1146"/>
      <c r="CO104" s="1146"/>
      <c r="CP104" s="1146"/>
      <c r="CQ104" s="1147">
        <f t="shared" si="55"/>
        <v>0</v>
      </c>
      <c r="CR104" s="1148"/>
      <c r="CS104" s="1149"/>
      <c r="CT104" s="1149"/>
      <c r="CU104" s="1149"/>
      <c r="CV104" s="1149"/>
      <c r="CW104" s="1154">
        <f t="shared" si="56"/>
        <v>0</v>
      </c>
      <c r="CX104" s="1148"/>
      <c r="CY104" s="1149"/>
      <c r="CZ104" s="1149"/>
      <c r="DA104" s="1149"/>
      <c r="DB104" s="1149"/>
      <c r="DC104" s="1147">
        <f t="shared" si="57"/>
        <v>0</v>
      </c>
      <c r="DD104" s="1148">
        <v>-2049</v>
      </c>
      <c r="DE104" s="1149">
        <v>0</v>
      </c>
      <c r="DF104" s="1149">
        <v>0</v>
      </c>
      <c r="DG104" s="1149">
        <v>0</v>
      </c>
      <c r="DH104" s="1149">
        <v>0</v>
      </c>
      <c r="DI104" s="1154">
        <f t="shared" si="58"/>
        <v>-2049</v>
      </c>
      <c r="DJ104" s="1233"/>
      <c r="DK104" s="1233"/>
      <c r="DL104" s="1233"/>
      <c r="DM104" s="1233"/>
      <c r="DN104" s="1233"/>
      <c r="DO104" s="1233">
        <f t="shared" si="59"/>
        <v>0</v>
      </c>
      <c r="DP104" s="1148">
        <v>2246.9299999999998</v>
      </c>
      <c r="DQ104" s="1149">
        <v>1550.38</v>
      </c>
      <c r="DR104" s="1149">
        <v>696.55</v>
      </c>
      <c r="DS104" s="1149">
        <v>-0.01</v>
      </c>
      <c r="DT104" s="1149">
        <v>0</v>
      </c>
      <c r="DU104" s="1155">
        <f t="shared" si="60"/>
        <v>4493.8499999999995</v>
      </c>
      <c r="DV104" s="1148">
        <v>15095.64</v>
      </c>
      <c r="DW104" s="1149">
        <v>0</v>
      </c>
      <c r="DX104" s="1149">
        <v>2768.99</v>
      </c>
      <c r="DY104" s="1149">
        <v>0.04</v>
      </c>
      <c r="DZ104" s="1149">
        <v>0</v>
      </c>
      <c r="EA104" s="1154">
        <f t="shared" si="61"/>
        <v>17864.669999999998</v>
      </c>
    </row>
    <row r="105" spans="1:131" ht="15" customHeight="1">
      <c r="A105" s="746" t="s">
        <v>66</v>
      </c>
      <c r="B105" s="844" t="s">
        <v>67</v>
      </c>
      <c r="C105" s="967" t="s">
        <v>265</v>
      </c>
      <c r="D105" s="842">
        <f t="shared" si="34"/>
        <v>124128.20000000001</v>
      </c>
      <c r="E105" s="842">
        <f t="shared" si="35"/>
        <v>49603.139999999992</v>
      </c>
      <c r="F105" s="842">
        <f t="shared" si="36"/>
        <v>35120.080000000009</v>
      </c>
      <c r="G105" s="842">
        <f t="shared" si="37"/>
        <v>-0.18999999999999997</v>
      </c>
      <c r="H105" s="842">
        <f t="shared" si="38"/>
        <v>31.82</v>
      </c>
      <c r="I105" s="1578">
        <f t="shared" si="39"/>
        <v>208883.05000000002</v>
      </c>
      <c r="J105" s="843">
        <f t="shared" si="40"/>
        <v>31.63</v>
      </c>
      <c r="K105" s="1579">
        <f t="shared" si="41"/>
        <v>35151.710000000006</v>
      </c>
      <c r="L105" s="1116"/>
      <c r="M105" s="1117"/>
      <c r="N105" s="1117"/>
      <c r="O105" s="1117"/>
      <c r="P105" s="1117"/>
      <c r="Q105" s="1118">
        <f t="shared" si="42"/>
        <v>0</v>
      </c>
      <c r="R105" s="1133"/>
      <c r="S105" s="1134"/>
      <c r="T105" s="1134"/>
      <c r="U105" s="1134"/>
      <c r="V105" s="1134"/>
      <c r="W105" s="1132">
        <f t="shared" si="43"/>
        <v>0</v>
      </c>
      <c r="X105" s="1231"/>
      <c r="Y105" s="1231"/>
      <c r="Z105" s="1231"/>
      <c r="AA105" s="1231"/>
      <c r="AB105" s="1231"/>
      <c r="AC105" s="1231">
        <f t="shared" si="44"/>
        <v>0</v>
      </c>
      <c r="AD105" s="1127">
        <v>14578.2</v>
      </c>
      <c r="AE105" s="1128">
        <v>86.76</v>
      </c>
      <c r="AF105" s="1128">
        <v>2690.04</v>
      </c>
      <c r="AG105" s="1128">
        <v>0.01</v>
      </c>
      <c r="AH105" s="1128">
        <v>0</v>
      </c>
      <c r="AI105" s="1124">
        <f t="shared" si="45"/>
        <v>17355.009999999998</v>
      </c>
      <c r="AJ105" s="1148">
        <v>41050.99</v>
      </c>
      <c r="AK105" s="1149">
        <v>0</v>
      </c>
      <c r="AL105" s="1149">
        <v>10262.790000000001</v>
      </c>
      <c r="AM105" s="1149">
        <v>0</v>
      </c>
      <c r="AN105" s="1149">
        <v>0</v>
      </c>
      <c r="AO105" s="1154">
        <f t="shared" si="46"/>
        <v>51313.78</v>
      </c>
      <c r="AP105" s="1127">
        <v>10479.629999999999</v>
      </c>
      <c r="AQ105" s="1128">
        <v>2570.63</v>
      </c>
      <c r="AR105" s="1128">
        <v>2393.84</v>
      </c>
      <c r="AS105" s="1128">
        <v>-0.06</v>
      </c>
      <c r="AT105" s="1128">
        <v>0</v>
      </c>
      <c r="AU105" s="1137">
        <f t="shared" si="47"/>
        <v>15444.039999999999</v>
      </c>
      <c r="AV105" s="1141">
        <v>5544.01</v>
      </c>
      <c r="AW105" s="1142">
        <v>1386</v>
      </c>
      <c r="AX105" s="1142">
        <v>0</v>
      </c>
      <c r="AY105" s="1142">
        <v>0</v>
      </c>
      <c r="AZ105" s="1142">
        <v>0</v>
      </c>
      <c r="BA105" s="1140">
        <f t="shared" si="48"/>
        <v>6930.01</v>
      </c>
      <c r="BB105" s="1131">
        <v>5784.79</v>
      </c>
      <c r="BC105" s="1131">
        <v>1446.19</v>
      </c>
      <c r="BD105" s="1131">
        <v>0</v>
      </c>
      <c r="BE105" s="1131">
        <v>0</v>
      </c>
      <c r="BF105" s="1131">
        <v>0</v>
      </c>
      <c r="BG105" s="1132">
        <f t="shared" si="49"/>
        <v>7230.98</v>
      </c>
      <c r="BH105" s="1148">
        <v>333.58</v>
      </c>
      <c r="BI105" s="1149">
        <v>602.41999999999996</v>
      </c>
      <c r="BJ105" s="1149">
        <v>0</v>
      </c>
      <c r="BK105" s="1149">
        <v>0</v>
      </c>
      <c r="BL105" s="1149">
        <v>0</v>
      </c>
      <c r="BM105" s="1147">
        <f t="shared" si="50"/>
        <v>936</v>
      </c>
      <c r="BN105" s="1148">
        <v>26247.81</v>
      </c>
      <c r="BO105" s="1149">
        <v>3324.74</v>
      </c>
      <c r="BP105" s="1149">
        <v>5424.55</v>
      </c>
      <c r="BQ105" s="1149">
        <v>-0.13</v>
      </c>
      <c r="BR105" s="1149">
        <v>0</v>
      </c>
      <c r="BS105" s="1147">
        <f t="shared" si="51"/>
        <v>34996.970000000008</v>
      </c>
      <c r="BT105" s="1148">
        <v>-35</v>
      </c>
      <c r="BU105" s="1149">
        <v>-35</v>
      </c>
      <c r="BV105" s="1149">
        <v>0</v>
      </c>
      <c r="BW105" s="1149">
        <v>0</v>
      </c>
      <c r="BX105" s="1149">
        <v>0</v>
      </c>
      <c r="BY105" s="1154">
        <f t="shared" si="52"/>
        <v>-70</v>
      </c>
      <c r="BZ105" s="1148">
        <v>13001.45</v>
      </c>
      <c r="CA105" s="1149">
        <v>37073.129999999997</v>
      </c>
      <c r="CB105" s="1149">
        <v>9185.01</v>
      </c>
      <c r="CC105" s="1149">
        <v>-0.05</v>
      </c>
      <c r="CD105" s="1149">
        <v>0</v>
      </c>
      <c r="CE105" s="1154">
        <f t="shared" si="53"/>
        <v>59259.54</v>
      </c>
      <c r="CF105" s="1148">
        <v>2035.07</v>
      </c>
      <c r="CG105" s="1149">
        <v>0</v>
      </c>
      <c r="CH105" s="1149">
        <v>3649.47</v>
      </c>
      <c r="CI105" s="1149">
        <v>0</v>
      </c>
      <c r="CJ105" s="1149">
        <v>31.82</v>
      </c>
      <c r="CK105" s="1154">
        <f t="shared" si="54"/>
        <v>5716.36</v>
      </c>
      <c r="CL105" s="1145"/>
      <c r="CM105" s="1146"/>
      <c r="CN105" s="1146"/>
      <c r="CO105" s="1146"/>
      <c r="CP105" s="1146"/>
      <c r="CQ105" s="1147">
        <f t="shared" si="55"/>
        <v>0</v>
      </c>
      <c r="CR105" s="1148"/>
      <c r="CS105" s="1149"/>
      <c r="CT105" s="1149"/>
      <c r="CU105" s="1149"/>
      <c r="CV105" s="1149"/>
      <c r="CW105" s="1154">
        <f t="shared" si="56"/>
        <v>0</v>
      </c>
      <c r="CX105" s="1148"/>
      <c r="CY105" s="1149"/>
      <c r="CZ105" s="1149"/>
      <c r="DA105" s="1149"/>
      <c r="DB105" s="1149"/>
      <c r="DC105" s="1147">
        <f t="shared" si="57"/>
        <v>0</v>
      </c>
      <c r="DD105" s="1148"/>
      <c r="DE105" s="1149"/>
      <c r="DF105" s="1149"/>
      <c r="DG105" s="1149"/>
      <c r="DH105" s="1149"/>
      <c r="DI105" s="1154">
        <f t="shared" si="58"/>
        <v>0</v>
      </c>
      <c r="DJ105" s="1233"/>
      <c r="DK105" s="1233"/>
      <c r="DL105" s="1233"/>
      <c r="DM105" s="1233"/>
      <c r="DN105" s="1233"/>
      <c r="DO105" s="1233">
        <f t="shared" si="59"/>
        <v>0</v>
      </c>
      <c r="DP105" s="1148">
        <v>4562.71</v>
      </c>
      <c r="DQ105" s="1149">
        <v>3148.27</v>
      </c>
      <c r="DR105" s="1149">
        <v>1414.44</v>
      </c>
      <c r="DS105" s="1149">
        <v>0</v>
      </c>
      <c r="DT105" s="1149">
        <v>0</v>
      </c>
      <c r="DU105" s="1155">
        <f t="shared" si="60"/>
        <v>9125.42</v>
      </c>
      <c r="DV105" s="1148">
        <v>544.96</v>
      </c>
      <c r="DW105" s="1149">
        <v>0</v>
      </c>
      <c r="DX105" s="1149">
        <v>99.94</v>
      </c>
      <c r="DY105" s="1149">
        <v>0.04</v>
      </c>
      <c r="DZ105" s="1149">
        <v>0</v>
      </c>
      <c r="EA105" s="1154">
        <f t="shared" si="61"/>
        <v>644.94000000000005</v>
      </c>
    </row>
    <row r="106" spans="1:131" ht="15" customHeight="1">
      <c r="A106" s="746" t="s">
        <v>82</v>
      </c>
      <c r="B106" s="844" t="s">
        <v>311</v>
      </c>
      <c r="C106" s="967" t="s">
        <v>264</v>
      </c>
      <c r="D106" s="842">
        <f t="shared" si="34"/>
        <v>33408.339999999997</v>
      </c>
      <c r="E106" s="842">
        <f t="shared" si="35"/>
        <v>10941.210000000001</v>
      </c>
      <c r="F106" s="842">
        <f t="shared" si="36"/>
        <v>8427.61</v>
      </c>
      <c r="G106" s="842">
        <f t="shared" si="37"/>
        <v>-0.15</v>
      </c>
      <c r="H106" s="842">
        <f t="shared" si="38"/>
        <v>0</v>
      </c>
      <c r="I106" s="1578">
        <f t="shared" si="39"/>
        <v>52777.009999999995</v>
      </c>
      <c r="J106" s="843">
        <f t="shared" si="40"/>
        <v>-0.15</v>
      </c>
      <c r="K106" s="1579">
        <f t="shared" si="41"/>
        <v>8427.4600000000009</v>
      </c>
      <c r="L106" s="1116"/>
      <c r="M106" s="1117"/>
      <c r="N106" s="1117"/>
      <c r="O106" s="1117"/>
      <c r="P106" s="1117"/>
      <c r="Q106" s="1118">
        <f t="shared" si="42"/>
        <v>0</v>
      </c>
      <c r="R106" s="1133"/>
      <c r="S106" s="1134"/>
      <c r="T106" s="1134"/>
      <c r="U106" s="1134"/>
      <c r="V106" s="1134"/>
      <c r="W106" s="1132">
        <f t="shared" si="43"/>
        <v>0</v>
      </c>
      <c r="X106" s="1231"/>
      <c r="Y106" s="1231"/>
      <c r="Z106" s="1231"/>
      <c r="AA106" s="1231"/>
      <c r="AB106" s="1231"/>
      <c r="AC106" s="1231">
        <f t="shared" si="44"/>
        <v>0</v>
      </c>
      <c r="AD106" s="1127">
        <v>2544.0500000000002</v>
      </c>
      <c r="AE106" s="1128">
        <v>15.16</v>
      </c>
      <c r="AF106" s="1128">
        <v>469.46</v>
      </c>
      <c r="AG106" s="1128">
        <v>-0.03</v>
      </c>
      <c r="AH106" s="1128">
        <v>0</v>
      </c>
      <c r="AI106" s="1124">
        <f t="shared" si="45"/>
        <v>3028.64</v>
      </c>
      <c r="AJ106" s="1148">
        <v>8718.14</v>
      </c>
      <c r="AK106" s="1149">
        <v>0</v>
      </c>
      <c r="AL106" s="1149">
        <v>2179.5300000000002</v>
      </c>
      <c r="AM106" s="1149">
        <v>0</v>
      </c>
      <c r="AN106" s="1149">
        <v>0</v>
      </c>
      <c r="AO106" s="1154">
        <f t="shared" si="46"/>
        <v>10897.67</v>
      </c>
      <c r="AP106" s="1125"/>
      <c r="AQ106" s="1126"/>
      <c r="AR106" s="1126"/>
      <c r="AS106" s="1126"/>
      <c r="AT106" s="1126"/>
      <c r="AU106" s="1137">
        <f t="shared" si="47"/>
        <v>0</v>
      </c>
      <c r="AV106" s="1141">
        <v>940.89</v>
      </c>
      <c r="AW106" s="1142">
        <v>235.24</v>
      </c>
      <c r="AX106" s="1142">
        <v>0</v>
      </c>
      <c r="AY106" s="1142">
        <v>0</v>
      </c>
      <c r="AZ106" s="1142">
        <v>0</v>
      </c>
      <c r="BA106" s="1140">
        <f t="shared" si="48"/>
        <v>1176.1300000000001</v>
      </c>
      <c r="BB106" s="1131">
        <v>314.57</v>
      </c>
      <c r="BC106" s="1131">
        <v>78.64</v>
      </c>
      <c r="BD106" s="1131">
        <v>0</v>
      </c>
      <c r="BE106" s="1131">
        <v>0</v>
      </c>
      <c r="BF106" s="1131">
        <v>0</v>
      </c>
      <c r="BG106" s="1132">
        <f t="shared" si="49"/>
        <v>393.21</v>
      </c>
      <c r="BH106" s="1145"/>
      <c r="BI106" s="1146"/>
      <c r="BJ106" s="1146"/>
      <c r="BK106" s="1146"/>
      <c r="BL106" s="1146"/>
      <c r="BM106" s="1147">
        <f t="shared" si="50"/>
        <v>0</v>
      </c>
      <c r="BN106" s="1148">
        <v>14046.73</v>
      </c>
      <c r="BO106" s="1149">
        <v>1779.27</v>
      </c>
      <c r="BP106" s="1149">
        <v>2903.01</v>
      </c>
      <c r="BQ106" s="1149">
        <v>-0.05</v>
      </c>
      <c r="BR106" s="1149">
        <v>0</v>
      </c>
      <c r="BS106" s="1147">
        <f t="shared" si="51"/>
        <v>18728.960000000003</v>
      </c>
      <c r="BT106" s="1148"/>
      <c r="BU106" s="1149"/>
      <c r="BV106" s="1149"/>
      <c r="BW106" s="1149"/>
      <c r="BX106" s="1149"/>
      <c r="BY106" s="1154">
        <f t="shared" si="52"/>
        <v>0</v>
      </c>
      <c r="BZ106" s="1148">
        <v>2768.04</v>
      </c>
      <c r="CA106" s="1149">
        <v>6296.46</v>
      </c>
      <c r="CB106" s="1149">
        <v>1662.7</v>
      </c>
      <c r="CC106" s="1149">
        <v>-0.09</v>
      </c>
      <c r="CD106" s="1149">
        <v>0</v>
      </c>
      <c r="CE106" s="1154">
        <f t="shared" si="53"/>
        <v>10727.11</v>
      </c>
      <c r="CF106" s="1145"/>
      <c r="CG106" s="1146"/>
      <c r="CH106" s="1146"/>
      <c r="CI106" s="1146"/>
      <c r="CJ106" s="1146"/>
      <c r="CK106" s="1154">
        <f t="shared" si="54"/>
        <v>0</v>
      </c>
      <c r="CL106" s="1145"/>
      <c r="CM106" s="1146"/>
      <c r="CN106" s="1146"/>
      <c r="CO106" s="1146"/>
      <c r="CP106" s="1146"/>
      <c r="CQ106" s="1147">
        <f t="shared" si="55"/>
        <v>0</v>
      </c>
      <c r="CR106" s="1145"/>
      <c r="CS106" s="1146"/>
      <c r="CT106" s="1146"/>
      <c r="CU106" s="1146"/>
      <c r="CV106" s="1146"/>
      <c r="CW106" s="1154">
        <f t="shared" si="56"/>
        <v>0</v>
      </c>
      <c r="CX106" s="1145"/>
      <c r="CY106" s="1146"/>
      <c r="CZ106" s="1146"/>
      <c r="DA106" s="1146"/>
      <c r="DB106" s="1146"/>
      <c r="DC106" s="1147">
        <f t="shared" si="57"/>
        <v>0</v>
      </c>
      <c r="DD106" s="1148"/>
      <c r="DE106" s="1149"/>
      <c r="DF106" s="1149"/>
      <c r="DG106" s="1149"/>
      <c r="DH106" s="1149"/>
      <c r="DI106" s="1154">
        <f t="shared" si="58"/>
        <v>0</v>
      </c>
      <c r="DJ106" s="1233"/>
      <c r="DK106" s="1233"/>
      <c r="DL106" s="1233"/>
      <c r="DM106" s="1233"/>
      <c r="DN106" s="1233"/>
      <c r="DO106" s="1233">
        <f t="shared" si="59"/>
        <v>0</v>
      </c>
      <c r="DP106" s="1148">
        <v>3676</v>
      </c>
      <c r="DQ106" s="1149">
        <v>2536.44</v>
      </c>
      <c r="DR106" s="1149">
        <v>1139.56</v>
      </c>
      <c r="DS106" s="1149">
        <v>0</v>
      </c>
      <c r="DT106" s="1149">
        <v>0</v>
      </c>
      <c r="DU106" s="1155">
        <f t="shared" si="60"/>
        <v>7352</v>
      </c>
      <c r="DV106" s="1148">
        <v>399.92</v>
      </c>
      <c r="DW106" s="1149">
        <v>0</v>
      </c>
      <c r="DX106" s="1149">
        <v>73.349999999999994</v>
      </c>
      <c r="DY106" s="1149">
        <v>0.02</v>
      </c>
      <c r="DZ106" s="1149">
        <v>0</v>
      </c>
      <c r="EA106" s="1154">
        <f t="shared" si="61"/>
        <v>473.28999999999996</v>
      </c>
    </row>
    <row r="107" spans="1:131" ht="15" customHeight="1">
      <c r="A107" s="746" t="s">
        <v>88</v>
      </c>
      <c r="B107" s="844" t="s">
        <v>89</v>
      </c>
      <c r="C107" s="967" t="s">
        <v>267</v>
      </c>
      <c r="D107" s="842">
        <f t="shared" si="34"/>
        <v>58325.299999999996</v>
      </c>
      <c r="E107" s="842">
        <f t="shared" si="35"/>
        <v>38547.509999999995</v>
      </c>
      <c r="F107" s="842">
        <f t="shared" si="36"/>
        <v>25288.68</v>
      </c>
      <c r="G107" s="842">
        <f t="shared" si="37"/>
        <v>-9.9999999999999992E-2</v>
      </c>
      <c r="H107" s="842">
        <f t="shared" si="38"/>
        <v>0</v>
      </c>
      <c r="I107" s="1578">
        <f t="shared" si="39"/>
        <v>122161.38999999998</v>
      </c>
      <c r="J107" s="843">
        <f t="shared" si="40"/>
        <v>-9.9999999999999992E-2</v>
      </c>
      <c r="K107" s="1579">
        <f t="shared" si="41"/>
        <v>25288.58</v>
      </c>
      <c r="L107" s="1119"/>
      <c r="M107" s="1120"/>
      <c r="N107" s="1120"/>
      <c r="O107" s="1120"/>
      <c r="P107" s="1120"/>
      <c r="Q107" s="1118">
        <f t="shared" si="42"/>
        <v>0</v>
      </c>
      <c r="R107" s="1133"/>
      <c r="S107" s="1134"/>
      <c r="T107" s="1134"/>
      <c r="U107" s="1134"/>
      <c r="V107" s="1134"/>
      <c r="W107" s="1132">
        <f t="shared" si="43"/>
        <v>0</v>
      </c>
      <c r="X107" s="1231"/>
      <c r="Y107" s="1231"/>
      <c r="Z107" s="1231"/>
      <c r="AA107" s="1231"/>
      <c r="AB107" s="1231"/>
      <c r="AC107" s="1231">
        <f t="shared" si="44"/>
        <v>0</v>
      </c>
      <c r="AD107" s="1127">
        <v>2509.29</v>
      </c>
      <c r="AE107" s="1128">
        <v>14.92</v>
      </c>
      <c r="AF107" s="1128">
        <v>463.04</v>
      </c>
      <c r="AG107" s="1128">
        <v>0.02</v>
      </c>
      <c r="AH107" s="1128">
        <v>0</v>
      </c>
      <c r="AI107" s="1124">
        <f t="shared" si="45"/>
        <v>2987.27</v>
      </c>
      <c r="AJ107" s="1148">
        <v>11525.2</v>
      </c>
      <c r="AK107" s="1149">
        <v>0</v>
      </c>
      <c r="AL107" s="1149">
        <v>2881.3</v>
      </c>
      <c r="AM107" s="1149">
        <v>0</v>
      </c>
      <c r="AN107" s="1149">
        <v>0</v>
      </c>
      <c r="AO107" s="1154">
        <f t="shared" si="46"/>
        <v>14406.5</v>
      </c>
      <c r="AP107" s="1125"/>
      <c r="AQ107" s="1126"/>
      <c r="AR107" s="1126"/>
      <c r="AS107" s="1126"/>
      <c r="AT107" s="1126"/>
      <c r="AU107" s="1137">
        <f t="shared" si="47"/>
        <v>0</v>
      </c>
      <c r="AV107" s="1141">
        <v>3791.19</v>
      </c>
      <c r="AW107" s="1142">
        <v>947.81</v>
      </c>
      <c r="AX107" s="1142">
        <v>0</v>
      </c>
      <c r="AY107" s="1142">
        <v>0</v>
      </c>
      <c r="AZ107" s="1142">
        <v>0</v>
      </c>
      <c r="BA107" s="1140">
        <f t="shared" si="48"/>
        <v>4739</v>
      </c>
      <c r="BB107" s="1131">
        <v>3939.2</v>
      </c>
      <c r="BC107" s="1131">
        <v>984.8</v>
      </c>
      <c r="BD107" s="1131">
        <v>0</v>
      </c>
      <c r="BE107" s="1131">
        <v>0</v>
      </c>
      <c r="BF107" s="1131">
        <v>0</v>
      </c>
      <c r="BG107" s="1132">
        <f t="shared" si="49"/>
        <v>4924</v>
      </c>
      <c r="BH107" s="1148">
        <v>203.15</v>
      </c>
      <c r="BI107" s="1149">
        <v>366.85</v>
      </c>
      <c r="BJ107" s="1149">
        <v>0</v>
      </c>
      <c r="BK107" s="1149">
        <v>0</v>
      </c>
      <c r="BL107" s="1149">
        <v>0</v>
      </c>
      <c r="BM107" s="1147">
        <f t="shared" si="50"/>
        <v>570</v>
      </c>
      <c r="BN107" s="1148">
        <v>12050.75</v>
      </c>
      <c r="BO107" s="1149">
        <v>1526.43</v>
      </c>
      <c r="BP107" s="1149">
        <v>2490.5100000000002</v>
      </c>
      <c r="BQ107" s="1149">
        <v>-0.04</v>
      </c>
      <c r="BR107" s="1149">
        <v>0</v>
      </c>
      <c r="BS107" s="1147">
        <f t="shared" si="51"/>
        <v>16067.65</v>
      </c>
      <c r="BT107" s="1148"/>
      <c r="BU107" s="1149"/>
      <c r="BV107" s="1149"/>
      <c r="BW107" s="1149"/>
      <c r="BX107" s="1149"/>
      <c r="BY107" s="1154">
        <f t="shared" si="52"/>
        <v>0</v>
      </c>
      <c r="BZ107" s="1148">
        <v>14562.29</v>
      </c>
      <c r="CA107" s="1149">
        <v>34706.699999999997</v>
      </c>
      <c r="CB107" s="1149">
        <v>9037.2099999999991</v>
      </c>
      <c r="CC107" s="1149">
        <v>-0.13</v>
      </c>
      <c r="CD107" s="1149">
        <v>0</v>
      </c>
      <c r="CE107" s="1154">
        <f t="shared" si="53"/>
        <v>58306.07</v>
      </c>
      <c r="CF107" s="1148">
        <v>4915.66</v>
      </c>
      <c r="CG107" s="1149">
        <v>0</v>
      </c>
      <c r="CH107" s="1149">
        <v>8815.23</v>
      </c>
      <c r="CI107" s="1149">
        <v>0</v>
      </c>
      <c r="CJ107" s="1149">
        <v>0</v>
      </c>
      <c r="CK107" s="1154">
        <f t="shared" si="54"/>
        <v>13730.89</v>
      </c>
      <c r="CL107" s="1148">
        <v>237.13</v>
      </c>
      <c r="CM107" s="1149">
        <v>0</v>
      </c>
      <c r="CN107" s="1149">
        <v>759.19</v>
      </c>
      <c r="CO107" s="1149">
        <v>0</v>
      </c>
      <c r="CP107" s="1149">
        <v>0</v>
      </c>
      <c r="CQ107" s="1147">
        <f t="shared" si="55"/>
        <v>996.32</v>
      </c>
      <c r="CR107" s="1148"/>
      <c r="CS107" s="1149"/>
      <c r="CT107" s="1149"/>
      <c r="CU107" s="1149"/>
      <c r="CV107" s="1149"/>
      <c r="CW107" s="1154">
        <f t="shared" si="56"/>
        <v>0</v>
      </c>
      <c r="CX107" s="1148"/>
      <c r="CY107" s="1149"/>
      <c r="CZ107" s="1149"/>
      <c r="DA107" s="1149"/>
      <c r="DB107" s="1149"/>
      <c r="DC107" s="1147">
        <f t="shared" si="57"/>
        <v>0</v>
      </c>
      <c r="DD107" s="1148"/>
      <c r="DE107" s="1149"/>
      <c r="DF107" s="1149"/>
      <c r="DG107" s="1149"/>
      <c r="DH107" s="1149"/>
      <c r="DI107" s="1154">
        <f t="shared" si="58"/>
        <v>0</v>
      </c>
      <c r="DJ107" s="1233"/>
      <c r="DK107" s="1233"/>
      <c r="DL107" s="1233"/>
      <c r="DM107" s="1233"/>
      <c r="DN107" s="1233"/>
      <c r="DO107" s="1233">
        <f t="shared" si="59"/>
        <v>0</v>
      </c>
      <c r="DP107" s="1148"/>
      <c r="DQ107" s="1149"/>
      <c r="DR107" s="1149"/>
      <c r="DS107" s="1149"/>
      <c r="DT107" s="1149"/>
      <c r="DU107" s="1155">
        <f t="shared" si="60"/>
        <v>0</v>
      </c>
      <c r="DV107" s="1148">
        <v>4591.4399999999996</v>
      </c>
      <c r="DW107" s="1149">
        <v>0</v>
      </c>
      <c r="DX107" s="1149">
        <v>842.2</v>
      </c>
      <c r="DY107" s="1149">
        <v>0.05</v>
      </c>
      <c r="DZ107" s="1149">
        <v>0</v>
      </c>
      <c r="EA107" s="1154">
        <f t="shared" si="61"/>
        <v>5433.69</v>
      </c>
    </row>
    <row r="108" spans="1:131" ht="15" customHeight="1">
      <c r="A108" s="746" t="s">
        <v>90</v>
      </c>
      <c r="B108" s="844" t="s">
        <v>91</v>
      </c>
      <c r="C108" s="967" t="s">
        <v>268</v>
      </c>
      <c r="D108" s="842">
        <f t="shared" si="34"/>
        <v>31912.649999999998</v>
      </c>
      <c r="E108" s="842">
        <f t="shared" si="35"/>
        <v>17269.78</v>
      </c>
      <c r="F108" s="842">
        <f t="shared" si="36"/>
        <v>9847.48</v>
      </c>
      <c r="G108" s="842">
        <f t="shared" si="37"/>
        <v>-0.1</v>
      </c>
      <c r="H108" s="842">
        <f t="shared" si="38"/>
        <v>0</v>
      </c>
      <c r="I108" s="1578">
        <f t="shared" si="39"/>
        <v>59029.80999999999</v>
      </c>
      <c r="J108" s="843">
        <f t="shared" si="40"/>
        <v>-0.1</v>
      </c>
      <c r="K108" s="1579">
        <f t="shared" si="41"/>
        <v>9847.3799999999992</v>
      </c>
      <c r="L108" s="1116"/>
      <c r="M108" s="1117"/>
      <c r="N108" s="1117"/>
      <c r="O108" s="1117"/>
      <c r="P108" s="1117"/>
      <c r="Q108" s="1118">
        <f t="shared" si="42"/>
        <v>0</v>
      </c>
      <c r="R108" s="1133"/>
      <c r="S108" s="1134"/>
      <c r="T108" s="1134"/>
      <c r="U108" s="1134"/>
      <c r="V108" s="1134"/>
      <c r="W108" s="1132">
        <f t="shared" si="43"/>
        <v>0</v>
      </c>
      <c r="X108" s="1231"/>
      <c r="Y108" s="1231"/>
      <c r="Z108" s="1231"/>
      <c r="AA108" s="1231"/>
      <c r="AB108" s="1231"/>
      <c r="AC108" s="1231">
        <f t="shared" si="44"/>
        <v>0</v>
      </c>
      <c r="AD108" s="1127">
        <v>719.32</v>
      </c>
      <c r="AE108" s="1128">
        <v>4.28</v>
      </c>
      <c r="AF108" s="1128">
        <v>132.72999999999999</v>
      </c>
      <c r="AG108" s="1128">
        <v>0</v>
      </c>
      <c r="AH108" s="1128">
        <v>0</v>
      </c>
      <c r="AI108" s="1124">
        <f t="shared" si="45"/>
        <v>856.33</v>
      </c>
      <c r="AJ108" s="1148">
        <v>8672.7199999999993</v>
      </c>
      <c r="AK108" s="1149">
        <v>0</v>
      </c>
      <c r="AL108" s="1149">
        <v>2168.16</v>
      </c>
      <c r="AM108" s="1149">
        <v>0</v>
      </c>
      <c r="AN108" s="1149">
        <v>0</v>
      </c>
      <c r="AO108" s="1154">
        <f t="shared" si="46"/>
        <v>10840.88</v>
      </c>
      <c r="AP108" s="1125"/>
      <c r="AQ108" s="1126"/>
      <c r="AR108" s="1126"/>
      <c r="AS108" s="1126"/>
      <c r="AT108" s="1126"/>
      <c r="AU108" s="1137">
        <f t="shared" si="47"/>
        <v>0</v>
      </c>
      <c r="AV108" s="1138"/>
      <c r="AW108" s="1139"/>
      <c r="AX108" s="1139"/>
      <c r="AY108" s="1139"/>
      <c r="AZ108" s="1139"/>
      <c r="BA108" s="1140">
        <f t="shared" si="48"/>
        <v>0</v>
      </c>
      <c r="BB108" s="1133"/>
      <c r="BC108" s="1134"/>
      <c r="BD108" s="1134"/>
      <c r="BE108" s="1134"/>
      <c r="BF108" s="1134"/>
      <c r="BG108" s="1132">
        <f t="shared" si="49"/>
        <v>0</v>
      </c>
      <c r="BH108" s="1145">
        <v>56.82</v>
      </c>
      <c r="BI108" s="1146">
        <v>102.6</v>
      </c>
      <c r="BJ108" s="1146">
        <v>0</v>
      </c>
      <c r="BK108" s="1146">
        <v>0</v>
      </c>
      <c r="BL108" s="1146">
        <v>0</v>
      </c>
      <c r="BM108" s="1147">
        <f t="shared" si="50"/>
        <v>159.41999999999999</v>
      </c>
      <c r="BN108" s="1148">
        <v>11812.09</v>
      </c>
      <c r="BO108" s="1149">
        <v>1496.21</v>
      </c>
      <c r="BP108" s="1149">
        <v>2441.1799999999998</v>
      </c>
      <c r="BQ108" s="1149">
        <v>-0.05</v>
      </c>
      <c r="BR108" s="1149">
        <v>0</v>
      </c>
      <c r="BS108" s="1147">
        <f t="shared" si="51"/>
        <v>15749.43</v>
      </c>
      <c r="BT108" s="1148"/>
      <c r="BU108" s="1149"/>
      <c r="BV108" s="1149"/>
      <c r="BW108" s="1149"/>
      <c r="BX108" s="1149"/>
      <c r="BY108" s="1154">
        <f t="shared" si="52"/>
        <v>0</v>
      </c>
      <c r="BZ108" s="1148">
        <v>4755.13</v>
      </c>
      <c r="CA108" s="1149">
        <v>12633.3</v>
      </c>
      <c r="CB108" s="1149">
        <v>3189.49</v>
      </c>
      <c r="CC108" s="1149">
        <v>-7.0000000000000007E-2</v>
      </c>
      <c r="CD108" s="1149">
        <v>0</v>
      </c>
      <c r="CE108" s="1154">
        <f t="shared" si="53"/>
        <v>20577.849999999999</v>
      </c>
      <c r="CF108" s="1145"/>
      <c r="CG108" s="1146"/>
      <c r="CH108" s="1146"/>
      <c r="CI108" s="1146"/>
      <c r="CJ108" s="1146"/>
      <c r="CK108" s="1154">
        <f t="shared" si="54"/>
        <v>0</v>
      </c>
      <c r="CL108" s="1145"/>
      <c r="CM108" s="1146"/>
      <c r="CN108" s="1146"/>
      <c r="CO108" s="1146"/>
      <c r="CP108" s="1146"/>
      <c r="CQ108" s="1147">
        <f t="shared" si="55"/>
        <v>0</v>
      </c>
      <c r="CR108" s="1148"/>
      <c r="CS108" s="1149"/>
      <c r="CT108" s="1149"/>
      <c r="CU108" s="1149"/>
      <c r="CV108" s="1149"/>
      <c r="CW108" s="1154">
        <f t="shared" si="56"/>
        <v>0</v>
      </c>
      <c r="CX108" s="1148"/>
      <c r="CY108" s="1149"/>
      <c r="CZ108" s="1149"/>
      <c r="DA108" s="1149"/>
      <c r="DB108" s="1149"/>
      <c r="DC108" s="1147">
        <f t="shared" si="57"/>
        <v>0</v>
      </c>
      <c r="DD108" s="1148">
        <v>-1515</v>
      </c>
      <c r="DE108" s="1149">
        <v>0</v>
      </c>
      <c r="DF108" s="1149">
        <v>0</v>
      </c>
      <c r="DG108" s="1149">
        <v>0</v>
      </c>
      <c r="DH108" s="1149">
        <v>0</v>
      </c>
      <c r="DI108" s="1154">
        <f t="shared" si="58"/>
        <v>-1515</v>
      </c>
      <c r="DJ108" s="1233"/>
      <c r="DK108" s="1233"/>
      <c r="DL108" s="1233"/>
      <c r="DM108" s="1233"/>
      <c r="DN108" s="1233"/>
      <c r="DO108" s="1233">
        <f t="shared" si="59"/>
        <v>0</v>
      </c>
      <c r="DP108" s="1148">
        <v>4396.22</v>
      </c>
      <c r="DQ108" s="1149">
        <v>3033.39</v>
      </c>
      <c r="DR108" s="1149">
        <v>1362.83</v>
      </c>
      <c r="DS108" s="1149">
        <v>-0.01</v>
      </c>
      <c r="DT108" s="1149">
        <v>0</v>
      </c>
      <c r="DU108" s="1155">
        <f t="shared" si="60"/>
        <v>8792.43</v>
      </c>
      <c r="DV108" s="1148">
        <v>3015.35</v>
      </c>
      <c r="DW108" s="1149">
        <v>0</v>
      </c>
      <c r="DX108" s="1149">
        <v>553.09</v>
      </c>
      <c r="DY108" s="1149">
        <v>0.03</v>
      </c>
      <c r="DZ108" s="1149">
        <v>0</v>
      </c>
      <c r="EA108" s="1154">
        <f t="shared" si="61"/>
        <v>3568.4700000000003</v>
      </c>
    </row>
    <row r="109" spans="1:131" ht="15" customHeight="1">
      <c r="A109" s="746" t="s">
        <v>106</v>
      </c>
      <c r="B109" s="844" t="s">
        <v>107</v>
      </c>
      <c r="C109" s="967" t="s">
        <v>264</v>
      </c>
      <c r="D109" s="842">
        <f t="shared" si="34"/>
        <v>404649.83</v>
      </c>
      <c r="E109" s="842">
        <f t="shared" si="35"/>
        <v>264901.47000000003</v>
      </c>
      <c r="F109" s="842">
        <f t="shared" si="36"/>
        <v>143732.32999999999</v>
      </c>
      <c r="G109" s="842">
        <f t="shared" si="37"/>
        <v>4152.8600000000006</v>
      </c>
      <c r="H109" s="842">
        <f t="shared" si="38"/>
        <v>-4930.41</v>
      </c>
      <c r="I109" s="1578">
        <f t="shared" si="39"/>
        <v>812506.08</v>
      </c>
      <c r="J109" s="843">
        <f t="shared" si="40"/>
        <v>-777.54999999999927</v>
      </c>
      <c r="K109" s="1579">
        <f t="shared" si="41"/>
        <v>142954.78</v>
      </c>
      <c r="L109" s="1116"/>
      <c r="M109" s="1117"/>
      <c r="N109" s="1117"/>
      <c r="O109" s="1117"/>
      <c r="P109" s="1117"/>
      <c r="Q109" s="1118">
        <f t="shared" si="42"/>
        <v>0</v>
      </c>
      <c r="R109" s="1133"/>
      <c r="S109" s="1134"/>
      <c r="T109" s="1134"/>
      <c r="U109" s="1134"/>
      <c r="V109" s="1134"/>
      <c r="W109" s="1132">
        <f t="shared" si="43"/>
        <v>0</v>
      </c>
      <c r="X109" s="1231"/>
      <c r="Y109" s="1231"/>
      <c r="Z109" s="1231"/>
      <c r="AA109" s="1231"/>
      <c r="AB109" s="1231"/>
      <c r="AC109" s="1231">
        <f t="shared" si="44"/>
        <v>0</v>
      </c>
      <c r="AD109" s="1127">
        <v>25128.62</v>
      </c>
      <c r="AE109" s="1128">
        <v>149.59</v>
      </c>
      <c r="AF109" s="1128">
        <v>4636.8500000000004</v>
      </c>
      <c r="AG109" s="1128">
        <v>-0.06</v>
      </c>
      <c r="AH109" s="1128">
        <v>7.56</v>
      </c>
      <c r="AI109" s="1124">
        <f t="shared" si="45"/>
        <v>29922.559999999998</v>
      </c>
      <c r="AJ109" s="1148">
        <v>82056.61</v>
      </c>
      <c r="AK109" s="1149">
        <v>0</v>
      </c>
      <c r="AL109" s="1149">
        <v>20514.16</v>
      </c>
      <c r="AM109" s="1149">
        <v>0</v>
      </c>
      <c r="AN109" s="1149">
        <v>0</v>
      </c>
      <c r="AO109" s="1154">
        <f t="shared" si="46"/>
        <v>102570.77</v>
      </c>
      <c r="AP109" s="1127">
        <v>9703.43</v>
      </c>
      <c r="AQ109" s="1128">
        <v>3110.5</v>
      </c>
      <c r="AR109" s="1128">
        <v>2350.5100000000002</v>
      </c>
      <c r="AS109" s="1128">
        <v>-0.08</v>
      </c>
      <c r="AT109" s="1128">
        <v>0</v>
      </c>
      <c r="AU109" s="1137">
        <f t="shared" si="47"/>
        <v>15164.36</v>
      </c>
      <c r="AV109" s="1141">
        <v>6127.16</v>
      </c>
      <c r="AW109" s="1142">
        <v>1531.79</v>
      </c>
      <c r="AX109" s="1142">
        <v>0</v>
      </c>
      <c r="AY109" s="1142">
        <v>0</v>
      </c>
      <c r="AZ109" s="1142">
        <v>0</v>
      </c>
      <c r="BA109" s="1140">
        <f t="shared" si="48"/>
        <v>7658.95</v>
      </c>
      <c r="BB109" s="1131">
        <v>9572.67</v>
      </c>
      <c r="BC109" s="1131">
        <v>2393.17</v>
      </c>
      <c r="BD109" s="1131">
        <v>0</v>
      </c>
      <c r="BE109" s="1131">
        <v>0</v>
      </c>
      <c r="BF109" s="1131">
        <v>0</v>
      </c>
      <c r="BG109" s="1132">
        <f t="shared" si="49"/>
        <v>11965.84</v>
      </c>
      <c r="BH109" s="1148">
        <v>2217.6</v>
      </c>
      <c r="BI109" s="1149">
        <v>4004.63</v>
      </c>
      <c r="BJ109" s="1149">
        <v>0</v>
      </c>
      <c r="BK109" s="1149">
        <v>0</v>
      </c>
      <c r="BL109" s="1149">
        <v>0</v>
      </c>
      <c r="BM109" s="1147">
        <f t="shared" si="50"/>
        <v>6222.23</v>
      </c>
      <c r="BN109" s="1148">
        <v>78925.37</v>
      </c>
      <c r="BO109" s="1149">
        <v>9997.23</v>
      </c>
      <c r="BP109" s="1149">
        <v>16311.24</v>
      </c>
      <c r="BQ109" s="1149">
        <v>-0.02</v>
      </c>
      <c r="BR109" s="1149">
        <v>0</v>
      </c>
      <c r="BS109" s="1147">
        <f t="shared" si="51"/>
        <v>105233.81999999999</v>
      </c>
      <c r="BT109" s="1148">
        <v>-57.15</v>
      </c>
      <c r="BU109" s="1149">
        <v>-57.15</v>
      </c>
      <c r="BV109" s="1149">
        <v>0</v>
      </c>
      <c r="BW109" s="1149">
        <v>0</v>
      </c>
      <c r="BX109" s="1149">
        <v>0</v>
      </c>
      <c r="BY109" s="1154">
        <f t="shared" si="52"/>
        <v>-114.3</v>
      </c>
      <c r="BZ109" s="1148">
        <v>153388.66</v>
      </c>
      <c r="CA109" s="1149">
        <v>237263.04</v>
      </c>
      <c r="CB109" s="1149">
        <v>71654.679999999993</v>
      </c>
      <c r="CC109" s="1149">
        <v>0.05</v>
      </c>
      <c r="CD109" s="1149">
        <v>0</v>
      </c>
      <c r="CE109" s="1154">
        <f t="shared" si="53"/>
        <v>462306.43</v>
      </c>
      <c r="CF109" s="1148">
        <v>11816.51</v>
      </c>
      <c r="CG109" s="1149">
        <v>0</v>
      </c>
      <c r="CH109" s="1149">
        <v>21190.52</v>
      </c>
      <c r="CI109" s="1149">
        <v>5073.8500000000004</v>
      </c>
      <c r="CJ109" s="1149">
        <v>-5073.8500000000004</v>
      </c>
      <c r="CK109" s="1154">
        <f t="shared" si="54"/>
        <v>33007.03</v>
      </c>
      <c r="CL109" s="1148">
        <v>382.13</v>
      </c>
      <c r="CM109" s="1149">
        <v>0</v>
      </c>
      <c r="CN109" s="1149">
        <v>1223.45</v>
      </c>
      <c r="CO109" s="1149">
        <v>-135.88</v>
      </c>
      <c r="CP109" s="1149">
        <v>135.88</v>
      </c>
      <c r="CQ109" s="1147">
        <f t="shared" si="55"/>
        <v>1605.58</v>
      </c>
      <c r="CR109" s="1148"/>
      <c r="CS109" s="1149"/>
      <c r="CT109" s="1149"/>
      <c r="CU109" s="1149"/>
      <c r="CV109" s="1149"/>
      <c r="CW109" s="1154">
        <f t="shared" si="56"/>
        <v>0</v>
      </c>
      <c r="CX109" s="1145"/>
      <c r="CY109" s="1146"/>
      <c r="CZ109" s="1146"/>
      <c r="DA109" s="1146"/>
      <c r="DB109" s="1146"/>
      <c r="DC109" s="1147">
        <f t="shared" si="57"/>
        <v>0</v>
      </c>
      <c r="DD109" s="1148"/>
      <c r="DE109" s="1149"/>
      <c r="DF109" s="1149"/>
      <c r="DG109" s="1149"/>
      <c r="DH109" s="1149"/>
      <c r="DI109" s="1154">
        <f t="shared" si="58"/>
        <v>0</v>
      </c>
      <c r="DJ109" s="1233"/>
      <c r="DK109" s="1233"/>
      <c r="DL109" s="1233"/>
      <c r="DM109" s="1233"/>
      <c r="DN109" s="1233"/>
      <c r="DO109" s="1233">
        <f t="shared" si="59"/>
        <v>0</v>
      </c>
      <c r="DP109" s="1148">
        <v>9432.85</v>
      </c>
      <c r="DQ109" s="1149">
        <v>6508.67</v>
      </c>
      <c r="DR109" s="1149">
        <v>2924.18</v>
      </c>
      <c r="DS109" s="1149">
        <v>0</v>
      </c>
      <c r="DT109" s="1149">
        <v>0</v>
      </c>
      <c r="DU109" s="1155">
        <f t="shared" si="60"/>
        <v>18865.7</v>
      </c>
      <c r="DV109" s="1148">
        <v>15955.37</v>
      </c>
      <c r="DW109" s="1149">
        <v>0</v>
      </c>
      <c r="DX109" s="1149">
        <v>2926.74</v>
      </c>
      <c r="DY109" s="1149">
        <v>-785</v>
      </c>
      <c r="DZ109" s="1149">
        <v>0</v>
      </c>
      <c r="EA109" s="1154">
        <f t="shared" si="61"/>
        <v>18097.11</v>
      </c>
    </row>
    <row r="110" spans="1:131" ht="15" customHeight="1">
      <c r="A110" s="746" t="s">
        <v>116</v>
      </c>
      <c r="B110" s="844" t="s">
        <v>117</v>
      </c>
      <c r="C110" s="967" t="s">
        <v>266</v>
      </c>
      <c r="D110" s="842">
        <f t="shared" si="34"/>
        <v>73939.34</v>
      </c>
      <c r="E110" s="842">
        <f t="shared" si="35"/>
        <v>101475.05</v>
      </c>
      <c r="F110" s="842">
        <f t="shared" si="36"/>
        <v>32880.659999999996</v>
      </c>
      <c r="G110" s="842">
        <f t="shared" si="37"/>
        <v>-20.22</v>
      </c>
      <c r="H110" s="842">
        <f t="shared" si="38"/>
        <v>0</v>
      </c>
      <c r="I110" s="1578">
        <f t="shared" si="39"/>
        <v>208274.83000000002</v>
      </c>
      <c r="J110" s="843">
        <f t="shared" si="40"/>
        <v>-20.22</v>
      </c>
      <c r="K110" s="1579">
        <f t="shared" si="41"/>
        <v>32860.439999999995</v>
      </c>
      <c r="L110" s="1116"/>
      <c r="M110" s="1117"/>
      <c r="N110" s="1117"/>
      <c r="O110" s="1117"/>
      <c r="P110" s="1117"/>
      <c r="Q110" s="1118">
        <f t="shared" si="42"/>
        <v>0</v>
      </c>
      <c r="R110" s="1133"/>
      <c r="S110" s="1134"/>
      <c r="T110" s="1134"/>
      <c r="U110" s="1134"/>
      <c r="V110" s="1134"/>
      <c r="W110" s="1132">
        <f t="shared" si="43"/>
        <v>0</v>
      </c>
      <c r="X110" s="1231"/>
      <c r="Y110" s="1231"/>
      <c r="Z110" s="1231"/>
      <c r="AA110" s="1231"/>
      <c r="AB110" s="1231"/>
      <c r="AC110" s="1231">
        <f t="shared" si="44"/>
        <v>0</v>
      </c>
      <c r="AD110" s="1127">
        <v>672</v>
      </c>
      <c r="AE110" s="1128">
        <v>4</v>
      </c>
      <c r="AF110" s="1128">
        <v>124</v>
      </c>
      <c r="AG110" s="1128">
        <v>0</v>
      </c>
      <c r="AH110" s="1128">
        <v>0</v>
      </c>
      <c r="AI110" s="1124">
        <f t="shared" si="45"/>
        <v>800</v>
      </c>
      <c r="AJ110" s="1148">
        <v>22852.06</v>
      </c>
      <c r="AK110" s="1149">
        <v>0</v>
      </c>
      <c r="AL110" s="1149">
        <v>5713.04</v>
      </c>
      <c r="AM110" s="1149">
        <v>0</v>
      </c>
      <c r="AN110" s="1149">
        <v>0</v>
      </c>
      <c r="AO110" s="1154">
        <f t="shared" si="46"/>
        <v>28565.100000000002</v>
      </c>
      <c r="AP110" s="1125"/>
      <c r="AQ110" s="1126"/>
      <c r="AR110" s="1126"/>
      <c r="AS110" s="1126"/>
      <c r="AT110" s="1126"/>
      <c r="AU110" s="1137">
        <f t="shared" si="47"/>
        <v>0</v>
      </c>
      <c r="AV110" s="1138">
        <v>2206.4</v>
      </c>
      <c r="AW110" s="1139">
        <v>551.6</v>
      </c>
      <c r="AX110" s="1139">
        <v>0</v>
      </c>
      <c r="AY110" s="1139">
        <v>0</v>
      </c>
      <c r="AZ110" s="1139">
        <v>0</v>
      </c>
      <c r="BA110" s="1140">
        <f t="shared" si="48"/>
        <v>2758</v>
      </c>
      <c r="BB110" s="1131">
        <v>1372.8</v>
      </c>
      <c r="BC110" s="1131">
        <v>343.2</v>
      </c>
      <c r="BD110" s="1131">
        <v>0</v>
      </c>
      <c r="BE110" s="1131">
        <v>0</v>
      </c>
      <c r="BF110" s="1131">
        <v>0</v>
      </c>
      <c r="BG110" s="1132">
        <f t="shared" si="49"/>
        <v>1716</v>
      </c>
      <c r="BH110" s="1145">
        <v>61.64</v>
      </c>
      <c r="BI110" s="1146">
        <v>111.32</v>
      </c>
      <c r="BJ110" s="1146">
        <v>0</v>
      </c>
      <c r="BK110" s="1146">
        <v>0</v>
      </c>
      <c r="BL110" s="1146">
        <v>0</v>
      </c>
      <c r="BM110" s="1147">
        <f t="shared" si="50"/>
        <v>172.95999999999998</v>
      </c>
      <c r="BN110" s="1148">
        <v>8912.83</v>
      </c>
      <c r="BO110" s="1149">
        <v>1128.96</v>
      </c>
      <c r="BP110" s="1149">
        <v>1842</v>
      </c>
      <c r="BQ110" s="1149">
        <v>-0.02</v>
      </c>
      <c r="BR110" s="1149">
        <v>0</v>
      </c>
      <c r="BS110" s="1147">
        <f t="shared" si="51"/>
        <v>11883.77</v>
      </c>
      <c r="BT110" s="1148"/>
      <c r="BU110" s="1149"/>
      <c r="BV110" s="1149"/>
      <c r="BW110" s="1149"/>
      <c r="BX110" s="1149"/>
      <c r="BY110" s="1154">
        <f t="shared" si="52"/>
        <v>0</v>
      </c>
      <c r="BZ110" s="1148">
        <v>34294.92</v>
      </c>
      <c r="CA110" s="1149">
        <v>97791.28</v>
      </c>
      <c r="CB110" s="1149">
        <v>24228.12</v>
      </c>
      <c r="CC110" s="1149">
        <v>-0.18</v>
      </c>
      <c r="CD110" s="1149">
        <v>0</v>
      </c>
      <c r="CE110" s="1154">
        <f t="shared" si="53"/>
        <v>156314.14000000001</v>
      </c>
      <c r="CF110" s="1148"/>
      <c r="CG110" s="1149"/>
      <c r="CH110" s="1149"/>
      <c r="CI110" s="1149"/>
      <c r="CJ110" s="1149"/>
      <c r="CK110" s="1154">
        <f t="shared" si="54"/>
        <v>0</v>
      </c>
      <c r="CL110" s="1145">
        <v>11.9</v>
      </c>
      <c r="CM110" s="1146">
        <v>0</v>
      </c>
      <c r="CN110" s="1146">
        <v>38.1</v>
      </c>
      <c r="CO110" s="1146">
        <v>0</v>
      </c>
      <c r="CP110" s="1146">
        <v>0</v>
      </c>
      <c r="CQ110" s="1147">
        <f t="shared" si="55"/>
        <v>50</v>
      </c>
      <c r="CR110" s="1148"/>
      <c r="CS110" s="1149"/>
      <c r="CT110" s="1149"/>
      <c r="CU110" s="1149"/>
      <c r="CV110" s="1149"/>
      <c r="CW110" s="1154">
        <f t="shared" si="56"/>
        <v>0</v>
      </c>
      <c r="CX110" s="1145"/>
      <c r="CY110" s="1146"/>
      <c r="CZ110" s="1146"/>
      <c r="DA110" s="1146"/>
      <c r="DB110" s="1146"/>
      <c r="DC110" s="1147">
        <f t="shared" si="57"/>
        <v>0</v>
      </c>
      <c r="DD110" s="1148"/>
      <c r="DE110" s="1149"/>
      <c r="DF110" s="1149"/>
      <c r="DG110" s="1149"/>
      <c r="DH110" s="1149"/>
      <c r="DI110" s="1154">
        <f t="shared" si="58"/>
        <v>0</v>
      </c>
      <c r="DJ110" s="1233"/>
      <c r="DK110" s="1233"/>
      <c r="DL110" s="1233"/>
      <c r="DM110" s="1233"/>
      <c r="DN110" s="1233"/>
      <c r="DO110" s="1233">
        <f t="shared" si="59"/>
        <v>0</v>
      </c>
      <c r="DP110" s="1148">
        <v>2238.71</v>
      </c>
      <c r="DQ110" s="1149">
        <v>1544.69</v>
      </c>
      <c r="DR110" s="1149">
        <v>694</v>
      </c>
      <c r="DS110" s="1149">
        <v>-0.04</v>
      </c>
      <c r="DT110" s="1149">
        <v>0</v>
      </c>
      <c r="DU110" s="1155">
        <f t="shared" si="60"/>
        <v>4477.3599999999997</v>
      </c>
      <c r="DV110" s="1148">
        <v>1316.08</v>
      </c>
      <c r="DW110" s="1149">
        <v>0</v>
      </c>
      <c r="DX110" s="1149">
        <v>241.4</v>
      </c>
      <c r="DY110" s="1149">
        <v>-19.98</v>
      </c>
      <c r="DZ110" s="1149">
        <v>0</v>
      </c>
      <c r="EA110" s="1154">
        <f t="shared" si="61"/>
        <v>1537.5</v>
      </c>
    </row>
    <row r="111" spans="1:131" ht="15" customHeight="1">
      <c r="A111" s="746" t="s">
        <v>138</v>
      </c>
      <c r="B111" s="844" t="s">
        <v>139</v>
      </c>
      <c r="C111" s="967" t="s">
        <v>265</v>
      </c>
      <c r="D111" s="842">
        <f t="shared" si="34"/>
        <v>174421.69000000003</v>
      </c>
      <c r="E111" s="842">
        <f t="shared" si="35"/>
        <v>77690.59</v>
      </c>
      <c r="F111" s="842">
        <f t="shared" si="36"/>
        <v>50644.990000000005</v>
      </c>
      <c r="G111" s="842">
        <f t="shared" si="37"/>
        <v>-0.09</v>
      </c>
      <c r="H111" s="842">
        <f t="shared" si="38"/>
        <v>0</v>
      </c>
      <c r="I111" s="1578">
        <f t="shared" si="39"/>
        <v>302757.18</v>
      </c>
      <c r="J111" s="843">
        <f t="shared" si="40"/>
        <v>-0.09</v>
      </c>
      <c r="K111" s="1579">
        <f t="shared" si="41"/>
        <v>50644.900000000009</v>
      </c>
      <c r="L111" s="1116"/>
      <c r="M111" s="1117"/>
      <c r="N111" s="1117"/>
      <c r="O111" s="1117"/>
      <c r="P111" s="1117"/>
      <c r="Q111" s="1118">
        <f t="shared" si="42"/>
        <v>0</v>
      </c>
      <c r="R111" s="1133"/>
      <c r="S111" s="1134"/>
      <c r="T111" s="1134"/>
      <c r="U111" s="1134"/>
      <c r="V111" s="1134"/>
      <c r="W111" s="1132">
        <f t="shared" si="43"/>
        <v>0</v>
      </c>
      <c r="X111" s="1231"/>
      <c r="Y111" s="1231"/>
      <c r="Z111" s="1231"/>
      <c r="AA111" s="1231"/>
      <c r="AB111" s="1231"/>
      <c r="AC111" s="1231">
        <f t="shared" si="44"/>
        <v>0</v>
      </c>
      <c r="AD111" s="1127">
        <v>15430.48</v>
      </c>
      <c r="AE111" s="1128">
        <v>91.86</v>
      </c>
      <c r="AF111" s="1128">
        <v>2847.3</v>
      </c>
      <c r="AG111" s="1128">
        <v>-0.02</v>
      </c>
      <c r="AH111" s="1128">
        <v>0</v>
      </c>
      <c r="AI111" s="1124">
        <f t="shared" si="45"/>
        <v>18369.62</v>
      </c>
      <c r="AJ111" s="1148">
        <v>67434.570000000007</v>
      </c>
      <c r="AK111" s="1149">
        <v>0</v>
      </c>
      <c r="AL111" s="1149">
        <v>16858.650000000001</v>
      </c>
      <c r="AM111" s="1149">
        <v>0</v>
      </c>
      <c r="AN111" s="1149">
        <v>0</v>
      </c>
      <c r="AO111" s="1154">
        <f t="shared" si="46"/>
        <v>84293.22</v>
      </c>
      <c r="AP111" s="1125"/>
      <c r="AQ111" s="1126"/>
      <c r="AR111" s="1126"/>
      <c r="AS111" s="1126"/>
      <c r="AT111" s="1126"/>
      <c r="AU111" s="1137">
        <f t="shared" si="47"/>
        <v>0</v>
      </c>
      <c r="AV111" s="1141">
        <v>5051.8599999999997</v>
      </c>
      <c r="AW111" s="1142">
        <v>1262.98</v>
      </c>
      <c r="AX111" s="1142">
        <v>0</v>
      </c>
      <c r="AY111" s="1142">
        <v>0</v>
      </c>
      <c r="AZ111" s="1142">
        <v>0</v>
      </c>
      <c r="BA111" s="1140">
        <f t="shared" si="48"/>
        <v>6314.84</v>
      </c>
      <c r="BB111" s="1131">
        <v>13787.2</v>
      </c>
      <c r="BC111" s="1131">
        <v>3446.8</v>
      </c>
      <c r="BD111" s="1131">
        <v>0</v>
      </c>
      <c r="BE111" s="1131">
        <v>0</v>
      </c>
      <c r="BF111" s="1131">
        <v>0</v>
      </c>
      <c r="BG111" s="1132">
        <f t="shared" si="49"/>
        <v>17234</v>
      </c>
      <c r="BH111" s="1148">
        <v>4097.88</v>
      </c>
      <c r="BI111" s="1149">
        <v>7400.12</v>
      </c>
      <c r="BJ111" s="1149">
        <v>0</v>
      </c>
      <c r="BK111" s="1149">
        <v>0</v>
      </c>
      <c r="BL111" s="1149">
        <v>0</v>
      </c>
      <c r="BM111" s="1147">
        <f t="shared" si="50"/>
        <v>11498</v>
      </c>
      <c r="BN111" s="1148">
        <v>21244.71</v>
      </c>
      <c r="BO111" s="1149">
        <v>2691</v>
      </c>
      <c r="BP111" s="1149">
        <v>4390.5600000000004</v>
      </c>
      <c r="BQ111" s="1149">
        <v>-0.02</v>
      </c>
      <c r="BR111" s="1149">
        <v>0</v>
      </c>
      <c r="BS111" s="1147">
        <f t="shared" si="51"/>
        <v>28326.25</v>
      </c>
      <c r="BT111" s="1148"/>
      <c r="BU111" s="1149"/>
      <c r="BV111" s="1149"/>
      <c r="BW111" s="1149"/>
      <c r="BX111" s="1149"/>
      <c r="BY111" s="1154">
        <f t="shared" si="52"/>
        <v>0</v>
      </c>
      <c r="BZ111" s="1148">
        <v>19189.830000000002</v>
      </c>
      <c r="CA111" s="1149">
        <v>54496.09</v>
      </c>
      <c r="CB111" s="1149">
        <v>13515.95</v>
      </c>
      <c r="CC111" s="1149">
        <v>-0.02</v>
      </c>
      <c r="CD111" s="1149">
        <v>0</v>
      </c>
      <c r="CE111" s="1154">
        <f t="shared" si="53"/>
        <v>87201.849999999991</v>
      </c>
      <c r="CF111" s="1148">
        <v>3937.99</v>
      </c>
      <c r="CG111" s="1149">
        <v>0</v>
      </c>
      <c r="CH111" s="1149">
        <v>7062.01</v>
      </c>
      <c r="CI111" s="1149">
        <v>0</v>
      </c>
      <c r="CJ111" s="1149">
        <v>0</v>
      </c>
      <c r="CK111" s="1154">
        <f t="shared" si="54"/>
        <v>11000</v>
      </c>
      <c r="CL111" s="1145"/>
      <c r="CM111" s="1146"/>
      <c r="CN111" s="1146"/>
      <c r="CO111" s="1146"/>
      <c r="CP111" s="1146"/>
      <c r="CQ111" s="1147">
        <f t="shared" si="55"/>
        <v>0</v>
      </c>
      <c r="CR111" s="1148"/>
      <c r="CS111" s="1149"/>
      <c r="CT111" s="1149"/>
      <c r="CU111" s="1149"/>
      <c r="CV111" s="1149"/>
      <c r="CW111" s="1154">
        <f t="shared" si="56"/>
        <v>0</v>
      </c>
      <c r="CX111" s="1148"/>
      <c r="CY111" s="1149"/>
      <c r="CZ111" s="1149"/>
      <c r="DA111" s="1149"/>
      <c r="DB111" s="1149"/>
      <c r="DC111" s="1147">
        <f t="shared" si="57"/>
        <v>0</v>
      </c>
      <c r="DD111" s="1148"/>
      <c r="DE111" s="1149"/>
      <c r="DF111" s="1149"/>
      <c r="DG111" s="1149"/>
      <c r="DH111" s="1149"/>
      <c r="DI111" s="1154">
        <f t="shared" si="58"/>
        <v>0</v>
      </c>
      <c r="DJ111" s="1234"/>
      <c r="DK111" s="1234"/>
      <c r="DL111" s="1234"/>
      <c r="DM111" s="1234"/>
      <c r="DN111" s="1234"/>
      <c r="DO111" s="1233">
        <f t="shared" si="59"/>
        <v>0</v>
      </c>
      <c r="DP111" s="1145">
        <v>12031.5</v>
      </c>
      <c r="DQ111" s="1146">
        <v>8301.74</v>
      </c>
      <c r="DR111" s="1146">
        <v>3729.77</v>
      </c>
      <c r="DS111" s="1146">
        <v>-0.01</v>
      </c>
      <c r="DT111" s="1146">
        <v>0</v>
      </c>
      <c r="DU111" s="1155">
        <f t="shared" si="60"/>
        <v>24063</v>
      </c>
      <c r="DV111" s="1148">
        <v>12215.67</v>
      </c>
      <c r="DW111" s="1149">
        <v>0</v>
      </c>
      <c r="DX111" s="1149">
        <v>2240.75</v>
      </c>
      <c r="DY111" s="1149">
        <v>-0.02</v>
      </c>
      <c r="DZ111" s="1149">
        <v>0</v>
      </c>
      <c r="EA111" s="1154">
        <f t="shared" si="61"/>
        <v>14456.4</v>
      </c>
    </row>
    <row r="112" spans="1:131" ht="15" customHeight="1">
      <c r="A112" s="746" t="s">
        <v>142</v>
      </c>
      <c r="B112" s="844" t="s">
        <v>143</v>
      </c>
      <c r="C112" s="967" t="s">
        <v>267</v>
      </c>
      <c r="D112" s="842">
        <f t="shared" si="34"/>
        <v>45496.01999999999</v>
      </c>
      <c r="E112" s="842">
        <f t="shared" si="35"/>
        <v>45358.020000000004</v>
      </c>
      <c r="F112" s="842">
        <f t="shared" si="36"/>
        <v>18440.89</v>
      </c>
      <c r="G112" s="842">
        <f t="shared" si="37"/>
        <v>-3.9999999999999994E-2</v>
      </c>
      <c r="H112" s="842">
        <f t="shared" si="38"/>
        <v>0</v>
      </c>
      <c r="I112" s="1578">
        <f t="shared" si="39"/>
        <v>109294.89</v>
      </c>
      <c r="J112" s="843">
        <f t="shared" si="40"/>
        <v>-3.9999999999999994E-2</v>
      </c>
      <c r="K112" s="1579">
        <f t="shared" si="41"/>
        <v>18440.849999999999</v>
      </c>
      <c r="L112" s="1116"/>
      <c r="M112" s="1117"/>
      <c r="N112" s="1117"/>
      <c r="O112" s="1117"/>
      <c r="P112" s="1117"/>
      <c r="Q112" s="1118">
        <f t="shared" si="42"/>
        <v>0</v>
      </c>
      <c r="R112" s="1133"/>
      <c r="S112" s="1134"/>
      <c r="T112" s="1134"/>
      <c r="U112" s="1134"/>
      <c r="V112" s="1134"/>
      <c r="W112" s="1132">
        <f t="shared" si="43"/>
        <v>0</v>
      </c>
      <c r="X112" s="1231"/>
      <c r="Y112" s="1231"/>
      <c r="Z112" s="1231"/>
      <c r="AA112" s="1231"/>
      <c r="AB112" s="1231"/>
      <c r="AC112" s="1231">
        <f t="shared" si="44"/>
        <v>0</v>
      </c>
      <c r="AD112" s="1127">
        <v>1624.57</v>
      </c>
      <c r="AE112" s="1128">
        <v>9.67</v>
      </c>
      <c r="AF112" s="1128">
        <v>299.77</v>
      </c>
      <c r="AG112" s="1128">
        <v>0</v>
      </c>
      <c r="AH112" s="1128">
        <v>0</v>
      </c>
      <c r="AI112" s="1124">
        <f t="shared" si="45"/>
        <v>1934.01</v>
      </c>
      <c r="AJ112" s="1148">
        <v>1300</v>
      </c>
      <c r="AK112" s="1149">
        <v>0</v>
      </c>
      <c r="AL112" s="1149">
        <v>325</v>
      </c>
      <c r="AM112" s="1149">
        <v>0</v>
      </c>
      <c r="AN112" s="1149">
        <v>0</v>
      </c>
      <c r="AO112" s="1154">
        <f t="shared" si="46"/>
        <v>1625</v>
      </c>
      <c r="AP112" s="1125"/>
      <c r="AQ112" s="1126"/>
      <c r="AR112" s="1126"/>
      <c r="AS112" s="1126"/>
      <c r="AT112" s="1126"/>
      <c r="AU112" s="1137">
        <f t="shared" si="47"/>
        <v>0</v>
      </c>
      <c r="AV112" s="1138">
        <v>716.82</v>
      </c>
      <c r="AW112" s="1139">
        <v>179.2</v>
      </c>
      <c r="AX112" s="1139">
        <v>0</v>
      </c>
      <c r="AY112" s="1139">
        <v>0</v>
      </c>
      <c r="AZ112" s="1139">
        <v>0</v>
      </c>
      <c r="BA112" s="1140">
        <f t="shared" si="48"/>
        <v>896.02</v>
      </c>
      <c r="BB112" s="1131">
        <v>187.51</v>
      </c>
      <c r="BC112" s="1131">
        <v>46.87</v>
      </c>
      <c r="BD112" s="1131">
        <v>0</v>
      </c>
      <c r="BE112" s="1131">
        <v>0</v>
      </c>
      <c r="BF112" s="1131">
        <v>0</v>
      </c>
      <c r="BG112" s="1132">
        <f t="shared" si="49"/>
        <v>234.38</v>
      </c>
      <c r="BH112" s="1145">
        <v>71.28</v>
      </c>
      <c r="BI112" s="1146">
        <v>128.72</v>
      </c>
      <c r="BJ112" s="1146">
        <v>0</v>
      </c>
      <c r="BK112" s="1146">
        <v>0</v>
      </c>
      <c r="BL112" s="1146">
        <v>0</v>
      </c>
      <c r="BM112" s="1147">
        <f t="shared" si="50"/>
        <v>200</v>
      </c>
      <c r="BN112" s="1148">
        <v>18092.099999999999</v>
      </c>
      <c r="BO112" s="1149">
        <v>2291.66</v>
      </c>
      <c r="BP112" s="1149">
        <v>3739.04</v>
      </c>
      <c r="BQ112" s="1149">
        <v>-0.01</v>
      </c>
      <c r="BR112" s="1149">
        <v>0</v>
      </c>
      <c r="BS112" s="1147">
        <f t="shared" si="51"/>
        <v>24122.79</v>
      </c>
      <c r="BT112" s="1148"/>
      <c r="BU112" s="1149"/>
      <c r="BV112" s="1149"/>
      <c r="BW112" s="1149"/>
      <c r="BX112" s="1149"/>
      <c r="BY112" s="1154">
        <f t="shared" si="52"/>
        <v>0</v>
      </c>
      <c r="BZ112" s="1148">
        <v>14890.95</v>
      </c>
      <c r="CA112" s="1149">
        <v>39286.400000000001</v>
      </c>
      <c r="CB112" s="1149">
        <v>9937.56</v>
      </c>
      <c r="CC112" s="1149">
        <v>-0.09</v>
      </c>
      <c r="CD112" s="1149">
        <v>0</v>
      </c>
      <c r="CE112" s="1154">
        <f t="shared" si="53"/>
        <v>64114.820000000007</v>
      </c>
      <c r="CF112" s="1148">
        <v>1200.8399999999999</v>
      </c>
      <c r="CG112" s="1149">
        <v>0</v>
      </c>
      <c r="CH112" s="1149">
        <v>2153.4499999999998</v>
      </c>
      <c r="CI112" s="1149">
        <v>0</v>
      </c>
      <c r="CJ112" s="1149">
        <v>0</v>
      </c>
      <c r="CK112" s="1154">
        <f t="shared" si="54"/>
        <v>3354.29</v>
      </c>
      <c r="CL112" s="1145"/>
      <c r="CM112" s="1146"/>
      <c r="CN112" s="1146"/>
      <c r="CO112" s="1146"/>
      <c r="CP112" s="1146"/>
      <c r="CQ112" s="1147">
        <f t="shared" si="55"/>
        <v>0</v>
      </c>
      <c r="CR112" s="1148"/>
      <c r="CS112" s="1149"/>
      <c r="CT112" s="1149"/>
      <c r="CU112" s="1149"/>
      <c r="CV112" s="1149"/>
      <c r="CW112" s="1154">
        <f t="shared" si="56"/>
        <v>0</v>
      </c>
      <c r="CX112" s="1148"/>
      <c r="CY112" s="1149"/>
      <c r="CZ112" s="1149"/>
      <c r="DA112" s="1149"/>
      <c r="DB112" s="1149"/>
      <c r="DC112" s="1147">
        <f t="shared" si="57"/>
        <v>0</v>
      </c>
      <c r="DD112" s="1148"/>
      <c r="DE112" s="1149"/>
      <c r="DF112" s="1149"/>
      <c r="DG112" s="1149"/>
      <c r="DH112" s="1149"/>
      <c r="DI112" s="1154">
        <f t="shared" si="58"/>
        <v>0</v>
      </c>
      <c r="DJ112" s="1233"/>
      <c r="DK112" s="1233"/>
      <c r="DL112" s="1233"/>
      <c r="DM112" s="1233"/>
      <c r="DN112" s="1233"/>
      <c r="DO112" s="1233">
        <f t="shared" si="59"/>
        <v>0</v>
      </c>
      <c r="DP112" s="1148">
        <v>4950</v>
      </c>
      <c r="DQ112" s="1149">
        <v>3415.5</v>
      </c>
      <c r="DR112" s="1149">
        <v>1534.5</v>
      </c>
      <c r="DS112" s="1149">
        <v>0</v>
      </c>
      <c r="DT112" s="1149">
        <v>0</v>
      </c>
      <c r="DU112" s="1155">
        <f t="shared" si="60"/>
        <v>9900</v>
      </c>
      <c r="DV112" s="1148">
        <v>2461.9499999999998</v>
      </c>
      <c r="DW112" s="1149">
        <v>0</v>
      </c>
      <c r="DX112" s="1149">
        <v>451.57</v>
      </c>
      <c r="DY112" s="1149">
        <v>0.06</v>
      </c>
      <c r="DZ112" s="1149">
        <v>0</v>
      </c>
      <c r="EA112" s="1154">
        <f t="shared" si="61"/>
        <v>2913.58</v>
      </c>
    </row>
    <row r="113" spans="1:131" ht="15" customHeight="1">
      <c r="A113" s="746" t="s">
        <v>144</v>
      </c>
      <c r="B113" s="844" t="s">
        <v>145</v>
      </c>
      <c r="C113" s="967" t="s">
        <v>267</v>
      </c>
      <c r="D113" s="842">
        <f t="shared" si="34"/>
        <v>49129.919999999998</v>
      </c>
      <c r="E113" s="842">
        <f t="shared" si="35"/>
        <v>14968.94</v>
      </c>
      <c r="F113" s="842">
        <f t="shared" si="36"/>
        <v>12148.39</v>
      </c>
      <c r="G113" s="842">
        <f t="shared" si="37"/>
        <v>-0.04</v>
      </c>
      <c r="H113" s="842">
        <f t="shared" si="38"/>
        <v>0</v>
      </c>
      <c r="I113" s="1578">
        <f t="shared" si="39"/>
        <v>76247.210000000006</v>
      </c>
      <c r="J113" s="843">
        <f t="shared" si="40"/>
        <v>-0.04</v>
      </c>
      <c r="K113" s="1579">
        <f t="shared" si="41"/>
        <v>12148.349999999999</v>
      </c>
      <c r="L113" s="1116"/>
      <c r="M113" s="1117"/>
      <c r="N113" s="1117"/>
      <c r="O113" s="1117"/>
      <c r="P113" s="1117"/>
      <c r="Q113" s="1118">
        <f t="shared" si="42"/>
        <v>0</v>
      </c>
      <c r="R113" s="1133"/>
      <c r="S113" s="1134"/>
      <c r="T113" s="1134"/>
      <c r="U113" s="1134"/>
      <c r="V113" s="1134"/>
      <c r="W113" s="1132">
        <f t="shared" si="43"/>
        <v>0</v>
      </c>
      <c r="X113" s="1231"/>
      <c r="Y113" s="1231"/>
      <c r="Z113" s="1231"/>
      <c r="AA113" s="1231"/>
      <c r="AB113" s="1231"/>
      <c r="AC113" s="1231">
        <f t="shared" si="44"/>
        <v>0</v>
      </c>
      <c r="AD113" s="1127">
        <v>658.82</v>
      </c>
      <c r="AE113" s="1128">
        <v>3.93</v>
      </c>
      <c r="AF113" s="1128">
        <v>121.57</v>
      </c>
      <c r="AG113" s="1128">
        <v>-0.01</v>
      </c>
      <c r="AH113" s="1128">
        <v>0</v>
      </c>
      <c r="AI113" s="1124">
        <f t="shared" si="45"/>
        <v>784.31</v>
      </c>
      <c r="AJ113" s="1148">
        <v>6011.2</v>
      </c>
      <c r="AK113" s="1149">
        <v>0</v>
      </c>
      <c r="AL113" s="1149">
        <v>1502.8</v>
      </c>
      <c r="AM113" s="1149">
        <v>0</v>
      </c>
      <c r="AN113" s="1149">
        <v>0</v>
      </c>
      <c r="AO113" s="1154">
        <f t="shared" si="46"/>
        <v>7514</v>
      </c>
      <c r="AP113" s="1125"/>
      <c r="AQ113" s="1126"/>
      <c r="AR113" s="1126"/>
      <c r="AS113" s="1126"/>
      <c r="AT113" s="1126"/>
      <c r="AU113" s="1137">
        <f t="shared" si="47"/>
        <v>0</v>
      </c>
      <c r="AV113" s="1138"/>
      <c r="AW113" s="1139"/>
      <c r="AX113" s="1139"/>
      <c r="AY113" s="1139"/>
      <c r="AZ113" s="1139"/>
      <c r="BA113" s="1140">
        <f t="shared" si="48"/>
        <v>0</v>
      </c>
      <c r="BB113" s="1131">
        <v>281.60000000000002</v>
      </c>
      <c r="BC113" s="1131">
        <v>70.400000000000006</v>
      </c>
      <c r="BD113" s="1131">
        <v>0</v>
      </c>
      <c r="BE113" s="1131">
        <v>0</v>
      </c>
      <c r="BF113" s="1131">
        <v>0</v>
      </c>
      <c r="BG113" s="1132">
        <f t="shared" si="49"/>
        <v>352</v>
      </c>
      <c r="BH113" s="1145"/>
      <c r="BI113" s="1146"/>
      <c r="BJ113" s="1146"/>
      <c r="BK113" s="1146"/>
      <c r="BL113" s="1146"/>
      <c r="BM113" s="1147">
        <f t="shared" si="50"/>
        <v>0</v>
      </c>
      <c r="BN113" s="1148">
        <v>14139.08</v>
      </c>
      <c r="BO113" s="1149">
        <v>1790.96</v>
      </c>
      <c r="BP113" s="1149">
        <v>2922.09</v>
      </c>
      <c r="BQ113" s="1149">
        <v>-0.03</v>
      </c>
      <c r="BR113" s="1149">
        <v>0</v>
      </c>
      <c r="BS113" s="1147">
        <f t="shared" si="51"/>
        <v>18852.100000000002</v>
      </c>
      <c r="BT113" s="1148"/>
      <c r="BU113" s="1149"/>
      <c r="BV113" s="1149"/>
      <c r="BW113" s="1149"/>
      <c r="BX113" s="1149"/>
      <c r="BY113" s="1154">
        <f t="shared" si="52"/>
        <v>0</v>
      </c>
      <c r="BZ113" s="1148">
        <v>990.5</v>
      </c>
      <c r="CA113" s="1149">
        <v>2817.4</v>
      </c>
      <c r="CB113" s="1149">
        <v>698.46</v>
      </c>
      <c r="CC113" s="1149">
        <v>0</v>
      </c>
      <c r="CD113" s="1149">
        <v>0</v>
      </c>
      <c r="CE113" s="1154">
        <f t="shared" si="53"/>
        <v>4506.3600000000006</v>
      </c>
      <c r="CF113" s="1145"/>
      <c r="CG113" s="1146"/>
      <c r="CH113" s="1146"/>
      <c r="CI113" s="1146"/>
      <c r="CJ113" s="1146"/>
      <c r="CK113" s="1154">
        <f t="shared" si="54"/>
        <v>0</v>
      </c>
      <c r="CL113" s="1145"/>
      <c r="CM113" s="1146"/>
      <c r="CN113" s="1146"/>
      <c r="CO113" s="1146"/>
      <c r="CP113" s="1146"/>
      <c r="CQ113" s="1147">
        <f t="shared" si="55"/>
        <v>0</v>
      </c>
      <c r="CR113" s="1148"/>
      <c r="CS113" s="1149"/>
      <c r="CT113" s="1149"/>
      <c r="CU113" s="1149"/>
      <c r="CV113" s="1149"/>
      <c r="CW113" s="1154">
        <f t="shared" si="56"/>
        <v>0</v>
      </c>
      <c r="CX113" s="1148">
        <v>-150</v>
      </c>
      <c r="CY113" s="1149">
        <v>-150</v>
      </c>
      <c r="CZ113" s="1149">
        <v>0</v>
      </c>
      <c r="DA113" s="1149">
        <v>0</v>
      </c>
      <c r="DB113" s="1149">
        <v>0</v>
      </c>
      <c r="DC113" s="1147">
        <f t="shared" si="57"/>
        <v>-300</v>
      </c>
      <c r="DD113" s="1148"/>
      <c r="DE113" s="1149"/>
      <c r="DF113" s="1149"/>
      <c r="DG113" s="1149"/>
      <c r="DH113" s="1149"/>
      <c r="DI113" s="1154">
        <f t="shared" si="58"/>
        <v>0</v>
      </c>
      <c r="DJ113" s="1233"/>
      <c r="DK113" s="1233"/>
      <c r="DL113" s="1233"/>
      <c r="DM113" s="1233"/>
      <c r="DN113" s="1233"/>
      <c r="DO113" s="1233">
        <f t="shared" si="59"/>
        <v>0</v>
      </c>
      <c r="DP113" s="1148">
        <v>15125</v>
      </c>
      <c r="DQ113" s="1149">
        <v>10436.25</v>
      </c>
      <c r="DR113" s="1149">
        <v>4688.75</v>
      </c>
      <c r="DS113" s="1149">
        <v>0</v>
      </c>
      <c r="DT113" s="1149">
        <v>0</v>
      </c>
      <c r="DU113" s="1155">
        <f t="shared" si="60"/>
        <v>30250</v>
      </c>
      <c r="DV113" s="1148">
        <v>12073.72</v>
      </c>
      <c r="DW113" s="1149">
        <v>0</v>
      </c>
      <c r="DX113" s="1149">
        <v>2214.7199999999998</v>
      </c>
      <c r="DY113" s="1149">
        <v>0</v>
      </c>
      <c r="DZ113" s="1149">
        <v>0</v>
      </c>
      <c r="EA113" s="1154">
        <f t="shared" si="61"/>
        <v>14288.439999999999</v>
      </c>
    </row>
    <row r="114" spans="1:131" ht="15" customHeight="1">
      <c r="A114" s="746" t="s">
        <v>158</v>
      </c>
      <c r="B114" s="844" t="s">
        <v>159</v>
      </c>
      <c r="C114" s="967" t="s">
        <v>264</v>
      </c>
      <c r="D114" s="842">
        <f t="shared" si="34"/>
        <v>495106.13000000006</v>
      </c>
      <c r="E114" s="842">
        <f t="shared" si="35"/>
        <v>348052.62</v>
      </c>
      <c r="F114" s="842">
        <f t="shared" si="36"/>
        <v>163214.24000000002</v>
      </c>
      <c r="G114" s="842">
        <f t="shared" si="37"/>
        <v>-0.13000000000000003</v>
      </c>
      <c r="H114" s="842">
        <f t="shared" si="38"/>
        <v>0</v>
      </c>
      <c r="I114" s="1578">
        <f t="shared" si="39"/>
        <v>1006372.86</v>
      </c>
      <c r="J114" s="843">
        <f t="shared" si="40"/>
        <v>-0.13000000000000003</v>
      </c>
      <c r="K114" s="1579">
        <f t="shared" si="41"/>
        <v>163214.11000000002</v>
      </c>
      <c r="L114" s="1116"/>
      <c r="M114" s="1117"/>
      <c r="N114" s="1117"/>
      <c r="O114" s="1117"/>
      <c r="P114" s="1117"/>
      <c r="Q114" s="1118">
        <f t="shared" si="42"/>
        <v>0</v>
      </c>
      <c r="R114" s="1133"/>
      <c r="S114" s="1134"/>
      <c r="T114" s="1134"/>
      <c r="U114" s="1134"/>
      <c r="V114" s="1134"/>
      <c r="W114" s="1132">
        <f t="shared" si="43"/>
        <v>0</v>
      </c>
      <c r="X114" s="1231"/>
      <c r="Y114" s="1231"/>
      <c r="Z114" s="1231"/>
      <c r="AA114" s="1231"/>
      <c r="AB114" s="1231"/>
      <c r="AC114" s="1231">
        <f t="shared" si="44"/>
        <v>0</v>
      </c>
      <c r="AD114" s="1127">
        <v>43588.02</v>
      </c>
      <c r="AE114" s="1128">
        <v>259.45</v>
      </c>
      <c r="AF114" s="1128">
        <v>8043.02</v>
      </c>
      <c r="AG114" s="1128">
        <v>0</v>
      </c>
      <c r="AH114" s="1128">
        <v>0</v>
      </c>
      <c r="AI114" s="1124">
        <f t="shared" si="45"/>
        <v>51890.489999999991</v>
      </c>
      <c r="AJ114" s="1148">
        <v>147448.79</v>
      </c>
      <c r="AK114" s="1149">
        <v>0</v>
      </c>
      <c r="AL114" s="1149">
        <v>36862.19</v>
      </c>
      <c r="AM114" s="1149">
        <v>0</v>
      </c>
      <c r="AN114" s="1149">
        <v>0</v>
      </c>
      <c r="AO114" s="1154">
        <f t="shared" si="46"/>
        <v>184310.98</v>
      </c>
      <c r="AP114" s="1127">
        <v>10630.74</v>
      </c>
      <c r="AQ114" s="1128">
        <v>4112.67</v>
      </c>
      <c r="AR114" s="1128">
        <v>2704.46</v>
      </c>
      <c r="AS114" s="1128">
        <v>-7.0000000000000007E-2</v>
      </c>
      <c r="AT114" s="1128">
        <v>0</v>
      </c>
      <c r="AU114" s="1137">
        <f t="shared" si="47"/>
        <v>17447.8</v>
      </c>
      <c r="AV114" s="1141">
        <v>12943.83</v>
      </c>
      <c r="AW114" s="1142">
        <v>3235.97</v>
      </c>
      <c r="AX114" s="1142">
        <v>0</v>
      </c>
      <c r="AY114" s="1142">
        <v>0</v>
      </c>
      <c r="AZ114" s="1142">
        <v>0</v>
      </c>
      <c r="BA114" s="1140">
        <f t="shared" si="48"/>
        <v>16179.8</v>
      </c>
      <c r="BB114" s="1131">
        <v>18814.48</v>
      </c>
      <c r="BC114" s="1131">
        <v>4703.62</v>
      </c>
      <c r="BD114" s="1131">
        <v>0</v>
      </c>
      <c r="BE114" s="1131">
        <v>0</v>
      </c>
      <c r="BF114" s="1131">
        <v>0</v>
      </c>
      <c r="BG114" s="1132">
        <f t="shared" si="49"/>
        <v>23518.1</v>
      </c>
      <c r="BH114" s="1148">
        <v>238.79</v>
      </c>
      <c r="BI114" s="1149">
        <v>431.21</v>
      </c>
      <c r="BJ114" s="1149">
        <v>0</v>
      </c>
      <c r="BK114" s="1149">
        <v>0</v>
      </c>
      <c r="BL114" s="1149">
        <v>0</v>
      </c>
      <c r="BM114" s="1147">
        <f t="shared" si="50"/>
        <v>670</v>
      </c>
      <c r="BN114" s="1148">
        <v>14971.22</v>
      </c>
      <c r="BO114" s="1149">
        <v>1896.36</v>
      </c>
      <c r="BP114" s="1149">
        <v>3094.06</v>
      </c>
      <c r="BQ114" s="1149">
        <v>-0.02</v>
      </c>
      <c r="BR114" s="1149">
        <v>0</v>
      </c>
      <c r="BS114" s="1147">
        <f t="shared" si="51"/>
        <v>19961.62</v>
      </c>
      <c r="BT114" s="1148">
        <v>-4028.23</v>
      </c>
      <c r="BU114" s="1149">
        <v>-4028.23</v>
      </c>
      <c r="BV114" s="1149">
        <v>0</v>
      </c>
      <c r="BW114" s="1149">
        <v>0.03</v>
      </c>
      <c r="BX114" s="1149">
        <v>0</v>
      </c>
      <c r="BY114" s="1154">
        <f t="shared" si="52"/>
        <v>-8056.43</v>
      </c>
      <c r="BZ114" s="1148">
        <v>211250.51</v>
      </c>
      <c r="CA114" s="1149">
        <v>323126.95</v>
      </c>
      <c r="CB114" s="1149">
        <v>98017.38</v>
      </c>
      <c r="CC114" s="1149">
        <v>-0.09</v>
      </c>
      <c r="CD114" s="1149">
        <v>0</v>
      </c>
      <c r="CE114" s="1154">
        <f t="shared" si="53"/>
        <v>632394.75</v>
      </c>
      <c r="CF114" s="1148">
        <v>2174.88</v>
      </c>
      <c r="CG114" s="1149">
        <v>0</v>
      </c>
      <c r="CH114" s="1149">
        <v>3900.21</v>
      </c>
      <c r="CI114" s="1149">
        <v>0</v>
      </c>
      <c r="CJ114" s="1149">
        <v>0</v>
      </c>
      <c r="CK114" s="1154">
        <f t="shared" si="54"/>
        <v>6075.09</v>
      </c>
      <c r="CL114" s="1145"/>
      <c r="CM114" s="1146"/>
      <c r="CN114" s="1146"/>
      <c r="CO114" s="1146"/>
      <c r="CP114" s="1146"/>
      <c r="CQ114" s="1147">
        <f t="shared" si="55"/>
        <v>0</v>
      </c>
      <c r="CR114" s="1148">
        <v>-54</v>
      </c>
      <c r="CS114" s="1149">
        <v>0</v>
      </c>
      <c r="CT114" s="1149">
        <v>0</v>
      </c>
      <c r="CU114" s="1149">
        <v>0</v>
      </c>
      <c r="CV114" s="1149">
        <v>0</v>
      </c>
      <c r="CW114" s="1154">
        <f t="shared" si="56"/>
        <v>-54</v>
      </c>
      <c r="CX114" s="1148">
        <v>-3153.39</v>
      </c>
      <c r="CY114" s="1149">
        <v>-3153.39</v>
      </c>
      <c r="CZ114" s="1149">
        <v>0</v>
      </c>
      <c r="DA114" s="1149">
        <v>0.03</v>
      </c>
      <c r="DB114" s="1149">
        <v>0</v>
      </c>
      <c r="DC114" s="1147">
        <f t="shared" si="57"/>
        <v>-6306.75</v>
      </c>
      <c r="DD114" s="1148"/>
      <c r="DE114" s="1149"/>
      <c r="DF114" s="1149"/>
      <c r="DG114" s="1149"/>
      <c r="DH114" s="1149"/>
      <c r="DI114" s="1154">
        <f t="shared" si="58"/>
        <v>0</v>
      </c>
      <c r="DJ114" s="1233"/>
      <c r="DK114" s="1233"/>
      <c r="DL114" s="1233"/>
      <c r="DM114" s="1233"/>
      <c r="DN114" s="1233"/>
      <c r="DO114" s="1233">
        <f t="shared" si="59"/>
        <v>0</v>
      </c>
      <c r="DP114" s="1148">
        <v>25315.96</v>
      </c>
      <c r="DQ114" s="1149">
        <v>17468.009999999998</v>
      </c>
      <c r="DR114" s="1149">
        <v>7847.95</v>
      </c>
      <c r="DS114" s="1149">
        <v>-0.01</v>
      </c>
      <c r="DT114" s="1149">
        <v>0</v>
      </c>
      <c r="DU114" s="1155">
        <f t="shared" si="60"/>
        <v>50631.909999999996</v>
      </c>
      <c r="DV114" s="1148">
        <v>14964.53</v>
      </c>
      <c r="DW114" s="1149">
        <v>0</v>
      </c>
      <c r="DX114" s="1149">
        <v>2744.97</v>
      </c>
      <c r="DY114" s="1149">
        <v>0</v>
      </c>
      <c r="DZ114" s="1149">
        <v>0</v>
      </c>
      <c r="EA114" s="1154">
        <f t="shared" si="61"/>
        <v>17709.5</v>
      </c>
    </row>
    <row r="115" spans="1:131" ht="15" customHeight="1">
      <c r="A115" s="746" t="s">
        <v>160</v>
      </c>
      <c r="B115" s="844" t="s">
        <v>161</v>
      </c>
      <c r="C115" s="967" t="s">
        <v>264</v>
      </c>
      <c r="D115" s="842">
        <f t="shared" si="34"/>
        <v>576801.52</v>
      </c>
      <c r="E115" s="842">
        <f t="shared" si="35"/>
        <v>226708.16999999998</v>
      </c>
      <c r="F115" s="842">
        <f t="shared" si="36"/>
        <v>150513.5</v>
      </c>
      <c r="G115" s="842">
        <f t="shared" si="37"/>
        <v>-0.28000000000000003</v>
      </c>
      <c r="H115" s="842">
        <f t="shared" si="38"/>
        <v>0</v>
      </c>
      <c r="I115" s="1578">
        <f t="shared" si="39"/>
        <v>954022.90999999992</v>
      </c>
      <c r="J115" s="843">
        <f t="shared" si="40"/>
        <v>-0.28000000000000003</v>
      </c>
      <c r="K115" s="1579">
        <f t="shared" si="41"/>
        <v>150513.22</v>
      </c>
      <c r="L115" s="1116"/>
      <c r="M115" s="1117"/>
      <c r="N115" s="1117"/>
      <c r="O115" s="1117"/>
      <c r="P115" s="1117"/>
      <c r="Q115" s="1118">
        <f t="shared" si="42"/>
        <v>0</v>
      </c>
      <c r="R115" s="1133"/>
      <c r="S115" s="1134"/>
      <c r="T115" s="1134"/>
      <c r="U115" s="1134"/>
      <c r="V115" s="1134"/>
      <c r="W115" s="1132">
        <f t="shared" si="43"/>
        <v>0</v>
      </c>
      <c r="X115" s="1231">
        <v>0</v>
      </c>
      <c r="Y115" s="1231">
        <v>5604.1</v>
      </c>
      <c r="Z115" s="1231">
        <v>0</v>
      </c>
      <c r="AA115" s="1231">
        <v>0</v>
      </c>
      <c r="AB115" s="1231">
        <v>0</v>
      </c>
      <c r="AC115" s="1231">
        <f t="shared" si="44"/>
        <v>5604.1</v>
      </c>
      <c r="AD115" s="1127">
        <v>66148.61</v>
      </c>
      <c r="AE115" s="1128">
        <v>393.75</v>
      </c>
      <c r="AF115" s="1128">
        <v>12206.01</v>
      </c>
      <c r="AG115" s="1128">
        <v>-0.02</v>
      </c>
      <c r="AH115" s="1128">
        <v>0</v>
      </c>
      <c r="AI115" s="1124">
        <f t="shared" si="45"/>
        <v>78748.349999999991</v>
      </c>
      <c r="AJ115" s="1148">
        <v>82100.929999999993</v>
      </c>
      <c r="AK115" s="1149">
        <v>0</v>
      </c>
      <c r="AL115" s="1149">
        <v>20525.25</v>
      </c>
      <c r="AM115" s="1149">
        <v>0</v>
      </c>
      <c r="AN115" s="1149">
        <v>0</v>
      </c>
      <c r="AO115" s="1154">
        <f t="shared" si="46"/>
        <v>102626.18</v>
      </c>
      <c r="AP115" s="1127">
        <v>73804.28</v>
      </c>
      <c r="AQ115" s="1128">
        <v>13729.84</v>
      </c>
      <c r="AR115" s="1128">
        <v>16056.54</v>
      </c>
      <c r="AS115" s="1128">
        <v>-0.03</v>
      </c>
      <c r="AT115" s="1128">
        <v>0</v>
      </c>
      <c r="AU115" s="1137">
        <f t="shared" si="47"/>
        <v>103590.63</v>
      </c>
      <c r="AV115" s="1141">
        <v>9341.77</v>
      </c>
      <c r="AW115" s="1142">
        <v>2335.4299999999998</v>
      </c>
      <c r="AX115" s="1142">
        <v>0</v>
      </c>
      <c r="AY115" s="1142">
        <v>0</v>
      </c>
      <c r="AZ115" s="1142">
        <v>0</v>
      </c>
      <c r="BA115" s="1140">
        <f t="shared" si="48"/>
        <v>11677.2</v>
      </c>
      <c r="BB115" s="1131">
        <v>31441.68</v>
      </c>
      <c r="BC115" s="1131">
        <v>7860.42</v>
      </c>
      <c r="BD115" s="1131">
        <v>0</v>
      </c>
      <c r="BE115" s="1131">
        <v>0</v>
      </c>
      <c r="BF115" s="1131">
        <v>0</v>
      </c>
      <c r="BG115" s="1132">
        <f t="shared" si="49"/>
        <v>39302.1</v>
      </c>
      <c r="BH115" s="1148">
        <v>2236.75</v>
      </c>
      <c r="BI115" s="1149">
        <v>4039.21</v>
      </c>
      <c r="BJ115" s="1149">
        <v>0</v>
      </c>
      <c r="BK115" s="1149">
        <v>0</v>
      </c>
      <c r="BL115" s="1149">
        <v>0</v>
      </c>
      <c r="BM115" s="1147">
        <f t="shared" si="50"/>
        <v>6275.96</v>
      </c>
      <c r="BN115" s="1148">
        <v>175387.85</v>
      </c>
      <c r="BO115" s="1149">
        <v>22215.79</v>
      </c>
      <c r="BP115" s="1149">
        <v>36246.85</v>
      </c>
      <c r="BQ115" s="1149">
        <v>-0.06</v>
      </c>
      <c r="BR115" s="1149">
        <v>0</v>
      </c>
      <c r="BS115" s="1147">
        <f t="shared" si="51"/>
        <v>233850.43000000002</v>
      </c>
      <c r="BT115" s="1148">
        <v>-225.9</v>
      </c>
      <c r="BU115" s="1149">
        <v>-225.9</v>
      </c>
      <c r="BV115" s="1149">
        <v>0</v>
      </c>
      <c r="BW115" s="1149">
        <v>0</v>
      </c>
      <c r="BX115" s="1149">
        <v>0</v>
      </c>
      <c r="BY115" s="1154">
        <f t="shared" si="52"/>
        <v>-451.8</v>
      </c>
      <c r="BZ115" s="1148">
        <v>55286.95</v>
      </c>
      <c r="CA115" s="1149">
        <v>157649.32999999999</v>
      </c>
      <c r="CB115" s="1149">
        <v>39058.18</v>
      </c>
      <c r="CC115" s="1149">
        <v>-0.15</v>
      </c>
      <c r="CD115" s="1149">
        <v>0</v>
      </c>
      <c r="CE115" s="1154">
        <f t="shared" si="53"/>
        <v>251994.30999999997</v>
      </c>
      <c r="CF115" s="1148">
        <v>5281.99</v>
      </c>
      <c r="CG115" s="1149">
        <v>0</v>
      </c>
      <c r="CH115" s="1149">
        <v>9472.2000000000007</v>
      </c>
      <c r="CI115" s="1149">
        <v>0</v>
      </c>
      <c r="CJ115" s="1149">
        <v>0</v>
      </c>
      <c r="CK115" s="1154">
        <f t="shared" si="54"/>
        <v>14754.19</v>
      </c>
      <c r="CL115" s="1145">
        <v>182.78</v>
      </c>
      <c r="CM115" s="1146">
        <v>0</v>
      </c>
      <c r="CN115" s="1146">
        <v>585.22</v>
      </c>
      <c r="CO115" s="1146">
        <v>0</v>
      </c>
      <c r="CP115" s="1146">
        <v>0</v>
      </c>
      <c r="CQ115" s="1147">
        <f t="shared" si="55"/>
        <v>768</v>
      </c>
      <c r="CR115" s="1148"/>
      <c r="CS115" s="1149"/>
      <c r="CT115" s="1149"/>
      <c r="CU115" s="1149"/>
      <c r="CV115" s="1149"/>
      <c r="CW115" s="1154">
        <f t="shared" si="56"/>
        <v>0</v>
      </c>
      <c r="CX115" s="1145"/>
      <c r="CY115" s="1146"/>
      <c r="CZ115" s="1146"/>
      <c r="DA115" s="1146"/>
      <c r="DB115" s="1146"/>
      <c r="DC115" s="1147">
        <f t="shared" si="57"/>
        <v>0</v>
      </c>
      <c r="DD115" s="1148">
        <v>-286</v>
      </c>
      <c r="DE115" s="1149">
        <v>0</v>
      </c>
      <c r="DF115" s="1149">
        <v>0</v>
      </c>
      <c r="DG115" s="1149">
        <v>0</v>
      </c>
      <c r="DH115" s="1149">
        <v>0</v>
      </c>
      <c r="DI115" s="1154">
        <f t="shared" si="58"/>
        <v>-286</v>
      </c>
      <c r="DJ115" s="1233"/>
      <c r="DK115" s="1233"/>
      <c r="DL115" s="1233"/>
      <c r="DM115" s="1233"/>
      <c r="DN115" s="1233"/>
      <c r="DO115" s="1233">
        <f t="shared" si="59"/>
        <v>0</v>
      </c>
      <c r="DP115" s="1148">
        <v>18994.5</v>
      </c>
      <c r="DQ115" s="1149">
        <v>13106.2</v>
      </c>
      <c r="DR115" s="1149">
        <v>5888.3</v>
      </c>
      <c r="DS115" s="1149">
        <v>0</v>
      </c>
      <c r="DT115" s="1149">
        <v>0</v>
      </c>
      <c r="DU115" s="1155">
        <f t="shared" si="60"/>
        <v>37989</v>
      </c>
      <c r="DV115" s="1148">
        <v>57105.33</v>
      </c>
      <c r="DW115" s="1149">
        <v>0</v>
      </c>
      <c r="DX115" s="1149">
        <v>10474.950000000001</v>
      </c>
      <c r="DY115" s="1149">
        <v>-0.02</v>
      </c>
      <c r="DZ115" s="1149">
        <v>0</v>
      </c>
      <c r="EA115" s="1154">
        <f t="shared" si="61"/>
        <v>67580.259999999995</v>
      </c>
    </row>
    <row r="116" spans="1:131" ht="15" customHeight="1">
      <c r="A116" s="746" t="s">
        <v>166</v>
      </c>
      <c r="B116" s="844" t="s">
        <v>167</v>
      </c>
      <c r="C116" s="967" t="s">
        <v>268</v>
      </c>
      <c r="D116" s="842">
        <f t="shared" si="34"/>
        <v>24072.27</v>
      </c>
      <c r="E116" s="842">
        <f t="shared" si="35"/>
        <v>8252.8700000000008</v>
      </c>
      <c r="F116" s="842">
        <f t="shared" si="36"/>
        <v>6603.28</v>
      </c>
      <c r="G116" s="842">
        <f t="shared" si="37"/>
        <v>-9.9999999999999992E-2</v>
      </c>
      <c r="H116" s="842">
        <f t="shared" si="38"/>
        <v>0</v>
      </c>
      <c r="I116" s="1578">
        <f t="shared" si="39"/>
        <v>38928.32</v>
      </c>
      <c r="J116" s="843">
        <f t="shared" si="40"/>
        <v>-9.9999999999999992E-2</v>
      </c>
      <c r="K116" s="1579">
        <f t="shared" si="41"/>
        <v>6603.1799999999994</v>
      </c>
      <c r="L116" s="1116"/>
      <c r="M116" s="1117"/>
      <c r="N116" s="1117"/>
      <c r="O116" s="1117"/>
      <c r="P116" s="1117"/>
      <c r="Q116" s="1118">
        <f t="shared" si="42"/>
        <v>0</v>
      </c>
      <c r="R116" s="1133"/>
      <c r="S116" s="1134"/>
      <c r="T116" s="1134"/>
      <c r="U116" s="1134"/>
      <c r="V116" s="1134"/>
      <c r="W116" s="1132">
        <f t="shared" si="43"/>
        <v>0</v>
      </c>
      <c r="X116" s="1231"/>
      <c r="Y116" s="1231"/>
      <c r="Z116" s="1231"/>
      <c r="AA116" s="1231"/>
      <c r="AB116" s="1231"/>
      <c r="AC116" s="1231">
        <f t="shared" si="44"/>
        <v>0</v>
      </c>
      <c r="AD116" s="1127">
        <v>159.72999999999999</v>
      </c>
      <c r="AE116" s="1128">
        <v>0.95</v>
      </c>
      <c r="AF116" s="1128">
        <v>29.47</v>
      </c>
      <c r="AG116" s="1128">
        <v>0.01</v>
      </c>
      <c r="AH116" s="1128">
        <v>0</v>
      </c>
      <c r="AI116" s="1124">
        <f t="shared" si="45"/>
        <v>190.15999999999997</v>
      </c>
      <c r="AJ116" s="1148">
        <v>9020</v>
      </c>
      <c r="AK116" s="1149">
        <v>0</v>
      </c>
      <c r="AL116" s="1149">
        <v>2255</v>
      </c>
      <c r="AM116" s="1149">
        <v>0</v>
      </c>
      <c r="AN116" s="1149">
        <v>0</v>
      </c>
      <c r="AO116" s="1154">
        <f t="shared" si="46"/>
        <v>11275</v>
      </c>
      <c r="AP116" s="1125"/>
      <c r="AQ116" s="1126"/>
      <c r="AR116" s="1126"/>
      <c r="AS116" s="1126"/>
      <c r="AT116" s="1126"/>
      <c r="AU116" s="1137">
        <f t="shared" si="47"/>
        <v>0</v>
      </c>
      <c r="AV116" s="1138"/>
      <c r="AW116" s="1139"/>
      <c r="AX116" s="1139"/>
      <c r="AY116" s="1139"/>
      <c r="AZ116" s="1139"/>
      <c r="BA116" s="1140">
        <f t="shared" si="48"/>
        <v>0</v>
      </c>
      <c r="BB116" s="1133"/>
      <c r="BC116" s="1134"/>
      <c r="BD116" s="1134"/>
      <c r="BE116" s="1134"/>
      <c r="BF116" s="1134"/>
      <c r="BG116" s="1132">
        <f t="shared" si="49"/>
        <v>0</v>
      </c>
      <c r="BH116" s="1145"/>
      <c r="BI116" s="1146"/>
      <c r="BJ116" s="1146"/>
      <c r="BK116" s="1146"/>
      <c r="BL116" s="1146"/>
      <c r="BM116" s="1147">
        <f t="shared" si="50"/>
        <v>0</v>
      </c>
      <c r="BN116" s="1148">
        <v>12666</v>
      </c>
      <c r="BO116" s="1149">
        <v>1604.37</v>
      </c>
      <c r="BP116" s="1149">
        <v>2617.65</v>
      </c>
      <c r="BQ116" s="1149">
        <v>-0.02</v>
      </c>
      <c r="BR116" s="1149">
        <v>0</v>
      </c>
      <c r="BS116" s="1147">
        <f t="shared" si="51"/>
        <v>16888</v>
      </c>
      <c r="BT116" s="1148">
        <v>-200</v>
      </c>
      <c r="BU116" s="1149">
        <v>-200</v>
      </c>
      <c r="BV116" s="1149">
        <v>0</v>
      </c>
      <c r="BW116" s="1149">
        <v>0</v>
      </c>
      <c r="BX116" s="1149">
        <v>0</v>
      </c>
      <c r="BY116" s="1154">
        <f t="shared" si="52"/>
        <v>-400</v>
      </c>
      <c r="BZ116" s="1148">
        <v>2426.54</v>
      </c>
      <c r="CA116" s="1149">
        <v>6847.55</v>
      </c>
      <c r="CB116" s="1149">
        <v>1701.16</v>
      </c>
      <c r="CC116" s="1149">
        <v>-0.09</v>
      </c>
      <c r="CD116" s="1149">
        <v>0</v>
      </c>
      <c r="CE116" s="1154">
        <f t="shared" si="53"/>
        <v>10975.16</v>
      </c>
      <c r="CF116" s="1145"/>
      <c r="CG116" s="1146"/>
      <c r="CH116" s="1146"/>
      <c r="CI116" s="1146"/>
      <c r="CJ116" s="1146"/>
      <c r="CK116" s="1154">
        <f t="shared" si="54"/>
        <v>0</v>
      </c>
      <c r="CL116" s="1145"/>
      <c r="CM116" s="1146"/>
      <c r="CN116" s="1146"/>
      <c r="CO116" s="1146"/>
      <c r="CP116" s="1146"/>
      <c r="CQ116" s="1147">
        <f t="shared" si="55"/>
        <v>0</v>
      </c>
      <c r="CR116" s="1145"/>
      <c r="CS116" s="1146"/>
      <c r="CT116" s="1146"/>
      <c r="CU116" s="1146"/>
      <c r="CV116" s="1146"/>
      <c r="CW116" s="1154">
        <f t="shared" si="56"/>
        <v>0</v>
      </c>
      <c r="CX116" s="1148"/>
      <c r="CY116" s="1149"/>
      <c r="CZ116" s="1149"/>
      <c r="DA116" s="1149"/>
      <c r="DB116" s="1149"/>
      <c r="DC116" s="1147">
        <f t="shared" si="57"/>
        <v>0</v>
      </c>
      <c r="DD116" s="1148"/>
      <c r="DE116" s="1149"/>
      <c r="DF116" s="1149"/>
      <c r="DG116" s="1149"/>
      <c r="DH116" s="1149"/>
      <c r="DI116" s="1154">
        <f t="shared" si="58"/>
        <v>0</v>
      </c>
      <c r="DJ116" s="1233"/>
      <c r="DK116" s="1233"/>
      <c r="DL116" s="1233"/>
      <c r="DM116" s="1233"/>
      <c r="DN116" s="1233"/>
      <c r="DO116" s="1233">
        <f t="shared" si="59"/>
        <v>0</v>
      </c>
      <c r="DP116" s="1148"/>
      <c r="DQ116" s="1149"/>
      <c r="DR116" s="1149"/>
      <c r="DS116" s="1149"/>
      <c r="DT116" s="1149"/>
      <c r="DU116" s="1155">
        <f t="shared" si="60"/>
        <v>0</v>
      </c>
      <c r="DV116" s="1148"/>
      <c r="DW116" s="1149"/>
      <c r="DX116" s="1149"/>
      <c r="DY116" s="1149"/>
      <c r="DZ116" s="1149"/>
      <c r="EA116" s="1154">
        <f t="shared" si="61"/>
        <v>0</v>
      </c>
    </row>
    <row r="117" spans="1:131" ht="15" customHeight="1">
      <c r="A117" s="746" t="s">
        <v>176</v>
      </c>
      <c r="B117" s="844" t="s">
        <v>177</v>
      </c>
      <c r="C117" s="967" t="s">
        <v>266</v>
      </c>
      <c r="D117" s="842">
        <f t="shared" si="34"/>
        <v>146760.16999999998</v>
      </c>
      <c r="E117" s="842">
        <f t="shared" si="35"/>
        <v>153147.06</v>
      </c>
      <c r="F117" s="842">
        <f t="shared" si="36"/>
        <v>58090.12</v>
      </c>
      <c r="G117" s="842">
        <f t="shared" si="37"/>
        <v>3625.7</v>
      </c>
      <c r="H117" s="842">
        <f t="shared" si="38"/>
        <v>524</v>
      </c>
      <c r="I117" s="1578">
        <f t="shared" si="39"/>
        <v>362147.05</v>
      </c>
      <c r="J117" s="843">
        <f t="shared" si="40"/>
        <v>4149.7</v>
      </c>
      <c r="K117" s="1579">
        <f t="shared" si="41"/>
        <v>62239.82</v>
      </c>
      <c r="L117" s="1116"/>
      <c r="M117" s="1117"/>
      <c r="N117" s="1117"/>
      <c r="O117" s="1117"/>
      <c r="P117" s="1117"/>
      <c r="Q117" s="1118">
        <f t="shared" si="42"/>
        <v>0</v>
      </c>
      <c r="R117" s="1133"/>
      <c r="S117" s="1134"/>
      <c r="T117" s="1134"/>
      <c r="U117" s="1134"/>
      <c r="V117" s="1134"/>
      <c r="W117" s="1132">
        <f t="shared" si="43"/>
        <v>0</v>
      </c>
      <c r="X117" s="1231"/>
      <c r="Y117" s="1231"/>
      <c r="Z117" s="1231"/>
      <c r="AA117" s="1231"/>
      <c r="AB117" s="1231"/>
      <c r="AC117" s="1231">
        <f t="shared" si="44"/>
        <v>0</v>
      </c>
      <c r="AD117" s="1127">
        <v>11214.63</v>
      </c>
      <c r="AE117" s="1128">
        <v>66.739999999999995</v>
      </c>
      <c r="AF117" s="1128">
        <v>2069.36</v>
      </c>
      <c r="AG117" s="1128">
        <v>0.02</v>
      </c>
      <c r="AH117" s="1128">
        <v>0</v>
      </c>
      <c r="AI117" s="1124">
        <f t="shared" si="45"/>
        <v>13350.75</v>
      </c>
      <c r="AJ117" s="1148">
        <v>36093.93</v>
      </c>
      <c r="AK117" s="1149">
        <v>0</v>
      </c>
      <c r="AL117" s="1149">
        <v>9023.49</v>
      </c>
      <c r="AM117" s="1149">
        <v>3625.8</v>
      </c>
      <c r="AN117" s="1149">
        <v>0</v>
      </c>
      <c r="AO117" s="1154">
        <f t="shared" si="46"/>
        <v>48743.22</v>
      </c>
      <c r="AP117" s="1125"/>
      <c r="AQ117" s="1126"/>
      <c r="AR117" s="1126"/>
      <c r="AS117" s="1126"/>
      <c r="AT117" s="1126"/>
      <c r="AU117" s="1137">
        <f t="shared" si="47"/>
        <v>0</v>
      </c>
      <c r="AV117" s="1141">
        <v>1045.93</v>
      </c>
      <c r="AW117" s="1142">
        <v>261.48</v>
      </c>
      <c r="AX117" s="1142">
        <v>0</v>
      </c>
      <c r="AY117" s="1142">
        <v>0</v>
      </c>
      <c r="AZ117" s="1142">
        <v>0</v>
      </c>
      <c r="BA117" s="1140">
        <f t="shared" si="48"/>
        <v>1307.4100000000001</v>
      </c>
      <c r="BB117" s="1131">
        <v>4357.66</v>
      </c>
      <c r="BC117" s="1131">
        <v>1089.4100000000001</v>
      </c>
      <c r="BD117" s="1131">
        <v>0</v>
      </c>
      <c r="BE117" s="1131">
        <v>0</v>
      </c>
      <c r="BF117" s="1131">
        <v>0</v>
      </c>
      <c r="BG117" s="1132">
        <f t="shared" si="49"/>
        <v>5447.07</v>
      </c>
      <c r="BH117" s="1145">
        <v>276.93</v>
      </c>
      <c r="BI117" s="1146">
        <v>500.07</v>
      </c>
      <c r="BJ117" s="1146">
        <v>0</v>
      </c>
      <c r="BK117" s="1146">
        <v>0</v>
      </c>
      <c r="BL117" s="1146">
        <v>0</v>
      </c>
      <c r="BM117" s="1147">
        <f t="shared" si="50"/>
        <v>777</v>
      </c>
      <c r="BN117" s="1148">
        <v>23266.03</v>
      </c>
      <c r="BO117" s="1149">
        <v>2947.02</v>
      </c>
      <c r="BP117" s="1149">
        <v>4808.28</v>
      </c>
      <c r="BQ117" s="1149">
        <v>-0.01</v>
      </c>
      <c r="BR117" s="1149">
        <v>0</v>
      </c>
      <c r="BS117" s="1147">
        <f t="shared" si="51"/>
        <v>31021.32</v>
      </c>
      <c r="BT117" s="1148">
        <v>-107.5</v>
      </c>
      <c r="BU117" s="1149">
        <v>-107.5</v>
      </c>
      <c r="BV117" s="1149">
        <v>0</v>
      </c>
      <c r="BW117" s="1149">
        <v>0</v>
      </c>
      <c r="BX117" s="1149">
        <v>0</v>
      </c>
      <c r="BY117" s="1154">
        <f t="shared" si="52"/>
        <v>-215</v>
      </c>
      <c r="BZ117" s="1148">
        <v>53611.05</v>
      </c>
      <c r="CA117" s="1149">
        <v>144634.34</v>
      </c>
      <c r="CB117" s="1149">
        <v>36363.449999999997</v>
      </c>
      <c r="CC117" s="1149">
        <v>-0.11</v>
      </c>
      <c r="CD117" s="1149">
        <v>0</v>
      </c>
      <c r="CE117" s="1154">
        <f t="shared" si="53"/>
        <v>234608.73000000004</v>
      </c>
      <c r="CF117" s="1148">
        <v>1102.49</v>
      </c>
      <c r="CG117" s="1149">
        <v>0</v>
      </c>
      <c r="CH117" s="1149">
        <v>1977.08</v>
      </c>
      <c r="CI117" s="1149">
        <v>0</v>
      </c>
      <c r="CJ117" s="1149">
        <v>524</v>
      </c>
      <c r="CK117" s="1154">
        <f t="shared" si="54"/>
        <v>3603.5699999999997</v>
      </c>
      <c r="CL117" s="1145"/>
      <c r="CM117" s="1146"/>
      <c r="CN117" s="1146"/>
      <c r="CO117" s="1146"/>
      <c r="CP117" s="1146"/>
      <c r="CQ117" s="1147">
        <f t="shared" si="55"/>
        <v>0</v>
      </c>
      <c r="CR117" s="1148"/>
      <c r="CS117" s="1149"/>
      <c r="CT117" s="1149"/>
      <c r="CU117" s="1149"/>
      <c r="CV117" s="1149"/>
      <c r="CW117" s="1154">
        <f t="shared" si="56"/>
        <v>0</v>
      </c>
      <c r="CX117" s="1148">
        <v>-469</v>
      </c>
      <c r="CY117" s="1149">
        <v>-469</v>
      </c>
      <c r="CZ117" s="1149">
        <v>0</v>
      </c>
      <c r="DA117" s="1149">
        <v>0</v>
      </c>
      <c r="DB117" s="1149">
        <v>0</v>
      </c>
      <c r="DC117" s="1147">
        <f t="shared" si="57"/>
        <v>-938</v>
      </c>
      <c r="DD117" s="1148">
        <v>-388</v>
      </c>
      <c r="DE117" s="1149">
        <v>0</v>
      </c>
      <c r="DF117" s="1149">
        <v>0</v>
      </c>
      <c r="DG117" s="1149">
        <v>0</v>
      </c>
      <c r="DH117" s="1149">
        <v>0</v>
      </c>
      <c r="DI117" s="1154">
        <f t="shared" si="58"/>
        <v>-388</v>
      </c>
      <c r="DJ117" s="1233"/>
      <c r="DK117" s="1233"/>
      <c r="DL117" s="1233"/>
      <c r="DM117" s="1233"/>
      <c r="DN117" s="1233"/>
      <c r="DO117" s="1233">
        <f t="shared" si="59"/>
        <v>0</v>
      </c>
      <c r="DP117" s="1148">
        <v>6122.44</v>
      </c>
      <c r="DQ117" s="1149">
        <v>4224.5</v>
      </c>
      <c r="DR117" s="1149">
        <v>1897.97</v>
      </c>
      <c r="DS117" s="1149">
        <v>-0.04</v>
      </c>
      <c r="DT117" s="1149">
        <v>0</v>
      </c>
      <c r="DU117" s="1155">
        <f t="shared" si="60"/>
        <v>12244.869999999997</v>
      </c>
      <c r="DV117" s="1148">
        <v>10633.58</v>
      </c>
      <c r="DW117" s="1149">
        <v>0</v>
      </c>
      <c r="DX117" s="1149">
        <v>1950.49</v>
      </c>
      <c r="DY117" s="1149">
        <v>0.04</v>
      </c>
      <c r="DZ117" s="1149">
        <v>0</v>
      </c>
      <c r="EA117" s="1154">
        <f t="shared" si="61"/>
        <v>12584.11</v>
      </c>
    </row>
    <row r="118" spans="1:131" ht="15" customHeight="1">
      <c r="A118" s="746" t="s">
        <v>180</v>
      </c>
      <c r="B118" s="844" t="s">
        <v>181</v>
      </c>
      <c r="C118" s="967" t="s">
        <v>264</v>
      </c>
      <c r="D118" s="842">
        <f t="shared" si="34"/>
        <v>271203.09999999998</v>
      </c>
      <c r="E118" s="842">
        <f t="shared" si="35"/>
        <v>103043.53000000001</v>
      </c>
      <c r="F118" s="842">
        <f t="shared" si="36"/>
        <v>76962.650000000009</v>
      </c>
      <c r="G118" s="842">
        <f t="shared" si="37"/>
        <v>-0.16</v>
      </c>
      <c r="H118" s="842">
        <f t="shared" si="38"/>
        <v>0</v>
      </c>
      <c r="I118" s="1578">
        <f t="shared" si="39"/>
        <v>451209.12000000005</v>
      </c>
      <c r="J118" s="843">
        <f t="shared" si="40"/>
        <v>-0.16</v>
      </c>
      <c r="K118" s="1579">
        <f t="shared" si="41"/>
        <v>76962.490000000005</v>
      </c>
      <c r="L118" s="1116"/>
      <c r="M118" s="1117"/>
      <c r="N118" s="1117"/>
      <c r="O118" s="1117"/>
      <c r="P118" s="1117"/>
      <c r="Q118" s="1118">
        <f t="shared" si="42"/>
        <v>0</v>
      </c>
      <c r="R118" s="1133"/>
      <c r="S118" s="1134"/>
      <c r="T118" s="1134"/>
      <c r="U118" s="1134"/>
      <c r="V118" s="1134"/>
      <c r="W118" s="1132">
        <f t="shared" si="43"/>
        <v>0</v>
      </c>
      <c r="X118" s="1231"/>
      <c r="Y118" s="1231"/>
      <c r="Z118" s="1231"/>
      <c r="AA118" s="1231"/>
      <c r="AB118" s="1231"/>
      <c r="AC118" s="1231">
        <f t="shared" si="44"/>
        <v>0</v>
      </c>
      <c r="AD118" s="1127">
        <v>24578.14</v>
      </c>
      <c r="AE118" s="1128">
        <v>146.31</v>
      </c>
      <c r="AF118" s="1128">
        <v>4535.26</v>
      </c>
      <c r="AG118" s="1128">
        <v>-0.02</v>
      </c>
      <c r="AH118" s="1128">
        <v>0</v>
      </c>
      <c r="AI118" s="1124">
        <f t="shared" si="45"/>
        <v>29259.69</v>
      </c>
      <c r="AJ118" s="1148">
        <v>51102.96</v>
      </c>
      <c r="AK118" s="1149">
        <v>0</v>
      </c>
      <c r="AL118" s="1149">
        <v>12775.75</v>
      </c>
      <c r="AM118" s="1149">
        <v>0</v>
      </c>
      <c r="AN118" s="1149">
        <v>0</v>
      </c>
      <c r="AO118" s="1154">
        <f t="shared" si="46"/>
        <v>63878.71</v>
      </c>
      <c r="AP118" s="1127">
        <v>3724.26</v>
      </c>
      <c r="AQ118" s="1128">
        <v>1846.38</v>
      </c>
      <c r="AR118" s="1128">
        <v>1021.84</v>
      </c>
      <c r="AS118" s="1128">
        <v>-0.01</v>
      </c>
      <c r="AT118" s="1128">
        <v>0</v>
      </c>
      <c r="AU118" s="1137">
        <f t="shared" si="47"/>
        <v>6592.47</v>
      </c>
      <c r="AV118" s="1141">
        <v>21939.64</v>
      </c>
      <c r="AW118" s="1142">
        <v>5484.91</v>
      </c>
      <c r="AX118" s="1142">
        <v>0</v>
      </c>
      <c r="AY118" s="1142">
        <v>0</v>
      </c>
      <c r="AZ118" s="1142">
        <v>0</v>
      </c>
      <c r="BA118" s="1140">
        <f t="shared" si="48"/>
        <v>27424.55</v>
      </c>
      <c r="BB118" s="1131">
        <v>21053.78</v>
      </c>
      <c r="BC118" s="1131">
        <v>5263.44</v>
      </c>
      <c r="BD118" s="1131">
        <v>0</v>
      </c>
      <c r="BE118" s="1131">
        <v>0</v>
      </c>
      <c r="BF118" s="1131">
        <v>0</v>
      </c>
      <c r="BG118" s="1132">
        <f t="shared" si="49"/>
        <v>26317.219999999998</v>
      </c>
      <c r="BH118" s="1148">
        <v>270.88</v>
      </c>
      <c r="BI118" s="1149">
        <v>489.12</v>
      </c>
      <c r="BJ118" s="1149">
        <v>0</v>
      </c>
      <c r="BK118" s="1149">
        <v>0</v>
      </c>
      <c r="BL118" s="1149">
        <v>0</v>
      </c>
      <c r="BM118" s="1147">
        <f t="shared" si="50"/>
        <v>760</v>
      </c>
      <c r="BN118" s="1148">
        <v>72660.62</v>
      </c>
      <c r="BO118" s="1149">
        <v>9203.7099999999991</v>
      </c>
      <c r="BP118" s="1149">
        <v>15016.56</v>
      </c>
      <c r="BQ118" s="1149">
        <v>-0.08</v>
      </c>
      <c r="BR118" s="1149">
        <v>0</v>
      </c>
      <c r="BS118" s="1147">
        <f t="shared" si="51"/>
        <v>96880.809999999983</v>
      </c>
      <c r="BT118" s="1148">
        <v>-300</v>
      </c>
      <c r="BU118" s="1149">
        <v>-300</v>
      </c>
      <c r="BV118" s="1149">
        <v>0</v>
      </c>
      <c r="BW118" s="1149">
        <v>0</v>
      </c>
      <c r="BX118" s="1149">
        <v>0</v>
      </c>
      <c r="BY118" s="1154">
        <f t="shared" si="52"/>
        <v>-600</v>
      </c>
      <c r="BZ118" s="1148">
        <v>51412.6</v>
      </c>
      <c r="CA118" s="1149">
        <v>74979.86</v>
      </c>
      <c r="CB118" s="1149">
        <v>23183.34</v>
      </c>
      <c r="CC118" s="1149">
        <v>-0.04</v>
      </c>
      <c r="CD118" s="1149">
        <v>0</v>
      </c>
      <c r="CE118" s="1154">
        <f t="shared" si="53"/>
        <v>149575.75999999998</v>
      </c>
      <c r="CF118" s="1148">
        <v>7890.79</v>
      </c>
      <c r="CG118" s="1149">
        <v>0</v>
      </c>
      <c r="CH118" s="1149">
        <v>14150.55</v>
      </c>
      <c r="CI118" s="1149">
        <v>0</v>
      </c>
      <c r="CJ118" s="1149">
        <v>0</v>
      </c>
      <c r="CK118" s="1154">
        <f t="shared" si="54"/>
        <v>22041.34</v>
      </c>
      <c r="CL118" s="1148">
        <v>666.54</v>
      </c>
      <c r="CM118" s="1149">
        <v>0</v>
      </c>
      <c r="CN118" s="1149">
        <v>2134.04</v>
      </c>
      <c r="CO118" s="1149">
        <v>0</v>
      </c>
      <c r="CP118" s="1149">
        <v>0</v>
      </c>
      <c r="CQ118" s="1147">
        <f t="shared" si="55"/>
        <v>2800.58</v>
      </c>
      <c r="CR118" s="1148"/>
      <c r="CS118" s="1149"/>
      <c r="CT118" s="1149"/>
      <c r="CU118" s="1149"/>
      <c r="CV118" s="1149"/>
      <c r="CW118" s="1154">
        <f t="shared" si="56"/>
        <v>0</v>
      </c>
      <c r="CX118" s="1145"/>
      <c r="CY118" s="1146"/>
      <c r="CZ118" s="1146"/>
      <c r="DA118" s="1146"/>
      <c r="DB118" s="1146"/>
      <c r="DC118" s="1147">
        <f t="shared" si="57"/>
        <v>0</v>
      </c>
      <c r="DD118" s="1148">
        <v>-466</v>
      </c>
      <c r="DE118" s="1149">
        <v>0</v>
      </c>
      <c r="DF118" s="1149">
        <v>0</v>
      </c>
      <c r="DG118" s="1149">
        <v>0</v>
      </c>
      <c r="DH118" s="1149">
        <v>0</v>
      </c>
      <c r="DI118" s="1154">
        <f t="shared" si="58"/>
        <v>-466</v>
      </c>
      <c r="DJ118" s="1233"/>
      <c r="DK118" s="1233"/>
      <c r="DL118" s="1233"/>
      <c r="DM118" s="1233"/>
      <c r="DN118" s="1233"/>
      <c r="DO118" s="1233">
        <f t="shared" si="59"/>
        <v>0</v>
      </c>
      <c r="DP118" s="1148">
        <v>8593.92</v>
      </c>
      <c r="DQ118" s="1149">
        <v>5929.8</v>
      </c>
      <c r="DR118" s="1149">
        <v>2664.1</v>
      </c>
      <c r="DS118" s="1149">
        <v>-0.01</v>
      </c>
      <c r="DT118" s="1149">
        <v>0</v>
      </c>
      <c r="DU118" s="1155">
        <f t="shared" si="60"/>
        <v>17187.810000000001</v>
      </c>
      <c r="DV118" s="1148">
        <v>8074.97</v>
      </c>
      <c r="DW118" s="1149">
        <v>0</v>
      </c>
      <c r="DX118" s="1149">
        <v>1481.21</v>
      </c>
      <c r="DY118" s="1149">
        <v>0</v>
      </c>
      <c r="DZ118" s="1149">
        <v>0</v>
      </c>
      <c r="EA118" s="1154">
        <f t="shared" si="61"/>
        <v>9556.18</v>
      </c>
    </row>
    <row r="119" spans="1:131" ht="15" customHeight="1">
      <c r="A119" s="746" t="s">
        <v>192</v>
      </c>
      <c r="B119" s="844" t="s">
        <v>193</v>
      </c>
      <c r="C119" s="967" t="s">
        <v>268</v>
      </c>
      <c r="D119" s="842">
        <f t="shared" si="34"/>
        <v>26244.260000000002</v>
      </c>
      <c r="E119" s="842">
        <f t="shared" si="35"/>
        <v>12636.41</v>
      </c>
      <c r="F119" s="842">
        <f t="shared" si="36"/>
        <v>7018.86</v>
      </c>
      <c r="G119" s="842">
        <f t="shared" si="37"/>
        <v>3907.35</v>
      </c>
      <c r="H119" s="842">
        <f t="shared" si="38"/>
        <v>0</v>
      </c>
      <c r="I119" s="1578">
        <f t="shared" si="39"/>
        <v>49806.879999999997</v>
      </c>
      <c r="J119" s="843">
        <f t="shared" si="40"/>
        <v>3907.35</v>
      </c>
      <c r="K119" s="1579">
        <f t="shared" si="41"/>
        <v>10926.21</v>
      </c>
      <c r="L119" s="1116"/>
      <c r="M119" s="1117"/>
      <c r="N119" s="1117"/>
      <c r="O119" s="1117"/>
      <c r="P119" s="1117"/>
      <c r="Q119" s="1118">
        <f t="shared" si="42"/>
        <v>0</v>
      </c>
      <c r="R119" s="1135">
        <v>0</v>
      </c>
      <c r="S119" s="1136">
        <v>0</v>
      </c>
      <c r="T119" s="1136">
        <v>0</v>
      </c>
      <c r="U119" s="1136">
        <v>3907.5</v>
      </c>
      <c r="V119" s="1136">
        <v>0</v>
      </c>
      <c r="W119" s="1132">
        <f t="shared" si="43"/>
        <v>3907.5</v>
      </c>
      <c r="X119" s="1231"/>
      <c r="Y119" s="1231"/>
      <c r="Z119" s="1231"/>
      <c r="AA119" s="1231"/>
      <c r="AB119" s="1231"/>
      <c r="AC119" s="1231">
        <f t="shared" si="44"/>
        <v>0</v>
      </c>
      <c r="AD119" s="1127">
        <v>470.3</v>
      </c>
      <c r="AE119" s="1128">
        <v>2.81</v>
      </c>
      <c r="AF119" s="1128">
        <v>86.79</v>
      </c>
      <c r="AG119" s="1128">
        <v>-0.02</v>
      </c>
      <c r="AH119" s="1128">
        <v>0</v>
      </c>
      <c r="AI119" s="1124">
        <f t="shared" si="45"/>
        <v>559.88</v>
      </c>
      <c r="AJ119" s="1148">
        <v>3073.28</v>
      </c>
      <c r="AK119" s="1149">
        <v>0</v>
      </c>
      <c r="AL119" s="1149">
        <v>768.29</v>
      </c>
      <c r="AM119" s="1149">
        <v>0</v>
      </c>
      <c r="AN119" s="1149">
        <v>0</v>
      </c>
      <c r="AO119" s="1154">
        <f t="shared" si="46"/>
        <v>3841.57</v>
      </c>
      <c r="AP119" s="1125"/>
      <c r="AQ119" s="1126"/>
      <c r="AR119" s="1126"/>
      <c r="AS119" s="1126"/>
      <c r="AT119" s="1126"/>
      <c r="AU119" s="1137">
        <f t="shared" si="47"/>
        <v>0</v>
      </c>
      <c r="AV119" s="1141"/>
      <c r="AW119" s="1142"/>
      <c r="AX119" s="1142"/>
      <c r="AY119" s="1142"/>
      <c r="AZ119" s="1142"/>
      <c r="BA119" s="1140">
        <f t="shared" si="48"/>
        <v>0</v>
      </c>
      <c r="BB119" s="1135">
        <v>1385.41</v>
      </c>
      <c r="BC119" s="1136">
        <v>346.35</v>
      </c>
      <c r="BD119" s="1136">
        <v>0</v>
      </c>
      <c r="BE119" s="1136">
        <v>0</v>
      </c>
      <c r="BF119" s="1136">
        <v>0</v>
      </c>
      <c r="BG119" s="1132">
        <f t="shared" si="49"/>
        <v>1731.7600000000002</v>
      </c>
      <c r="BH119" s="1145"/>
      <c r="BI119" s="1146"/>
      <c r="BJ119" s="1146"/>
      <c r="BK119" s="1146"/>
      <c r="BL119" s="1146"/>
      <c r="BM119" s="1147">
        <f t="shared" si="50"/>
        <v>0</v>
      </c>
      <c r="BN119" s="1148">
        <v>9825.73</v>
      </c>
      <c r="BO119" s="1149">
        <v>1244.5899999999999</v>
      </c>
      <c r="BP119" s="1149">
        <v>2030.65</v>
      </c>
      <c r="BQ119" s="1149">
        <v>-0.02</v>
      </c>
      <c r="BR119" s="1149">
        <v>0</v>
      </c>
      <c r="BS119" s="1147">
        <f t="shared" si="51"/>
        <v>13100.949999999999</v>
      </c>
      <c r="BT119" s="1148"/>
      <c r="BU119" s="1149"/>
      <c r="BV119" s="1149"/>
      <c r="BW119" s="1149"/>
      <c r="BX119" s="1149"/>
      <c r="BY119" s="1154">
        <f t="shared" si="52"/>
        <v>0</v>
      </c>
      <c r="BZ119" s="1148">
        <v>3021.32</v>
      </c>
      <c r="CA119" s="1149">
        <v>8196.41</v>
      </c>
      <c r="CB119" s="1149">
        <v>2057.6799999999998</v>
      </c>
      <c r="CC119" s="1149">
        <v>-0.09</v>
      </c>
      <c r="CD119" s="1149">
        <v>0</v>
      </c>
      <c r="CE119" s="1154">
        <f t="shared" si="53"/>
        <v>13275.32</v>
      </c>
      <c r="CF119" s="1145"/>
      <c r="CG119" s="1146"/>
      <c r="CH119" s="1146"/>
      <c r="CI119" s="1146"/>
      <c r="CJ119" s="1146"/>
      <c r="CK119" s="1154">
        <f t="shared" si="54"/>
        <v>0</v>
      </c>
      <c r="CL119" s="1145"/>
      <c r="CM119" s="1146"/>
      <c r="CN119" s="1146"/>
      <c r="CO119" s="1146"/>
      <c r="CP119" s="1146"/>
      <c r="CQ119" s="1147">
        <f t="shared" si="55"/>
        <v>0</v>
      </c>
      <c r="CR119" s="1148"/>
      <c r="CS119" s="1149"/>
      <c r="CT119" s="1149"/>
      <c r="CU119" s="1149"/>
      <c r="CV119" s="1149"/>
      <c r="CW119" s="1154">
        <f t="shared" si="56"/>
        <v>0</v>
      </c>
      <c r="CX119" s="1145"/>
      <c r="CY119" s="1146"/>
      <c r="CZ119" s="1146"/>
      <c r="DA119" s="1146"/>
      <c r="DB119" s="1146"/>
      <c r="DC119" s="1147">
        <f t="shared" si="57"/>
        <v>0</v>
      </c>
      <c r="DD119" s="1148"/>
      <c r="DE119" s="1149"/>
      <c r="DF119" s="1149"/>
      <c r="DG119" s="1149"/>
      <c r="DH119" s="1149"/>
      <c r="DI119" s="1154">
        <f t="shared" si="58"/>
        <v>0</v>
      </c>
      <c r="DJ119" s="1233"/>
      <c r="DK119" s="1233"/>
      <c r="DL119" s="1233"/>
      <c r="DM119" s="1233"/>
      <c r="DN119" s="1233"/>
      <c r="DO119" s="1233">
        <f t="shared" si="59"/>
        <v>0</v>
      </c>
      <c r="DP119" s="1148">
        <v>4125</v>
      </c>
      <c r="DQ119" s="1149">
        <v>2846.25</v>
      </c>
      <c r="DR119" s="1149">
        <v>1278.75</v>
      </c>
      <c r="DS119" s="1149">
        <v>0</v>
      </c>
      <c r="DT119" s="1149">
        <v>0</v>
      </c>
      <c r="DU119" s="1155">
        <f t="shared" si="60"/>
        <v>8250</v>
      </c>
      <c r="DV119" s="1148">
        <v>4343.22</v>
      </c>
      <c r="DW119" s="1149">
        <v>0</v>
      </c>
      <c r="DX119" s="1149">
        <v>796.7</v>
      </c>
      <c r="DY119" s="1149">
        <v>-0.02</v>
      </c>
      <c r="DZ119" s="1149">
        <v>0</v>
      </c>
      <c r="EA119" s="1154">
        <f t="shared" si="61"/>
        <v>5139.8999999999996</v>
      </c>
    </row>
    <row r="120" spans="1:131" ht="15" customHeight="1">
      <c r="A120" s="746" t="s">
        <v>196</v>
      </c>
      <c r="B120" s="844" t="s">
        <v>312</v>
      </c>
      <c r="C120" s="967" t="s">
        <v>266</v>
      </c>
      <c r="D120" s="842">
        <f t="shared" si="34"/>
        <v>663318.24999999988</v>
      </c>
      <c r="E120" s="842">
        <f t="shared" si="35"/>
        <v>247051.57</v>
      </c>
      <c r="F120" s="842">
        <f t="shared" si="36"/>
        <v>174948.34</v>
      </c>
      <c r="G120" s="842">
        <f t="shared" si="37"/>
        <v>30863.030000000002</v>
      </c>
      <c r="H120" s="842">
        <f t="shared" si="38"/>
        <v>1341.39</v>
      </c>
      <c r="I120" s="1578">
        <f t="shared" si="39"/>
        <v>1117522.5799999998</v>
      </c>
      <c r="J120" s="843">
        <f t="shared" si="40"/>
        <v>32204.420000000002</v>
      </c>
      <c r="K120" s="1579">
        <f t="shared" si="41"/>
        <v>207152.76</v>
      </c>
      <c r="L120" s="1116"/>
      <c r="M120" s="1117"/>
      <c r="N120" s="1117"/>
      <c r="O120" s="1117"/>
      <c r="P120" s="1117"/>
      <c r="Q120" s="1118">
        <f t="shared" si="42"/>
        <v>0</v>
      </c>
      <c r="R120" s="1135">
        <v>0</v>
      </c>
      <c r="S120" s="1136">
        <v>0</v>
      </c>
      <c r="T120" s="1136">
        <v>0</v>
      </c>
      <c r="U120" s="1136">
        <v>1528</v>
      </c>
      <c r="V120" s="1136">
        <v>0</v>
      </c>
      <c r="W120" s="1132">
        <f t="shared" si="43"/>
        <v>1528</v>
      </c>
      <c r="X120" s="1231">
        <v>0</v>
      </c>
      <c r="Y120" s="1231">
        <v>12000</v>
      </c>
      <c r="Z120" s="1231">
        <v>0</v>
      </c>
      <c r="AA120" s="1231">
        <v>0</v>
      </c>
      <c r="AB120" s="1231">
        <v>0</v>
      </c>
      <c r="AC120" s="1231">
        <f t="shared" si="44"/>
        <v>12000</v>
      </c>
      <c r="AD120" s="1127">
        <v>58713.06</v>
      </c>
      <c r="AE120" s="1128">
        <v>349.49</v>
      </c>
      <c r="AF120" s="1128">
        <v>10833.96</v>
      </c>
      <c r="AG120" s="1128">
        <v>-0.02</v>
      </c>
      <c r="AH120" s="1128">
        <v>0</v>
      </c>
      <c r="AI120" s="1124">
        <f t="shared" si="45"/>
        <v>69896.489999999991</v>
      </c>
      <c r="AJ120" s="1148">
        <v>256296</v>
      </c>
      <c r="AK120" s="1149">
        <v>0</v>
      </c>
      <c r="AL120" s="1149">
        <v>64074</v>
      </c>
      <c r="AM120" s="1149">
        <v>3813.84</v>
      </c>
      <c r="AN120" s="1149">
        <v>0</v>
      </c>
      <c r="AO120" s="1154">
        <f t="shared" si="46"/>
        <v>324183.84000000003</v>
      </c>
      <c r="AP120" s="1127">
        <v>4362.5600000000004</v>
      </c>
      <c r="AQ120" s="1128">
        <v>3010.16</v>
      </c>
      <c r="AR120" s="1128">
        <v>1352.41</v>
      </c>
      <c r="AS120" s="1128">
        <v>-0.06</v>
      </c>
      <c r="AT120" s="1128">
        <v>0</v>
      </c>
      <c r="AU120" s="1137">
        <f t="shared" si="47"/>
        <v>8725.0700000000015</v>
      </c>
      <c r="AV120" s="1141">
        <v>25276.79</v>
      </c>
      <c r="AW120" s="1142">
        <v>6319.21</v>
      </c>
      <c r="AX120" s="1142">
        <v>0</v>
      </c>
      <c r="AY120" s="1142">
        <v>12419.27</v>
      </c>
      <c r="AZ120" s="1142">
        <v>0</v>
      </c>
      <c r="BA120" s="1140">
        <f t="shared" si="48"/>
        <v>44015.270000000004</v>
      </c>
      <c r="BB120" s="1131">
        <v>39305.33</v>
      </c>
      <c r="BC120" s="1131">
        <v>9826.33</v>
      </c>
      <c r="BD120" s="1131">
        <v>0</v>
      </c>
      <c r="BE120" s="1131">
        <v>14443.74</v>
      </c>
      <c r="BF120" s="1131">
        <v>0</v>
      </c>
      <c r="BG120" s="1132">
        <f t="shared" si="49"/>
        <v>63575.4</v>
      </c>
      <c r="BH120" s="1148">
        <v>3335.91</v>
      </c>
      <c r="BI120" s="1149">
        <v>6024.09</v>
      </c>
      <c r="BJ120" s="1149">
        <v>0</v>
      </c>
      <c r="BK120" s="1149">
        <v>0</v>
      </c>
      <c r="BL120" s="1149">
        <v>0</v>
      </c>
      <c r="BM120" s="1147">
        <f t="shared" si="50"/>
        <v>9360</v>
      </c>
      <c r="BN120" s="1148">
        <v>151556.45000000001</v>
      </c>
      <c r="BO120" s="1149">
        <v>19197.169999999998</v>
      </c>
      <c r="BP120" s="1149">
        <v>31321.67</v>
      </c>
      <c r="BQ120" s="1149">
        <v>-0.1</v>
      </c>
      <c r="BR120" s="1149">
        <v>0</v>
      </c>
      <c r="BS120" s="1147">
        <f t="shared" si="51"/>
        <v>202075.18999999997</v>
      </c>
      <c r="BT120" s="1148">
        <v>-5.68</v>
      </c>
      <c r="BU120" s="1149">
        <v>-5.68</v>
      </c>
      <c r="BV120" s="1149">
        <v>0</v>
      </c>
      <c r="BW120" s="1149">
        <v>0</v>
      </c>
      <c r="BX120" s="1149">
        <v>0</v>
      </c>
      <c r="BY120" s="1154">
        <f t="shared" si="52"/>
        <v>-11.36</v>
      </c>
      <c r="BZ120" s="1148">
        <v>83819.98</v>
      </c>
      <c r="CA120" s="1149">
        <v>169055.16</v>
      </c>
      <c r="CB120" s="1149">
        <v>46383.61</v>
      </c>
      <c r="CC120" s="1149">
        <v>-0.23</v>
      </c>
      <c r="CD120" s="1149">
        <v>0</v>
      </c>
      <c r="CE120" s="1154">
        <f t="shared" si="53"/>
        <v>299258.52</v>
      </c>
      <c r="CF120" s="1148">
        <v>4589.08</v>
      </c>
      <c r="CG120" s="1149">
        <v>0</v>
      </c>
      <c r="CH120" s="1149">
        <v>8229.59</v>
      </c>
      <c r="CI120" s="1149">
        <v>-1341.39</v>
      </c>
      <c r="CJ120" s="1149">
        <v>1341.39</v>
      </c>
      <c r="CK120" s="1154">
        <f t="shared" si="54"/>
        <v>12818.67</v>
      </c>
      <c r="CL120" s="1145"/>
      <c r="CM120" s="1146"/>
      <c r="CN120" s="1146"/>
      <c r="CO120" s="1146"/>
      <c r="CP120" s="1146"/>
      <c r="CQ120" s="1147">
        <f t="shared" si="55"/>
        <v>0</v>
      </c>
      <c r="CR120" s="1148"/>
      <c r="CS120" s="1149"/>
      <c r="CT120" s="1149"/>
      <c r="CU120" s="1149"/>
      <c r="CV120" s="1149"/>
      <c r="CW120" s="1154">
        <f t="shared" si="56"/>
        <v>0</v>
      </c>
      <c r="CX120" s="1145"/>
      <c r="CY120" s="1146"/>
      <c r="CZ120" s="1146"/>
      <c r="DA120" s="1146"/>
      <c r="DB120" s="1146"/>
      <c r="DC120" s="1147">
        <f t="shared" si="57"/>
        <v>0</v>
      </c>
      <c r="DD120" s="1148">
        <v>-12180.54</v>
      </c>
      <c r="DE120" s="1149">
        <v>0</v>
      </c>
      <c r="DF120" s="1149">
        <v>0</v>
      </c>
      <c r="DG120" s="1149">
        <v>0</v>
      </c>
      <c r="DH120" s="1149">
        <v>0</v>
      </c>
      <c r="DI120" s="1154">
        <f t="shared" si="58"/>
        <v>-12180.54</v>
      </c>
      <c r="DJ120" s="1233"/>
      <c r="DK120" s="1233"/>
      <c r="DL120" s="1233"/>
      <c r="DM120" s="1233"/>
      <c r="DN120" s="1233"/>
      <c r="DO120" s="1233">
        <f t="shared" si="59"/>
        <v>0</v>
      </c>
      <c r="DP120" s="1148">
        <v>30834.25</v>
      </c>
      <c r="DQ120" s="1149">
        <v>21275.64</v>
      </c>
      <c r="DR120" s="1149">
        <v>9558.6200000000008</v>
      </c>
      <c r="DS120" s="1149">
        <v>-0.01</v>
      </c>
      <c r="DT120" s="1149">
        <v>0</v>
      </c>
      <c r="DU120" s="1155">
        <f t="shared" si="60"/>
        <v>61668.5</v>
      </c>
      <c r="DV120" s="1148">
        <v>17415.060000000001</v>
      </c>
      <c r="DW120" s="1149">
        <v>0</v>
      </c>
      <c r="DX120" s="1149">
        <v>3194.48</v>
      </c>
      <c r="DY120" s="1149">
        <v>-0.01</v>
      </c>
      <c r="DZ120" s="1149">
        <v>0</v>
      </c>
      <c r="EA120" s="1154">
        <f t="shared" si="61"/>
        <v>20609.530000000002</v>
      </c>
    </row>
    <row r="121" spans="1:131" ht="15" customHeight="1">
      <c r="A121" s="746" t="s">
        <v>200</v>
      </c>
      <c r="B121" s="844" t="s">
        <v>313</v>
      </c>
      <c r="C121" s="967" t="s">
        <v>265</v>
      </c>
      <c r="D121" s="842">
        <f t="shared" si="34"/>
        <v>384082.59</v>
      </c>
      <c r="E121" s="842">
        <f t="shared" si="35"/>
        <v>374797.12000000005</v>
      </c>
      <c r="F121" s="842">
        <f t="shared" si="36"/>
        <v>136569.95000000001</v>
      </c>
      <c r="G121" s="842">
        <f t="shared" si="37"/>
        <v>-1330.33</v>
      </c>
      <c r="H121" s="842">
        <f t="shared" si="38"/>
        <v>1335.9</v>
      </c>
      <c r="I121" s="1578">
        <f t="shared" si="39"/>
        <v>895455.23000000021</v>
      </c>
      <c r="J121" s="843">
        <f t="shared" si="40"/>
        <v>5.5700000000001637</v>
      </c>
      <c r="K121" s="1579">
        <f t="shared" si="41"/>
        <v>136575.52000000002</v>
      </c>
      <c r="L121" s="1116"/>
      <c r="M121" s="1117"/>
      <c r="N121" s="1117"/>
      <c r="O121" s="1117"/>
      <c r="P121" s="1117"/>
      <c r="Q121" s="1118">
        <f t="shared" si="42"/>
        <v>0</v>
      </c>
      <c r="R121" s="1133"/>
      <c r="S121" s="1134"/>
      <c r="T121" s="1134"/>
      <c r="U121" s="1134"/>
      <c r="V121" s="1134"/>
      <c r="W121" s="1132">
        <f t="shared" si="43"/>
        <v>0</v>
      </c>
      <c r="X121" s="1231">
        <v>0</v>
      </c>
      <c r="Y121" s="1231">
        <v>19467.62</v>
      </c>
      <c r="Z121" s="1231">
        <v>0</v>
      </c>
      <c r="AA121" s="1231">
        <v>-1000</v>
      </c>
      <c r="AB121" s="1231">
        <v>960.05</v>
      </c>
      <c r="AC121" s="1231">
        <f t="shared" si="44"/>
        <v>19427.669999999998</v>
      </c>
      <c r="AD121" s="1127">
        <v>21819.09</v>
      </c>
      <c r="AE121" s="1128">
        <v>129.88999999999999</v>
      </c>
      <c r="AF121" s="1128">
        <v>4026.15</v>
      </c>
      <c r="AG121" s="1128">
        <v>-0.01</v>
      </c>
      <c r="AH121" s="1128">
        <v>0</v>
      </c>
      <c r="AI121" s="1124">
        <f t="shared" si="45"/>
        <v>25975.120000000003</v>
      </c>
      <c r="AJ121" s="1148">
        <v>59053.83</v>
      </c>
      <c r="AK121" s="1149">
        <v>0</v>
      </c>
      <c r="AL121" s="1149">
        <v>14763.45</v>
      </c>
      <c r="AM121" s="1149">
        <v>0</v>
      </c>
      <c r="AN121" s="1149">
        <v>0</v>
      </c>
      <c r="AO121" s="1154">
        <f t="shared" si="46"/>
        <v>73817.279999999999</v>
      </c>
      <c r="AP121" s="1127">
        <v>14665.51</v>
      </c>
      <c r="AQ121" s="1128">
        <v>2053.2800000000002</v>
      </c>
      <c r="AR121" s="1128">
        <v>3066.78</v>
      </c>
      <c r="AS121" s="1128">
        <v>-0.06</v>
      </c>
      <c r="AT121" s="1128">
        <v>0</v>
      </c>
      <c r="AU121" s="1137">
        <f t="shared" si="47"/>
        <v>19785.509999999998</v>
      </c>
      <c r="AV121" s="1141">
        <v>19589.599999999999</v>
      </c>
      <c r="AW121" s="1142">
        <v>4897.3999999999996</v>
      </c>
      <c r="AX121" s="1142">
        <v>0</v>
      </c>
      <c r="AY121" s="1142">
        <v>0</v>
      </c>
      <c r="AZ121" s="1142">
        <v>0</v>
      </c>
      <c r="BA121" s="1140">
        <f t="shared" si="48"/>
        <v>24487</v>
      </c>
      <c r="BB121" s="1131">
        <v>37539.040000000001</v>
      </c>
      <c r="BC121" s="1131">
        <v>9384.76</v>
      </c>
      <c r="BD121" s="1131">
        <v>0</v>
      </c>
      <c r="BE121" s="1131">
        <v>0</v>
      </c>
      <c r="BF121" s="1131">
        <v>0</v>
      </c>
      <c r="BG121" s="1132">
        <f t="shared" si="49"/>
        <v>46923.8</v>
      </c>
      <c r="BH121" s="1148">
        <v>2541.11</v>
      </c>
      <c r="BI121" s="1149">
        <v>4588.8900000000003</v>
      </c>
      <c r="BJ121" s="1149">
        <v>0</v>
      </c>
      <c r="BK121" s="1149">
        <v>0</v>
      </c>
      <c r="BL121" s="1149">
        <v>0</v>
      </c>
      <c r="BM121" s="1147">
        <f t="shared" si="50"/>
        <v>7130</v>
      </c>
      <c r="BN121" s="1148">
        <v>67674.94</v>
      </c>
      <c r="BO121" s="1149">
        <v>8572.18</v>
      </c>
      <c r="BP121" s="1149">
        <v>13986.16</v>
      </c>
      <c r="BQ121" s="1149">
        <v>-0.04</v>
      </c>
      <c r="BR121" s="1149">
        <v>0</v>
      </c>
      <c r="BS121" s="1147">
        <f t="shared" si="51"/>
        <v>90233.24</v>
      </c>
      <c r="BT121" s="1148">
        <v>-30</v>
      </c>
      <c r="BU121" s="1149">
        <v>-30</v>
      </c>
      <c r="BV121" s="1149">
        <v>0</v>
      </c>
      <c r="BW121" s="1149">
        <v>0</v>
      </c>
      <c r="BX121" s="1149">
        <v>0</v>
      </c>
      <c r="BY121" s="1154">
        <f t="shared" si="52"/>
        <v>-60</v>
      </c>
      <c r="BZ121" s="1148">
        <v>128470.9</v>
      </c>
      <c r="CA121" s="1149">
        <v>317439.45</v>
      </c>
      <c r="CB121" s="1149">
        <v>81791.48</v>
      </c>
      <c r="CC121" s="1149">
        <v>-0.19</v>
      </c>
      <c r="CD121" s="1149">
        <v>0</v>
      </c>
      <c r="CE121" s="1154">
        <f t="shared" si="53"/>
        <v>527701.64</v>
      </c>
      <c r="CF121" s="1148">
        <v>6939.09</v>
      </c>
      <c r="CG121" s="1149">
        <v>0</v>
      </c>
      <c r="CH121" s="1149">
        <v>12443.81</v>
      </c>
      <c r="CI121" s="1149">
        <v>-0.03</v>
      </c>
      <c r="CJ121" s="1149">
        <v>0</v>
      </c>
      <c r="CK121" s="1154">
        <f t="shared" si="54"/>
        <v>19382.870000000003</v>
      </c>
      <c r="CL121" s="1145"/>
      <c r="CM121" s="1146"/>
      <c r="CN121" s="1146"/>
      <c r="CO121" s="1146"/>
      <c r="CP121" s="1146"/>
      <c r="CQ121" s="1147">
        <f t="shared" si="55"/>
        <v>0</v>
      </c>
      <c r="CR121" s="1148"/>
      <c r="CS121" s="1149"/>
      <c r="CT121" s="1149"/>
      <c r="CU121" s="1149"/>
      <c r="CV121" s="1149"/>
      <c r="CW121" s="1154">
        <f t="shared" si="56"/>
        <v>0</v>
      </c>
      <c r="CX121" s="1148"/>
      <c r="CY121" s="1149"/>
      <c r="CZ121" s="1149"/>
      <c r="DA121" s="1149"/>
      <c r="DB121" s="1149"/>
      <c r="DC121" s="1147">
        <f t="shared" si="57"/>
        <v>0</v>
      </c>
      <c r="DD121" s="1148">
        <v>-1279.31</v>
      </c>
      <c r="DE121" s="1149">
        <v>0</v>
      </c>
      <c r="DF121" s="1149">
        <v>0</v>
      </c>
      <c r="DG121" s="1149">
        <v>0</v>
      </c>
      <c r="DH121" s="1149">
        <v>0</v>
      </c>
      <c r="DI121" s="1154">
        <f t="shared" si="58"/>
        <v>-1279.31</v>
      </c>
      <c r="DJ121" s="1233"/>
      <c r="DK121" s="1233"/>
      <c r="DL121" s="1233"/>
      <c r="DM121" s="1233"/>
      <c r="DN121" s="1233"/>
      <c r="DO121" s="1233">
        <f t="shared" si="59"/>
        <v>0</v>
      </c>
      <c r="DP121" s="1148">
        <v>12019.79</v>
      </c>
      <c r="DQ121" s="1149">
        <v>8293.65</v>
      </c>
      <c r="DR121" s="1149">
        <v>3726.14</v>
      </c>
      <c r="DS121" s="1149">
        <v>-0.02</v>
      </c>
      <c r="DT121" s="1149">
        <v>0</v>
      </c>
      <c r="DU121" s="1155">
        <f t="shared" si="60"/>
        <v>24039.56</v>
      </c>
      <c r="DV121" s="1148">
        <v>15079</v>
      </c>
      <c r="DW121" s="1149">
        <v>0</v>
      </c>
      <c r="DX121" s="1149">
        <v>2765.98</v>
      </c>
      <c r="DY121" s="1149">
        <v>-329.98</v>
      </c>
      <c r="DZ121" s="1149">
        <v>375.85</v>
      </c>
      <c r="EA121" s="1154">
        <f t="shared" si="61"/>
        <v>17890.849999999999</v>
      </c>
    </row>
    <row r="122" spans="1:131" ht="15" customHeight="1">
      <c r="A122" s="746" t="s">
        <v>222</v>
      </c>
      <c r="B122" s="844" t="s">
        <v>223</v>
      </c>
      <c r="C122" s="967" t="s">
        <v>264</v>
      </c>
      <c r="D122" s="842">
        <f t="shared" si="34"/>
        <v>173506.65999999997</v>
      </c>
      <c r="E122" s="842">
        <f t="shared" si="35"/>
        <v>79555.600000000006</v>
      </c>
      <c r="F122" s="842">
        <f t="shared" si="36"/>
        <v>54032.260000000009</v>
      </c>
      <c r="G122" s="842">
        <f t="shared" si="37"/>
        <v>42349.14</v>
      </c>
      <c r="H122" s="842">
        <f t="shared" si="38"/>
        <v>134936.93</v>
      </c>
      <c r="I122" s="1578">
        <f t="shared" si="39"/>
        <v>484380.59</v>
      </c>
      <c r="J122" s="843">
        <f t="shared" si="40"/>
        <v>177286.07</v>
      </c>
      <c r="K122" s="1579">
        <f t="shared" si="41"/>
        <v>231318.33000000002</v>
      </c>
      <c r="L122" s="1116"/>
      <c r="M122" s="1117"/>
      <c r="N122" s="1117"/>
      <c r="O122" s="1117"/>
      <c r="P122" s="1117"/>
      <c r="Q122" s="1118">
        <f t="shared" si="42"/>
        <v>0</v>
      </c>
      <c r="R122" s="1135">
        <v>0</v>
      </c>
      <c r="S122" s="1136">
        <v>0</v>
      </c>
      <c r="T122" s="1136">
        <v>0</v>
      </c>
      <c r="U122" s="1136">
        <v>0</v>
      </c>
      <c r="V122" s="1136">
        <v>128735.94</v>
      </c>
      <c r="W122" s="1132">
        <f t="shared" si="43"/>
        <v>128735.94</v>
      </c>
      <c r="X122" s="1231"/>
      <c r="Y122" s="1231"/>
      <c r="Z122" s="1231"/>
      <c r="AA122" s="1231"/>
      <c r="AB122" s="1231"/>
      <c r="AC122" s="1231">
        <f t="shared" si="44"/>
        <v>0</v>
      </c>
      <c r="AD122" s="1127">
        <v>15283.8</v>
      </c>
      <c r="AE122" s="1128">
        <v>90.98</v>
      </c>
      <c r="AF122" s="1128">
        <v>2820.23</v>
      </c>
      <c r="AG122" s="1128">
        <v>-0.01</v>
      </c>
      <c r="AH122" s="1128">
        <v>0</v>
      </c>
      <c r="AI122" s="1124">
        <f t="shared" si="45"/>
        <v>18195</v>
      </c>
      <c r="AJ122" s="1148">
        <v>62319.76</v>
      </c>
      <c r="AK122" s="1149">
        <v>0</v>
      </c>
      <c r="AL122" s="1149">
        <v>15579.92</v>
      </c>
      <c r="AM122" s="1149">
        <v>0</v>
      </c>
      <c r="AN122" s="1149">
        <v>0</v>
      </c>
      <c r="AO122" s="1154">
        <f t="shared" si="46"/>
        <v>77899.680000000008</v>
      </c>
      <c r="AP122" s="1125"/>
      <c r="AQ122" s="1126"/>
      <c r="AR122" s="1126"/>
      <c r="AS122" s="1126"/>
      <c r="AT122" s="1126"/>
      <c r="AU122" s="1137">
        <f t="shared" si="47"/>
        <v>0</v>
      </c>
      <c r="AV122" s="1141">
        <v>3102.68</v>
      </c>
      <c r="AW122" s="1142">
        <v>775.67</v>
      </c>
      <c r="AX122" s="1142">
        <v>0</v>
      </c>
      <c r="AY122" s="1142">
        <v>0</v>
      </c>
      <c r="AZ122" s="1142">
        <v>0</v>
      </c>
      <c r="BA122" s="1140">
        <f t="shared" si="48"/>
        <v>3878.35</v>
      </c>
      <c r="BB122" s="1131">
        <v>6314.32</v>
      </c>
      <c r="BC122" s="1131">
        <v>1578.58</v>
      </c>
      <c r="BD122" s="1131">
        <v>0</v>
      </c>
      <c r="BE122" s="1131">
        <v>0</v>
      </c>
      <c r="BF122" s="1131">
        <v>5.05</v>
      </c>
      <c r="BG122" s="1132">
        <f t="shared" si="49"/>
        <v>7897.95</v>
      </c>
      <c r="BH122" s="1145">
        <v>0</v>
      </c>
      <c r="BI122" s="1146">
        <v>0</v>
      </c>
      <c r="BJ122" s="1146">
        <v>0</v>
      </c>
      <c r="BK122" s="1146">
        <v>0</v>
      </c>
      <c r="BL122" s="1146">
        <v>576.51</v>
      </c>
      <c r="BM122" s="1147">
        <f t="shared" si="50"/>
        <v>576.51</v>
      </c>
      <c r="BN122" s="1148">
        <v>37734.01</v>
      </c>
      <c r="BO122" s="1149">
        <v>4779.6400000000003</v>
      </c>
      <c r="BP122" s="1149">
        <v>7798.36</v>
      </c>
      <c r="BQ122" s="1149">
        <v>22.49</v>
      </c>
      <c r="BR122" s="1149">
        <v>0</v>
      </c>
      <c r="BS122" s="1147">
        <f t="shared" si="51"/>
        <v>50334.5</v>
      </c>
      <c r="BT122" s="1148">
        <v>-154.82</v>
      </c>
      <c r="BU122" s="1149">
        <v>-154.82</v>
      </c>
      <c r="BV122" s="1149">
        <v>0</v>
      </c>
      <c r="BW122" s="1149">
        <v>0.01</v>
      </c>
      <c r="BX122" s="1149">
        <v>0</v>
      </c>
      <c r="BY122" s="1154">
        <f t="shared" si="52"/>
        <v>-309.63</v>
      </c>
      <c r="BZ122" s="1148">
        <v>24557.06</v>
      </c>
      <c r="CA122" s="1149">
        <v>66555.69</v>
      </c>
      <c r="CB122" s="1149">
        <v>16712.45</v>
      </c>
      <c r="CC122" s="1149">
        <v>-0.09</v>
      </c>
      <c r="CD122" s="1149">
        <v>0</v>
      </c>
      <c r="CE122" s="1154">
        <f t="shared" si="53"/>
        <v>107825.11</v>
      </c>
      <c r="CF122" s="1148">
        <v>3406.74</v>
      </c>
      <c r="CG122" s="1149">
        <v>0</v>
      </c>
      <c r="CH122" s="1149">
        <v>6109.29</v>
      </c>
      <c r="CI122" s="1149">
        <v>-5619.43</v>
      </c>
      <c r="CJ122" s="1149">
        <v>5619.43</v>
      </c>
      <c r="CK122" s="1154">
        <f t="shared" si="54"/>
        <v>9516.0299999999988</v>
      </c>
      <c r="CL122" s="1148"/>
      <c r="CM122" s="1149"/>
      <c r="CN122" s="1149"/>
      <c r="CO122" s="1149"/>
      <c r="CP122" s="1149"/>
      <c r="CQ122" s="1147">
        <f t="shared" si="55"/>
        <v>0</v>
      </c>
      <c r="CR122" s="1148"/>
      <c r="CS122" s="1149"/>
      <c r="CT122" s="1149"/>
      <c r="CU122" s="1149"/>
      <c r="CV122" s="1149"/>
      <c r="CW122" s="1154">
        <f t="shared" si="56"/>
        <v>0</v>
      </c>
      <c r="CX122" s="1145"/>
      <c r="CY122" s="1146"/>
      <c r="CZ122" s="1146"/>
      <c r="DA122" s="1146"/>
      <c r="DB122" s="1146"/>
      <c r="DC122" s="1147">
        <f t="shared" si="57"/>
        <v>0</v>
      </c>
      <c r="DD122" s="1148">
        <v>-450.6</v>
      </c>
      <c r="DE122" s="1149">
        <v>0</v>
      </c>
      <c r="DF122" s="1149">
        <v>0</v>
      </c>
      <c r="DG122" s="1149">
        <v>0</v>
      </c>
      <c r="DH122" s="1149">
        <v>0</v>
      </c>
      <c r="DI122" s="1154">
        <f t="shared" si="58"/>
        <v>-450.6</v>
      </c>
      <c r="DJ122" s="1233"/>
      <c r="DK122" s="1233"/>
      <c r="DL122" s="1233"/>
      <c r="DM122" s="1233"/>
      <c r="DN122" s="1233"/>
      <c r="DO122" s="1233">
        <f t="shared" si="59"/>
        <v>0</v>
      </c>
      <c r="DP122" s="1148">
        <v>8594.0300000000007</v>
      </c>
      <c r="DQ122" s="1149">
        <v>5929.86</v>
      </c>
      <c r="DR122" s="1149">
        <v>2664.15</v>
      </c>
      <c r="DS122" s="1149">
        <v>47946.13</v>
      </c>
      <c r="DT122" s="1149">
        <v>0</v>
      </c>
      <c r="DU122" s="1155">
        <f t="shared" si="60"/>
        <v>65134.17</v>
      </c>
      <c r="DV122" s="1148">
        <v>12799.68</v>
      </c>
      <c r="DW122" s="1149">
        <v>0</v>
      </c>
      <c r="DX122" s="1149">
        <v>2347.86</v>
      </c>
      <c r="DY122" s="1149">
        <v>0.04</v>
      </c>
      <c r="DZ122" s="1149">
        <v>0</v>
      </c>
      <c r="EA122" s="1154">
        <f t="shared" si="61"/>
        <v>15147.580000000002</v>
      </c>
    </row>
    <row r="123" spans="1:131" ht="15" customHeight="1">
      <c r="A123" s="746" t="s">
        <v>230</v>
      </c>
      <c r="B123" s="844" t="s">
        <v>231</v>
      </c>
      <c r="C123" s="967" t="s">
        <v>264</v>
      </c>
      <c r="D123" s="842">
        <f t="shared" si="34"/>
        <v>551271.83000000007</v>
      </c>
      <c r="E123" s="842">
        <f t="shared" si="35"/>
        <v>164481.21000000002</v>
      </c>
      <c r="F123" s="842">
        <f t="shared" si="36"/>
        <v>150143.37</v>
      </c>
      <c r="G123" s="842">
        <f t="shared" si="37"/>
        <v>49084.81</v>
      </c>
      <c r="H123" s="842">
        <f t="shared" si="38"/>
        <v>0</v>
      </c>
      <c r="I123" s="1578">
        <f t="shared" si="39"/>
        <v>914981.22</v>
      </c>
      <c r="J123" s="843">
        <f t="shared" si="40"/>
        <v>49084.81</v>
      </c>
      <c r="K123" s="1579">
        <f t="shared" si="41"/>
        <v>199228.18</v>
      </c>
      <c r="L123" s="1116"/>
      <c r="M123" s="1117"/>
      <c r="N123" s="1117"/>
      <c r="O123" s="1117"/>
      <c r="P123" s="1117"/>
      <c r="Q123" s="1118">
        <f t="shared" si="42"/>
        <v>0</v>
      </c>
      <c r="R123" s="1135">
        <v>0</v>
      </c>
      <c r="S123" s="1136">
        <v>0</v>
      </c>
      <c r="T123" s="1136">
        <v>0</v>
      </c>
      <c r="U123" s="1136">
        <v>16690.87</v>
      </c>
      <c r="V123" s="1136">
        <v>0</v>
      </c>
      <c r="W123" s="1132">
        <f t="shared" si="43"/>
        <v>16690.87</v>
      </c>
      <c r="X123" s="1232"/>
      <c r="Y123" s="1232"/>
      <c r="Z123" s="1232"/>
      <c r="AA123" s="1232"/>
      <c r="AB123" s="1232"/>
      <c r="AC123" s="1231">
        <f t="shared" si="44"/>
        <v>0</v>
      </c>
      <c r="AD123" s="1125"/>
      <c r="AE123" s="1126"/>
      <c r="AF123" s="1126"/>
      <c r="AG123" s="1126"/>
      <c r="AH123" s="1126"/>
      <c r="AI123" s="1124">
        <f t="shared" si="45"/>
        <v>0</v>
      </c>
      <c r="AJ123" s="1148">
        <v>210790.17</v>
      </c>
      <c r="AK123" s="1149">
        <v>0</v>
      </c>
      <c r="AL123" s="1149">
        <v>52697.52</v>
      </c>
      <c r="AM123" s="1149">
        <v>0</v>
      </c>
      <c r="AN123" s="1149">
        <v>0</v>
      </c>
      <c r="AO123" s="1154">
        <f t="shared" si="46"/>
        <v>263487.69</v>
      </c>
      <c r="AP123" s="1127">
        <v>16743.03</v>
      </c>
      <c r="AQ123" s="1128">
        <v>3390.67</v>
      </c>
      <c r="AR123" s="1128">
        <v>3693.2</v>
      </c>
      <c r="AS123" s="1128">
        <v>-0.09</v>
      </c>
      <c r="AT123" s="1128">
        <v>0</v>
      </c>
      <c r="AU123" s="1137">
        <f t="shared" si="47"/>
        <v>23826.809999999998</v>
      </c>
      <c r="AV123" s="1141">
        <v>8397.14</v>
      </c>
      <c r="AW123" s="1142">
        <v>2099.29</v>
      </c>
      <c r="AX123" s="1142">
        <v>0</v>
      </c>
      <c r="AY123" s="1142">
        <v>0</v>
      </c>
      <c r="AZ123" s="1142">
        <v>0</v>
      </c>
      <c r="BA123" s="1140">
        <f t="shared" si="48"/>
        <v>10496.43</v>
      </c>
      <c r="BB123" s="1131">
        <v>36174.949999999997</v>
      </c>
      <c r="BC123" s="1131">
        <v>9043.74</v>
      </c>
      <c r="BD123" s="1131">
        <v>0</v>
      </c>
      <c r="BE123" s="1131">
        <v>0</v>
      </c>
      <c r="BF123" s="1131">
        <v>0</v>
      </c>
      <c r="BG123" s="1132">
        <f t="shared" si="49"/>
        <v>45218.689999999995</v>
      </c>
      <c r="BH123" s="1148">
        <v>2993.76</v>
      </c>
      <c r="BI123" s="1149">
        <v>5406.24</v>
      </c>
      <c r="BJ123" s="1149">
        <v>0</v>
      </c>
      <c r="BK123" s="1149">
        <v>390</v>
      </c>
      <c r="BL123" s="1149">
        <v>0</v>
      </c>
      <c r="BM123" s="1147">
        <f t="shared" si="50"/>
        <v>8790</v>
      </c>
      <c r="BN123" s="1148">
        <v>178971.04</v>
      </c>
      <c r="BO123" s="1149">
        <v>22669.66</v>
      </c>
      <c r="BP123" s="1149">
        <v>36987.32</v>
      </c>
      <c r="BQ123" s="1149">
        <v>7405.77</v>
      </c>
      <c r="BR123" s="1149">
        <v>0</v>
      </c>
      <c r="BS123" s="1147">
        <f t="shared" si="51"/>
        <v>246033.79</v>
      </c>
      <c r="BT123" s="1148">
        <v>-3516.96</v>
      </c>
      <c r="BU123" s="1149">
        <v>-3516.96</v>
      </c>
      <c r="BV123" s="1149">
        <v>0</v>
      </c>
      <c r="BW123" s="1149">
        <v>0.18</v>
      </c>
      <c r="BX123" s="1149">
        <v>0</v>
      </c>
      <c r="BY123" s="1154">
        <f t="shared" si="52"/>
        <v>-7033.74</v>
      </c>
      <c r="BZ123" s="1148">
        <v>46038.01</v>
      </c>
      <c r="CA123" s="1149">
        <v>125388.57</v>
      </c>
      <c r="CB123" s="1149">
        <v>31444.21</v>
      </c>
      <c r="CC123" s="1149">
        <v>-12707.28</v>
      </c>
      <c r="CD123" s="1149">
        <v>0</v>
      </c>
      <c r="CE123" s="1154">
        <f t="shared" si="53"/>
        <v>190163.51</v>
      </c>
      <c r="CF123" s="1148">
        <v>7372.47</v>
      </c>
      <c r="CG123" s="1149">
        <v>0</v>
      </c>
      <c r="CH123" s="1149">
        <v>13221.03</v>
      </c>
      <c r="CI123" s="1149">
        <v>0</v>
      </c>
      <c r="CJ123" s="1149">
        <v>0</v>
      </c>
      <c r="CK123" s="1154">
        <f t="shared" si="54"/>
        <v>20593.5</v>
      </c>
      <c r="CL123" s="1148"/>
      <c r="CM123" s="1149"/>
      <c r="CN123" s="1149"/>
      <c r="CO123" s="1149"/>
      <c r="CP123" s="1149"/>
      <c r="CQ123" s="1147">
        <f t="shared" si="55"/>
        <v>0</v>
      </c>
      <c r="CR123" s="1148">
        <v>-236</v>
      </c>
      <c r="CS123" s="1149">
        <v>0</v>
      </c>
      <c r="CT123" s="1149">
        <v>0</v>
      </c>
      <c r="CU123" s="1149">
        <v>0</v>
      </c>
      <c r="CV123" s="1149">
        <v>0</v>
      </c>
      <c r="CW123" s="1154">
        <f t="shared" si="56"/>
        <v>-236</v>
      </c>
      <c r="CX123" s="1148"/>
      <c r="CY123" s="1149"/>
      <c r="CZ123" s="1149"/>
      <c r="DA123" s="1149"/>
      <c r="DB123" s="1149"/>
      <c r="DC123" s="1147">
        <f t="shared" si="57"/>
        <v>0</v>
      </c>
      <c r="DD123" s="1148">
        <v>-18420.7</v>
      </c>
      <c r="DE123" s="1149">
        <v>0</v>
      </c>
      <c r="DF123" s="1149">
        <v>0</v>
      </c>
      <c r="DG123" s="1149">
        <v>0</v>
      </c>
      <c r="DH123" s="1149">
        <v>0</v>
      </c>
      <c r="DI123" s="1154">
        <f t="shared" si="58"/>
        <v>-18420.7</v>
      </c>
      <c r="DJ123" s="1234"/>
      <c r="DK123" s="1234"/>
      <c r="DL123" s="1234"/>
      <c r="DM123" s="1234"/>
      <c r="DN123" s="1234"/>
      <c r="DO123" s="1233">
        <f t="shared" si="59"/>
        <v>0</v>
      </c>
      <c r="DP123" s="1145"/>
      <c r="DQ123" s="1146"/>
      <c r="DR123" s="1146"/>
      <c r="DS123" s="1146"/>
      <c r="DT123" s="1146"/>
      <c r="DU123" s="1155">
        <f t="shared" si="60"/>
        <v>0</v>
      </c>
      <c r="DV123" s="1148">
        <v>65964.92</v>
      </c>
      <c r="DW123" s="1149">
        <v>0</v>
      </c>
      <c r="DX123" s="1149">
        <v>12100.09</v>
      </c>
      <c r="DY123" s="1149">
        <v>37305.360000000001</v>
      </c>
      <c r="DZ123" s="1149">
        <v>0</v>
      </c>
      <c r="EA123" s="1154">
        <f t="shared" si="61"/>
        <v>115370.37</v>
      </c>
    </row>
    <row r="124" spans="1:131" ht="15" customHeight="1">
      <c r="A124" s="746" t="s">
        <v>238</v>
      </c>
      <c r="B124" s="844" t="s">
        <v>239</v>
      </c>
      <c r="C124" s="967" t="s">
        <v>264</v>
      </c>
      <c r="D124" s="842">
        <f t="shared" si="34"/>
        <v>17970.57</v>
      </c>
      <c r="E124" s="842">
        <f t="shared" si="35"/>
        <v>7299.92</v>
      </c>
      <c r="F124" s="842">
        <f t="shared" si="36"/>
        <v>5131.79</v>
      </c>
      <c r="G124" s="842">
        <f t="shared" si="37"/>
        <v>0</v>
      </c>
      <c r="H124" s="842">
        <f t="shared" si="38"/>
        <v>123.15</v>
      </c>
      <c r="I124" s="1578">
        <f t="shared" si="39"/>
        <v>30525.43</v>
      </c>
      <c r="J124" s="843">
        <f t="shared" si="40"/>
        <v>123.15</v>
      </c>
      <c r="K124" s="1579">
        <f t="shared" si="41"/>
        <v>5254.94</v>
      </c>
      <c r="L124" s="1116"/>
      <c r="M124" s="1117"/>
      <c r="N124" s="1117"/>
      <c r="O124" s="1117"/>
      <c r="P124" s="1117"/>
      <c r="Q124" s="1118">
        <f t="shared" si="42"/>
        <v>0</v>
      </c>
      <c r="R124" s="1133"/>
      <c r="S124" s="1134"/>
      <c r="T124" s="1134"/>
      <c r="U124" s="1134"/>
      <c r="V124" s="1134"/>
      <c r="W124" s="1132">
        <f t="shared" si="43"/>
        <v>0</v>
      </c>
      <c r="X124" s="1231"/>
      <c r="Y124" s="1231"/>
      <c r="Z124" s="1231"/>
      <c r="AA124" s="1231"/>
      <c r="AB124" s="1231"/>
      <c r="AC124" s="1231">
        <f t="shared" si="44"/>
        <v>0</v>
      </c>
      <c r="AD124" s="1127">
        <v>623.07000000000005</v>
      </c>
      <c r="AE124" s="1128">
        <v>3.71</v>
      </c>
      <c r="AF124" s="1128">
        <v>114.99</v>
      </c>
      <c r="AG124" s="1128">
        <v>-0.02</v>
      </c>
      <c r="AH124" s="1128">
        <v>123.15</v>
      </c>
      <c r="AI124" s="1124">
        <f t="shared" si="45"/>
        <v>864.90000000000009</v>
      </c>
      <c r="AJ124" s="1148">
        <v>9718.41</v>
      </c>
      <c r="AK124" s="1149">
        <v>0</v>
      </c>
      <c r="AL124" s="1149">
        <v>2429.59</v>
      </c>
      <c r="AM124" s="1149">
        <v>0</v>
      </c>
      <c r="AN124" s="1149">
        <v>0</v>
      </c>
      <c r="AO124" s="1154">
        <f t="shared" si="46"/>
        <v>12148</v>
      </c>
      <c r="AP124" s="1125"/>
      <c r="AQ124" s="1126"/>
      <c r="AR124" s="1126"/>
      <c r="AS124" s="1126"/>
      <c r="AT124" s="1126"/>
      <c r="AU124" s="1137">
        <f t="shared" si="47"/>
        <v>0</v>
      </c>
      <c r="AV124" s="1138"/>
      <c r="AW124" s="1139"/>
      <c r="AX124" s="1139"/>
      <c r="AY124" s="1139"/>
      <c r="AZ124" s="1139"/>
      <c r="BA124" s="1140">
        <f t="shared" si="48"/>
        <v>0</v>
      </c>
      <c r="BB124" s="1131">
        <v>456.37</v>
      </c>
      <c r="BC124" s="1131">
        <v>114.09</v>
      </c>
      <c r="BD124" s="1131">
        <v>0</v>
      </c>
      <c r="BE124" s="1131">
        <v>0</v>
      </c>
      <c r="BF124" s="1131">
        <v>0</v>
      </c>
      <c r="BG124" s="1132">
        <f t="shared" si="49"/>
        <v>570.46</v>
      </c>
      <c r="BH124" s="1145">
        <v>89.1</v>
      </c>
      <c r="BI124" s="1146">
        <v>160.9</v>
      </c>
      <c r="BJ124" s="1146">
        <v>0</v>
      </c>
      <c r="BK124" s="1146">
        <v>0</v>
      </c>
      <c r="BL124" s="1146">
        <v>0</v>
      </c>
      <c r="BM124" s="1147">
        <f t="shared" si="50"/>
        <v>250</v>
      </c>
      <c r="BN124" s="1145"/>
      <c r="BO124" s="1146"/>
      <c r="BP124" s="1146"/>
      <c r="BQ124" s="1146"/>
      <c r="BR124" s="1146"/>
      <c r="BS124" s="1147">
        <f t="shared" si="51"/>
        <v>0</v>
      </c>
      <c r="BT124" s="1148"/>
      <c r="BU124" s="1149"/>
      <c r="BV124" s="1149"/>
      <c r="BW124" s="1149"/>
      <c r="BX124" s="1149"/>
      <c r="BY124" s="1154">
        <f t="shared" si="52"/>
        <v>0</v>
      </c>
      <c r="BZ124" s="1148">
        <v>2462.29</v>
      </c>
      <c r="CA124" s="1149">
        <v>7021.22</v>
      </c>
      <c r="CB124" s="1149">
        <v>1739.53</v>
      </c>
      <c r="CC124" s="1149">
        <v>-0.03</v>
      </c>
      <c r="CD124" s="1149">
        <v>0</v>
      </c>
      <c r="CE124" s="1154">
        <f t="shared" si="53"/>
        <v>11223.01</v>
      </c>
      <c r="CF124" s="1145"/>
      <c r="CG124" s="1146"/>
      <c r="CH124" s="1146"/>
      <c r="CI124" s="1146"/>
      <c r="CJ124" s="1146"/>
      <c r="CK124" s="1154">
        <f t="shared" si="54"/>
        <v>0</v>
      </c>
      <c r="CL124" s="1145"/>
      <c r="CM124" s="1146"/>
      <c r="CN124" s="1146"/>
      <c r="CO124" s="1146"/>
      <c r="CP124" s="1146"/>
      <c r="CQ124" s="1147">
        <f t="shared" si="55"/>
        <v>0</v>
      </c>
      <c r="CR124" s="1148"/>
      <c r="CS124" s="1149"/>
      <c r="CT124" s="1149"/>
      <c r="CU124" s="1149"/>
      <c r="CV124" s="1149"/>
      <c r="CW124" s="1154">
        <f t="shared" si="56"/>
        <v>0</v>
      </c>
      <c r="CX124" s="1145"/>
      <c r="CY124" s="1146"/>
      <c r="CZ124" s="1146"/>
      <c r="DA124" s="1146"/>
      <c r="DB124" s="1146"/>
      <c r="DC124" s="1147">
        <f t="shared" si="57"/>
        <v>0</v>
      </c>
      <c r="DD124" s="1148"/>
      <c r="DE124" s="1149"/>
      <c r="DF124" s="1149"/>
      <c r="DG124" s="1149"/>
      <c r="DH124" s="1149"/>
      <c r="DI124" s="1154">
        <f t="shared" si="58"/>
        <v>0</v>
      </c>
      <c r="DJ124" s="1233"/>
      <c r="DK124" s="1233"/>
      <c r="DL124" s="1233"/>
      <c r="DM124" s="1233"/>
      <c r="DN124" s="1233"/>
      <c r="DO124" s="1233">
        <f t="shared" si="59"/>
        <v>0</v>
      </c>
      <c r="DP124" s="1148"/>
      <c r="DQ124" s="1149"/>
      <c r="DR124" s="1149"/>
      <c r="DS124" s="1149"/>
      <c r="DT124" s="1149"/>
      <c r="DU124" s="1155">
        <f t="shared" si="60"/>
        <v>0</v>
      </c>
      <c r="DV124" s="1148">
        <v>4621.33</v>
      </c>
      <c r="DW124" s="1149">
        <v>0</v>
      </c>
      <c r="DX124" s="1149">
        <v>847.68</v>
      </c>
      <c r="DY124" s="1149">
        <v>0.05</v>
      </c>
      <c r="DZ124" s="1149">
        <v>0</v>
      </c>
      <c r="EA124" s="1154">
        <f t="shared" si="61"/>
        <v>5469.06</v>
      </c>
    </row>
    <row r="125" spans="1:131" ht="15" customHeight="1">
      <c r="A125" s="746" t="s">
        <v>240</v>
      </c>
      <c r="B125" s="844" t="s">
        <v>241</v>
      </c>
      <c r="C125" s="967" t="s">
        <v>267</v>
      </c>
      <c r="D125" s="842">
        <f t="shared" si="34"/>
        <v>52680.45</v>
      </c>
      <c r="E125" s="842">
        <f t="shared" si="35"/>
        <v>85141.51</v>
      </c>
      <c r="F125" s="842">
        <f t="shared" si="36"/>
        <v>19908.03</v>
      </c>
      <c r="G125" s="842">
        <f t="shared" si="37"/>
        <v>20441.72</v>
      </c>
      <c r="H125" s="842">
        <f t="shared" si="38"/>
        <v>399</v>
      </c>
      <c r="I125" s="1578">
        <f t="shared" si="39"/>
        <v>178570.71</v>
      </c>
      <c r="J125" s="843">
        <f t="shared" si="40"/>
        <v>20840.72</v>
      </c>
      <c r="K125" s="1579">
        <f t="shared" si="41"/>
        <v>40748.75</v>
      </c>
      <c r="L125" s="1116"/>
      <c r="M125" s="1117"/>
      <c r="N125" s="1117"/>
      <c r="O125" s="1117"/>
      <c r="P125" s="1117"/>
      <c r="Q125" s="1118">
        <f t="shared" si="42"/>
        <v>0</v>
      </c>
      <c r="R125" s="1133"/>
      <c r="S125" s="1134"/>
      <c r="T125" s="1134"/>
      <c r="U125" s="1134"/>
      <c r="V125" s="1134"/>
      <c r="W125" s="1132">
        <f t="shared" si="43"/>
        <v>0</v>
      </c>
      <c r="X125" s="1231">
        <v>0</v>
      </c>
      <c r="Y125" s="1231">
        <v>17541.04</v>
      </c>
      <c r="Z125" s="1231">
        <v>0</v>
      </c>
      <c r="AA125" s="1231">
        <v>0</v>
      </c>
      <c r="AB125" s="1231">
        <v>0</v>
      </c>
      <c r="AC125" s="1231">
        <f t="shared" si="44"/>
        <v>17541.04</v>
      </c>
      <c r="AD125" s="1127">
        <v>2872.01</v>
      </c>
      <c r="AE125" s="1128">
        <v>17.11</v>
      </c>
      <c r="AF125" s="1128">
        <v>529.96</v>
      </c>
      <c r="AG125" s="1128">
        <v>-0.03</v>
      </c>
      <c r="AH125" s="1128">
        <v>0</v>
      </c>
      <c r="AI125" s="1124">
        <f t="shared" si="45"/>
        <v>3419.05</v>
      </c>
      <c r="AJ125" s="1148">
        <v>859.56</v>
      </c>
      <c r="AK125" s="1149">
        <v>0</v>
      </c>
      <c r="AL125" s="1149">
        <v>214.88</v>
      </c>
      <c r="AM125" s="1149">
        <v>0</v>
      </c>
      <c r="AN125" s="1149">
        <v>0</v>
      </c>
      <c r="AO125" s="1154">
        <f t="shared" si="46"/>
        <v>1074.44</v>
      </c>
      <c r="AP125" s="1125"/>
      <c r="AQ125" s="1126"/>
      <c r="AR125" s="1126"/>
      <c r="AS125" s="1126"/>
      <c r="AT125" s="1126"/>
      <c r="AU125" s="1137">
        <f t="shared" si="47"/>
        <v>0</v>
      </c>
      <c r="AV125" s="1141">
        <v>2821.36</v>
      </c>
      <c r="AW125" s="1142">
        <v>705.34</v>
      </c>
      <c r="AX125" s="1142">
        <v>0</v>
      </c>
      <c r="AY125" s="1142">
        <v>0</v>
      </c>
      <c r="AZ125" s="1142">
        <v>0</v>
      </c>
      <c r="BA125" s="1140">
        <f t="shared" si="48"/>
        <v>3526.7000000000003</v>
      </c>
      <c r="BB125" s="1131">
        <v>3939.19</v>
      </c>
      <c r="BC125" s="1131">
        <v>984.81</v>
      </c>
      <c r="BD125" s="1131">
        <v>0</v>
      </c>
      <c r="BE125" s="1131">
        <v>0</v>
      </c>
      <c r="BF125" s="1131">
        <v>0</v>
      </c>
      <c r="BG125" s="1132">
        <f t="shared" si="49"/>
        <v>4924</v>
      </c>
      <c r="BH125" s="1148">
        <v>1434.51</v>
      </c>
      <c r="BI125" s="1149">
        <v>2590.4899999999998</v>
      </c>
      <c r="BJ125" s="1149">
        <v>0</v>
      </c>
      <c r="BK125" s="1149">
        <v>0</v>
      </c>
      <c r="BL125" s="1149">
        <v>399</v>
      </c>
      <c r="BM125" s="1147">
        <f t="shared" si="50"/>
        <v>4424</v>
      </c>
      <c r="BN125" s="1148">
        <v>14550.75</v>
      </c>
      <c r="BO125" s="1149">
        <v>1843.13</v>
      </c>
      <c r="BP125" s="1149">
        <v>3007.17</v>
      </c>
      <c r="BQ125" s="1149">
        <v>-7.0000000000000007E-2</v>
      </c>
      <c r="BR125" s="1149">
        <v>0</v>
      </c>
      <c r="BS125" s="1147">
        <f t="shared" si="51"/>
        <v>19400.980000000003</v>
      </c>
      <c r="BT125" s="1148"/>
      <c r="BU125" s="1149"/>
      <c r="BV125" s="1149"/>
      <c r="BW125" s="1149"/>
      <c r="BX125" s="1149"/>
      <c r="BY125" s="1154">
        <f t="shared" si="52"/>
        <v>0</v>
      </c>
      <c r="BZ125" s="1148">
        <v>20847.28</v>
      </c>
      <c r="CA125" s="1149">
        <v>59445.3</v>
      </c>
      <c r="CB125" s="1149">
        <v>14727.81</v>
      </c>
      <c r="CC125" s="1149">
        <v>-0.13</v>
      </c>
      <c r="CD125" s="1149">
        <v>0</v>
      </c>
      <c r="CE125" s="1154">
        <f t="shared" si="53"/>
        <v>95020.26</v>
      </c>
      <c r="CF125" s="1148">
        <v>0</v>
      </c>
      <c r="CG125" s="1149">
        <v>0</v>
      </c>
      <c r="CH125" s="1149">
        <v>0</v>
      </c>
      <c r="CI125" s="1149">
        <v>20441.95</v>
      </c>
      <c r="CJ125" s="1149">
        <v>0</v>
      </c>
      <c r="CK125" s="1154">
        <f t="shared" si="54"/>
        <v>20441.95</v>
      </c>
      <c r="CL125" s="1145"/>
      <c r="CM125" s="1146"/>
      <c r="CN125" s="1146"/>
      <c r="CO125" s="1146"/>
      <c r="CP125" s="1146"/>
      <c r="CQ125" s="1147">
        <f t="shared" si="55"/>
        <v>0</v>
      </c>
      <c r="CR125" s="1148"/>
      <c r="CS125" s="1149"/>
      <c r="CT125" s="1149"/>
      <c r="CU125" s="1149"/>
      <c r="CV125" s="1149"/>
      <c r="CW125" s="1154">
        <f t="shared" si="56"/>
        <v>0</v>
      </c>
      <c r="CX125" s="1148"/>
      <c r="CY125" s="1149"/>
      <c r="CZ125" s="1149"/>
      <c r="DA125" s="1149"/>
      <c r="DB125" s="1149"/>
      <c r="DC125" s="1147">
        <f t="shared" si="57"/>
        <v>0</v>
      </c>
      <c r="DD125" s="1148">
        <v>-416</v>
      </c>
      <c r="DE125" s="1149">
        <v>0</v>
      </c>
      <c r="DF125" s="1149">
        <v>0</v>
      </c>
      <c r="DG125" s="1149">
        <v>0</v>
      </c>
      <c r="DH125" s="1149">
        <v>0</v>
      </c>
      <c r="DI125" s="1154">
        <f t="shared" si="58"/>
        <v>-416</v>
      </c>
      <c r="DJ125" s="1233"/>
      <c r="DK125" s="1233"/>
      <c r="DL125" s="1233"/>
      <c r="DM125" s="1233"/>
      <c r="DN125" s="1233"/>
      <c r="DO125" s="1233">
        <f t="shared" si="59"/>
        <v>0</v>
      </c>
      <c r="DP125" s="1148">
        <v>2919.27</v>
      </c>
      <c r="DQ125" s="1149">
        <v>2014.29</v>
      </c>
      <c r="DR125" s="1149">
        <v>904.98</v>
      </c>
      <c r="DS125" s="1149">
        <v>-0.02</v>
      </c>
      <c r="DT125" s="1149">
        <v>0</v>
      </c>
      <c r="DU125" s="1155">
        <f t="shared" si="60"/>
        <v>5838.5199999999986</v>
      </c>
      <c r="DV125" s="1148">
        <v>2852.52</v>
      </c>
      <c r="DW125" s="1149">
        <v>0</v>
      </c>
      <c r="DX125" s="1149">
        <v>523.23</v>
      </c>
      <c r="DY125" s="1149">
        <v>0.02</v>
      </c>
      <c r="DZ125" s="1149">
        <v>0</v>
      </c>
      <c r="EA125" s="1154">
        <f t="shared" si="61"/>
        <v>3375.77</v>
      </c>
    </row>
    <row r="127" spans="1:131" s="403" customFormat="1">
      <c r="A127" s="403" t="s">
        <v>1130</v>
      </c>
      <c r="B127" s="742"/>
      <c r="C127" s="742"/>
      <c r="D127" s="692"/>
      <c r="BH127" s="1150"/>
      <c r="BI127" s="1150"/>
      <c r="BJ127" s="1150"/>
      <c r="BK127" s="1150"/>
      <c r="BL127" s="1150"/>
      <c r="BM127" s="1150"/>
      <c r="BN127" s="1150"/>
      <c r="BO127" s="1150"/>
      <c r="BP127" s="1150"/>
      <c r="BQ127" s="1150"/>
      <c r="BR127" s="1150"/>
      <c r="BS127" s="1150"/>
      <c r="BT127" s="1150"/>
      <c r="BU127" s="1150"/>
      <c r="BV127" s="1150"/>
      <c r="BW127" s="1150"/>
      <c r="BX127" s="1150"/>
      <c r="BY127" s="1150"/>
      <c r="BZ127" s="1150"/>
      <c r="CA127" s="1150"/>
      <c r="CB127" s="1150"/>
      <c r="CC127" s="1150"/>
      <c r="CD127" s="1150"/>
      <c r="CE127" s="1150"/>
      <c r="CF127" s="1150"/>
      <c r="CG127" s="1150"/>
      <c r="CH127" s="1150"/>
      <c r="CI127" s="1150"/>
      <c r="CJ127" s="1150"/>
      <c r="CK127" s="1150"/>
      <c r="CL127" s="1150"/>
      <c r="CM127" s="1150"/>
      <c r="CN127" s="1150"/>
      <c r="CO127" s="1150"/>
      <c r="CP127" s="1150"/>
      <c r="CQ127" s="1150"/>
      <c r="CR127" s="1150"/>
      <c r="CS127" s="1150"/>
      <c r="CT127" s="1150"/>
      <c r="CU127" s="1150"/>
      <c r="CV127" s="1150"/>
      <c r="CW127" s="1150"/>
      <c r="CX127" s="1150"/>
      <c r="CY127" s="1150"/>
      <c r="CZ127" s="1150"/>
      <c r="DA127" s="1150"/>
      <c r="DB127" s="1150"/>
      <c r="DC127" s="1150"/>
      <c r="DD127" s="1150"/>
      <c r="DE127" s="1150"/>
      <c r="DF127" s="1150"/>
      <c r="DG127" s="1150"/>
      <c r="DH127" s="1150"/>
      <c r="DI127" s="1150"/>
      <c r="DJ127" s="1150"/>
      <c r="DK127" s="1150"/>
      <c r="DL127" s="1150"/>
      <c r="DM127" s="1150"/>
      <c r="DN127" s="1150"/>
      <c r="DO127" s="1150"/>
    </row>
    <row r="128" spans="1:131" s="403" customFormat="1">
      <c r="BH128" s="1150"/>
      <c r="BI128" s="1150"/>
      <c r="BJ128" s="1150"/>
      <c r="BK128" s="1150"/>
      <c r="BL128" s="1150"/>
      <c r="BM128" s="1150"/>
      <c r="BN128" s="1150"/>
      <c r="BO128" s="1150"/>
      <c r="BP128" s="1150"/>
      <c r="BQ128" s="1150"/>
      <c r="BR128" s="1150"/>
      <c r="BS128" s="1150"/>
      <c r="BT128" s="1150"/>
      <c r="BU128" s="1150"/>
      <c r="BV128" s="1150"/>
      <c r="BW128" s="1150"/>
      <c r="BX128" s="1150"/>
      <c r="BY128" s="1150"/>
      <c r="BZ128" s="1150"/>
      <c r="CA128" s="1150"/>
      <c r="CB128" s="1150"/>
      <c r="CC128" s="1150"/>
      <c r="CD128" s="1150"/>
      <c r="CE128" s="1150"/>
      <c r="CF128" s="1150"/>
      <c r="CG128" s="1150"/>
      <c r="CH128" s="1150"/>
      <c r="CI128" s="1150"/>
      <c r="CJ128" s="1150"/>
      <c r="CK128" s="1150"/>
      <c r="CL128" s="1150"/>
      <c r="CM128" s="1150"/>
      <c r="CN128" s="1150"/>
      <c r="CO128" s="1150"/>
      <c r="CP128" s="1150"/>
      <c r="CQ128" s="1150"/>
      <c r="CR128" s="1150"/>
      <c r="CS128" s="1150"/>
      <c r="CT128" s="1150"/>
      <c r="CU128" s="1150"/>
      <c r="CV128" s="1150"/>
      <c r="CW128" s="1150"/>
      <c r="CX128" s="1150"/>
      <c r="CY128" s="1150"/>
      <c r="CZ128" s="1150"/>
      <c r="DA128" s="1150"/>
      <c r="DB128" s="1150"/>
      <c r="DC128" s="1150"/>
      <c r="DD128" s="1150"/>
      <c r="DE128" s="1150"/>
      <c r="DF128" s="1150"/>
      <c r="DG128" s="1150"/>
      <c r="DH128" s="1150"/>
      <c r="DI128" s="1150"/>
      <c r="DJ128" s="1150"/>
      <c r="DK128" s="1150"/>
      <c r="DL128" s="1150"/>
      <c r="DM128" s="1150"/>
      <c r="DN128" s="1150"/>
      <c r="DO128" s="1150"/>
    </row>
    <row r="129" spans="1:119" s="428" customFormat="1">
      <c r="A129" s="428" t="s">
        <v>248</v>
      </c>
      <c r="BH129" s="1151"/>
      <c r="BI129" s="1151"/>
      <c r="BJ129" s="1151"/>
      <c r="BK129" s="1151"/>
      <c r="BL129" s="1151"/>
      <c r="BM129" s="1151"/>
      <c r="BN129" s="1151"/>
      <c r="BO129" s="1151"/>
      <c r="BP129" s="1151"/>
      <c r="BQ129" s="1151"/>
      <c r="BR129" s="1151"/>
      <c r="BS129" s="1151"/>
      <c r="BT129" s="1151"/>
      <c r="BU129" s="1151"/>
      <c r="BV129" s="1151"/>
      <c r="BW129" s="1151"/>
      <c r="BX129" s="1151"/>
      <c r="BY129" s="1151"/>
      <c r="BZ129" s="1151"/>
      <c r="CA129" s="1151"/>
      <c r="CB129" s="1151"/>
      <c r="CC129" s="1151"/>
      <c r="CD129" s="1151"/>
      <c r="CE129" s="1151"/>
      <c r="CF129" s="1151"/>
      <c r="CG129" s="1151"/>
      <c r="CH129" s="1151"/>
      <c r="CI129" s="1151"/>
      <c r="CJ129" s="1151"/>
      <c r="CK129" s="1151"/>
      <c r="CL129" s="1151"/>
      <c r="CM129" s="1151"/>
      <c r="CN129" s="1151"/>
      <c r="CO129" s="1151"/>
      <c r="CP129" s="1151"/>
      <c r="CQ129" s="1151"/>
      <c r="CR129" s="1151"/>
      <c r="CS129" s="1151"/>
      <c r="CT129" s="1151"/>
      <c r="CU129" s="1151"/>
      <c r="CV129" s="1151"/>
      <c r="CW129" s="1151"/>
      <c r="CX129" s="1151"/>
      <c r="CY129" s="1151"/>
      <c r="CZ129" s="1151"/>
      <c r="DA129" s="1151"/>
      <c r="DB129" s="1151"/>
      <c r="DC129" s="1151"/>
      <c r="DD129" s="1151"/>
      <c r="DE129" s="1151"/>
      <c r="DF129" s="1151"/>
      <c r="DG129" s="1151"/>
      <c r="DH129" s="1151"/>
      <c r="DI129" s="1151"/>
      <c r="DJ129" s="1151"/>
      <c r="DK129" s="1151"/>
      <c r="DL129" s="1151"/>
      <c r="DM129" s="1151"/>
      <c r="DN129" s="1151"/>
      <c r="DO129" s="1151"/>
    </row>
    <row r="130" spans="1:119">
      <c r="A130" s="429" t="s">
        <v>249</v>
      </c>
      <c r="B130" s="430" t="s">
        <v>250</v>
      </c>
      <c r="C130" s="430"/>
    </row>
  </sheetData>
  <autoFilter ref="A4:B4"/>
  <hyperlinks>
    <hyperlink ref="B130" r:id="rId1"/>
  </hyperlinks>
  <pageMargins left="0.7" right="0.7" top="0.75" bottom="0.75" header="0.3" footer="0.3"/>
  <pageSetup orientation="portrait" r:id="rId2"/>
</worksheet>
</file>

<file path=xl/worksheets/sheet48.xml><?xml version="1.0" encoding="utf-8"?>
<worksheet xmlns="http://schemas.openxmlformats.org/spreadsheetml/2006/main" xmlns:r="http://schemas.openxmlformats.org/officeDocument/2006/relationships">
  <dimension ref="A1:N139"/>
  <sheetViews>
    <sheetView workbookViewId="0">
      <pane xSplit="3" ySplit="4" topLeftCell="D5" activePane="bottomRight" state="frozen"/>
      <selection pane="topRight" activeCell="D1" sqref="D1"/>
      <selection pane="bottomLeft" activeCell="A5" sqref="A5"/>
      <selection pane="bottomRight" activeCell="K5" sqref="K5"/>
    </sheetView>
  </sheetViews>
  <sheetFormatPr defaultRowHeight="15.75"/>
  <cols>
    <col min="1" max="1" width="8" style="271" customWidth="1"/>
    <col min="2" max="2" width="33" style="271" customWidth="1"/>
    <col min="3" max="3" width="17.125" style="271" customWidth="1"/>
    <col min="4" max="4" width="22.75" style="271" customWidth="1"/>
    <col min="5" max="6" width="13.5" style="271" bestFit="1" customWidth="1"/>
    <col min="7" max="7" width="13.5" style="271" customWidth="1"/>
    <col min="8" max="9" width="14.5" style="271" bestFit="1" customWidth="1"/>
    <col min="10" max="10" width="13.5" style="271" bestFit="1" customWidth="1"/>
    <col min="11" max="13" width="16" style="271" bestFit="1" customWidth="1"/>
    <col min="14" max="14" width="15.375" style="271" customWidth="1"/>
    <col min="15" max="16384" width="9" style="271"/>
  </cols>
  <sheetData>
    <row r="1" spans="1:14">
      <c r="A1" s="261" t="s">
        <v>1051</v>
      </c>
      <c r="B1" s="854"/>
      <c r="C1" s="855"/>
      <c r="D1" s="855"/>
    </row>
    <row r="2" spans="1:14">
      <c r="A2" s="855"/>
      <c r="B2" s="855"/>
      <c r="C2" s="855"/>
      <c r="D2" s="855"/>
      <c r="E2" s="856"/>
      <c r="F2" s="856"/>
      <c r="G2" s="856"/>
      <c r="H2" s="856"/>
      <c r="I2" s="856"/>
      <c r="J2" s="856"/>
      <c r="K2" s="856"/>
      <c r="L2" s="856"/>
      <c r="M2" s="856"/>
    </row>
    <row r="3" spans="1:14" ht="24.75" customHeight="1">
      <c r="A3" s="752" t="s">
        <v>4</v>
      </c>
      <c r="B3" s="862" t="s">
        <v>5</v>
      </c>
      <c r="C3" s="965" t="s">
        <v>251</v>
      </c>
      <c r="D3" s="863" t="s">
        <v>683</v>
      </c>
      <c r="E3" s="862" t="s">
        <v>314</v>
      </c>
      <c r="F3" s="862" t="s">
        <v>315</v>
      </c>
      <c r="G3" s="862" t="s">
        <v>316</v>
      </c>
      <c r="H3" s="864" t="s">
        <v>600</v>
      </c>
      <c r="I3" s="864" t="s">
        <v>601</v>
      </c>
      <c r="J3" s="864" t="s">
        <v>602</v>
      </c>
      <c r="K3" s="864" t="s">
        <v>603</v>
      </c>
      <c r="L3" s="864" t="s">
        <v>397</v>
      </c>
      <c r="M3" s="864" t="s">
        <v>599</v>
      </c>
      <c r="N3" s="1599" t="s">
        <v>873</v>
      </c>
    </row>
    <row r="4" spans="1:14">
      <c r="A4" s="745">
        <v>999</v>
      </c>
      <c r="B4" s="857" t="s">
        <v>9</v>
      </c>
      <c r="C4" s="857"/>
      <c r="D4" s="858">
        <f t="shared" ref="D4:N4" si="0">SUM(D5:D124)</f>
        <v>7203657089.5590992</v>
      </c>
      <c r="E4" s="858">
        <f t="shared" si="0"/>
        <v>3645579504.5659904</v>
      </c>
      <c r="F4" s="858">
        <f t="shared" si="0"/>
        <v>3544244783.224256</v>
      </c>
      <c r="G4" s="858">
        <f t="shared" si="0"/>
        <v>13832801.768854121</v>
      </c>
      <c r="H4" s="858">
        <f t="shared" si="0"/>
        <v>291673061.90960002</v>
      </c>
      <c r="I4" s="858">
        <f t="shared" si="0"/>
        <v>189587490.24124002</v>
      </c>
      <c r="J4" s="858">
        <f t="shared" si="0"/>
        <v>102085571.66836002</v>
      </c>
      <c r="K4" s="858">
        <f t="shared" si="0"/>
        <v>6911984027.649497</v>
      </c>
      <c r="L4" s="858">
        <f t="shared" si="0"/>
        <v>3455992014.3247485</v>
      </c>
      <c r="M4" s="858">
        <f t="shared" si="0"/>
        <v>3442159211.5558949</v>
      </c>
      <c r="N4" s="1598">
        <f t="shared" si="0"/>
        <v>13832801.768854121</v>
      </c>
    </row>
    <row r="5" spans="1:14">
      <c r="A5" s="746" t="s">
        <v>10</v>
      </c>
      <c r="B5" s="859" t="s">
        <v>11</v>
      </c>
      <c r="C5" s="964" t="s">
        <v>264</v>
      </c>
      <c r="D5" s="859">
        <f>H5+K5</f>
        <v>48343103.779800005</v>
      </c>
      <c r="E5" s="860">
        <f t="shared" ref="E5:E36" si="1">+I5+L5</f>
        <v>24439440.953400001</v>
      </c>
      <c r="F5" s="860">
        <f t="shared" ref="F5:F36" si="2">+J5+M5</f>
        <v>23805839.167511001</v>
      </c>
      <c r="G5" s="860">
        <f>N5</f>
        <v>97823.658888999998</v>
      </c>
      <c r="H5" s="1157">
        <f>I5+J5</f>
        <v>1785927.09</v>
      </c>
      <c r="I5" s="1157">
        <v>1160852.6085000001</v>
      </c>
      <c r="J5" s="1157">
        <v>625074.48149999999</v>
      </c>
      <c r="K5" s="1157">
        <f>L5+M5+N5</f>
        <v>46557176.689800002</v>
      </c>
      <c r="L5" s="1157">
        <v>23278588.344900001</v>
      </c>
      <c r="M5" s="1157">
        <v>23180764.686011001</v>
      </c>
      <c r="N5" s="1158">
        <v>97823.658888999998</v>
      </c>
    </row>
    <row r="6" spans="1:14">
      <c r="A6" s="746" t="s">
        <v>12</v>
      </c>
      <c r="B6" s="859" t="s">
        <v>13</v>
      </c>
      <c r="C6" s="964" t="s">
        <v>265</v>
      </c>
      <c r="D6" s="964">
        <f t="shared" ref="D6:D69" si="3">H6+K6</f>
        <v>56100839.579700001</v>
      </c>
      <c r="E6" s="860">
        <f t="shared" si="1"/>
        <v>28527827.012850001</v>
      </c>
      <c r="F6" s="860">
        <f t="shared" si="2"/>
        <v>27243753.209933501</v>
      </c>
      <c r="G6" s="860">
        <f t="shared" ref="G6:G69" si="4">N6</f>
        <v>329259.35691650008</v>
      </c>
      <c r="H6" s="1157">
        <f t="shared" ref="H6:H69" si="5">I6+J6</f>
        <v>3182714.82</v>
      </c>
      <c r="I6" s="1157">
        <v>2068764.6329999999</v>
      </c>
      <c r="J6" s="1157">
        <v>1113950.1869999999</v>
      </c>
      <c r="K6" s="1157">
        <f t="shared" ref="K6:K69" si="6">L6+M6+N6</f>
        <v>52918124.7597</v>
      </c>
      <c r="L6" s="1157">
        <v>26459062.37985</v>
      </c>
      <c r="M6" s="1157">
        <v>26129803.022933502</v>
      </c>
      <c r="N6" s="1158">
        <v>329259.35691650008</v>
      </c>
    </row>
    <row r="7" spans="1:14">
      <c r="A7" s="746" t="s">
        <v>16</v>
      </c>
      <c r="B7" s="859" t="s">
        <v>297</v>
      </c>
      <c r="C7" s="964" t="s">
        <v>265</v>
      </c>
      <c r="D7" s="964">
        <f t="shared" si="3"/>
        <v>30077974.979900002</v>
      </c>
      <c r="E7" s="860">
        <f t="shared" si="1"/>
        <v>15175730.56395</v>
      </c>
      <c r="F7" s="860">
        <f t="shared" si="2"/>
        <v>14839092.162012499</v>
      </c>
      <c r="G7" s="860">
        <f t="shared" si="4"/>
        <v>63152.253937499998</v>
      </c>
      <c r="H7" s="1157">
        <f t="shared" si="5"/>
        <v>911617.15999999992</v>
      </c>
      <c r="I7" s="1157">
        <v>592551.15399999998</v>
      </c>
      <c r="J7" s="1157">
        <v>319066.00599999994</v>
      </c>
      <c r="K7" s="1157">
        <f t="shared" si="6"/>
        <v>29166357.819900002</v>
      </c>
      <c r="L7" s="1157">
        <v>14583179.409950001</v>
      </c>
      <c r="M7" s="1157">
        <v>14520026.1560125</v>
      </c>
      <c r="N7" s="1158">
        <v>63152.253937499998</v>
      </c>
    </row>
    <row r="8" spans="1:14">
      <c r="A8" s="746" t="s">
        <v>18</v>
      </c>
      <c r="B8" s="859" t="s">
        <v>19</v>
      </c>
      <c r="C8" s="964" t="s">
        <v>266</v>
      </c>
      <c r="D8" s="964">
        <f t="shared" si="3"/>
        <v>15098426.789900001</v>
      </c>
      <c r="E8" s="860">
        <f t="shared" si="1"/>
        <v>7624743.6419500001</v>
      </c>
      <c r="F8" s="860">
        <f t="shared" si="2"/>
        <v>7473256.3471499998</v>
      </c>
      <c r="G8" s="860">
        <f t="shared" si="4"/>
        <v>426.80079999999998</v>
      </c>
      <c r="H8" s="1157">
        <f t="shared" si="5"/>
        <v>503534.98</v>
      </c>
      <c r="I8" s="1157">
        <v>327297.73700000002</v>
      </c>
      <c r="J8" s="1157">
        <v>176237.24299999999</v>
      </c>
      <c r="K8" s="1157">
        <f t="shared" si="6"/>
        <v>14594891.809900001</v>
      </c>
      <c r="L8" s="1157">
        <v>7297445.9049500003</v>
      </c>
      <c r="M8" s="1157">
        <v>7297019.10415</v>
      </c>
      <c r="N8" s="1158">
        <v>426.80079999999998</v>
      </c>
    </row>
    <row r="9" spans="1:14">
      <c r="A9" s="746" t="s">
        <v>20</v>
      </c>
      <c r="B9" s="859" t="s">
        <v>21</v>
      </c>
      <c r="C9" s="964" t="s">
        <v>265</v>
      </c>
      <c r="D9" s="964">
        <f t="shared" si="3"/>
        <v>40495847.759800002</v>
      </c>
      <c r="E9" s="860">
        <f t="shared" si="1"/>
        <v>20508129.698899999</v>
      </c>
      <c r="F9" s="860">
        <f t="shared" si="2"/>
        <v>19898383.768424001</v>
      </c>
      <c r="G9" s="860">
        <f t="shared" si="4"/>
        <v>89334.292476000002</v>
      </c>
      <c r="H9" s="1157">
        <f t="shared" si="5"/>
        <v>1734705.46</v>
      </c>
      <c r="I9" s="1157">
        <v>1127558.5490000001</v>
      </c>
      <c r="J9" s="1157">
        <v>607146.91099999996</v>
      </c>
      <c r="K9" s="1157">
        <f t="shared" si="6"/>
        <v>38761142.299800001</v>
      </c>
      <c r="L9" s="1157">
        <v>19380571.149900001</v>
      </c>
      <c r="M9" s="1157">
        <v>19291236.857424002</v>
      </c>
      <c r="N9" s="1158">
        <v>89334.292476000002</v>
      </c>
    </row>
    <row r="10" spans="1:14">
      <c r="A10" s="746" t="s">
        <v>22</v>
      </c>
      <c r="B10" s="859" t="s">
        <v>23</v>
      </c>
      <c r="C10" s="964" t="s">
        <v>265</v>
      </c>
      <c r="D10" s="964">
        <f t="shared" si="3"/>
        <v>20789003.649900004</v>
      </c>
      <c r="E10" s="860">
        <f t="shared" si="1"/>
        <v>10525173.255449999</v>
      </c>
      <c r="F10" s="860">
        <f t="shared" si="2"/>
        <v>10230812.27875125</v>
      </c>
      <c r="G10" s="860">
        <f t="shared" si="4"/>
        <v>33018.11569875</v>
      </c>
      <c r="H10" s="1157">
        <f t="shared" si="5"/>
        <v>871142.87000000011</v>
      </c>
      <c r="I10" s="1157">
        <v>566242.86550000007</v>
      </c>
      <c r="J10" s="1157">
        <v>304900.00449999998</v>
      </c>
      <c r="K10" s="1157">
        <f t="shared" si="6"/>
        <v>19917860.779900003</v>
      </c>
      <c r="L10" s="1157">
        <v>9958930.3899499997</v>
      </c>
      <c r="M10" s="1157">
        <v>9925912.2742512506</v>
      </c>
      <c r="N10" s="1158">
        <v>33018.11569875</v>
      </c>
    </row>
    <row r="11" spans="1:14">
      <c r="A11" s="746" t="s">
        <v>24</v>
      </c>
      <c r="B11" s="859" t="s">
        <v>25</v>
      </c>
      <c r="C11" s="964" t="s">
        <v>267</v>
      </c>
      <c r="D11" s="964">
        <f t="shared" si="3"/>
        <v>93146864.249600023</v>
      </c>
      <c r="E11" s="860">
        <f t="shared" si="1"/>
        <v>47329272.517300002</v>
      </c>
      <c r="F11" s="860">
        <f t="shared" si="2"/>
        <v>45544125.341566756</v>
      </c>
      <c r="G11" s="860">
        <f t="shared" si="4"/>
        <v>273466.39073325007</v>
      </c>
      <c r="H11" s="1157">
        <f t="shared" si="5"/>
        <v>5038935.95</v>
      </c>
      <c r="I11" s="1157">
        <v>3275308.3675000002</v>
      </c>
      <c r="J11" s="1157">
        <v>1763627.5825</v>
      </c>
      <c r="K11" s="1157">
        <f t="shared" si="6"/>
        <v>88107928.29960002</v>
      </c>
      <c r="L11" s="1157">
        <v>44053964.149800003</v>
      </c>
      <c r="M11" s="1157">
        <v>43780497.759066753</v>
      </c>
      <c r="N11" s="1158">
        <v>273466.39073325007</v>
      </c>
    </row>
    <row r="12" spans="1:14">
      <c r="A12" s="746" t="s">
        <v>26</v>
      </c>
      <c r="B12" s="859" t="s">
        <v>706</v>
      </c>
      <c r="C12" s="964" t="s">
        <v>265</v>
      </c>
      <c r="D12" s="964">
        <f t="shared" si="3"/>
        <v>114879589.96949999</v>
      </c>
      <c r="E12" s="860">
        <f t="shared" si="1"/>
        <v>58184881.604250006</v>
      </c>
      <c r="F12" s="860">
        <f t="shared" si="2"/>
        <v>56413154.389467746</v>
      </c>
      <c r="G12" s="860">
        <f t="shared" si="4"/>
        <v>281553.97578225</v>
      </c>
      <c r="H12" s="1157">
        <f t="shared" si="5"/>
        <v>4967244.129999999</v>
      </c>
      <c r="I12" s="1157">
        <v>3228708.6844999995</v>
      </c>
      <c r="J12" s="1157">
        <v>1738535.4454999999</v>
      </c>
      <c r="K12" s="1157">
        <f t="shared" si="6"/>
        <v>109912345.8395</v>
      </c>
      <c r="L12" s="1157">
        <v>54956172.919750005</v>
      </c>
      <c r="M12" s="1157">
        <v>54674618.943967745</v>
      </c>
      <c r="N12" s="1158">
        <v>281553.97578225</v>
      </c>
    </row>
    <row r="13" spans="1:14">
      <c r="A13" s="746" t="s">
        <v>27</v>
      </c>
      <c r="B13" s="859" t="s">
        <v>28</v>
      </c>
      <c r="C13" s="964" t="s">
        <v>265</v>
      </c>
      <c r="D13" s="964">
        <f t="shared" si="3"/>
        <v>3779524.4600000004</v>
      </c>
      <c r="E13" s="860">
        <f t="shared" si="1"/>
        <v>1919943.0430000001</v>
      </c>
      <c r="F13" s="860">
        <f t="shared" si="2"/>
        <v>1859441.7403000002</v>
      </c>
      <c r="G13" s="860">
        <f t="shared" si="4"/>
        <v>139.67670000000001</v>
      </c>
      <c r="H13" s="1157">
        <f t="shared" si="5"/>
        <v>201205.42</v>
      </c>
      <c r="I13" s="1157">
        <v>130783.52300000002</v>
      </c>
      <c r="J13" s="1157">
        <v>70421.896999999997</v>
      </c>
      <c r="K13" s="1157">
        <f t="shared" si="6"/>
        <v>3578319.0400000005</v>
      </c>
      <c r="L13" s="1157">
        <v>1789159.52</v>
      </c>
      <c r="M13" s="1157">
        <v>1789019.8433000001</v>
      </c>
      <c r="N13" s="1158">
        <v>139.67670000000001</v>
      </c>
    </row>
    <row r="14" spans="1:14">
      <c r="A14" s="746" t="s">
        <v>29</v>
      </c>
      <c r="B14" s="964" t="s">
        <v>1012</v>
      </c>
      <c r="C14" s="964" t="s">
        <v>265</v>
      </c>
      <c r="D14" s="964">
        <f t="shared" si="3"/>
        <v>62388330.739700004</v>
      </c>
      <c r="E14" s="860">
        <f t="shared" si="1"/>
        <v>31552242.915850002</v>
      </c>
      <c r="F14" s="860">
        <f t="shared" si="2"/>
        <v>30771742.519398004</v>
      </c>
      <c r="G14" s="860">
        <f t="shared" si="4"/>
        <v>64345.304451999997</v>
      </c>
      <c r="H14" s="1157">
        <f t="shared" si="5"/>
        <v>2387183.6399999997</v>
      </c>
      <c r="I14" s="1157">
        <v>1551669.3659999999</v>
      </c>
      <c r="J14" s="1157">
        <v>835514.27399999986</v>
      </c>
      <c r="K14" s="1157">
        <f t="shared" si="6"/>
        <v>60001147.099700004</v>
      </c>
      <c r="L14" s="1157">
        <v>30000573.549850002</v>
      </c>
      <c r="M14" s="1157">
        <v>29936228.245398004</v>
      </c>
      <c r="N14" s="1158">
        <v>64345.304451999997</v>
      </c>
    </row>
    <row r="15" spans="1:14">
      <c r="A15" s="746" t="s">
        <v>30</v>
      </c>
      <c r="B15" s="859" t="s">
        <v>31</v>
      </c>
      <c r="C15" s="964" t="s">
        <v>268</v>
      </c>
      <c r="D15" s="964">
        <f t="shared" si="3"/>
        <v>6174425.8399999999</v>
      </c>
      <c r="E15" s="860">
        <f t="shared" si="1"/>
        <v>3121949.3590000002</v>
      </c>
      <c r="F15" s="860">
        <f t="shared" si="2"/>
        <v>3042008.0735530001</v>
      </c>
      <c r="G15" s="860">
        <f t="shared" si="4"/>
        <v>10468.407446999998</v>
      </c>
      <c r="H15" s="1157">
        <f t="shared" si="5"/>
        <v>231576.26</v>
      </c>
      <c r="I15" s="1157">
        <v>150524.56900000002</v>
      </c>
      <c r="J15" s="1157">
        <v>81051.690999999992</v>
      </c>
      <c r="K15" s="1157">
        <f t="shared" si="6"/>
        <v>5942849.5800000001</v>
      </c>
      <c r="L15" s="1157">
        <v>2971424.79</v>
      </c>
      <c r="M15" s="1157">
        <v>2960956.382553</v>
      </c>
      <c r="N15" s="1158">
        <v>10468.407446999998</v>
      </c>
    </row>
    <row r="16" spans="1:14">
      <c r="A16" s="746" t="s">
        <v>32</v>
      </c>
      <c r="B16" s="859" t="s">
        <v>33</v>
      </c>
      <c r="C16" s="964" t="s">
        <v>265</v>
      </c>
      <c r="D16" s="964">
        <f t="shared" si="3"/>
        <v>22227556.469899997</v>
      </c>
      <c r="E16" s="860">
        <f t="shared" si="1"/>
        <v>11206719.14545</v>
      </c>
      <c r="F16" s="860">
        <f t="shared" si="2"/>
        <v>10986381.634778751</v>
      </c>
      <c r="G16" s="860">
        <f t="shared" si="4"/>
        <v>34455.689671250002</v>
      </c>
      <c r="H16" s="1157">
        <f t="shared" si="5"/>
        <v>619606.06999999995</v>
      </c>
      <c r="I16" s="1157">
        <v>402743.94549999997</v>
      </c>
      <c r="J16" s="1157">
        <v>216862.12449999998</v>
      </c>
      <c r="K16" s="1157">
        <f t="shared" si="6"/>
        <v>21607950.399899997</v>
      </c>
      <c r="L16" s="1157">
        <v>10803975.19995</v>
      </c>
      <c r="M16" s="1157">
        <v>10769519.51027875</v>
      </c>
      <c r="N16" s="1158">
        <v>34455.689671250002</v>
      </c>
    </row>
    <row r="17" spans="1:14">
      <c r="A17" s="746" t="s">
        <v>36</v>
      </c>
      <c r="B17" s="859" t="s">
        <v>37</v>
      </c>
      <c r="C17" s="964" t="s">
        <v>264</v>
      </c>
      <c r="D17" s="964">
        <f t="shared" si="3"/>
        <v>29549367.369899996</v>
      </c>
      <c r="E17" s="860">
        <f t="shared" si="1"/>
        <v>14869911.31545</v>
      </c>
      <c r="F17" s="860">
        <f t="shared" si="2"/>
        <v>14658067.5793125</v>
      </c>
      <c r="G17" s="860">
        <f t="shared" si="4"/>
        <v>21388.475137500005</v>
      </c>
      <c r="H17" s="1157">
        <f t="shared" si="5"/>
        <v>634850.87</v>
      </c>
      <c r="I17" s="1157">
        <v>412653.06550000003</v>
      </c>
      <c r="J17" s="1157">
        <v>222197.8045</v>
      </c>
      <c r="K17" s="1157">
        <f t="shared" si="6"/>
        <v>28914516.499899995</v>
      </c>
      <c r="L17" s="1157">
        <v>14457258.249949999</v>
      </c>
      <c r="M17" s="1157">
        <v>14435869.774812499</v>
      </c>
      <c r="N17" s="1158">
        <v>21388.475137500005</v>
      </c>
    </row>
    <row r="18" spans="1:14">
      <c r="A18" s="746" t="s">
        <v>38</v>
      </c>
      <c r="B18" s="859" t="s">
        <v>39</v>
      </c>
      <c r="C18" s="964" t="s">
        <v>268</v>
      </c>
      <c r="D18" s="964">
        <f t="shared" si="3"/>
        <v>35253376.279799998</v>
      </c>
      <c r="E18" s="860">
        <f t="shared" si="1"/>
        <v>17800213.025399998</v>
      </c>
      <c r="F18" s="860">
        <f t="shared" si="2"/>
        <v>17358343.7335575</v>
      </c>
      <c r="G18" s="860">
        <f t="shared" si="4"/>
        <v>94819.520842499987</v>
      </c>
      <c r="H18" s="1157">
        <f t="shared" si="5"/>
        <v>1156832.57</v>
      </c>
      <c r="I18" s="1157">
        <v>751941.17050000012</v>
      </c>
      <c r="J18" s="1157">
        <v>404891.3995</v>
      </c>
      <c r="K18" s="1157">
        <f t="shared" si="6"/>
        <v>34096543.709799998</v>
      </c>
      <c r="L18" s="1157">
        <v>17048271.854899999</v>
      </c>
      <c r="M18" s="1157">
        <v>16953452.334057499</v>
      </c>
      <c r="N18" s="1158">
        <v>94819.520842499987</v>
      </c>
    </row>
    <row r="19" spans="1:14">
      <c r="A19" s="746" t="s">
        <v>40</v>
      </c>
      <c r="B19" s="859" t="s">
        <v>41</v>
      </c>
      <c r="C19" s="964" t="s">
        <v>266</v>
      </c>
      <c r="D19" s="964">
        <f t="shared" si="3"/>
        <v>20915905.249900002</v>
      </c>
      <c r="E19" s="860">
        <f t="shared" si="1"/>
        <v>10552995.404450001</v>
      </c>
      <c r="F19" s="860">
        <f t="shared" si="2"/>
        <v>10332877.947562313</v>
      </c>
      <c r="G19" s="860">
        <f t="shared" si="4"/>
        <v>30031.897887687501</v>
      </c>
      <c r="H19" s="1157">
        <f t="shared" si="5"/>
        <v>633618.53</v>
      </c>
      <c r="I19" s="1157">
        <v>411852.04450000002</v>
      </c>
      <c r="J19" s="1157">
        <v>221766.48550000001</v>
      </c>
      <c r="K19" s="1157">
        <f t="shared" si="6"/>
        <v>20282286.719900001</v>
      </c>
      <c r="L19" s="1157">
        <v>10141143.35995</v>
      </c>
      <c r="M19" s="1157">
        <v>10111111.462062312</v>
      </c>
      <c r="N19" s="1158">
        <v>30031.897887687501</v>
      </c>
    </row>
    <row r="20" spans="1:14">
      <c r="A20" s="746" t="s">
        <v>42</v>
      </c>
      <c r="B20" s="859" t="s">
        <v>43</v>
      </c>
      <c r="C20" s="964" t="s">
        <v>265</v>
      </c>
      <c r="D20" s="964">
        <f t="shared" si="3"/>
        <v>65452375.319699995</v>
      </c>
      <c r="E20" s="860">
        <f t="shared" si="1"/>
        <v>33101998.879349999</v>
      </c>
      <c r="F20" s="860">
        <f t="shared" si="2"/>
        <v>32179031.155776873</v>
      </c>
      <c r="G20" s="860">
        <f t="shared" si="4"/>
        <v>171345.28457312498</v>
      </c>
      <c r="H20" s="1157">
        <f t="shared" si="5"/>
        <v>2505408.13</v>
      </c>
      <c r="I20" s="1157">
        <v>1628515.2845000001</v>
      </c>
      <c r="J20" s="1157">
        <v>876892.84549999994</v>
      </c>
      <c r="K20" s="1157">
        <f t="shared" si="6"/>
        <v>62946967.189699993</v>
      </c>
      <c r="L20" s="1157">
        <v>31473483.59485</v>
      </c>
      <c r="M20" s="1157">
        <v>31302138.310276873</v>
      </c>
      <c r="N20" s="1158">
        <v>171345.28457312498</v>
      </c>
    </row>
    <row r="21" spans="1:14">
      <c r="A21" s="746" t="s">
        <v>44</v>
      </c>
      <c r="B21" s="859" t="s">
        <v>45</v>
      </c>
      <c r="C21" s="964" t="s">
        <v>266</v>
      </c>
      <c r="D21" s="964">
        <f t="shared" si="3"/>
        <v>28963831.639900003</v>
      </c>
      <c r="E21" s="860">
        <f t="shared" si="1"/>
        <v>14685276.87545</v>
      </c>
      <c r="F21" s="860">
        <f t="shared" si="2"/>
        <v>14186041.361641001</v>
      </c>
      <c r="G21" s="860">
        <f t="shared" si="4"/>
        <v>92513.402809000007</v>
      </c>
      <c r="H21" s="1157">
        <f t="shared" si="5"/>
        <v>1355740.37</v>
      </c>
      <c r="I21" s="1157">
        <v>881231.24050000007</v>
      </c>
      <c r="J21" s="1157">
        <v>474509.12949999998</v>
      </c>
      <c r="K21" s="1157">
        <f t="shared" si="6"/>
        <v>27608091.269900002</v>
      </c>
      <c r="L21" s="1157">
        <v>13804045.634950001</v>
      </c>
      <c r="M21" s="1157">
        <v>13711532.232141001</v>
      </c>
      <c r="N21" s="1158">
        <v>92513.402809000007</v>
      </c>
    </row>
    <row r="22" spans="1:14">
      <c r="A22" s="746" t="s">
        <v>46</v>
      </c>
      <c r="B22" s="859" t="s">
        <v>47</v>
      </c>
      <c r="C22" s="964" t="s">
        <v>268</v>
      </c>
      <c r="D22" s="964">
        <f t="shared" si="3"/>
        <v>41676033.649800003</v>
      </c>
      <c r="E22" s="860">
        <f t="shared" si="1"/>
        <v>21074454.968400002</v>
      </c>
      <c r="F22" s="860">
        <f t="shared" si="2"/>
        <v>20501281.64655</v>
      </c>
      <c r="G22" s="860">
        <f t="shared" si="4"/>
        <v>100297.03485</v>
      </c>
      <c r="H22" s="1157">
        <f t="shared" si="5"/>
        <v>1576254.29</v>
      </c>
      <c r="I22" s="1157">
        <v>1024565.2885</v>
      </c>
      <c r="J22" s="1157">
        <v>551689.00150000001</v>
      </c>
      <c r="K22" s="1157">
        <f t="shared" si="6"/>
        <v>40099779.359800003</v>
      </c>
      <c r="L22" s="1157">
        <v>20049889.679900002</v>
      </c>
      <c r="M22" s="1157">
        <v>19949592.64505</v>
      </c>
      <c r="N22" s="1158">
        <v>100297.03485</v>
      </c>
    </row>
    <row r="23" spans="1:14">
      <c r="A23" s="746" t="s">
        <v>48</v>
      </c>
      <c r="B23" s="859" t="s">
        <v>269</v>
      </c>
      <c r="C23" s="964" t="s">
        <v>266</v>
      </c>
      <c r="D23" s="964">
        <f t="shared" si="3"/>
        <v>7129839.2000000002</v>
      </c>
      <c r="E23" s="860">
        <f t="shared" si="1"/>
        <v>3606597.9414999997</v>
      </c>
      <c r="F23" s="860">
        <f t="shared" si="2"/>
        <v>3523241.2585</v>
      </c>
      <c r="G23" s="860">
        <f t="shared" si="4"/>
        <v>0</v>
      </c>
      <c r="H23" s="1157">
        <f t="shared" si="5"/>
        <v>277855.61</v>
      </c>
      <c r="I23" s="1157">
        <v>180606.1465</v>
      </c>
      <c r="J23" s="1157">
        <v>97249.463499999983</v>
      </c>
      <c r="K23" s="1157">
        <f t="shared" si="6"/>
        <v>6851983.5899999999</v>
      </c>
      <c r="L23" s="1157">
        <v>3425991.7949999999</v>
      </c>
      <c r="M23" s="1157">
        <v>3425991.7949999999</v>
      </c>
      <c r="N23" s="1158">
        <v>0</v>
      </c>
    </row>
    <row r="24" spans="1:14">
      <c r="A24" s="746" t="s">
        <v>50</v>
      </c>
      <c r="B24" s="859" t="s">
        <v>51</v>
      </c>
      <c r="C24" s="964" t="s">
        <v>265</v>
      </c>
      <c r="D24" s="964">
        <f t="shared" si="3"/>
        <v>17715030.029899999</v>
      </c>
      <c r="E24" s="860">
        <f t="shared" si="1"/>
        <v>8934190.7939500008</v>
      </c>
      <c r="F24" s="860">
        <f t="shared" si="2"/>
        <v>8747001.1233925</v>
      </c>
      <c r="G24" s="860">
        <f t="shared" si="4"/>
        <v>33838.112557500004</v>
      </c>
      <c r="H24" s="1157">
        <f t="shared" si="5"/>
        <v>511171.86</v>
      </c>
      <c r="I24" s="1157">
        <v>332261.70899999997</v>
      </c>
      <c r="J24" s="1157">
        <v>178910.15099999998</v>
      </c>
      <c r="K24" s="1157">
        <f t="shared" si="6"/>
        <v>17203858.1699</v>
      </c>
      <c r="L24" s="1157">
        <v>8601929.08495</v>
      </c>
      <c r="M24" s="1157">
        <v>8568090.9723924994</v>
      </c>
      <c r="N24" s="1158">
        <v>33838.112557500004</v>
      </c>
    </row>
    <row r="25" spans="1:14">
      <c r="A25" s="746" t="s">
        <v>56</v>
      </c>
      <c r="B25" s="859" t="s">
        <v>295</v>
      </c>
      <c r="C25" s="964" t="s">
        <v>266</v>
      </c>
      <c r="D25" s="964">
        <f t="shared" si="3"/>
        <v>267020335.86879998</v>
      </c>
      <c r="E25" s="860">
        <f t="shared" si="1"/>
        <v>135236072.5244</v>
      </c>
      <c r="F25" s="860">
        <f t="shared" si="2"/>
        <v>131475154.90290199</v>
      </c>
      <c r="G25" s="860">
        <f t="shared" si="4"/>
        <v>309108.44149799994</v>
      </c>
      <c r="H25" s="1157">
        <f t="shared" si="5"/>
        <v>11506030.6</v>
      </c>
      <c r="I25" s="1157">
        <v>7478919.8900000006</v>
      </c>
      <c r="J25" s="1157">
        <v>4027110.7099999995</v>
      </c>
      <c r="K25" s="1157">
        <f t="shared" si="6"/>
        <v>255514305.26879999</v>
      </c>
      <c r="L25" s="1157">
        <v>127757152.6344</v>
      </c>
      <c r="M25" s="1157">
        <v>127448044.192902</v>
      </c>
      <c r="N25" s="1158">
        <v>309108.44149799994</v>
      </c>
    </row>
    <row r="26" spans="1:14">
      <c r="A26" s="746" t="s">
        <v>58</v>
      </c>
      <c r="B26" s="859" t="s">
        <v>59</v>
      </c>
      <c r="C26" s="964" t="s">
        <v>267</v>
      </c>
      <c r="D26" s="964">
        <f t="shared" si="3"/>
        <v>9871533.5200000033</v>
      </c>
      <c r="E26" s="860">
        <f t="shared" si="1"/>
        <v>4983831.6170000006</v>
      </c>
      <c r="F26" s="860">
        <f t="shared" si="2"/>
        <v>4879586.988993125</v>
      </c>
      <c r="G26" s="860">
        <f t="shared" si="4"/>
        <v>8114.9140068750021</v>
      </c>
      <c r="H26" s="1157">
        <f t="shared" si="5"/>
        <v>320432.38</v>
      </c>
      <c r="I26" s="1157">
        <v>208281.04700000002</v>
      </c>
      <c r="J26" s="1157">
        <v>112151.333</v>
      </c>
      <c r="K26" s="1157">
        <f t="shared" si="6"/>
        <v>9551101.1400000025</v>
      </c>
      <c r="L26" s="1157">
        <v>4775550.57</v>
      </c>
      <c r="M26" s="1157">
        <v>4767435.6559931254</v>
      </c>
      <c r="N26" s="1158">
        <v>8114.9140068750021</v>
      </c>
    </row>
    <row r="27" spans="1:14">
      <c r="A27" s="746" t="s">
        <v>60</v>
      </c>
      <c r="B27" s="859" t="s">
        <v>61</v>
      </c>
      <c r="C27" s="964" t="s">
        <v>265</v>
      </c>
      <c r="D27" s="964">
        <f t="shared" si="3"/>
        <v>4471838.6900000004</v>
      </c>
      <c r="E27" s="860">
        <f t="shared" si="1"/>
        <v>2272945.7380000004</v>
      </c>
      <c r="F27" s="860">
        <f t="shared" si="2"/>
        <v>2194401.2539225002</v>
      </c>
      <c r="G27" s="860">
        <f t="shared" si="4"/>
        <v>4491.6980775000011</v>
      </c>
      <c r="H27" s="1157">
        <f t="shared" si="5"/>
        <v>246842.62</v>
      </c>
      <c r="I27" s="1157">
        <v>160447.70300000001</v>
      </c>
      <c r="J27" s="1157">
        <v>86394.916999999987</v>
      </c>
      <c r="K27" s="1157">
        <f t="shared" si="6"/>
        <v>4224996.07</v>
      </c>
      <c r="L27" s="1157">
        <v>2112498.0350000001</v>
      </c>
      <c r="M27" s="1157">
        <v>2108006.3369225003</v>
      </c>
      <c r="N27" s="1158">
        <v>4491.6980775000011</v>
      </c>
    </row>
    <row r="28" spans="1:14">
      <c r="A28" s="746" t="s">
        <v>62</v>
      </c>
      <c r="B28" s="859" t="s">
        <v>63</v>
      </c>
      <c r="C28" s="964" t="s">
        <v>267</v>
      </c>
      <c r="D28" s="964">
        <f t="shared" si="3"/>
        <v>46212646.459800005</v>
      </c>
      <c r="E28" s="860">
        <f t="shared" si="1"/>
        <v>23472266.030400001</v>
      </c>
      <c r="F28" s="860">
        <f t="shared" si="2"/>
        <v>22490222.174285252</v>
      </c>
      <c r="G28" s="860">
        <f t="shared" si="4"/>
        <v>250158.25511474998</v>
      </c>
      <c r="H28" s="1157">
        <f t="shared" si="5"/>
        <v>2439618.67</v>
      </c>
      <c r="I28" s="1157">
        <v>1585752.1355000001</v>
      </c>
      <c r="J28" s="1157">
        <v>853866.53449999995</v>
      </c>
      <c r="K28" s="1157">
        <f t="shared" si="6"/>
        <v>43773027.789800003</v>
      </c>
      <c r="L28" s="1157">
        <v>21886513.894900002</v>
      </c>
      <c r="M28" s="1157">
        <v>21636355.639785253</v>
      </c>
      <c r="N28" s="1158">
        <v>250158.25511474998</v>
      </c>
    </row>
    <row r="29" spans="1:14">
      <c r="A29" s="746" t="s">
        <v>64</v>
      </c>
      <c r="B29" s="859" t="s">
        <v>65</v>
      </c>
      <c r="C29" s="964" t="s">
        <v>266</v>
      </c>
      <c r="D29" s="964">
        <f t="shared" si="3"/>
        <v>16478138.5999</v>
      </c>
      <c r="E29" s="860">
        <f t="shared" si="1"/>
        <v>8307561.7704499997</v>
      </c>
      <c r="F29" s="860">
        <f t="shared" si="2"/>
        <v>8129267.2061499991</v>
      </c>
      <c r="G29" s="860">
        <f t="shared" si="4"/>
        <v>41309.623299999999</v>
      </c>
      <c r="H29" s="1157">
        <f t="shared" si="5"/>
        <v>456616.47</v>
      </c>
      <c r="I29" s="1157">
        <v>296800.70549999998</v>
      </c>
      <c r="J29" s="1157">
        <v>159815.76449999999</v>
      </c>
      <c r="K29" s="1157">
        <f t="shared" si="6"/>
        <v>16021522.129899999</v>
      </c>
      <c r="L29" s="1157">
        <v>8010761.0649499996</v>
      </c>
      <c r="M29" s="1157">
        <v>7969451.4416499995</v>
      </c>
      <c r="N29" s="1158">
        <v>41309.623299999999</v>
      </c>
    </row>
    <row r="30" spans="1:14">
      <c r="A30" s="746" t="s">
        <v>68</v>
      </c>
      <c r="B30" s="859" t="s">
        <v>69</v>
      </c>
      <c r="C30" s="964" t="s">
        <v>268</v>
      </c>
      <c r="D30" s="964">
        <f t="shared" si="3"/>
        <v>23711145.599900004</v>
      </c>
      <c r="E30" s="860">
        <f t="shared" si="1"/>
        <v>11980157.05345</v>
      </c>
      <c r="F30" s="860">
        <f t="shared" si="2"/>
        <v>11608557.111609999</v>
      </c>
      <c r="G30" s="860">
        <f t="shared" si="4"/>
        <v>122431.43483999999</v>
      </c>
      <c r="H30" s="1157">
        <f t="shared" si="5"/>
        <v>830561.69</v>
      </c>
      <c r="I30" s="1157">
        <v>539865.09849999996</v>
      </c>
      <c r="J30" s="1157">
        <v>290696.59149999998</v>
      </c>
      <c r="K30" s="1157">
        <f t="shared" si="6"/>
        <v>22880583.909900002</v>
      </c>
      <c r="L30" s="1157">
        <v>11440291.954949999</v>
      </c>
      <c r="M30" s="1157">
        <v>11317860.52011</v>
      </c>
      <c r="N30" s="1158">
        <v>122431.43483999999</v>
      </c>
    </row>
    <row r="31" spans="1:14">
      <c r="A31" s="746" t="s">
        <v>70</v>
      </c>
      <c r="B31" s="859" t="s">
        <v>71</v>
      </c>
      <c r="C31" s="964" t="s">
        <v>264</v>
      </c>
      <c r="D31" s="964">
        <f t="shared" si="3"/>
        <v>32962310.439900003</v>
      </c>
      <c r="E31" s="860">
        <f t="shared" si="1"/>
        <v>16633777.555950001</v>
      </c>
      <c r="F31" s="860">
        <f t="shared" si="2"/>
        <v>16219451.319384251</v>
      </c>
      <c r="G31" s="860">
        <f t="shared" si="4"/>
        <v>109081.56456574998</v>
      </c>
      <c r="H31" s="1157">
        <f t="shared" si="5"/>
        <v>1017482.24</v>
      </c>
      <c r="I31" s="1157">
        <v>661363.45600000001</v>
      </c>
      <c r="J31" s="1157">
        <v>356118.78399999999</v>
      </c>
      <c r="K31" s="1157">
        <f t="shared" si="6"/>
        <v>31944828.199900005</v>
      </c>
      <c r="L31" s="1157">
        <v>15972414.099950001</v>
      </c>
      <c r="M31" s="1157">
        <v>15863332.535384251</v>
      </c>
      <c r="N31" s="1158">
        <v>109081.56456574998</v>
      </c>
    </row>
    <row r="32" spans="1:14">
      <c r="A32" s="746" t="s">
        <v>72</v>
      </c>
      <c r="B32" s="859" t="s">
        <v>73</v>
      </c>
      <c r="C32" s="964" t="s">
        <v>266</v>
      </c>
      <c r="D32" s="964">
        <f t="shared" si="3"/>
        <v>15081647.019900002</v>
      </c>
      <c r="E32" s="860">
        <f t="shared" si="1"/>
        <v>7626412.1539500002</v>
      </c>
      <c r="F32" s="860">
        <f t="shared" si="2"/>
        <v>7333354.9253262505</v>
      </c>
      <c r="G32" s="860">
        <f t="shared" si="4"/>
        <v>121879.94062374998</v>
      </c>
      <c r="H32" s="1157">
        <f t="shared" si="5"/>
        <v>570590.96</v>
      </c>
      <c r="I32" s="1157">
        <v>370884.12400000001</v>
      </c>
      <c r="J32" s="1157">
        <v>199706.83599999998</v>
      </c>
      <c r="K32" s="1157">
        <f t="shared" si="6"/>
        <v>14511056.059900001</v>
      </c>
      <c r="L32" s="1157">
        <v>7255528.0299500003</v>
      </c>
      <c r="M32" s="1157">
        <v>7133648.0893262504</v>
      </c>
      <c r="N32" s="1158">
        <v>121879.94062374998</v>
      </c>
    </row>
    <row r="33" spans="1:14">
      <c r="A33" s="746" t="s">
        <v>74</v>
      </c>
      <c r="B33" s="859" t="s">
        <v>302</v>
      </c>
      <c r="C33" s="964" t="s">
        <v>267</v>
      </c>
      <c r="D33" s="964">
        <f t="shared" si="3"/>
        <v>514993544.65800005</v>
      </c>
      <c r="E33" s="860">
        <f t="shared" si="1"/>
        <v>262637185.61548498</v>
      </c>
      <c r="F33" s="860">
        <f t="shared" si="2"/>
        <v>251272355.47985455</v>
      </c>
      <c r="G33" s="860">
        <f t="shared" si="4"/>
        <v>1084003.5626604373</v>
      </c>
      <c r="H33" s="1157">
        <f t="shared" si="5"/>
        <v>34269421.909900002</v>
      </c>
      <c r="I33" s="1157">
        <v>22275124.241435003</v>
      </c>
      <c r="J33" s="1157">
        <v>11994297.668465</v>
      </c>
      <c r="K33" s="1157">
        <f t="shared" si="6"/>
        <v>480724122.74810004</v>
      </c>
      <c r="L33" s="1157">
        <v>240362061.37404999</v>
      </c>
      <c r="M33" s="1157">
        <v>239278057.81138957</v>
      </c>
      <c r="N33" s="1158">
        <v>1084003.5626604373</v>
      </c>
    </row>
    <row r="34" spans="1:14">
      <c r="A34" s="746" t="s">
        <v>76</v>
      </c>
      <c r="B34" s="859" t="s">
        <v>77</v>
      </c>
      <c r="C34" s="964" t="s">
        <v>267</v>
      </c>
      <c r="D34" s="964">
        <f t="shared" si="3"/>
        <v>42810740.6598</v>
      </c>
      <c r="E34" s="860">
        <f t="shared" si="1"/>
        <v>21680669.820900001</v>
      </c>
      <c r="F34" s="860">
        <f t="shared" si="2"/>
        <v>20973534.693629999</v>
      </c>
      <c r="G34" s="860">
        <f t="shared" si="4"/>
        <v>156536.14527000001</v>
      </c>
      <c r="H34" s="1157">
        <f t="shared" si="5"/>
        <v>1835329.94</v>
      </c>
      <c r="I34" s="1157">
        <v>1192964.4609999999</v>
      </c>
      <c r="J34" s="1157">
        <v>642365.47899999993</v>
      </c>
      <c r="K34" s="1157">
        <f t="shared" si="6"/>
        <v>40975410.719800003</v>
      </c>
      <c r="L34" s="1157">
        <v>20487705.359900001</v>
      </c>
      <c r="M34" s="1157">
        <v>20331169.21463</v>
      </c>
      <c r="N34" s="1158">
        <v>156536.14527000001</v>
      </c>
    </row>
    <row r="35" spans="1:14">
      <c r="A35" s="746" t="s">
        <v>78</v>
      </c>
      <c r="B35" s="859" t="s">
        <v>79</v>
      </c>
      <c r="C35" s="964" t="s">
        <v>268</v>
      </c>
      <c r="D35" s="964">
        <f t="shared" si="3"/>
        <v>17111866.529899999</v>
      </c>
      <c r="E35" s="860">
        <f t="shared" si="1"/>
        <v>8708726.4074499998</v>
      </c>
      <c r="F35" s="860">
        <f t="shared" si="2"/>
        <v>8384038.6290249992</v>
      </c>
      <c r="G35" s="860">
        <f t="shared" si="4"/>
        <v>19101.493424999997</v>
      </c>
      <c r="H35" s="1157">
        <f t="shared" si="5"/>
        <v>1018620.95</v>
      </c>
      <c r="I35" s="1157">
        <v>662103.61749999993</v>
      </c>
      <c r="J35" s="1157">
        <v>356517.33249999996</v>
      </c>
      <c r="K35" s="1157">
        <f t="shared" si="6"/>
        <v>16093245.5799</v>
      </c>
      <c r="L35" s="1157">
        <v>8046622.7899500001</v>
      </c>
      <c r="M35" s="1157">
        <v>8027521.2965249997</v>
      </c>
      <c r="N35" s="1158">
        <v>19101.493424999997</v>
      </c>
    </row>
    <row r="36" spans="1:14">
      <c r="A36" s="746" t="s">
        <v>80</v>
      </c>
      <c r="B36" s="859" t="s">
        <v>81</v>
      </c>
      <c r="C36" s="964" t="s">
        <v>266</v>
      </c>
      <c r="D36" s="964">
        <f t="shared" si="3"/>
        <v>16241120.559900003</v>
      </c>
      <c r="E36" s="860">
        <f t="shared" si="1"/>
        <v>8262844.5064500002</v>
      </c>
      <c r="F36" s="860">
        <f t="shared" si="2"/>
        <v>7929842.4560341258</v>
      </c>
      <c r="G36" s="860">
        <f t="shared" si="4"/>
        <v>48433.597415875003</v>
      </c>
      <c r="H36" s="1157">
        <f t="shared" si="5"/>
        <v>948561.51</v>
      </c>
      <c r="I36" s="1157">
        <v>616564.98149999999</v>
      </c>
      <c r="J36" s="1157">
        <v>331996.52849999996</v>
      </c>
      <c r="K36" s="1157">
        <f t="shared" si="6"/>
        <v>15292559.049900003</v>
      </c>
      <c r="L36" s="1157">
        <v>7646279.5249500005</v>
      </c>
      <c r="M36" s="1157">
        <v>7597845.9275341257</v>
      </c>
      <c r="N36" s="1158">
        <v>48433.597415875003</v>
      </c>
    </row>
    <row r="37" spans="1:14">
      <c r="A37" s="746" t="s">
        <v>84</v>
      </c>
      <c r="B37" s="859" t="s">
        <v>308</v>
      </c>
      <c r="C37" s="964" t="s">
        <v>265</v>
      </c>
      <c r="D37" s="964">
        <f t="shared" si="3"/>
        <v>58654229.149699993</v>
      </c>
      <c r="E37" s="860">
        <f t="shared" ref="E37:E68" si="7">+I37+L37</f>
        <v>29619815.732349999</v>
      </c>
      <c r="F37" s="860">
        <f t="shared" ref="F37:F68" si="8">+J37+M37</f>
        <v>28830981.248087499</v>
      </c>
      <c r="G37" s="860">
        <f t="shared" si="4"/>
        <v>203432.16926250001</v>
      </c>
      <c r="H37" s="1157">
        <f t="shared" si="5"/>
        <v>1951341.05</v>
      </c>
      <c r="I37" s="1157">
        <v>1268371.6825000001</v>
      </c>
      <c r="J37" s="1157">
        <v>682969.36749999993</v>
      </c>
      <c r="K37" s="1157">
        <f t="shared" si="6"/>
        <v>56702888.099699996</v>
      </c>
      <c r="L37" s="1157">
        <v>28351444.049849998</v>
      </c>
      <c r="M37" s="1157">
        <v>28148011.8805875</v>
      </c>
      <c r="N37" s="1158">
        <v>203432.16926250001</v>
      </c>
    </row>
    <row r="38" spans="1:14">
      <c r="A38" s="746" t="s">
        <v>86</v>
      </c>
      <c r="B38" s="859" t="s">
        <v>87</v>
      </c>
      <c r="C38" s="964" t="s">
        <v>267</v>
      </c>
      <c r="D38" s="964">
        <f t="shared" si="3"/>
        <v>53115179.649800003</v>
      </c>
      <c r="E38" s="860">
        <f t="shared" si="7"/>
        <v>27011382.181899998</v>
      </c>
      <c r="F38" s="860">
        <f t="shared" si="8"/>
        <v>26049512.783012502</v>
      </c>
      <c r="G38" s="860">
        <f t="shared" si="4"/>
        <v>54284.684887500007</v>
      </c>
      <c r="H38" s="1157">
        <f t="shared" si="5"/>
        <v>3025282.38</v>
      </c>
      <c r="I38" s="1157">
        <v>1966433.547</v>
      </c>
      <c r="J38" s="1157">
        <v>1058848.8329999999</v>
      </c>
      <c r="K38" s="1157">
        <f t="shared" si="6"/>
        <v>50089897.2698</v>
      </c>
      <c r="L38" s="1157">
        <v>25044948.6349</v>
      </c>
      <c r="M38" s="1157">
        <v>24990663.950012501</v>
      </c>
      <c r="N38" s="1158">
        <v>54284.684887500007</v>
      </c>
    </row>
    <row r="39" spans="1:14">
      <c r="A39" s="746" t="s">
        <v>92</v>
      </c>
      <c r="B39" s="859" t="s">
        <v>93</v>
      </c>
      <c r="C39" s="964" t="s">
        <v>268</v>
      </c>
      <c r="D39" s="964">
        <f t="shared" si="3"/>
        <v>21303421.569899999</v>
      </c>
      <c r="E39" s="860">
        <f t="shared" si="7"/>
        <v>10767844.79445</v>
      </c>
      <c r="F39" s="860">
        <f t="shared" si="8"/>
        <v>10524850.049422499</v>
      </c>
      <c r="G39" s="860">
        <f t="shared" si="4"/>
        <v>10726.726027499999</v>
      </c>
      <c r="H39" s="1157">
        <f t="shared" si="5"/>
        <v>774226.73</v>
      </c>
      <c r="I39" s="1157">
        <v>503247.37449999998</v>
      </c>
      <c r="J39" s="1157">
        <v>270979.35550000001</v>
      </c>
      <c r="K39" s="1157">
        <f t="shared" si="6"/>
        <v>20529194.839899998</v>
      </c>
      <c r="L39" s="1157">
        <v>10264597.419949999</v>
      </c>
      <c r="M39" s="1157">
        <v>10253870.693922499</v>
      </c>
      <c r="N39" s="1158">
        <v>10726.726027499999</v>
      </c>
    </row>
    <row r="40" spans="1:14">
      <c r="A40" s="746" t="s">
        <v>94</v>
      </c>
      <c r="B40" s="859" t="s">
        <v>95</v>
      </c>
      <c r="C40" s="964" t="s">
        <v>264</v>
      </c>
      <c r="D40" s="964">
        <f t="shared" si="3"/>
        <v>32819230.149899997</v>
      </c>
      <c r="E40" s="860">
        <f t="shared" si="7"/>
        <v>16626074.35245</v>
      </c>
      <c r="F40" s="860">
        <f t="shared" si="8"/>
        <v>16131309.013724625</v>
      </c>
      <c r="G40" s="860">
        <f t="shared" si="4"/>
        <v>61846.783725375004</v>
      </c>
      <c r="H40" s="1157">
        <f t="shared" si="5"/>
        <v>1443061.85</v>
      </c>
      <c r="I40" s="1157">
        <v>937990.20250000013</v>
      </c>
      <c r="J40" s="1157">
        <v>505071.64750000002</v>
      </c>
      <c r="K40" s="1157">
        <f t="shared" si="6"/>
        <v>31376168.299899995</v>
      </c>
      <c r="L40" s="1157">
        <v>15688084.14995</v>
      </c>
      <c r="M40" s="1157">
        <v>15626237.366224624</v>
      </c>
      <c r="N40" s="1158">
        <v>61846.783725375004</v>
      </c>
    </row>
    <row r="41" spans="1:14">
      <c r="A41" s="746" t="s">
        <v>96</v>
      </c>
      <c r="B41" s="859" t="s">
        <v>97</v>
      </c>
      <c r="C41" s="964" t="s">
        <v>266</v>
      </c>
      <c r="D41" s="964">
        <f t="shared" si="3"/>
        <v>12025908.0899</v>
      </c>
      <c r="E41" s="860">
        <f t="shared" si="7"/>
        <v>6074865.0434499998</v>
      </c>
      <c r="F41" s="860">
        <f t="shared" si="8"/>
        <v>5914241.1009962503</v>
      </c>
      <c r="G41" s="860">
        <f t="shared" si="4"/>
        <v>36801.945453749999</v>
      </c>
      <c r="H41" s="1157">
        <f t="shared" si="5"/>
        <v>412739.99</v>
      </c>
      <c r="I41" s="1157">
        <v>268280.99349999998</v>
      </c>
      <c r="J41" s="1157">
        <v>144458.99649999998</v>
      </c>
      <c r="K41" s="1157">
        <f t="shared" si="6"/>
        <v>11613168.0999</v>
      </c>
      <c r="L41" s="1157">
        <v>5806584.0499499999</v>
      </c>
      <c r="M41" s="1157">
        <v>5769782.1044962499</v>
      </c>
      <c r="N41" s="1158">
        <v>36801.945453749999</v>
      </c>
    </row>
    <row r="42" spans="1:14">
      <c r="A42" s="746" t="s">
        <v>98</v>
      </c>
      <c r="B42" s="859" t="s">
        <v>99</v>
      </c>
      <c r="C42" s="964" t="s">
        <v>268</v>
      </c>
      <c r="D42" s="964">
        <f t="shared" si="3"/>
        <v>22261189.089899998</v>
      </c>
      <c r="E42" s="860">
        <f t="shared" si="7"/>
        <v>11267452.19595</v>
      </c>
      <c r="F42" s="860">
        <f t="shared" si="8"/>
        <v>10959736.136381248</v>
      </c>
      <c r="G42" s="860">
        <f t="shared" si="4"/>
        <v>34000.757568749999</v>
      </c>
      <c r="H42" s="1157">
        <f t="shared" si="5"/>
        <v>912384.34</v>
      </c>
      <c r="I42" s="1157">
        <v>593049.821</v>
      </c>
      <c r="J42" s="1157">
        <v>319334.51899999997</v>
      </c>
      <c r="K42" s="1157">
        <f t="shared" si="6"/>
        <v>21348804.749899998</v>
      </c>
      <c r="L42" s="1157">
        <v>10674402.374949999</v>
      </c>
      <c r="M42" s="1157">
        <v>10640401.617381249</v>
      </c>
      <c r="N42" s="1158">
        <v>34000.757568749999</v>
      </c>
    </row>
    <row r="43" spans="1:14">
      <c r="A43" s="746" t="s">
        <v>100</v>
      </c>
      <c r="B43" s="859" t="s">
        <v>101</v>
      </c>
      <c r="C43" s="964" t="s">
        <v>267</v>
      </c>
      <c r="D43" s="964">
        <f t="shared" si="3"/>
        <v>16831229.289899997</v>
      </c>
      <c r="E43" s="860">
        <f t="shared" si="7"/>
        <v>8557246.9219499994</v>
      </c>
      <c r="F43" s="860">
        <f t="shared" si="8"/>
        <v>8252897.2361062495</v>
      </c>
      <c r="G43" s="860">
        <f t="shared" si="4"/>
        <v>21085.131843750001</v>
      </c>
      <c r="H43" s="1157">
        <f t="shared" si="5"/>
        <v>944215.18000000017</v>
      </c>
      <c r="I43" s="1157">
        <v>613739.86700000009</v>
      </c>
      <c r="J43" s="1157">
        <v>330475.31300000002</v>
      </c>
      <c r="K43" s="1157">
        <f t="shared" si="6"/>
        <v>15887014.109899998</v>
      </c>
      <c r="L43" s="1157">
        <v>7943507.0549499998</v>
      </c>
      <c r="M43" s="1157">
        <v>7922421.9231062494</v>
      </c>
      <c r="N43" s="1158">
        <v>21085.131843750001</v>
      </c>
    </row>
    <row r="44" spans="1:14">
      <c r="A44" s="746" t="s">
        <v>102</v>
      </c>
      <c r="B44" s="859" t="s">
        <v>103</v>
      </c>
      <c r="C44" s="964" t="s">
        <v>264</v>
      </c>
      <c r="D44" s="964">
        <f t="shared" si="3"/>
        <v>33744236.289799996</v>
      </c>
      <c r="E44" s="860">
        <f t="shared" si="7"/>
        <v>16993886.629899997</v>
      </c>
      <c r="F44" s="860">
        <f t="shared" si="8"/>
        <v>16713700.906866249</v>
      </c>
      <c r="G44" s="860">
        <f t="shared" si="4"/>
        <v>36648.753033749999</v>
      </c>
      <c r="H44" s="1157">
        <f t="shared" si="5"/>
        <v>811789.9</v>
      </c>
      <c r="I44" s="1157">
        <v>527663.43500000006</v>
      </c>
      <c r="J44" s="1157">
        <v>284126.46499999997</v>
      </c>
      <c r="K44" s="1157">
        <f t="shared" si="6"/>
        <v>32932446.389799997</v>
      </c>
      <c r="L44" s="1157">
        <v>16466223.194899999</v>
      </c>
      <c r="M44" s="1157">
        <v>16429574.441866249</v>
      </c>
      <c r="N44" s="1158">
        <v>36648.753033749999</v>
      </c>
    </row>
    <row r="45" spans="1:14">
      <c r="A45" s="746" t="s">
        <v>104</v>
      </c>
      <c r="B45" s="859" t="s">
        <v>309</v>
      </c>
      <c r="C45" s="964" t="s">
        <v>265</v>
      </c>
      <c r="D45" s="964">
        <f t="shared" si="3"/>
        <v>59903010.369699992</v>
      </c>
      <c r="E45" s="860">
        <f t="shared" si="7"/>
        <v>30159156.990350001</v>
      </c>
      <c r="F45" s="860">
        <f t="shared" si="8"/>
        <v>29660552.372559376</v>
      </c>
      <c r="G45" s="860">
        <f t="shared" si="4"/>
        <v>83301.006790625004</v>
      </c>
      <c r="H45" s="1157">
        <f t="shared" si="5"/>
        <v>1384345.37</v>
      </c>
      <c r="I45" s="1157">
        <v>899824.49050000007</v>
      </c>
      <c r="J45" s="1157">
        <v>484520.87949999998</v>
      </c>
      <c r="K45" s="1157">
        <f t="shared" si="6"/>
        <v>58518664.999699995</v>
      </c>
      <c r="L45" s="1157">
        <v>29259332.499850001</v>
      </c>
      <c r="M45" s="1157">
        <v>29176031.493059374</v>
      </c>
      <c r="N45" s="1158">
        <v>83301.006790625004</v>
      </c>
    </row>
    <row r="46" spans="1:14">
      <c r="A46" s="746" t="s">
        <v>108</v>
      </c>
      <c r="B46" s="859" t="s">
        <v>109</v>
      </c>
      <c r="C46" s="964" t="s">
        <v>266</v>
      </c>
      <c r="D46" s="964">
        <f t="shared" si="3"/>
        <v>54014735.6998</v>
      </c>
      <c r="E46" s="860">
        <f t="shared" si="7"/>
        <v>27351637.672400001</v>
      </c>
      <c r="F46" s="860">
        <f t="shared" si="8"/>
        <v>26511035.915687501</v>
      </c>
      <c r="G46" s="860">
        <f t="shared" si="4"/>
        <v>152062.11171249999</v>
      </c>
      <c r="H46" s="1157">
        <f t="shared" si="5"/>
        <v>2295132.15</v>
      </c>
      <c r="I46" s="1157">
        <v>1491835.8975</v>
      </c>
      <c r="J46" s="1157">
        <v>803296.25249999994</v>
      </c>
      <c r="K46" s="1157">
        <f t="shared" si="6"/>
        <v>51719603.549800001</v>
      </c>
      <c r="L46" s="1157">
        <v>25859801.774900001</v>
      </c>
      <c r="M46" s="1157">
        <v>25707739.6631875</v>
      </c>
      <c r="N46" s="1158">
        <v>152062.11171249999</v>
      </c>
    </row>
    <row r="47" spans="1:14">
      <c r="A47" s="746" t="s">
        <v>110</v>
      </c>
      <c r="B47" s="859" t="s">
        <v>111</v>
      </c>
      <c r="C47" s="964" t="s">
        <v>266</v>
      </c>
      <c r="D47" s="964">
        <f t="shared" si="3"/>
        <v>265100096.14879999</v>
      </c>
      <c r="E47" s="860">
        <f t="shared" si="7"/>
        <v>134320854.75938499</v>
      </c>
      <c r="F47" s="860">
        <f t="shared" si="8"/>
        <v>130318834.91261686</v>
      </c>
      <c r="G47" s="860">
        <f t="shared" si="4"/>
        <v>460406.47679812502</v>
      </c>
      <c r="H47" s="1157">
        <f t="shared" si="5"/>
        <v>11805377.899900001</v>
      </c>
      <c r="I47" s="1157">
        <v>7673495.6349350009</v>
      </c>
      <c r="J47" s="1157">
        <v>4131882.2649650001</v>
      </c>
      <c r="K47" s="1157">
        <f t="shared" si="6"/>
        <v>253294718.2489</v>
      </c>
      <c r="L47" s="1157">
        <v>126647359.12445</v>
      </c>
      <c r="M47" s="1157">
        <v>126186952.64765187</v>
      </c>
      <c r="N47" s="1158">
        <v>460406.47679812502</v>
      </c>
    </row>
    <row r="48" spans="1:14">
      <c r="A48" s="746" t="s">
        <v>112</v>
      </c>
      <c r="B48" s="859" t="s">
        <v>300</v>
      </c>
      <c r="C48" s="964" t="s">
        <v>265</v>
      </c>
      <c r="D48" s="964">
        <f t="shared" si="3"/>
        <v>118213481.6094</v>
      </c>
      <c r="E48" s="860">
        <f t="shared" si="7"/>
        <v>59608504.295700006</v>
      </c>
      <c r="F48" s="860">
        <f t="shared" si="8"/>
        <v>58539892.371961258</v>
      </c>
      <c r="G48" s="860">
        <f t="shared" si="4"/>
        <v>65084.941738749993</v>
      </c>
      <c r="H48" s="1157">
        <f t="shared" si="5"/>
        <v>3345089.94</v>
      </c>
      <c r="I48" s="1157">
        <v>2174308.4610000001</v>
      </c>
      <c r="J48" s="1157">
        <v>1170781.4789999998</v>
      </c>
      <c r="K48" s="1157">
        <f t="shared" si="6"/>
        <v>114868391.66940001</v>
      </c>
      <c r="L48" s="1157">
        <v>57434195.834700003</v>
      </c>
      <c r="M48" s="1157">
        <v>57369110.892961256</v>
      </c>
      <c r="N48" s="1158">
        <v>65084.941738749993</v>
      </c>
    </row>
    <row r="49" spans="1:14">
      <c r="A49" s="746" t="s">
        <v>114</v>
      </c>
      <c r="B49" s="859" t="s">
        <v>115</v>
      </c>
      <c r="C49" s="964" t="s">
        <v>265</v>
      </c>
      <c r="D49" s="964">
        <f t="shared" si="3"/>
        <v>1954305.69</v>
      </c>
      <c r="E49" s="860">
        <f t="shared" si="7"/>
        <v>984576.09</v>
      </c>
      <c r="F49" s="860">
        <f t="shared" si="8"/>
        <v>963914.25500999996</v>
      </c>
      <c r="G49" s="860">
        <f t="shared" si="4"/>
        <v>5815.3449899999996</v>
      </c>
      <c r="H49" s="1157">
        <f t="shared" si="5"/>
        <v>49488.3</v>
      </c>
      <c r="I49" s="1157">
        <v>32167.395000000004</v>
      </c>
      <c r="J49" s="1157">
        <v>17320.904999999999</v>
      </c>
      <c r="K49" s="1157">
        <f t="shared" si="6"/>
        <v>1904817.39</v>
      </c>
      <c r="L49" s="1157">
        <v>952408.69499999995</v>
      </c>
      <c r="M49" s="1157">
        <v>946593.35000999994</v>
      </c>
      <c r="N49" s="1158">
        <v>5815.3449899999996</v>
      </c>
    </row>
    <row r="50" spans="1:14">
      <c r="A50" s="746" t="s">
        <v>118</v>
      </c>
      <c r="B50" s="859" t="s">
        <v>119</v>
      </c>
      <c r="C50" s="964" t="s">
        <v>264</v>
      </c>
      <c r="D50" s="964">
        <f t="shared" si="3"/>
        <v>31602804.959899999</v>
      </c>
      <c r="E50" s="860">
        <f t="shared" si="7"/>
        <v>15946541.51695</v>
      </c>
      <c r="F50" s="860">
        <f t="shared" si="8"/>
        <v>15629863.062719125</v>
      </c>
      <c r="G50" s="860">
        <f t="shared" si="4"/>
        <v>26400.380230874998</v>
      </c>
      <c r="H50" s="1157">
        <f t="shared" si="5"/>
        <v>967593.58000000007</v>
      </c>
      <c r="I50" s="1157">
        <v>628935.82700000005</v>
      </c>
      <c r="J50" s="1157">
        <v>338657.75299999997</v>
      </c>
      <c r="K50" s="1157">
        <f t="shared" si="6"/>
        <v>30635211.379900001</v>
      </c>
      <c r="L50" s="1157">
        <v>15317605.68995</v>
      </c>
      <c r="M50" s="1157">
        <v>15291205.309719125</v>
      </c>
      <c r="N50" s="1158">
        <v>26400.380230874998</v>
      </c>
    </row>
    <row r="51" spans="1:14">
      <c r="A51" s="746" t="s">
        <v>120</v>
      </c>
      <c r="B51" s="859" t="s">
        <v>121</v>
      </c>
      <c r="C51" s="964" t="s">
        <v>264</v>
      </c>
      <c r="D51" s="964">
        <f t="shared" si="3"/>
        <v>28119574.709899999</v>
      </c>
      <c r="E51" s="860">
        <f t="shared" si="7"/>
        <v>14282804.527450001</v>
      </c>
      <c r="F51" s="860">
        <f t="shared" si="8"/>
        <v>13788972.909966875</v>
      </c>
      <c r="G51" s="860">
        <f t="shared" si="4"/>
        <v>47797.272483124994</v>
      </c>
      <c r="H51" s="1157">
        <f t="shared" si="5"/>
        <v>1486781.15</v>
      </c>
      <c r="I51" s="1157">
        <v>966407.74749999994</v>
      </c>
      <c r="J51" s="1157">
        <v>520373.40249999991</v>
      </c>
      <c r="K51" s="1157">
        <f t="shared" si="6"/>
        <v>26632793.559900001</v>
      </c>
      <c r="L51" s="1157">
        <v>13316396.77995</v>
      </c>
      <c r="M51" s="1157">
        <v>13268599.507466875</v>
      </c>
      <c r="N51" s="1158">
        <v>47797.272483124994</v>
      </c>
    </row>
    <row r="52" spans="1:14">
      <c r="A52" s="746" t="s">
        <v>122</v>
      </c>
      <c r="B52" s="859" t="s">
        <v>271</v>
      </c>
      <c r="C52" s="964" t="s">
        <v>266</v>
      </c>
      <c r="D52" s="964">
        <f t="shared" si="3"/>
        <v>8831314.4499999993</v>
      </c>
      <c r="E52" s="860">
        <f t="shared" si="7"/>
        <v>4486745.6839999994</v>
      </c>
      <c r="F52" s="860">
        <f t="shared" si="8"/>
        <v>4323900.0490849996</v>
      </c>
      <c r="G52" s="860">
        <f t="shared" si="4"/>
        <v>20668.716915000005</v>
      </c>
      <c r="H52" s="1157">
        <f t="shared" si="5"/>
        <v>473923.06</v>
      </c>
      <c r="I52" s="1157">
        <v>308049.989</v>
      </c>
      <c r="J52" s="1157">
        <v>165873.071</v>
      </c>
      <c r="K52" s="1157">
        <f t="shared" si="6"/>
        <v>8357391.3899999997</v>
      </c>
      <c r="L52" s="1157">
        <v>4178695.6949999998</v>
      </c>
      <c r="M52" s="1157">
        <v>4158026.9780849996</v>
      </c>
      <c r="N52" s="1158">
        <v>20668.716915000005</v>
      </c>
    </row>
    <row r="53" spans="1:14">
      <c r="A53" s="746" t="s">
        <v>124</v>
      </c>
      <c r="B53" s="859" t="s">
        <v>125</v>
      </c>
      <c r="C53" s="964" t="s">
        <v>267</v>
      </c>
      <c r="D53" s="964">
        <f t="shared" si="3"/>
        <v>16604585.999899998</v>
      </c>
      <c r="E53" s="860">
        <f t="shared" si="7"/>
        <v>8401062.5939499997</v>
      </c>
      <c r="F53" s="860">
        <f t="shared" si="8"/>
        <v>8108255.2116868747</v>
      </c>
      <c r="G53" s="860">
        <f t="shared" si="4"/>
        <v>95268.194263125013</v>
      </c>
      <c r="H53" s="1157">
        <f t="shared" si="5"/>
        <v>658463.96</v>
      </c>
      <c r="I53" s="1157">
        <v>428001.57399999996</v>
      </c>
      <c r="J53" s="1157">
        <v>230462.38599999997</v>
      </c>
      <c r="K53" s="1157">
        <f t="shared" si="6"/>
        <v>15946122.039899999</v>
      </c>
      <c r="L53" s="1157">
        <v>7973061.0199499996</v>
      </c>
      <c r="M53" s="1157">
        <v>7877792.8256868748</v>
      </c>
      <c r="N53" s="1158">
        <v>95268.194263125013</v>
      </c>
    </row>
    <row r="54" spans="1:14">
      <c r="A54" s="746" t="s">
        <v>126</v>
      </c>
      <c r="B54" s="859" t="s">
        <v>127</v>
      </c>
      <c r="C54" s="964" t="s">
        <v>266</v>
      </c>
      <c r="D54" s="964">
        <f t="shared" si="3"/>
        <v>11956781.5999</v>
      </c>
      <c r="E54" s="860">
        <f t="shared" si="7"/>
        <v>6052304.5284500001</v>
      </c>
      <c r="F54" s="860">
        <f t="shared" si="8"/>
        <v>5786807.2942937501</v>
      </c>
      <c r="G54" s="860">
        <f t="shared" si="4"/>
        <v>117669.77715625001</v>
      </c>
      <c r="H54" s="1157">
        <f t="shared" si="5"/>
        <v>492758.19</v>
      </c>
      <c r="I54" s="1157">
        <v>320292.8235</v>
      </c>
      <c r="J54" s="1157">
        <v>172465.3665</v>
      </c>
      <c r="K54" s="1157">
        <f t="shared" si="6"/>
        <v>11464023.4099</v>
      </c>
      <c r="L54" s="1157">
        <v>5732011.7049500002</v>
      </c>
      <c r="M54" s="1157">
        <v>5614341.9277937505</v>
      </c>
      <c r="N54" s="1158">
        <v>117669.77715625001</v>
      </c>
    </row>
    <row r="55" spans="1:14">
      <c r="A55" s="746" t="s">
        <v>128</v>
      </c>
      <c r="B55" s="859" t="s">
        <v>129</v>
      </c>
      <c r="C55" s="964" t="s">
        <v>266</v>
      </c>
      <c r="D55" s="964">
        <f t="shared" si="3"/>
        <v>12900781.8299</v>
      </c>
      <c r="E55" s="860">
        <f t="shared" si="7"/>
        <v>6525706.7939500008</v>
      </c>
      <c r="F55" s="860">
        <f t="shared" si="8"/>
        <v>6237206.0996025</v>
      </c>
      <c r="G55" s="860">
        <f t="shared" si="4"/>
        <v>137868.93634750001</v>
      </c>
      <c r="H55" s="1157">
        <f t="shared" si="5"/>
        <v>502105.86</v>
      </c>
      <c r="I55" s="1157">
        <v>326368.80900000001</v>
      </c>
      <c r="J55" s="1157">
        <v>175737.05099999998</v>
      </c>
      <c r="K55" s="1157">
        <f t="shared" si="6"/>
        <v>12398675.969900001</v>
      </c>
      <c r="L55" s="1157">
        <v>6199337.9849500004</v>
      </c>
      <c r="M55" s="1157">
        <v>6061469.0486025</v>
      </c>
      <c r="N55" s="1158">
        <v>137868.93634750001</v>
      </c>
    </row>
    <row r="56" spans="1:14">
      <c r="A56" s="746" t="s">
        <v>130</v>
      </c>
      <c r="B56" s="859" t="s">
        <v>131</v>
      </c>
      <c r="C56" s="964" t="s">
        <v>268</v>
      </c>
      <c r="D56" s="964">
        <f t="shared" si="3"/>
        <v>45630563.979800008</v>
      </c>
      <c r="E56" s="860">
        <f t="shared" si="7"/>
        <v>22981928.040399998</v>
      </c>
      <c r="F56" s="860">
        <f t="shared" si="8"/>
        <v>22635238.228399999</v>
      </c>
      <c r="G56" s="860">
        <f t="shared" si="4"/>
        <v>13397.711000000001</v>
      </c>
      <c r="H56" s="1157">
        <f t="shared" si="5"/>
        <v>1110973.67</v>
      </c>
      <c r="I56" s="1157">
        <v>722132.88549999997</v>
      </c>
      <c r="J56" s="1157">
        <v>388840.78449999995</v>
      </c>
      <c r="K56" s="1157">
        <f t="shared" si="6"/>
        <v>44519590.309800006</v>
      </c>
      <c r="L56" s="1157">
        <v>22259795.154899999</v>
      </c>
      <c r="M56" s="1157">
        <v>22246397.4439</v>
      </c>
      <c r="N56" s="1158">
        <v>13397.711000000001</v>
      </c>
    </row>
    <row r="57" spans="1:14">
      <c r="A57" s="746" t="s">
        <v>132</v>
      </c>
      <c r="B57" s="859" t="s">
        <v>133</v>
      </c>
      <c r="C57" s="964" t="s">
        <v>267</v>
      </c>
      <c r="D57" s="964">
        <f t="shared" si="3"/>
        <v>106511612.0396</v>
      </c>
      <c r="E57" s="860">
        <f t="shared" si="7"/>
        <v>54272113.988800004</v>
      </c>
      <c r="F57" s="860">
        <f t="shared" si="8"/>
        <v>52007588.470045753</v>
      </c>
      <c r="G57" s="860">
        <f t="shared" si="4"/>
        <v>231909.58075425003</v>
      </c>
      <c r="H57" s="1157">
        <f t="shared" si="5"/>
        <v>6775386.46</v>
      </c>
      <c r="I57" s="1157">
        <v>4404001.199</v>
      </c>
      <c r="J57" s="1157">
        <v>2371385.2609999999</v>
      </c>
      <c r="K57" s="1157">
        <f t="shared" si="6"/>
        <v>99736225.579600006</v>
      </c>
      <c r="L57" s="1157">
        <v>49868112.789800003</v>
      </c>
      <c r="M57" s="1157">
        <v>49636203.209045753</v>
      </c>
      <c r="N57" s="1158">
        <v>231909.58075425003</v>
      </c>
    </row>
    <row r="58" spans="1:14">
      <c r="A58" s="746" t="s">
        <v>134</v>
      </c>
      <c r="B58" s="859" t="s">
        <v>135</v>
      </c>
      <c r="C58" s="964" t="s">
        <v>267</v>
      </c>
      <c r="D58" s="964">
        <f t="shared" si="3"/>
        <v>34022905.059799999</v>
      </c>
      <c r="E58" s="860">
        <f t="shared" si="7"/>
        <v>17233874.1829</v>
      </c>
      <c r="F58" s="860">
        <f t="shared" si="8"/>
        <v>16634458.00318375</v>
      </c>
      <c r="G58" s="860">
        <f t="shared" si="4"/>
        <v>154572.87371625</v>
      </c>
      <c r="H58" s="1157">
        <f t="shared" si="5"/>
        <v>1482811.02</v>
      </c>
      <c r="I58" s="1157">
        <v>963827.16300000006</v>
      </c>
      <c r="J58" s="1157">
        <v>518983.85699999996</v>
      </c>
      <c r="K58" s="1157">
        <f t="shared" si="6"/>
        <v>32540094.039799999</v>
      </c>
      <c r="L58" s="1157">
        <v>16270047.0199</v>
      </c>
      <c r="M58" s="1157">
        <v>16115474.14618375</v>
      </c>
      <c r="N58" s="1158">
        <v>154572.87371625</v>
      </c>
    </row>
    <row r="59" spans="1:14">
      <c r="A59" s="746" t="s">
        <v>136</v>
      </c>
      <c r="B59" s="859" t="s">
        <v>137</v>
      </c>
      <c r="C59" s="964" t="s">
        <v>266</v>
      </c>
      <c r="D59" s="964">
        <f t="shared" si="3"/>
        <v>17784738.579899997</v>
      </c>
      <c r="E59" s="860">
        <f t="shared" si="7"/>
        <v>8959695.4519499987</v>
      </c>
      <c r="F59" s="860">
        <f t="shared" si="8"/>
        <v>8756317.7166712489</v>
      </c>
      <c r="G59" s="860">
        <f t="shared" si="4"/>
        <v>68725.411278750005</v>
      </c>
      <c r="H59" s="1157">
        <f t="shared" si="5"/>
        <v>448841.08000000007</v>
      </c>
      <c r="I59" s="1157">
        <v>291746.70200000005</v>
      </c>
      <c r="J59" s="1157">
        <v>157094.378</v>
      </c>
      <c r="K59" s="1157">
        <f t="shared" si="6"/>
        <v>17335897.499899998</v>
      </c>
      <c r="L59" s="1157">
        <v>8667948.7499499992</v>
      </c>
      <c r="M59" s="1157">
        <v>8599223.3386712484</v>
      </c>
      <c r="N59" s="1158">
        <v>68725.411278750005</v>
      </c>
    </row>
    <row r="60" spans="1:14">
      <c r="A60" s="746" t="s">
        <v>140</v>
      </c>
      <c r="B60" s="859" t="s">
        <v>141</v>
      </c>
      <c r="C60" s="964" t="s">
        <v>267</v>
      </c>
      <c r="D60" s="964">
        <f t="shared" si="3"/>
        <v>13204460.5999</v>
      </c>
      <c r="E60" s="860">
        <f t="shared" si="7"/>
        <v>6710943.8754500002</v>
      </c>
      <c r="F60" s="860">
        <f t="shared" si="8"/>
        <v>6423138.7112156246</v>
      </c>
      <c r="G60" s="860">
        <f t="shared" si="4"/>
        <v>70378.013234375016</v>
      </c>
      <c r="H60" s="1157">
        <f t="shared" si="5"/>
        <v>724757.17</v>
      </c>
      <c r="I60" s="1157">
        <v>471092.16050000006</v>
      </c>
      <c r="J60" s="1157">
        <v>253665.00949999999</v>
      </c>
      <c r="K60" s="1157">
        <f t="shared" si="6"/>
        <v>12479703.4299</v>
      </c>
      <c r="L60" s="1157">
        <v>6239851.7149499999</v>
      </c>
      <c r="M60" s="1157">
        <v>6169473.7017156249</v>
      </c>
      <c r="N60" s="1158">
        <v>70378.013234375016</v>
      </c>
    </row>
    <row r="61" spans="1:14">
      <c r="A61" s="746" t="s">
        <v>146</v>
      </c>
      <c r="B61" s="859" t="s">
        <v>147</v>
      </c>
      <c r="C61" s="964" t="s">
        <v>264</v>
      </c>
      <c r="D61" s="964">
        <f t="shared" si="3"/>
        <v>10269790.91</v>
      </c>
      <c r="E61" s="860">
        <f t="shared" si="7"/>
        <v>5170806.1645</v>
      </c>
      <c r="F61" s="860">
        <f t="shared" si="8"/>
        <v>5057689.8025425002</v>
      </c>
      <c r="G61" s="860">
        <f t="shared" si="4"/>
        <v>41294.942957499996</v>
      </c>
      <c r="H61" s="1157">
        <f t="shared" si="5"/>
        <v>239404.73</v>
      </c>
      <c r="I61" s="1157">
        <v>155613.07450000002</v>
      </c>
      <c r="J61" s="1157">
        <v>83791.655499999993</v>
      </c>
      <c r="K61" s="1157">
        <f t="shared" si="6"/>
        <v>10030386.18</v>
      </c>
      <c r="L61" s="1157">
        <v>5015193.09</v>
      </c>
      <c r="M61" s="1157">
        <v>4973898.1470424999</v>
      </c>
      <c r="N61" s="1158">
        <v>41294.942957499996</v>
      </c>
    </row>
    <row r="62" spans="1:14">
      <c r="A62" s="746" t="s">
        <v>148</v>
      </c>
      <c r="B62" s="859" t="s">
        <v>149</v>
      </c>
      <c r="C62" s="964" t="s">
        <v>265</v>
      </c>
      <c r="D62" s="964">
        <f t="shared" si="3"/>
        <v>48083445.6598</v>
      </c>
      <c r="E62" s="860">
        <f t="shared" si="7"/>
        <v>24260973.1439</v>
      </c>
      <c r="F62" s="860">
        <f t="shared" si="8"/>
        <v>23762647.48013375</v>
      </c>
      <c r="G62" s="860">
        <f t="shared" si="4"/>
        <v>59825.035766249996</v>
      </c>
      <c r="H62" s="1157">
        <f t="shared" si="5"/>
        <v>1461668.76</v>
      </c>
      <c r="I62" s="1157">
        <v>950084.69400000002</v>
      </c>
      <c r="J62" s="1157">
        <v>511584.06599999999</v>
      </c>
      <c r="K62" s="1157">
        <f t="shared" si="6"/>
        <v>46621776.899800003</v>
      </c>
      <c r="L62" s="1157">
        <v>23310888.449900001</v>
      </c>
      <c r="M62" s="1157">
        <v>23251063.41413375</v>
      </c>
      <c r="N62" s="1158">
        <v>59825.035766249996</v>
      </c>
    </row>
    <row r="63" spans="1:14">
      <c r="A63" s="746" t="s">
        <v>150</v>
      </c>
      <c r="B63" s="859" t="s">
        <v>151</v>
      </c>
      <c r="C63" s="964" t="s">
        <v>266</v>
      </c>
      <c r="D63" s="964">
        <f t="shared" si="3"/>
        <v>12791829.279899999</v>
      </c>
      <c r="E63" s="860">
        <f t="shared" si="7"/>
        <v>6447093.8884499995</v>
      </c>
      <c r="F63" s="860">
        <f t="shared" si="8"/>
        <v>6314254.6429700004</v>
      </c>
      <c r="G63" s="860">
        <f t="shared" si="4"/>
        <v>30480.748479999998</v>
      </c>
      <c r="H63" s="1157">
        <f t="shared" si="5"/>
        <v>341194.99</v>
      </c>
      <c r="I63" s="1157">
        <v>221776.74350000001</v>
      </c>
      <c r="J63" s="1157">
        <v>119418.24649999999</v>
      </c>
      <c r="K63" s="1157">
        <f t="shared" si="6"/>
        <v>12450634.289899999</v>
      </c>
      <c r="L63" s="1157">
        <v>6225317.1449499996</v>
      </c>
      <c r="M63" s="1157">
        <v>6194836.39647</v>
      </c>
      <c r="N63" s="1158">
        <v>30480.748479999998</v>
      </c>
    </row>
    <row r="64" spans="1:14">
      <c r="A64" s="746" t="s">
        <v>152</v>
      </c>
      <c r="B64" s="859" t="s">
        <v>153</v>
      </c>
      <c r="C64" s="964" t="s">
        <v>268</v>
      </c>
      <c r="D64" s="964">
        <f t="shared" si="3"/>
        <v>59345667.7698</v>
      </c>
      <c r="E64" s="860">
        <f t="shared" si="7"/>
        <v>30030048.909899998</v>
      </c>
      <c r="F64" s="860">
        <f t="shared" si="8"/>
        <v>29258396.912308753</v>
      </c>
      <c r="G64" s="860">
        <f t="shared" si="4"/>
        <v>57221.947591249984</v>
      </c>
      <c r="H64" s="1157">
        <f t="shared" si="5"/>
        <v>2381433.5</v>
      </c>
      <c r="I64" s="1157">
        <v>1547931.7750000001</v>
      </c>
      <c r="J64" s="1157">
        <v>833501.72499999998</v>
      </c>
      <c r="K64" s="1157">
        <f t="shared" si="6"/>
        <v>56964234.2698</v>
      </c>
      <c r="L64" s="1157">
        <v>28482117.1349</v>
      </c>
      <c r="M64" s="1157">
        <v>28424895.187308751</v>
      </c>
      <c r="N64" s="1158">
        <v>57221.947591249984</v>
      </c>
    </row>
    <row r="65" spans="1:14">
      <c r="A65" s="746" t="s">
        <v>154</v>
      </c>
      <c r="B65" s="859" t="s">
        <v>155</v>
      </c>
      <c r="C65" s="964" t="s">
        <v>265</v>
      </c>
      <c r="D65" s="964">
        <f t="shared" si="3"/>
        <v>18126070.0099</v>
      </c>
      <c r="E65" s="860">
        <f t="shared" si="7"/>
        <v>9186954.9579499997</v>
      </c>
      <c r="F65" s="860">
        <f t="shared" si="8"/>
        <v>8913937.5675425008</v>
      </c>
      <c r="G65" s="860">
        <f t="shared" si="4"/>
        <v>25177.484407499996</v>
      </c>
      <c r="H65" s="1157">
        <f t="shared" si="5"/>
        <v>826133.02</v>
      </c>
      <c r="I65" s="1157">
        <v>536986.46299999999</v>
      </c>
      <c r="J65" s="1157">
        <v>289146.55699999997</v>
      </c>
      <c r="K65" s="1157">
        <f t="shared" si="6"/>
        <v>17299936.9899</v>
      </c>
      <c r="L65" s="1157">
        <v>8649968.4949500002</v>
      </c>
      <c r="M65" s="1157">
        <v>8624791.0105425008</v>
      </c>
      <c r="N65" s="1158">
        <v>25177.484407499996</v>
      </c>
    </row>
    <row r="66" spans="1:14">
      <c r="A66" s="746" t="s">
        <v>156</v>
      </c>
      <c r="B66" s="859" t="s">
        <v>157</v>
      </c>
      <c r="C66" s="964" t="s">
        <v>266</v>
      </c>
      <c r="D66" s="964">
        <f t="shared" si="3"/>
        <v>9804174.6099999975</v>
      </c>
      <c r="E66" s="860">
        <f t="shared" si="7"/>
        <v>4965863.5595000004</v>
      </c>
      <c r="F66" s="860">
        <f t="shared" si="8"/>
        <v>4791469.4198524999</v>
      </c>
      <c r="G66" s="860">
        <f t="shared" si="4"/>
        <v>46841.630647499995</v>
      </c>
      <c r="H66" s="1157">
        <f t="shared" si="5"/>
        <v>425175.03</v>
      </c>
      <c r="I66" s="1157">
        <v>276363.76950000005</v>
      </c>
      <c r="J66" s="1157">
        <v>148811.2605</v>
      </c>
      <c r="K66" s="1157">
        <f t="shared" si="6"/>
        <v>9378999.5799999982</v>
      </c>
      <c r="L66" s="1157">
        <v>4689499.79</v>
      </c>
      <c r="M66" s="1157">
        <v>4642658.1593525</v>
      </c>
      <c r="N66" s="1158">
        <v>46841.630647499995</v>
      </c>
    </row>
    <row r="67" spans="1:14">
      <c r="A67" s="746" t="s">
        <v>162</v>
      </c>
      <c r="B67" s="859" t="s">
        <v>163</v>
      </c>
      <c r="C67" s="964" t="s">
        <v>264</v>
      </c>
      <c r="D67" s="964">
        <f t="shared" si="3"/>
        <v>25680759.229899999</v>
      </c>
      <c r="E67" s="860">
        <f t="shared" si="7"/>
        <v>12970013.964949999</v>
      </c>
      <c r="F67" s="860">
        <f t="shared" si="8"/>
        <v>12678267.958465625</v>
      </c>
      <c r="G67" s="860">
        <f t="shared" si="4"/>
        <v>32477.306484375</v>
      </c>
      <c r="H67" s="1157">
        <f t="shared" si="5"/>
        <v>864229</v>
      </c>
      <c r="I67" s="1157">
        <v>561748.85</v>
      </c>
      <c r="J67" s="1157">
        <v>302480.14999999997</v>
      </c>
      <c r="K67" s="1157">
        <f t="shared" si="6"/>
        <v>24816530.229899999</v>
      </c>
      <c r="L67" s="1157">
        <v>12408265.114949999</v>
      </c>
      <c r="M67" s="1157">
        <v>12375787.808465624</v>
      </c>
      <c r="N67" s="1158">
        <v>32477.306484375</v>
      </c>
    </row>
    <row r="68" spans="1:14">
      <c r="A68" s="746" t="s">
        <v>164</v>
      </c>
      <c r="B68" s="859" t="s">
        <v>165</v>
      </c>
      <c r="C68" s="964" t="s">
        <v>266</v>
      </c>
      <c r="D68" s="964">
        <f t="shared" si="3"/>
        <v>11325802.639899999</v>
      </c>
      <c r="E68" s="860">
        <f t="shared" si="7"/>
        <v>5723436.6099499995</v>
      </c>
      <c r="F68" s="860">
        <f t="shared" si="8"/>
        <v>5633070.8246999998</v>
      </c>
      <c r="G68" s="860">
        <f t="shared" si="4"/>
        <v>-30704.794750000001</v>
      </c>
      <c r="H68" s="1157">
        <f t="shared" si="5"/>
        <v>403568.6</v>
      </c>
      <c r="I68" s="1157">
        <v>262319.58999999997</v>
      </c>
      <c r="J68" s="1157">
        <v>141249.00999999998</v>
      </c>
      <c r="K68" s="1157">
        <f t="shared" si="6"/>
        <v>10922234.039899999</v>
      </c>
      <c r="L68" s="1157">
        <v>5461117.0199499996</v>
      </c>
      <c r="M68" s="1157">
        <v>5491821.8147</v>
      </c>
      <c r="N68" s="1158">
        <v>-30704.794750000001</v>
      </c>
    </row>
    <row r="69" spans="1:14">
      <c r="A69" s="746" t="s">
        <v>168</v>
      </c>
      <c r="B69" s="859" t="s">
        <v>169</v>
      </c>
      <c r="C69" s="964" t="s">
        <v>266</v>
      </c>
      <c r="D69" s="964">
        <f t="shared" si="3"/>
        <v>23590943.269900002</v>
      </c>
      <c r="E69" s="860">
        <f t="shared" ref="E69:E100" si="9">+I69+L69</f>
        <v>11933272.20995</v>
      </c>
      <c r="F69" s="860">
        <f t="shared" ref="F69:F100" si="10">+J69+M69</f>
        <v>11606290.811719002</v>
      </c>
      <c r="G69" s="860">
        <f t="shared" si="4"/>
        <v>51380.24823099999</v>
      </c>
      <c r="H69" s="1157">
        <f t="shared" si="5"/>
        <v>918670.5</v>
      </c>
      <c r="I69" s="1157">
        <v>597135.82500000007</v>
      </c>
      <c r="J69" s="1157">
        <v>321534.67499999999</v>
      </c>
      <c r="K69" s="1157">
        <f t="shared" si="6"/>
        <v>22672272.769900002</v>
      </c>
      <c r="L69" s="1157">
        <v>11336136.384950001</v>
      </c>
      <c r="M69" s="1157">
        <v>11284756.136719001</v>
      </c>
      <c r="N69" s="1158">
        <v>51380.24823099999</v>
      </c>
    </row>
    <row r="70" spans="1:14">
      <c r="A70" s="746" t="s">
        <v>170</v>
      </c>
      <c r="B70" s="859" t="s">
        <v>171</v>
      </c>
      <c r="C70" s="964" t="s">
        <v>267</v>
      </c>
      <c r="D70" s="964">
        <f t="shared" ref="D70:D124" si="11">H70+K70</f>
        <v>30719167.599900004</v>
      </c>
      <c r="E70" s="860">
        <f t="shared" si="9"/>
        <v>15580946.07495</v>
      </c>
      <c r="F70" s="860">
        <f t="shared" si="10"/>
        <v>14985895.801186875</v>
      </c>
      <c r="G70" s="860">
        <f t="shared" ref="G70:G124" si="12">N70</f>
        <v>152325.72376312505</v>
      </c>
      <c r="H70" s="1157">
        <f t="shared" ref="H70:H124" si="13">I70+J70</f>
        <v>1475748.5</v>
      </c>
      <c r="I70" s="1157">
        <v>959236.52500000002</v>
      </c>
      <c r="J70" s="1157">
        <v>516511.97499999998</v>
      </c>
      <c r="K70" s="1157">
        <f t="shared" ref="K70:K124" si="14">L70+M70+N70</f>
        <v>29243419.099900004</v>
      </c>
      <c r="L70" s="1157">
        <v>14621709.54995</v>
      </c>
      <c r="M70" s="1157">
        <v>14469383.826186875</v>
      </c>
      <c r="N70" s="1158">
        <v>152325.72376312505</v>
      </c>
    </row>
    <row r="71" spans="1:14">
      <c r="A71" s="746" t="s">
        <v>172</v>
      </c>
      <c r="B71" s="859" t="s">
        <v>173</v>
      </c>
      <c r="C71" s="964" t="s">
        <v>267</v>
      </c>
      <c r="D71" s="964">
        <f t="shared" si="11"/>
        <v>25473385.559900001</v>
      </c>
      <c r="E71" s="860">
        <f t="shared" si="9"/>
        <v>12901039.19695</v>
      </c>
      <c r="F71" s="860">
        <f t="shared" si="10"/>
        <v>12558286.603217499</v>
      </c>
      <c r="G71" s="860">
        <f t="shared" si="12"/>
        <v>14059.759732500001</v>
      </c>
      <c r="H71" s="1157">
        <f t="shared" si="13"/>
        <v>1095642.78</v>
      </c>
      <c r="I71" s="1157">
        <v>712167.80700000003</v>
      </c>
      <c r="J71" s="1157">
        <v>383474.973</v>
      </c>
      <c r="K71" s="1157">
        <f t="shared" si="14"/>
        <v>24377742.779899999</v>
      </c>
      <c r="L71" s="1157">
        <v>12188871.38995</v>
      </c>
      <c r="M71" s="1157">
        <v>12174811.6302175</v>
      </c>
      <c r="N71" s="1158">
        <v>14059.759732500001</v>
      </c>
    </row>
    <row r="72" spans="1:14">
      <c r="A72" s="746" t="s">
        <v>174</v>
      </c>
      <c r="B72" s="859" t="s">
        <v>175</v>
      </c>
      <c r="C72" s="964" t="s">
        <v>268</v>
      </c>
      <c r="D72" s="964">
        <f t="shared" si="11"/>
        <v>23809380.449900001</v>
      </c>
      <c r="E72" s="860">
        <f t="shared" si="9"/>
        <v>12051391.05745</v>
      </c>
      <c r="F72" s="860">
        <f t="shared" si="10"/>
        <v>11757574.900700001</v>
      </c>
      <c r="G72" s="860">
        <f t="shared" si="12"/>
        <v>414.49175000000002</v>
      </c>
      <c r="H72" s="1157">
        <f t="shared" si="13"/>
        <v>978005.55</v>
      </c>
      <c r="I72" s="1157">
        <v>635703.60750000004</v>
      </c>
      <c r="J72" s="1157">
        <v>342301.9425</v>
      </c>
      <c r="K72" s="1157">
        <f t="shared" si="14"/>
        <v>22831374.899900001</v>
      </c>
      <c r="L72" s="1157">
        <v>11415687.44995</v>
      </c>
      <c r="M72" s="1157">
        <v>11415272.9582</v>
      </c>
      <c r="N72" s="1158">
        <v>414.49175000000002</v>
      </c>
    </row>
    <row r="73" spans="1:14">
      <c r="A73" s="746" t="s">
        <v>178</v>
      </c>
      <c r="B73" s="859" t="s">
        <v>179</v>
      </c>
      <c r="C73" s="964" t="s">
        <v>265</v>
      </c>
      <c r="D73" s="964">
        <f t="shared" si="11"/>
        <v>82661847.969600007</v>
      </c>
      <c r="E73" s="860">
        <f t="shared" si="9"/>
        <v>41737835.577300005</v>
      </c>
      <c r="F73" s="860">
        <f t="shared" si="10"/>
        <v>40877740.25575313</v>
      </c>
      <c r="G73" s="860">
        <f t="shared" si="12"/>
        <v>46272.136546875001</v>
      </c>
      <c r="H73" s="1157">
        <f t="shared" si="13"/>
        <v>2712743.95</v>
      </c>
      <c r="I73" s="1157">
        <v>1763283.5675000001</v>
      </c>
      <c r="J73" s="1157">
        <v>949460.38249999995</v>
      </c>
      <c r="K73" s="1157">
        <f t="shared" si="14"/>
        <v>79949104.019600004</v>
      </c>
      <c r="L73" s="1157">
        <v>39974552.009800002</v>
      </c>
      <c r="M73" s="1157">
        <v>39928279.873253129</v>
      </c>
      <c r="N73" s="1158">
        <v>46272.136546875001</v>
      </c>
    </row>
    <row r="74" spans="1:14">
      <c r="A74" s="746" t="s">
        <v>182</v>
      </c>
      <c r="B74" s="859" t="s">
        <v>183</v>
      </c>
      <c r="C74" s="964" t="s">
        <v>266</v>
      </c>
      <c r="D74" s="964">
        <f t="shared" si="11"/>
        <v>12520500.5999</v>
      </c>
      <c r="E74" s="860">
        <f t="shared" si="9"/>
        <v>6363341.9399500005</v>
      </c>
      <c r="F74" s="860">
        <f t="shared" si="10"/>
        <v>6059410.3456175001</v>
      </c>
      <c r="G74" s="860">
        <f t="shared" si="12"/>
        <v>97748.314332499984</v>
      </c>
      <c r="H74" s="1157">
        <f t="shared" si="13"/>
        <v>687277.6</v>
      </c>
      <c r="I74" s="1157">
        <v>446730.44</v>
      </c>
      <c r="J74" s="1157">
        <v>240547.15999999997</v>
      </c>
      <c r="K74" s="1157">
        <f t="shared" si="14"/>
        <v>11833222.9999</v>
      </c>
      <c r="L74" s="1157">
        <v>5916611.4999500001</v>
      </c>
      <c r="M74" s="1157">
        <v>5818863.1856175</v>
      </c>
      <c r="N74" s="1158">
        <v>97748.314332499984</v>
      </c>
    </row>
    <row r="75" spans="1:14">
      <c r="A75" s="746" t="s">
        <v>184</v>
      </c>
      <c r="B75" s="859" t="s">
        <v>185</v>
      </c>
      <c r="C75" s="964" t="s">
        <v>266</v>
      </c>
      <c r="D75" s="964">
        <f t="shared" si="11"/>
        <v>29650289.449899998</v>
      </c>
      <c r="E75" s="860">
        <f t="shared" si="9"/>
        <v>14963685.285949999</v>
      </c>
      <c r="F75" s="860">
        <f t="shared" si="10"/>
        <v>14654823.990979999</v>
      </c>
      <c r="G75" s="860">
        <f t="shared" si="12"/>
        <v>31780.172969999996</v>
      </c>
      <c r="H75" s="1157">
        <f t="shared" si="13"/>
        <v>923603.74</v>
      </c>
      <c r="I75" s="1157">
        <v>600342.43099999998</v>
      </c>
      <c r="J75" s="1157">
        <v>323261.30899999995</v>
      </c>
      <c r="K75" s="1157">
        <f t="shared" si="14"/>
        <v>28726685.709899999</v>
      </c>
      <c r="L75" s="1157">
        <v>14363342.85495</v>
      </c>
      <c r="M75" s="1157">
        <v>14331562.681979999</v>
      </c>
      <c r="N75" s="1158">
        <v>31780.172969999996</v>
      </c>
    </row>
    <row r="76" spans="1:14">
      <c r="A76" s="746" t="s">
        <v>186</v>
      </c>
      <c r="B76" s="859" t="s">
        <v>187</v>
      </c>
      <c r="C76" s="964" t="s">
        <v>264</v>
      </c>
      <c r="D76" s="964">
        <f t="shared" si="11"/>
        <v>19403389.559900001</v>
      </c>
      <c r="E76" s="860">
        <f t="shared" si="9"/>
        <v>9823114.2359500006</v>
      </c>
      <c r="F76" s="860">
        <f t="shared" si="10"/>
        <v>9553555.7418099996</v>
      </c>
      <c r="G76" s="860">
        <f t="shared" si="12"/>
        <v>26719.582140000002</v>
      </c>
      <c r="H76" s="1157">
        <f t="shared" si="13"/>
        <v>809463.04</v>
      </c>
      <c r="I76" s="1157">
        <v>526150.97600000002</v>
      </c>
      <c r="J76" s="1157">
        <v>283312.06400000001</v>
      </c>
      <c r="K76" s="1157">
        <f t="shared" si="14"/>
        <v>18593926.519900002</v>
      </c>
      <c r="L76" s="1157">
        <v>9296963.2599500008</v>
      </c>
      <c r="M76" s="1157">
        <v>9270243.6778100003</v>
      </c>
      <c r="N76" s="1158">
        <v>26719.582140000002</v>
      </c>
    </row>
    <row r="77" spans="1:14">
      <c r="A77" s="746" t="s">
        <v>188</v>
      </c>
      <c r="B77" s="859" t="s">
        <v>189</v>
      </c>
      <c r="C77" s="964" t="s">
        <v>267</v>
      </c>
      <c r="D77" s="964">
        <f t="shared" si="11"/>
        <v>247992198.8689</v>
      </c>
      <c r="E77" s="860">
        <f t="shared" si="9"/>
        <v>127116196.082435</v>
      </c>
      <c r="F77" s="860">
        <f t="shared" si="10"/>
        <v>120133295.79003125</v>
      </c>
      <c r="G77" s="860">
        <f t="shared" si="12"/>
        <v>742706.99643374991</v>
      </c>
      <c r="H77" s="1157">
        <f t="shared" si="13"/>
        <v>20800644.319899999</v>
      </c>
      <c r="I77" s="1157">
        <v>13520418.807934999</v>
      </c>
      <c r="J77" s="1157">
        <v>7280225.5119649991</v>
      </c>
      <c r="K77" s="1157">
        <f t="shared" si="14"/>
        <v>227191554.54899999</v>
      </c>
      <c r="L77" s="1157">
        <v>113595777.2745</v>
      </c>
      <c r="M77" s="1157">
        <v>112853070.27806625</v>
      </c>
      <c r="N77" s="1158">
        <v>742706.99643374991</v>
      </c>
    </row>
    <row r="78" spans="1:14">
      <c r="A78" s="746" t="s">
        <v>190</v>
      </c>
      <c r="B78" s="859" t="s">
        <v>191</v>
      </c>
      <c r="C78" s="964" t="s">
        <v>268</v>
      </c>
      <c r="D78" s="964">
        <f t="shared" si="11"/>
        <v>42939753.359799989</v>
      </c>
      <c r="E78" s="860">
        <f t="shared" si="9"/>
        <v>21694543.820900001</v>
      </c>
      <c r="F78" s="860">
        <f t="shared" si="10"/>
        <v>21167387.761183873</v>
      </c>
      <c r="G78" s="860">
        <f t="shared" si="12"/>
        <v>77821.777716124983</v>
      </c>
      <c r="H78" s="1157">
        <f t="shared" si="13"/>
        <v>1497780.94</v>
      </c>
      <c r="I78" s="1157">
        <v>973557.61100000003</v>
      </c>
      <c r="J78" s="1157">
        <v>524223.32899999997</v>
      </c>
      <c r="K78" s="1157">
        <f t="shared" si="14"/>
        <v>41441972.419799991</v>
      </c>
      <c r="L78" s="1157">
        <v>20720986.209899999</v>
      </c>
      <c r="M78" s="1157">
        <v>20643164.432183873</v>
      </c>
      <c r="N78" s="1158">
        <v>77821.777716124983</v>
      </c>
    </row>
    <row r="79" spans="1:14">
      <c r="A79" s="746" t="s">
        <v>194</v>
      </c>
      <c r="B79" s="859" t="s">
        <v>195</v>
      </c>
      <c r="C79" s="964" t="s">
        <v>267</v>
      </c>
      <c r="D79" s="964">
        <f t="shared" si="11"/>
        <v>4764446.82</v>
      </c>
      <c r="E79" s="860">
        <f t="shared" si="9"/>
        <v>2408442.3404999999</v>
      </c>
      <c r="F79" s="860">
        <f t="shared" si="10"/>
        <v>2158317.4621718749</v>
      </c>
      <c r="G79" s="860">
        <f t="shared" si="12"/>
        <v>197687.01732812499</v>
      </c>
      <c r="H79" s="1157">
        <f t="shared" si="13"/>
        <v>174792.87</v>
      </c>
      <c r="I79" s="1157">
        <v>113615.3655</v>
      </c>
      <c r="J79" s="1157">
        <v>61177.504499999995</v>
      </c>
      <c r="K79" s="1157">
        <f t="shared" si="14"/>
        <v>4589653.95</v>
      </c>
      <c r="L79" s="1157">
        <v>2294826.9750000001</v>
      </c>
      <c r="M79" s="1157">
        <v>2097139.9576718751</v>
      </c>
      <c r="N79" s="1158">
        <v>197687.01732812499</v>
      </c>
    </row>
    <row r="80" spans="1:14">
      <c r="A80" s="746" t="s">
        <v>198</v>
      </c>
      <c r="B80" s="859" t="s">
        <v>199</v>
      </c>
      <c r="C80" s="964" t="s">
        <v>266</v>
      </c>
      <c r="D80" s="964">
        <f t="shared" si="11"/>
        <v>10324978.149900001</v>
      </c>
      <c r="E80" s="860">
        <f t="shared" si="9"/>
        <v>5234755.3759500002</v>
      </c>
      <c r="F80" s="860">
        <f t="shared" si="10"/>
        <v>5036492.2114787502</v>
      </c>
      <c r="G80" s="860">
        <f t="shared" si="12"/>
        <v>53730.562471249992</v>
      </c>
      <c r="H80" s="1157">
        <f t="shared" si="13"/>
        <v>481775.34</v>
      </c>
      <c r="I80" s="1157">
        <v>313153.97100000002</v>
      </c>
      <c r="J80" s="1157">
        <v>168621.36900000001</v>
      </c>
      <c r="K80" s="1157">
        <f t="shared" si="14"/>
        <v>9843202.8099000007</v>
      </c>
      <c r="L80" s="1157">
        <v>4921601.4049500003</v>
      </c>
      <c r="M80" s="1157">
        <v>4867870.8424787503</v>
      </c>
      <c r="N80" s="1158">
        <v>53730.562471249992</v>
      </c>
    </row>
    <row r="81" spans="1:14">
      <c r="A81" s="746" t="s">
        <v>202</v>
      </c>
      <c r="B81" s="859" t="s">
        <v>203</v>
      </c>
      <c r="C81" s="964" t="s">
        <v>265</v>
      </c>
      <c r="D81" s="964">
        <f t="shared" si="11"/>
        <v>86387735.329599991</v>
      </c>
      <c r="E81" s="860">
        <f t="shared" si="9"/>
        <v>43666301.393300004</v>
      </c>
      <c r="F81" s="860">
        <f t="shared" si="10"/>
        <v>42418493.474559873</v>
      </c>
      <c r="G81" s="860">
        <f t="shared" si="12"/>
        <v>302940.46174012503</v>
      </c>
      <c r="H81" s="1157">
        <f t="shared" si="13"/>
        <v>3149558.1900000004</v>
      </c>
      <c r="I81" s="1157">
        <v>2047212.8235000002</v>
      </c>
      <c r="J81" s="1157">
        <v>1102345.3665</v>
      </c>
      <c r="K81" s="1157">
        <f t="shared" si="14"/>
        <v>83238177.139599994</v>
      </c>
      <c r="L81" s="1157">
        <v>41619088.569800004</v>
      </c>
      <c r="M81" s="1157">
        <v>41316148.108059876</v>
      </c>
      <c r="N81" s="1158">
        <v>302940.46174012503</v>
      </c>
    </row>
    <row r="82" spans="1:14">
      <c r="A82" s="746" t="s">
        <v>204</v>
      </c>
      <c r="B82" s="859" t="s">
        <v>205</v>
      </c>
      <c r="C82" s="964" t="s">
        <v>265</v>
      </c>
      <c r="D82" s="964">
        <f t="shared" si="11"/>
        <v>34189294.249899998</v>
      </c>
      <c r="E82" s="860">
        <f t="shared" si="9"/>
        <v>17287893.41045</v>
      </c>
      <c r="F82" s="860">
        <f t="shared" si="10"/>
        <v>16754490.4417175</v>
      </c>
      <c r="G82" s="860">
        <f t="shared" si="12"/>
        <v>146910.39773249996</v>
      </c>
      <c r="H82" s="1157">
        <f t="shared" si="13"/>
        <v>1288308.57</v>
      </c>
      <c r="I82" s="1157">
        <v>837400.57050000003</v>
      </c>
      <c r="J82" s="1157">
        <v>450907.99949999998</v>
      </c>
      <c r="K82" s="1157">
        <f t="shared" si="14"/>
        <v>32900985.679899998</v>
      </c>
      <c r="L82" s="1157">
        <v>16450492.839949999</v>
      </c>
      <c r="M82" s="1157">
        <v>16303582.442217499</v>
      </c>
      <c r="N82" s="1158">
        <v>146910.39773249996</v>
      </c>
    </row>
    <row r="83" spans="1:14">
      <c r="A83" s="746" t="s">
        <v>206</v>
      </c>
      <c r="B83" s="859" t="s">
        <v>207</v>
      </c>
      <c r="C83" s="964" t="s">
        <v>267</v>
      </c>
      <c r="D83" s="964">
        <f t="shared" si="11"/>
        <v>91451202.689599991</v>
      </c>
      <c r="E83" s="860">
        <f t="shared" si="9"/>
        <v>46489038.640299998</v>
      </c>
      <c r="F83" s="860">
        <f t="shared" si="10"/>
        <v>44667788.569022246</v>
      </c>
      <c r="G83" s="860">
        <f t="shared" si="12"/>
        <v>294375.48027774994</v>
      </c>
      <c r="H83" s="1157">
        <f t="shared" si="13"/>
        <v>5089581.9700000007</v>
      </c>
      <c r="I83" s="1157">
        <v>3308228.2805000003</v>
      </c>
      <c r="J83" s="1157">
        <v>1781353.6894999999</v>
      </c>
      <c r="K83" s="1157">
        <f t="shared" si="14"/>
        <v>86361620.719599992</v>
      </c>
      <c r="L83" s="1157">
        <v>43180810.359799996</v>
      </c>
      <c r="M83" s="1157">
        <v>42886434.879522249</v>
      </c>
      <c r="N83" s="1158">
        <v>294375.48027774994</v>
      </c>
    </row>
    <row r="84" spans="1:14">
      <c r="A84" s="746" t="s">
        <v>208</v>
      </c>
      <c r="B84" s="859" t="s">
        <v>209</v>
      </c>
      <c r="C84" s="964" t="s">
        <v>268</v>
      </c>
      <c r="D84" s="964">
        <f t="shared" si="11"/>
        <v>40774619.969800003</v>
      </c>
      <c r="E84" s="860">
        <f t="shared" si="9"/>
        <v>20635550.998399999</v>
      </c>
      <c r="F84" s="860">
        <f t="shared" si="10"/>
        <v>20078246.718332</v>
      </c>
      <c r="G84" s="860">
        <f t="shared" si="12"/>
        <v>60822.253068000013</v>
      </c>
      <c r="H84" s="1157">
        <f t="shared" si="13"/>
        <v>1654940.09</v>
      </c>
      <c r="I84" s="1157">
        <v>1075711.0585</v>
      </c>
      <c r="J84" s="1157">
        <v>579229.03150000004</v>
      </c>
      <c r="K84" s="1157">
        <f t="shared" si="14"/>
        <v>39119679.879799999</v>
      </c>
      <c r="L84" s="1157">
        <v>19559839.9399</v>
      </c>
      <c r="M84" s="1157">
        <v>19499017.686832</v>
      </c>
      <c r="N84" s="1158">
        <v>60822.253068000013</v>
      </c>
    </row>
    <row r="85" spans="1:14">
      <c r="A85" s="746" t="s">
        <v>210</v>
      </c>
      <c r="B85" s="859" t="s">
        <v>211</v>
      </c>
      <c r="C85" s="964" t="s">
        <v>268</v>
      </c>
      <c r="D85" s="964">
        <f t="shared" si="11"/>
        <v>29897735.959900003</v>
      </c>
      <c r="E85" s="860">
        <f t="shared" si="9"/>
        <v>15102516.738950001</v>
      </c>
      <c r="F85" s="860">
        <f t="shared" si="10"/>
        <v>14774290.365080001</v>
      </c>
      <c r="G85" s="860">
        <f t="shared" si="12"/>
        <v>20928.855869999999</v>
      </c>
      <c r="H85" s="1157">
        <f t="shared" si="13"/>
        <v>1024325.06</v>
      </c>
      <c r="I85" s="1157">
        <v>665811.28900000011</v>
      </c>
      <c r="J85" s="1157">
        <v>358513.77100000001</v>
      </c>
      <c r="K85" s="1157">
        <f t="shared" si="14"/>
        <v>28873410.899900004</v>
      </c>
      <c r="L85" s="1157">
        <v>14436705.44995</v>
      </c>
      <c r="M85" s="1157">
        <v>14415776.594080001</v>
      </c>
      <c r="N85" s="1158">
        <v>20928.855869999999</v>
      </c>
    </row>
    <row r="86" spans="1:14">
      <c r="A86" s="746" t="s">
        <v>212</v>
      </c>
      <c r="B86" s="859" t="s">
        <v>213</v>
      </c>
      <c r="C86" s="964" t="s">
        <v>267</v>
      </c>
      <c r="D86" s="964">
        <f t="shared" si="11"/>
        <v>39576349.799799994</v>
      </c>
      <c r="E86" s="860">
        <f t="shared" si="9"/>
        <v>20056945.894400001</v>
      </c>
      <c r="F86" s="860">
        <f t="shared" si="10"/>
        <v>19495867.30347475</v>
      </c>
      <c r="G86" s="860">
        <f t="shared" si="12"/>
        <v>23536.601925250005</v>
      </c>
      <c r="H86" s="1157">
        <f t="shared" si="13"/>
        <v>1791806.63</v>
      </c>
      <c r="I86" s="1157">
        <v>1164674.3095</v>
      </c>
      <c r="J86" s="1157">
        <v>627132.32049999991</v>
      </c>
      <c r="K86" s="1157">
        <f t="shared" si="14"/>
        <v>37784543.169799991</v>
      </c>
      <c r="L86" s="1157">
        <v>18892271.584899999</v>
      </c>
      <c r="M86" s="1157">
        <v>18868734.982974749</v>
      </c>
      <c r="N86" s="1158">
        <v>23536.601925250005</v>
      </c>
    </row>
    <row r="87" spans="1:14">
      <c r="A87" s="746" t="s">
        <v>214</v>
      </c>
      <c r="B87" s="859" t="s">
        <v>215</v>
      </c>
      <c r="C87" s="964" t="s">
        <v>268</v>
      </c>
      <c r="D87" s="964">
        <f t="shared" si="11"/>
        <v>44116876.079799995</v>
      </c>
      <c r="E87" s="860">
        <f t="shared" si="9"/>
        <v>22293160.591399997</v>
      </c>
      <c r="F87" s="860">
        <f t="shared" si="10"/>
        <v>21785808.190124374</v>
      </c>
      <c r="G87" s="860">
        <f t="shared" si="12"/>
        <v>37907.298275624998</v>
      </c>
      <c r="H87" s="1157">
        <f t="shared" si="13"/>
        <v>1564817.01</v>
      </c>
      <c r="I87" s="1157">
        <v>1017131.0565000001</v>
      </c>
      <c r="J87" s="1157">
        <v>547685.95349999995</v>
      </c>
      <c r="K87" s="1157">
        <f t="shared" si="14"/>
        <v>42552059.069799997</v>
      </c>
      <c r="L87" s="1157">
        <v>21276029.534899998</v>
      </c>
      <c r="M87" s="1157">
        <v>21238122.236624375</v>
      </c>
      <c r="N87" s="1158">
        <v>37907.298275624998</v>
      </c>
    </row>
    <row r="88" spans="1:14">
      <c r="A88" s="746" t="s">
        <v>216</v>
      </c>
      <c r="B88" s="859" t="s">
        <v>217</v>
      </c>
      <c r="C88" s="964" t="s">
        <v>264</v>
      </c>
      <c r="D88" s="964">
        <f t="shared" si="11"/>
        <v>22662791.649900001</v>
      </c>
      <c r="E88" s="860">
        <f t="shared" si="9"/>
        <v>11436319.16295</v>
      </c>
      <c r="F88" s="860">
        <f t="shared" si="10"/>
        <v>11191678.095224999</v>
      </c>
      <c r="G88" s="860">
        <f t="shared" si="12"/>
        <v>34794.391725000001</v>
      </c>
      <c r="H88" s="1157">
        <f t="shared" si="13"/>
        <v>699488.92</v>
      </c>
      <c r="I88" s="1157">
        <v>454667.79800000007</v>
      </c>
      <c r="J88" s="1157">
        <v>244821.122</v>
      </c>
      <c r="K88" s="1157">
        <f t="shared" si="14"/>
        <v>21963302.729899999</v>
      </c>
      <c r="L88" s="1157">
        <v>10981651.364949999</v>
      </c>
      <c r="M88" s="1157">
        <v>10946856.973224999</v>
      </c>
      <c r="N88" s="1158">
        <v>34794.391725000001</v>
      </c>
    </row>
    <row r="89" spans="1:14">
      <c r="A89" s="746" t="s">
        <v>218</v>
      </c>
      <c r="B89" s="859" t="s">
        <v>219</v>
      </c>
      <c r="C89" s="964" t="s">
        <v>267</v>
      </c>
      <c r="D89" s="964">
        <f t="shared" si="11"/>
        <v>97271450.489599973</v>
      </c>
      <c r="E89" s="860">
        <f t="shared" si="9"/>
        <v>49294873.646799996</v>
      </c>
      <c r="F89" s="860">
        <f t="shared" si="10"/>
        <v>47360582.303339496</v>
      </c>
      <c r="G89" s="860">
        <f t="shared" si="12"/>
        <v>615994.5394605</v>
      </c>
      <c r="H89" s="1157">
        <f t="shared" si="13"/>
        <v>4394322.68</v>
      </c>
      <c r="I89" s="1157">
        <v>2856309.7420000001</v>
      </c>
      <c r="J89" s="1157">
        <v>1538012.9379999998</v>
      </c>
      <c r="K89" s="1157">
        <f t="shared" si="14"/>
        <v>92877127.809599981</v>
      </c>
      <c r="L89" s="1157">
        <v>46438563.904799998</v>
      </c>
      <c r="M89" s="1157">
        <v>45822569.365339495</v>
      </c>
      <c r="N89" s="1158">
        <v>615994.5394605</v>
      </c>
    </row>
    <row r="90" spans="1:14">
      <c r="A90" s="746" t="s">
        <v>220</v>
      </c>
      <c r="B90" s="859" t="s">
        <v>221</v>
      </c>
      <c r="C90" s="964" t="s">
        <v>267</v>
      </c>
      <c r="D90" s="964">
        <f t="shared" si="11"/>
        <v>74595502.949699998</v>
      </c>
      <c r="E90" s="860">
        <f t="shared" si="9"/>
        <v>37895211.893849999</v>
      </c>
      <c r="F90" s="860">
        <f t="shared" si="10"/>
        <v>36457317.985142499</v>
      </c>
      <c r="G90" s="860">
        <f t="shared" si="12"/>
        <v>242973.07070749998</v>
      </c>
      <c r="H90" s="1157">
        <f t="shared" si="13"/>
        <v>3983069.46</v>
      </c>
      <c r="I90" s="1157">
        <v>2588995.1490000002</v>
      </c>
      <c r="J90" s="1157">
        <v>1394074.311</v>
      </c>
      <c r="K90" s="1157">
        <f t="shared" si="14"/>
        <v>70612433.489700004</v>
      </c>
      <c r="L90" s="1157">
        <v>35306216.744850002</v>
      </c>
      <c r="M90" s="1157">
        <v>35063243.674142502</v>
      </c>
      <c r="N90" s="1158">
        <v>242973.07070749998</v>
      </c>
    </row>
    <row r="91" spans="1:14">
      <c r="A91" s="746" t="s">
        <v>224</v>
      </c>
      <c r="B91" s="859" t="s">
        <v>225</v>
      </c>
      <c r="C91" s="964" t="s">
        <v>264</v>
      </c>
      <c r="D91" s="964">
        <f t="shared" si="11"/>
        <v>7838310.79</v>
      </c>
      <c r="E91" s="860">
        <f t="shared" si="9"/>
        <v>3967930.5020000003</v>
      </c>
      <c r="F91" s="860">
        <f t="shared" si="10"/>
        <v>3859828.7777895001</v>
      </c>
      <c r="G91" s="860">
        <f t="shared" si="12"/>
        <v>10551.510210499997</v>
      </c>
      <c r="H91" s="1157">
        <f t="shared" si="13"/>
        <v>325167.38</v>
      </c>
      <c r="I91" s="1157">
        <v>211358.79700000002</v>
      </c>
      <c r="J91" s="1157">
        <v>113808.583</v>
      </c>
      <c r="K91" s="1157">
        <f t="shared" si="14"/>
        <v>7513143.4100000001</v>
      </c>
      <c r="L91" s="1157">
        <v>3756571.7050000001</v>
      </c>
      <c r="M91" s="1157">
        <v>3746020.1947895</v>
      </c>
      <c r="N91" s="1158">
        <v>10551.510210499997</v>
      </c>
    </row>
    <row r="92" spans="1:14">
      <c r="A92" s="746" t="s">
        <v>226</v>
      </c>
      <c r="B92" s="859" t="s">
        <v>227</v>
      </c>
      <c r="C92" s="964" t="s">
        <v>264</v>
      </c>
      <c r="D92" s="964">
        <f t="shared" si="11"/>
        <v>17119227.6699</v>
      </c>
      <c r="E92" s="860">
        <f t="shared" si="9"/>
        <v>8607822.0634499993</v>
      </c>
      <c r="F92" s="860">
        <f t="shared" si="10"/>
        <v>8494485.3181612492</v>
      </c>
      <c r="G92" s="860">
        <f t="shared" si="12"/>
        <v>16920.288288749998</v>
      </c>
      <c r="H92" s="1157">
        <f t="shared" si="13"/>
        <v>321388.19</v>
      </c>
      <c r="I92" s="1157">
        <v>208902.3235</v>
      </c>
      <c r="J92" s="1157">
        <v>112485.86649999999</v>
      </c>
      <c r="K92" s="1157">
        <f t="shared" si="14"/>
        <v>16797839.479899999</v>
      </c>
      <c r="L92" s="1157">
        <v>8398919.7399499994</v>
      </c>
      <c r="M92" s="1157">
        <v>8381999.4516612496</v>
      </c>
      <c r="N92" s="1158">
        <v>16920.288288749998</v>
      </c>
    </row>
    <row r="93" spans="1:14">
      <c r="A93" s="746" t="s">
        <v>228</v>
      </c>
      <c r="B93" s="859" t="s">
        <v>229</v>
      </c>
      <c r="C93" s="964" t="s">
        <v>268</v>
      </c>
      <c r="D93" s="964">
        <f t="shared" si="11"/>
        <v>53214522.329700001</v>
      </c>
      <c r="E93" s="860">
        <f t="shared" si="9"/>
        <v>26918576.723850001</v>
      </c>
      <c r="F93" s="860">
        <f t="shared" si="10"/>
        <v>26250599.024662498</v>
      </c>
      <c r="G93" s="860">
        <f t="shared" si="12"/>
        <v>45346.5811875</v>
      </c>
      <c r="H93" s="1157">
        <f t="shared" si="13"/>
        <v>2075437.06</v>
      </c>
      <c r="I93" s="1157">
        <v>1349034.0890000002</v>
      </c>
      <c r="J93" s="1157">
        <v>726402.97100000002</v>
      </c>
      <c r="K93" s="1157">
        <f t="shared" si="14"/>
        <v>51139085.269699998</v>
      </c>
      <c r="L93" s="1157">
        <v>25569542.634849999</v>
      </c>
      <c r="M93" s="1157">
        <v>25524196.053662498</v>
      </c>
      <c r="N93" s="1158">
        <v>45346.5811875</v>
      </c>
    </row>
    <row r="94" spans="1:14">
      <c r="A94" s="746" t="s">
        <v>232</v>
      </c>
      <c r="B94" s="859" t="s">
        <v>233</v>
      </c>
      <c r="C94" s="964" t="s">
        <v>267</v>
      </c>
      <c r="D94" s="964">
        <f t="shared" si="11"/>
        <v>36820463.129899994</v>
      </c>
      <c r="E94" s="860">
        <f t="shared" si="9"/>
        <v>18641322.676449999</v>
      </c>
      <c r="F94" s="860">
        <f t="shared" si="10"/>
        <v>18124491.247340623</v>
      </c>
      <c r="G94" s="860">
        <f t="shared" si="12"/>
        <v>54649.206109374994</v>
      </c>
      <c r="H94" s="1157">
        <f t="shared" si="13"/>
        <v>1540607.41</v>
      </c>
      <c r="I94" s="1157">
        <v>1001394.8165</v>
      </c>
      <c r="J94" s="1157">
        <v>539212.59349999996</v>
      </c>
      <c r="K94" s="1157">
        <f t="shared" si="14"/>
        <v>35279855.719899997</v>
      </c>
      <c r="L94" s="1157">
        <v>17639927.859949999</v>
      </c>
      <c r="M94" s="1157">
        <v>17585278.653840624</v>
      </c>
      <c r="N94" s="1158">
        <v>54649.206109374994</v>
      </c>
    </row>
    <row r="95" spans="1:14">
      <c r="A95" s="746" t="s">
        <v>234</v>
      </c>
      <c r="B95" s="859" t="s">
        <v>235</v>
      </c>
      <c r="C95" s="964" t="s">
        <v>268</v>
      </c>
      <c r="D95" s="964">
        <f t="shared" si="11"/>
        <v>54598877.259800002</v>
      </c>
      <c r="E95" s="860">
        <f t="shared" si="9"/>
        <v>27675593.128899999</v>
      </c>
      <c r="F95" s="860">
        <f t="shared" si="10"/>
        <v>26835144.559</v>
      </c>
      <c r="G95" s="860">
        <f t="shared" si="12"/>
        <v>88139.571899999995</v>
      </c>
      <c r="H95" s="1157">
        <f t="shared" si="13"/>
        <v>2507696.66</v>
      </c>
      <c r="I95" s="1157">
        <v>1630002.8290000001</v>
      </c>
      <c r="J95" s="1157">
        <v>877693.83100000001</v>
      </c>
      <c r="K95" s="1157">
        <f t="shared" si="14"/>
        <v>52091180.599799998</v>
      </c>
      <c r="L95" s="1157">
        <v>26045590.299899999</v>
      </c>
      <c r="M95" s="1157">
        <v>25957450.728</v>
      </c>
      <c r="N95" s="1158">
        <v>88139.571899999995</v>
      </c>
    </row>
    <row r="96" spans="1:14">
      <c r="A96" s="746" t="s">
        <v>236</v>
      </c>
      <c r="B96" s="859" t="s">
        <v>237</v>
      </c>
      <c r="C96" s="964" t="s">
        <v>266</v>
      </c>
      <c r="D96" s="964">
        <f t="shared" si="11"/>
        <v>20131278.559900004</v>
      </c>
      <c r="E96" s="860">
        <f t="shared" si="9"/>
        <v>10177378.87895</v>
      </c>
      <c r="F96" s="860">
        <f t="shared" si="10"/>
        <v>9902862.5925812516</v>
      </c>
      <c r="G96" s="860">
        <f t="shared" si="12"/>
        <v>51037.08836875001</v>
      </c>
      <c r="H96" s="1157">
        <f t="shared" si="13"/>
        <v>744930.66</v>
      </c>
      <c r="I96" s="1157">
        <v>484204.92900000006</v>
      </c>
      <c r="J96" s="1157">
        <v>260725.731</v>
      </c>
      <c r="K96" s="1157">
        <f t="shared" si="14"/>
        <v>19386347.899900004</v>
      </c>
      <c r="L96" s="1157">
        <v>9693173.9499500003</v>
      </c>
      <c r="M96" s="1157">
        <v>9642136.861581251</v>
      </c>
      <c r="N96" s="1158">
        <v>51037.08836875001</v>
      </c>
    </row>
    <row r="97" spans="1:14">
      <c r="A97" s="746" t="s">
        <v>242</v>
      </c>
      <c r="B97" s="859" t="s">
        <v>243</v>
      </c>
      <c r="C97" s="964" t="s">
        <v>268</v>
      </c>
      <c r="D97" s="964">
        <f t="shared" si="11"/>
        <v>64637050.089699998</v>
      </c>
      <c r="E97" s="860">
        <f t="shared" si="9"/>
        <v>32600822.98985</v>
      </c>
      <c r="F97" s="860">
        <f t="shared" si="10"/>
        <v>31971940.443871874</v>
      </c>
      <c r="G97" s="860">
        <f t="shared" si="12"/>
        <v>64286.655978125011</v>
      </c>
      <c r="H97" s="1157">
        <f t="shared" si="13"/>
        <v>1881986.2999999998</v>
      </c>
      <c r="I97" s="1157">
        <v>1223291.095</v>
      </c>
      <c r="J97" s="1157">
        <v>658695.20499999996</v>
      </c>
      <c r="K97" s="1157">
        <f t="shared" si="14"/>
        <v>62755063.789700001</v>
      </c>
      <c r="L97" s="1157">
        <v>31377531.894850001</v>
      </c>
      <c r="M97" s="1157">
        <v>31313245.238871876</v>
      </c>
      <c r="N97" s="1158">
        <v>64286.655978125011</v>
      </c>
    </row>
    <row r="98" spans="1:14">
      <c r="A98" s="746" t="s">
        <v>244</v>
      </c>
      <c r="B98" s="859" t="s">
        <v>245</v>
      </c>
      <c r="C98" s="964" t="s">
        <v>268</v>
      </c>
      <c r="D98" s="964">
        <f t="shared" si="11"/>
        <v>36109829.609799989</v>
      </c>
      <c r="E98" s="860">
        <f t="shared" si="9"/>
        <v>18258501.856399998</v>
      </c>
      <c r="F98" s="860">
        <f t="shared" si="10"/>
        <v>17792034.302734997</v>
      </c>
      <c r="G98" s="860">
        <f t="shared" si="12"/>
        <v>59293.450664999997</v>
      </c>
      <c r="H98" s="1157">
        <f t="shared" si="13"/>
        <v>1357247.01</v>
      </c>
      <c r="I98" s="1157">
        <v>882210.55650000006</v>
      </c>
      <c r="J98" s="1157">
        <v>475036.45349999995</v>
      </c>
      <c r="K98" s="1157">
        <f t="shared" si="14"/>
        <v>34752582.599799991</v>
      </c>
      <c r="L98" s="1157">
        <v>17376291.299899999</v>
      </c>
      <c r="M98" s="1157">
        <v>17316997.849234998</v>
      </c>
      <c r="N98" s="1158">
        <v>59293.450664999997</v>
      </c>
    </row>
    <row r="99" spans="1:14">
      <c r="A99" s="746" t="s">
        <v>246</v>
      </c>
      <c r="B99" s="859" t="s">
        <v>310</v>
      </c>
      <c r="C99" s="964" t="s">
        <v>264</v>
      </c>
      <c r="D99" s="964">
        <f t="shared" si="11"/>
        <v>28526381.369900003</v>
      </c>
      <c r="E99" s="860">
        <f t="shared" si="9"/>
        <v>14447862.428950001</v>
      </c>
      <c r="F99" s="860">
        <f t="shared" si="10"/>
        <v>14031654.801730001</v>
      </c>
      <c r="G99" s="860">
        <f t="shared" si="12"/>
        <v>46864.13921999999</v>
      </c>
      <c r="H99" s="1157">
        <f t="shared" si="13"/>
        <v>1231144.96</v>
      </c>
      <c r="I99" s="1157">
        <v>800244.22400000005</v>
      </c>
      <c r="J99" s="1157">
        <v>430900.73599999992</v>
      </c>
      <c r="K99" s="1157">
        <f t="shared" si="14"/>
        <v>27295236.409900002</v>
      </c>
      <c r="L99" s="1157">
        <v>13647618.204950001</v>
      </c>
      <c r="M99" s="1157">
        <v>13600754.065730002</v>
      </c>
      <c r="N99" s="1158">
        <v>46864.13921999999</v>
      </c>
    </row>
    <row r="100" spans="1:14">
      <c r="A100" s="746" t="s">
        <v>14</v>
      </c>
      <c r="B100" s="859" t="s">
        <v>15</v>
      </c>
      <c r="C100" s="964" t="s">
        <v>267</v>
      </c>
      <c r="D100" s="964">
        <f t="shared" si="11"/>
        <v>87021907.659700006</v>
      </c>
      <c r="E100" s="860">
        <f t="shared" si="9"/>
        <v>44432990.838350005</v>
      </c>
      <c r="F100" s="860">
        <f t="shared" si="10"/>
        <v>42495664.398274504</v>
      </c>
      <c r="G100" s="860">
        <f t="shared" si="12"/>
        <v>93252.423075500003</v>
      </c>
      <c r="H100" s="1157">
        <f t="shared" si="13"/>
        <v>6146913.3899999997</v>
      </c>
      <c r="I100" s="1157">
        <v>3995493.7034999998</v>
      </c>
      <c r="J100" s="1157">
        <v>2151419.6864999998</v>
      </c>
      <c r="K100" s="1157">
        <f t="shared" si="14"/>
        <v>80874994.269700006</v>
      </c>
      <c r="L100" s="1157">
        <v>40437497.134850003</v>
      </c>
      <c r="M100" s="1157">
        <v>40344244.711774506</v>
      </c>
      <c r="N100" s="1158">
        <v>93252.423075500003</v>
      </c>
    </row>
    <row r="101" spans="1:14">
      <c r="A101" s="746" t="s">
        <v>34</v>
      </c>
      <c r="B101" s="859" t="s">
        <v>35</v>
      </c>
      <c r="C101" s="964" t="s">
        <v>268</v>
      </c>
      <c r="D101" s="964">
        <f t="shared" si="11"/>
        <v>26675053.479900002</v>
      </c>
      <c r="E101" s="860">
        <f t="shared" ref="E101:E124" si="15">+I101+L101</f>
        <v>13498207.36695</v>
      </c>
      <c r="F101" s="860">
        <f t="shared" ref="F101:F124" si="16">+J101+M101</f>
        <v>13086912.036431249</v>
      </c>
      <c r="G101" s="860">
        <f t="shared" si="12"/>
        <v>89934.076518749978</v>
      </c>
      <c r="H101" s="1157">
        <f t="shared" si="13"/>
        <v>1071204.18</v>
      </c>
      <c r="I101" s="1157">
        <v>696282.71699999995</v>
      </c>
      <c r="J101" s="1157">
        <v>374921.46299999993</v>
      </c>
      <c r="K101" s="1157">
        <f t="shared" si="14"/>
        <v>25603849.299900003</v>
      </c>
      <c r="L101" s="1157">
        <v>12801924.64995</v>
      </c>
      <c r="M101" s="1157">
        <v>12711990.57343125</v>
      </c>
      <c r="N101" s="1158">
        <v>89934.076518749978</v>
      </c>
    </row>
    <row r="102" spans="1:14">
      <c r="A102" s="746" t="s">
        <v>52</v>
      </c>
      <c r="B102" s="859" t="s">
        <v>53</v>
      </c>
      <c r="C102" s="964" t="s">
        <v>265</v>
      </c>
      <c r="D102" s="964">
        <f t="shared" si="11"/>
        <v>50637345.679799996</v>
      </c>
      <c r="E102" s="860">
        <f t="shared" si="15"/>
        <v>25575798.509399999</v>
      </c>
      <c r="F102" s="860">
        <f t="shared" si="16"/>
        <v>24828614.883306</v>
      </c>
      <c r="G102" s="860">
        <f t="shared" si="12"/>
        <v>232932.287094</v>
      </c>
      <c r="H102" s="1157">
        <f t="shared" si="13"/>
        <v>1714171.13</v>
      </c>
      <c r="I102" s="1157">
        <v>1114211.2345</v>
      </c>
      <c r="J102" s="1157">
        <v>599959.89549999987</v>
      </c>
      <c r="K102" s="1157">
        <f t="shared" si="14"/>
        <v>48923174.549799994</v>
      </c>
      <c r="L102" s="1157">
        <v>24461587.274900001</v>
      </c>
      <c r="M102" s="1157">
        <v>24228654.987806</v>
      </c>
      <c r="N102" s="1158">
        <v>232932.287094</v>
      </c>
    </row>
    <row r="103" spans="1:14">
      <c r="A103" s="746" t="s">
        <v>54</v>
      </c>
      <c r="B103" s="859" t="s">
        <v>55</v>
      </c>
      <c r="C103" s="964" t="s">
        <v>264</v>
      </c>
      <c r="D103" s="964">
        <f t="shared" si="11"/>
        <v>174681476.86929998</v>
      </c>
      <c r="E103" s="860">
        <f t="shared" si="15"/>
        <v>88387792.173649997</v>
      </c>
      <c r="F103" s="860">
        <f t="shared" si="16"/>
        <v>86204619.921316251</v>
      </c>
      <c r="G103" s="860">
        <f t="shared" si="12"/>
        <v>89064.774333749985</v>
      </c>
      <c r="H103" s="1157">
        <f t="shared" si="13"/>
        <v>6980358.2599999998</v>
      </c>
      <c r="I103" s="1157">
        <v>4537232.8689999999</v>
      </c>
      <c r="J103" s="1157">
        <v>2443125.3909999998</v>
      </c>
      <c r="K103" s="1157">
        <f t="shared" si="14"/>
        <v>167701118.60929999</v>
      </c>
      <c r="L103" s="1157">
        <v>83850559.304649994</v>
      </c>
      <c r="M103" s="1157">
        <v>83761494.530316249</v>
      </c>
      <c r="N103" s="1158">
        <v>89064.774333749985</v>
      </c>
    </row>
    <row r="104" spans="1:14">
      <c r="A104" s="746" t="s">
        <v>66</v>
      </c>
      <c r="B104" s="859" t="s">
        <v>67</v>
      </c>
      <c r="C104" s="964" t="s">
        <v>265</v>
      </c>
      <c r="D104" s="964">
        <f t="shared" si="11"/>
        <v>105436548.6295</v>
      </c>
      <c r="E104" s="860">
        <f t="shared" si="15"/>
        <v>52968226.816249996</v>
      </c>
      <c r="F104" s="860">
        <f t="shared" si="16"/>
        <v>52411990.879321247</v>
      </c>
      <c r="G104" s="860">
        <f t="shared" si="12"/>
        <v>56330.933928750004</v>
      </c>
      <c r="H104" s="1157">
        <f t="shared" si="13"/>
        <v>1666350.0100000002</v>
      </c>
      <c r="I104" s="1157">
        <v>1083127.5065000001</v>
      </c>
      <c r="J104" s="1157">
        <v>583222.50349999999</v>
      </c>
      <c r="K104" s="1157">
        <f t="shared" si="14"/>
        <v>103770198.6195</v>
      </c>
      <c r="L104" s="1157">
        <v>51885099.309749998</v>
      </c>
      <c r="M104" s="1157">
        <v>51828768.375821248</v>
      </c>
      <c r="N104" s="1158">
        <v>56330.933928750004</v>
      </c>
    </row>
    <row r="105" spans="1:14">
      <c r="A105" s="746" t="s">
        <v>82</v>
      </c>
      <c r="B105" s="859" t="s">
        <v>311</v>
      </c>
      <c r="C105" s="964" t="s">
        <v>264</v>
      </c>
      <c r="D105" s="964">
        <f t="shared" si="11"/>
        <v>21929350.429899998</v>
      </c>
      <c r="E105" s="860">
        <f t="shared" si="15"/>
        <v>11033716.95695</v>
      </c>
      <c r="F105" s="860">
        <f t="shared" si="16"/>
        <v>10840975.97215</v>
      </c>
      <c r="G105" s="860">
        <f t="shared" si="12"/>
        <v>54657.500799999994</v>
      </c>
      <c r="H105" s="1157">
        <f t="shared" si="13"/>
        <v>460278.28</v>
      </c>
      <c r="I105" s="1157">
        <v>299180.88200000004</v>
      </c>
      <c r="J105" s="1157">
        <v>161097.39799999999</v>
      </c>
      <c r="K105" s="1157">
        <f t="shared" si="14"/>
        <v>21469072.149899997</v>
      </c>
      <c r="L105" s="1157">
        <v>10734536.07495</v>
      </c>
      <c r="M105" s="1157">
        <v>10679878.57415</v>
      </c>
      <c r="N105" s="1158">
        <v>54657.500799999994</v>
      </c>
    </row>
    <row r="106" spans="1:14">
      <c r="A106" s="746" t="s">
        <v>88</v>
      </c>
      <c r="B106" s="859" t="s">
        <v>89</v>
      </c>
      <c r="C106" s="964" t="s">
        <v>267</v>
      </c>
      <c r="D106" s="964">
        <f t="shared" si="11"/>
        <v>32965004.869900003</v>
      </c>
      <c r="E106" s="860">
        <f t="shared" si="15"/>
        <v>16646570.69795</v>
      </c>
      <c r="F106" s="860">
        <f t="shared" si="16"/>
        <v>16265993.269581877</v>
      </c>
      <c r="G106" s="860">
        <f t="shared" si="12"/>
        <v>52440.902368125004</v>
      </c>
      <c r="H106" s="1157">
        <f t="shared" si="13"/>
        <v>1093788.42</v>
      </c>
      <c r="I106" s="1157">
        <v>710962.473</v>
      </c>
      <c r="J106" s="1157">
        <v>382825.94699999993</v>
      </c>
      <c r="K106" s="1157">
        <f t="shared" si="14"/>
        <v>31871216.449900001</v>
      </c>
      <c r="L106" s="1157">
        <v>15935608.224950001</v>
      </c>
      <c r="M106" s="1157">
        <v>15883167.322581876</v>
      </c>
      <c r="N106" s="1158">
        <v>52440.902368125004</v>
      </c>
    </row>
    <row r="107" spans="1:14">
      <c r="A107" s="746" t="s">
        <v>90</v>
      </c>
      <c r="B107" s="859" t="s">
        <v>91</v>
      </c>
      <c r="C107" s="964" t="s">
        <v>268</v>
      </c>
      <c r="D107" s="964">
        <f t="shared" si="11"/>
        <v>15300271.419899998</v>
      </c>
      <c r="E107" s="860">
        <f t="shared" si="15"/>
        <v>7718927.8129500002</v>
      </c>
      <c r="F107" s="860">
        <f t="shared" si="16"/>
        <v>7562487.1121499995</v>
      </c>
      <c r="G107" s="860">
        <f t="shared" si="12"/>
        <v>18856.494799999997</v>
      </c>
      <c r="H107" s="1157">
        <f t="shared" si="13"/>
        <v>458614.02</v>
      </c>
      <c r="I107" s="1157">
        <v>298099.11300000001</v>
      </c>
      <c r="J107" s="1157">
        <v>160514.90700000001</v>
      </c>
      <c r="K107" s="1157">
        <f t="shared" si="14"/>
        <v>14841657.399899999</v>
      </c>
      <c r="L107" s="1157">
        <v>7420828.6999500003</v>
      </c>
      <c r="M107" s="1157">
        <v>7401972.2051499998</v>
      </c>
      <c r="N107" s="1158">
        <v>18856.494799999997</v>
      </c>
    </row>
    <row r="108" spans="1:14">
      <c r="A108" s="746" t="s">
        <v>106</v>
      </c>
      <c r="B108" s="859" t="s">
        <v>107</v>
      </c>
      <c r="C108" s="964" t="s">
        <v>264</v>
      </c>
      <c r="D108" s="964">
        <f t="shared" si="11"/>
        <v>164996556.67930001</v>
      </c>
      <c r="E108" s="860">
        <f t="shared" si="15"/>
        <v>83379055.872650012</v>
      </c>
      <c r="F108" s="860">
        <f t="shared" si="16"/>
        <v>81615939.73451376</v>
      </c>
      <c r="G108" s="860">
        <f t="shared" si="12"/>
        <v>1561.0721362499999</v>
      </c>
      <c r="H108" s="1157">
        <f t="shared" si="13"/>
        <v>5871850.2199999997</v>
      </c>
      <c r="I108" s="1157">
        <v>3816702.6430000002</v>
      </c>
      <c r="J108" s="1157">
        <v>2055147.5769999998</v>
      </c>
      <c r="K108" s="1157">
        <f t="shared" si="14"/>
        <v>159124706.45930001</v>
      </c>
      <c r="L108" s="1157">
        <v>79562353.229650006</v>
      </c>
      <c r="M108" s="1157">
        <v>79560792.157513753</v>
      </c>
      <c r="N108" s="1158">
        <v>1561.0721362499999</v>
      </c>
    </row>
    <row r="109" spans="1:14">
      <c r="A109" s="746" t="s">
        <v>116</v>
      </c>
      <c r="B109" s="859" t="s">
        <v>117</v>
      </c>
      <c r="C109" s="964" t="s">
        <v>266</v>
      </c>
      <c r="D109" s="964">
        <f t="shared" si="11"/>
        <v>42548314.369800001</v>
      </c>
      <c r="E109" s="860">
        <f t="shared" si="15"/>
        <v>21493519.569900002</v>
      </c>
      <c r="F109" s="860">
        <f t="shared" si="16"/>
        <v>20941964.765075065</v>
      </c>
      <c r="G109" s="860">
        <f t="shared" si="12"/>
        <v>112830.03482493748</v>
      </c>
      <c r="H109" s="1157">
        <f t="shared" si="13"/>
        <v>1462415.9</v>
      </c>
      <c r="I109" s="1157">
        <v>950570.33499999996</v>
      </c>
      <c r="J109" s="1157">
        <v>511845.56499999994</v>
      </c>
      <c r="K109" s="1157">
        <f t="shared" si="14"/>
        <v>41085898.469800003</v>
      </c>
      <c r="L109" s="1157">
        <v>20542949.234900001</v>
      </c>
      <c r="M109" s="1157">
        <v>20430119.200075064</v>
      </c>
      <c r="N109" s="1158">
        <v>112830.03482493748</v>
      </c>
    </row>
    <row r="110" spans="1:14">
      <c r="A110" s="746" t="s">
        <v>138</v>
      </c>
      <c r="B110" s="859" t="s">
        <v>139</v>
      </c>
      <c r="C110" s="964" t="s">
        <v>265</v>
      </c>
      <c r="D110" s="964">
        <f t="shared" si="11"/>
        <v>111124219.2695</v>
      </c>
      <c r="E110" s="860">
        <f t="shared" si="15"/>
        <v>55952171.272749998</v>
      </c>
      <c r="F110" s="860">
        <f t="shared" si="16"/>
        <v>54930301.090491995</v>
      </c>
      <c r="G110" s="860">
        <f t="shared" si="12"/>
        <v>241746.90625800006</v>
      </c>
      <c r="H110" s="1157">
        <f t="shared" si="13"/>
        <v>2600410.92</v>
      </c>
      <c r="I110" s="1157">
        <v>1690267.098</v>
      </c>
      <c r="J110" s="1157">
        <v>910143.82199999993</v>
      </c>
      <c r="K110" s="1157">
        <f t="shared" si="14"/>
        <v>108523808.3495</v>
      </c>
      <c r="L110" s="1157">
        <v>54261904.17475</v>
      </c>
      <c r="M110" s="1157">
        <v>54020157.268491998</v>
      </c>
      <c r="N110" s="1158">
        <v>241746.90625800006</v>
      </c>
    </row>
    <row r="111" spans="1:14">
      <c r="A111" s="746" t="s">
        <v>142</v>
      </c>
      <c r="B111" s="859" t="s">
        <v>143</v>
      </c>
      <c r="C111" s="964" t="s">
        <v>267</v>
      </c>
      <c r="D111" s="964">
        <f t="shared" si="11"/>
        <v>30722504.119900003</v>
      </c>
      <c r="E111" s="860">
        <f t="shared" si="15"/>
        <v>15832340.25245</v>
      </c>
      <c r="F111" s="860">
        <f t="shared" si="16"/>
        <v>14800548.925884001</v>
      </c>
      <c r="G111" s="860">
        <f t="shared" si="12"/>
        <v>89614.941565999994</v>
      </c>
      <c r="H111" s="1157">
        <f t="shared" si="13"/>
        <v>3140587.95</v>
      </c>
      <c r="I111" s="1157">
        <v>2041382.1675000002</v>
      </c>
      <c r="J111" s="1157">
        <v>1099205.7825</v>
      </c>
      <c r="K111" s="1157">
        <f t="shared" si="14"/>
        <v>27581916.169900004</v>
      </c>
      <c r="L111" s="1157">
        <v>13790958.08495</v>
      </c>
      <c r="M111" s="1157">
        <v>13701343.143384</v>
      </c>
      <c r="N111" s="1158">
        <v>89614.941565999994</v>
      </c>
    </row>
    <row r="112" spans="1:14">
      <c r="A112" s="746" t="s">
        <v>144</v>
      </c>
      <c r="B112" s="859" t="s">
        <v>145</v>
      </c>
      <c r="C112" s="964" t="s">
        <v>267</v>
      </c>
      <c r="D112" s="964">
        <f t="shared" si="11"/>
        <v>10892290.250000002</v>
      </c>
      <c r="E112" s="860">
        <f t="shared" si="15"/>
        <v>5638386.8650000002</v>
      </c>
      <c r="F112" s="860">
        <f t="shared" si="16"/>
        <v>5241082.5155624999</v>
      </c>
      <c r="G112" s="860">
        <f t="shared" si="12"/>
        <v>12820.8694375</v>
      </c>
      <c r="H112" s="1157">
        <f t="shared" si="13"/>
        <v>1281611.6000000001</v>
      </c>
      <c r="I112" s="1157">
        <v>833047.54</v>
      </c>
      <c r="J112" s="1157">
        <v>448564.06</v>
      </c>
      <c r="K112" s="1157">
        <f t="shared" si="14"/>
        <v>9610678.6500000022</v>
      </c>
      <c r="L112" s="1157">
        <v>4805339.3250000002</v>
      </c>
      <c r="M112" s="1157">
        <v>4792518.4555625003</v>
      </c>
      <c r="N112" s="1158">
        <v>12820.8694375</v>
      </c>
    </row>
    <row r="113" spans="1:14">
      <c r="A113" s="746" t="s">
        <v>158</v>
      </c>
      <c r="B113" s="859" t="s">
        <v>159</v>
      </c>
      <c r="C113" s="964" t="s">
        <v>264</v>
      </c>
      <c r="D113" s="964">
        <f t="shared" si="11"/>
        <v>216044901.29910004</v>
      </c>
      <c r="E113" s="860">
        <f t="shared" si="15"/>
        <v>109122887.76555</v>
      </c>
      <c r="F113" s="860">
        <f t="shared" si="16"/>
        <v>106843379.12540376</v>
      </c>
      <c r="G113" s="860">
        <f t="shared" si="12"/>
        <v>78634.408146249989</v>
      </c>
      <c r="H113" s="1157">
        <f t="shared" si="13"/>
        <v>7336247.4399999995</v>
      </c>
      <c r="I113" s="1157">
        <v>4768560.8360000001</v>
      </c>
      <c r="J113" s="1157">
        <v>2567686.6039999998</v>
      </c>
      <c r="K113" s="1157">
        <f t="shared" si="14"/>
        <v>208708653.85910004</v>
      </c>
      <c r="L113" s="1157">
        <v>104354326.92955001</v>
      </c>
      <c r="M113" s="1157">
        <v>104275692.52140376</v>
      </c>
      <c r="N113" s="1158">
        <v>78634.408146249989</v>
      </c>
    </row>
    <row r="114" spans="1:14">
      <c r="A114" s="746" t="s">
        <v>160</v>
      </c>
      <c r="B114" s="859" t="s">
        <v>161</v>
      </c>
      <c r="C114" s="964" t="s">
        <v>264</v>
      </c>
      <c r="D114" s="964">
        <f t="shared" si="11"/>
        <v>321415859.65870005</v>
      </c>
      <c r="E114" s="860">
        <f t="shared" si="15"/>
        <v>161828695.39835</v>
      </c>
      <c r="F114" s="860">
        <f t="shared" si="16"/>
        <v>159241433.15713066</v>
      </c>
      <c r="G114" s="860">
        <f t="shared" si="12"/>
        <v>345731.10321937501</v>
      </c>
      <c r="H114" s="1157">
        <f t="shared" si="13"/>
        <v>7471770.4600000009</v>
      </c>
      <c r="I114" s="1157">
        <v>4856650.7990000006</v>
      </c>
      <c r="J114" s="1157">
        <v>2615119.6609999998</v>
      </c>
      <c r="K114" s="1157">
        <f t="shared" si="14"/>
        <v>313944089.19870007</v>
      </c>
      <c r="L114" s="1157">
        <v>156972044.59935001</v>
      </c>
      <c r="M114" s="1157">
        <v>156626313.49613065</v>
      </c>
      <c r="N114" s="1158">
        <v>345731.10321937501</v>
      </c>
    </row>
    <row r="115" spans="1:14">
      <c r="A115" s="746" t="s">
        <v>166</v>
      </c>
      <c r="B115" s="859" t="s">
        <v>167</v>
      </c>
      <c r="C115" s="964" t="s">
        <v>268</v>
      </c>
      <c r="D115" s="964">
        <f t="shared" si="11"/>
        <v>6175370.1400000006</v>
      </c>
      <c r="E115" s="860">
        <f t="shared" si="15"/>
        <v>3119216.8670000001</v>
      </c>
      <c r="F115" s="860">
        <f t="shared" si="16"/>
        <v>3042873.09253575</v>
      </c>
      <c r="G115" s="860">
        <f t="shared" si="12"/>
        <v>13280.180464250001</v>
      </c>
      <c r="H115" s="1157">
        <f t="shared" si="13"/>
        <v>210211.98</v>
      </c>
      <c r="I115" s="1157">
        <v>136637.78700000001</v>
      </c>
      <c r="J115" s="1157">
        <v>73574.192999999999</v>
      </c>
      <c r="K115" s="1157">
        <f t="shared" si="14"/>
        <v>5965158.1600000001</v>
      </c>
      <c r="L115" s="1157">
        <v>2982579.08</v>
      </c>
      <c r="M115" s="1157">
        <v>2969298.89953575</v>
      </c>
      <c r="N115" s="1158">
        <v>13280.180464250001</v>
      </c>
    </row>
    <row r="116" spans="1:14">
      <c r="A116" s="746" t="s">
        <v>176</v>
      </c>
      <c r="B116" s="859" t="s">
        <v>177</v>
      </c>
      <c r="C116" s="964" t="s">
        <v>266</v>
      </c>
      <c r="D116" s="964">
        <f t="shared" si="11"/>
        <v>89805327.5396</v>
      </c>
      <c r="E116" s="860">
        <f t="shared" si="15"/>
        <v>45112392.884800002</v>
      </c>
      <c r="F116" s="860">
        <f t="shared" si="16"/>
        <v>44480618.597809382</v>
      </c>
      <c r="G116" s="860">
        <f t="shared" si="12"/>
        <v>212316.05699062496</v>
      </c>
      <c r="H116" s="1157">
        <f t="shared" si="13"/>
        <v>1398194.1</v>
      </c>
      <c r="I116" s="1157">
        <v>908826.16500000004</v>
      </c>
      <c r="J116" s="1157">
        <v>489367.935</v>
      </c>
      <c r="K116" s="1157">
        <f t="shared" si="14"/>
        <v>88407133.439600006</v>
      </c>
      <c r="L116" s="1157">
        <v>44203566.719800003</v>
      </c>
      <c r="M116" s="1157">
        <v>43991250.662809379</v>
      </c>
      <c r="N116" s="1158">
        <v>212316.05699062496</v>
      </c>
    </row>
    <row r="117" spans="1:14">
      <c r="A117" s="746" t="s">
        <v>180</v>
      </c>
      <c r="B117" s="859" t="s">
        <v>181</v>
      </c>
      <c r="C117" s="964" t="s">
        <v>264</v>
      </c>
      <c r="D117" s="964">
        <f t="shared" si="11"/>
        <v>169746596.98929995</v>
      </c>
      <c r="E117" s="860">
        <f t="shared" si="15"/>
        <v>85512796.200649992</v>
      </c>
      <c r="F117" s="860">
        <f t="shared" si="16"/>
        <v>84190330.129884988</v>
      </c>
      <c r="G117" s="860">
        <f t="shared" si="12"/>
        <v>43470.658765</v>
      </c>
      <c r="H117" s="1157">
        <f t="shared" si="13"/>
        <v>4263318.04</v>
      </c>
      <c r="I117" s="1157">
        <v>2771156.7260000003</v>
      </c>
      <c r="J117" s="1157">
        <v>1492161.314</v>
      </c>
      <c r="K117" s="1157">
        <f t="shared" si="14"/>
        <v>165483278.94929996</v>
      </c>
      <c r="L117" s="1157">
        <v>82741639.474649996</v>
      </c>
      <c r="M117" s="1157">
        <v>82698168.815884992</v>
      </c>
      <c r="N117" s="1158">
        <v>43470.658765</v>
      </c>
    </row>
    <row r="118" spans="1:14">
      <c r="A118" s="746" t="s">
        <v>192</v>
      </c>
      <c r="B118" s="859" t="s">
        <v>193</v>
      </c>
      <c r="C118" s="964" t="s">
        <v>268</v>
      </c>
      <c r="D118" s="964">
        <f t="shared" si="11"/>
        <v>12982174.7599</v>
      </c>
      <c r="E118" s="860">
        <f t="shared" si="15"/>
        <v>6547397.2959500002</v>
      </c>
      <c r="F118" s="860">
        <f t="shared" si="16"/>
        <v>6411665.2948562503</v>
      </c>
      <c r="G118" s="860">
        <f t="shared" si="12"/>
        <v>23112.169093749995</v>
      </c>
      <c r="H118" s="1157">
        <f t="shared" si="13"/>
        <v>375399.44</v>
      </c>
      <c r="I118" s="1157">
        <v>244009.636</v>
      </c>
      <c r="J118" s="1157">
        <v>131389.804</v>
      </c>
      <c r="K118" s="1157">
        <f t="shared" si="14"/>
        <v>12606775.3199</v>
      </c>
      <c r="L118" s="1157">
        <v>6303387.6599500002</v>
      </c>
      <c r="M118" s="1157">
        <v>6280275.4908562498</v>
      </c>
      <c r="N118" s="1158">
        <v>23112.169093749995</v>
      </c>
    </row>
    <row r="119" spans="1:14">
      <c r="A119" s="746" t="s">
        <v>196</v>
      </c>
      <c r="B119" s="859" t="s">
        <v>312</v>
      </c>
      <c r="C119" s="964" t="s">
        <v>266</v>
      </c>
      <c r="D119" s="964">
        <f t="shared" si="11"/>
        <v>422282248.63850003</v>
      </c>
      <c r="E119" s="860">
        <f t="shared" si="15"/>
        <v>212221738.42675</v>
      </c>
      <c r="F119" s="860">
        <f t="shared" si="16"/>
        <v>209413512.26688594</v>
      </c>
      <c r="G119" s="860">
        <f t="shared" si="12"/>
        <v>646997.94486406236</v>
      </c>
      <c r="H119" s="1157">
        <f t="shared" si="13"/>
        <v>7204094.0500000007</v>
      </c>
      <c r="I119" s="1157">
        <v>4682661.1325000003</v>
      </c>
      <c r="J119" s="1157">
        <v>2521432.9175</v>
      </c>
      <c r="K119" s="1157">
        <f t="shared" si="14"/>
        <v>415078154.58850002</v>
      </c>
      <c r="L119" s="1157">
        <v>207539077.29425001</v>
      </c>
      <c r="M119" s="1157">
        <v>206892079.34938595</v>
      </c>
      <c r="N119" s="1158">
        <v>646997.94486406236</v>
      </c>
    </row>
    <row r="120" spans="1:14">
      <c r="A120" s="746" t="s">
        <v>200</v>
      </c>
      <c r="B120" s="859" t="s">
        <v>313</v>
      </c>
      <c r="C120" s="964" t="s">
        <v>265</v>
      </c>
      <c r="D120" s="964">
        <f t="shared" si="11"/>
        <v>178794178.11919999</v>
      </c>
      <c r="E120" s="860">
        <f t="shared" si="15"/>
        <v>90126969.627100006</v>
      </c>
      <c r="F120" s="860">
        <f t="shared" si="16"/>
        <v>88313499.073348001</v>
      </c>
      <c r="G120" s="860">
        <f t="shared" si="12"/>
        <v>353709.41875200003</v>
      </c>
      <c r="H120" s="1157">
        <f t="shared" si="13"/>
        <v>4865870.45</v>
      </c>
      <c r="I120" s="1157">
        <v>3162815.7925000004</v>
      </c>
      <c r="J120" s="1157">
        <v>1703054.6575</v>
      </c>
      <c r="K120" s="1157">
        <f t="shared" si="14"/>
        <v>173928307.6692</v>
      </c>
      <c r="L120" s="1157">
        <v>86964153.834600002</v>
      </c>
      <c r="M120" s="1157">
        <v>86610444.415848002</v>
      </c>
      <c r="N120" s="1158">
        <v>353709.41875200003</v>
      </c>
    </row>
    <row r="121" spans="1:14">
      <c r="A121" s="746" t="s">
        <v>222</v>
      </c>
      <c r="B121" s="859" t="s">
        <v>223</v>
      </c>
      <c r="C121" s="964" t="s">
        <v>264</v>
      </c>
      <c r="D121" s="964">
        <f t="shared" si="11"/>
        <v>110545116.9595</v>
      </c>
      <c r="E121" s="860">
        <f t="shared" si="15"/>
        <v>55614140.014249995</v>
      </c>
      <c r="F121" s="860">
        <f t="shared" si="16"/>
        <v>54880711.398881994</v>
      </c>
      <c r="G121" s="860">
        <f t="shared" si="12"/>
        <v>50265.546367999996</v>
      </c>
      <c r="H121" s="1157">
        <f t="shared" si="13"/>
        <v>2277210.23</v>
      </c>
      <c r="I121" s="1157">
        <v>1480186.6495000001</v>
      </c>
      <c r="J121" s="1157">
        <v>797023.58049999992</v>
      </c>
      <c r="K121" s="1157">
        <f t="shared" si="14"/>
        <v>108267906.7295</v>
      </c>
      <c r="L121" s="1157">
        <v>54133953.364749998</v>
      </c>
      <c r="M121" s="1157">
        <v>54083687.818381995</v>
      </c>
      <c r="N121" s="1158">
        <v>50265.546367999996</v>
      </c>
    </row>
    <row r="122" spans="1:14">
      <c r="A122" s="746" t="s">
        <v>230</v>
      </c>
      <c r="B122" s="859" t="s">
        <v>231</v>
      </c>
      <c r="C122" s="964" t="s">
        <v>264</v>
      </c>
      <c r="D122" s="964">
        <f t="shared" si="11"/>
        <v>286162841.32869995</v>
      </c>
      <c r="E122" s="860">
        <f t="shared" si="15"/>
        <v>145129548.181835</v>
      </c>
      <c r="F122" s="860">
        <f t="shared" si="16"/>
        <v>140456930.86446187</v>
      </c>
      <c r="G122" s="860">
        <f t="shared" si="12"/>
        <v>576362.28240312485</v>
      </c>
      <c r="H122" s="1157">
        <f t="shared" si="13"/>
        <v>13654183.449900001</v>
      </c>
      <c r="I122" s="1157">
        <v>8875219.2424350008</v>
      </c>
      <c r="J122" s="1157">
        <v>4778964.2074649995</v>
      </c>
      <c r="K122" s="1157">
        <f t="shared" si="14"/>
        <v>272508657.87879997</v>
      </c>
      <c r="L122" s="1157">
        <v>136254328.93939999</v>
      </c>
      <c r="M122" s="1157">
        <v>135677966.65699688</v>
      </c>
      <c r="N122" s="1158">
        <v>576362.28240312485</v>
      </c>
    </row>
    <row r="123" spans="1:14">
      <c r="A123" s="746" t="s">
        <v>238</v>
      </c>
      <c r="B123" s="859" t="s">
        <v>239</v>
      </c>
      <c r="C123" s="964" t="s">
        <v>264</v>
      </c>
      <c r="D123" s="964">
        <f t="shared" si="11"/>
        <v>7194778.1899999995</v>
      </c>
      <c r="E123" s="860">
        <f t="shared" si="15"/>
        <v>3634952.6814999999</v>
      </c>
      <c r="F123" s="860">
        <f t="shared" si="16"/>
        <v>3536386.7982443748</v>
      </c>
      <c r="G123" s="860">
        <f t="shared" si="12"/>
        <v>23438.710255624996</v>
      </c>
      <c r="H123" s="1157">
        <f t="shared" si="13"/>
        <v>250423.91000000003</v>
      </c>
      <c r="I123" s="1157">
        <v>162775.54150000002</v>
      </c>
      <c r="J123" s="1157">
        <v>87648.368499999997</v>
      </c>
      <c r="K123" s="1157">
        <f t="shared" si="14"/>
        <v>6944354.2799999993</v>
      </c>
      <c r="L123" s="1157">
        <v>3472177.14</v>
      </c>
      <c r="M123" s="1157">
        <v>3448738.4297443749</v>
      </c>
      <c r="N123" s="1158">
        <v>23438.710255624996</v>
      </c>
    </row>
    <row r="124" spans="1:14">
      <c r="A124" s="746" t="s">
        <v>240</v>
      </c>
      <c r="B124" s="859" t="s">
        <v>241</v>
      </c>
      <c r="C124" s="964" t="s">
        <v>267</v>
      </c>
      <c r="D124" s="964">
        <f t="shared" si="11"/>
        <v>34145038.249899998</v>
      </c>
      <c r="E124" s="860">
        <f t="shared" si="15"/>
        <v>17292523.646449998</v>
      </c>
      <c r="F124" s="860">
        <f t="shared" si="16"/>
        <v>16813089.482940499</v>
      </c>
      <c r="G124" s="860">
        <f t="shared" si="12"/>
        <v>39425.120509499997</v>
      </c>
      <c r="H124" s="1157">
        <f t="shared" si="13"/>
        <v>1466696.81</v>
      </c>
      <c r="I124" s="1157">
        <v>953352.92650000006</v>
      </c>
      <c r="J124" s="1157">
        <v>513343.8835</v>
      </c>
      <c r="K124" s="1157">
        <f t="shared" si="14"/>
        <v>32678341.4399</v>
      </c>
      <c r="L124" s="1157">
        <v>16339170.71995</v>
      </c>
      <c r="M124" s="1157">
        <v>16299745.5994405</v>
      </c>
      <c r="N124" s="1158">
        <v>39425.120509499997</v>
      </c>
    </row>
    <row r="125" spans="1:14">
      <c r="H125" s="861"/>
      <c r="I125" s="861"/>
      <c r="J125" s="861"/>
      <c r="K125" s="861"/>
      <c r="L125" s="861"/>
      <c r="M125" s="861"/>
      <c r="N125" s="1073"/>
    </row>
    <row r="126" spans="1:14" s="403" customFormat="1">
      <c r="A126" s="403" t="s">
        <v>822</v>
      </c>
      <c r="B126" s="742"/>
      <c r="C126" s="742"/>
      <c r="D126" s="692"/>
      <c r="N126" s="1074"/>
    </row>
    <row r="127" spans="1:14" s="403" customFormat="1">
      <c r="N127" s="1074"/>
    </row>
    <row r="128" spans="1:14" s="428" customFormat="1">
      <c r="A128" s="428" t="s">
        <v>248</v>
      </c>
      <c r="N128" s="1075"/>
    </row>
    <row r="129" spans="1:14">
      <c r="A129" s="429" t="s">
        <v>249</v>
      </c>
      <c r="B129" s="430" t="s">
        <v>250</v>
      </c>
      <c r="C129" s="430"/>
      <c r="N129" s="1073"/>
    </row>
    <row r="130" spans="1:14">
      <c r="N130" s="1073"/>
    </row>
    <row r="131" spans="1:14">
      <c r="N131" s="1073"/>
    </row>
    <row r="132" spans="1:14">
      <c r="N132" s="1073"/>
    </row>
    <row r="133" spans="1:14">
      <c r="N133" s="1073"/>
    </row>
    <row r="134" spans="1:14">
      <c r="N134" s="1073"/>
    </row>
    <row r="135" spans="1:14">
      <c r="N135" s="1073"/>
    </row>
    <row r="136" spans="1:14">
      <c r="N136" s="1073"/>
    </row>
    <row r="137" spans="1:14">
      <c r="N137" s="1073"/>
    </row>
    <row r="138" spans="1:14">
      <c r="N138" s="1073"/>
    </row>
    <row r="139" spans="1:14">
      <c r="N139" s="1073"/>
    </row>
  </sheetData>
  <autoFilter ref="A3:C3"/>
  <hyperlinks>
    <hyperlink ref="B129" r:id="rId1"/>
  </hyperlinks>
  <pageMargins left="0.7" right="0.7" top="0.75" bottom="0.75" header="0.3" footer="0.3"/>
  <pageSetup orientation="portrait" r:id="rId2"/>
</worksheet>
</file>

<file path=xl/worksheets/sheet49.xml><?xml version="1.0" encoding="utf-8"?>
<worksheet xmlns="http://schemas.openxmlformats.org/spreadsheetml/2006/main" xmlns:r="http://schemas.openxmlformats.org/officeDocument/2006/relationships">
  <dimension ref="A1:E129"/>
  <sheetViews>
    <sheetView workbookViewId="0">
      <pane ySplit="4" topLeftCell="A5" activePane="bottomLeft" state="frozen"/>
      <selection pane="bottomLeft" activeCell="G98" sqref="G98"/>
    </sheetView>
  </sheetViews>
  <sheetFormatPr defaultRowHeight="15.75"/>
  <cols>
    <col min="1" max="1" width="9.125" style="271" customWidth="1"/>
    <col min="2" max="2" width="34.125" style="271" customWidth="1"/>
    <col min="3" max="3" width="16.5" style="271" customWidth="1"/>
    <col min="4" max="4" width="13.5" style="271" bestFit="1" customWidth="1"/>
    <col min="5" max="5" width="14.125" style="271" customWidth="1"/>
    <col min="6" max="16384" width="9" style="271"/>
  </cols>
  <sheetData>
    <row r="1" spans="1:5">
      <c r="A1" s="64" t="s">
        <v>1052</v>
      </c>
    </row>
    <row r="3" spans="1:5">
      <c r="A3" s="868" t="s">
        <v>4</v>
      </c>
      <c r="B3" s="869" t="s">
        <v>5</v>
      </c>
      <c r="C3" s="869" t="s">
        <v>251</v>
      </c>
      <c r="D3" s="871" t="s">
        <v>398</v>
      </c>
      <c r="E3" s="871" t="s">
        <v>399</v>
      </c>
    </row>
    <row r="4" spans="1:5">
      <c r="A4" s="865">
        <v>999</v>
      </c>
      <c r="B4" s="866" t="s">
        <v>9</v>
      </c>
      <c r="C4" s="866"/>
      <c r="D4" s="872">
        <f>SUM(D5:D124)</f>
        <v>1356985621</v>
      </c>
      <c r="E4" s="872">
        <f>SUM(E5:E124)</f>
        <v>1356985621</v>
      </c>
    </row>
    <row r="5" spans="1:5">
      <c r="A5" s="867" t="s">
        <v>10</v>
      </c>
      <c r="B5" s="870" t="s">
        <v>11</v>
      </c>
      <c r="C5" s="768" t="s">
        <v>264</v>
      </c>
      <c r="D5" s="1156">
        <f>E5</f>
        <v>9689574</v>
      </c>
      <c r="E5" s="1156">
        <v>9689574</v>
      </c>
    </row>
    <row r="6" spans="1:5">
      <c r="A6" s="867" t="s">
        <v>12</v>
      </c>
      <c r="B6" s="870" t="s">
        <v>13</v>
      </c>
      <c r="C6" s="768" t="s">
        <v>265</v>
      </c>
      <c r="D6" s="1156">
        <f t="shared" ref="D6:D69" si="0">E6</f>
        <v>9736940</v>
      </c>
      <c r="E6" s="1156">
        <v>9736940</v>
      </c>
    </row>
    <row r="7" spans="1:5">
      <c r="A7" s="867" t="s">
        <v>16</v>
      </c>
      <c r="B7" s="870" t="s">
        <v>297</v>
      </c>
      <c r="C7" s="768" t="s">
        <v>265</v>
      </c>
      <c r="D7" s="1156">
        <f t="shared" si="0"/>
        <v>4661618</v>
      </c>
      <c r="E7" s="1156">
        <v>4661618</v>
      </c>
    </row>
    <row r="8" spans="1:5">
      <c r="A8" s="867" t="s">
        <v>18</v>
      </c>
      <c r="B8" s="870" t="s">
        <v>19</v>
      </c>
      <c r="C8" s="768" t="s">
        <v>266</v>
      </c>
      <c r="D8" s="1156">
        <f t="shared" si="0"/>
        <v>2704772</v>
      </c>
      <c r="E8" s="1156">
        <v>2704772</v>
      </c>
    </row>
    <row r="9" spans="1:5">
      <c r="A9" s="867" t="s">
        <v>20</v>
      </c>
      <c r="B9" s="870" t="s">
        <v>21</v>
      </c>
      <c r="C9" s="768" t="s">
        <v>265</v>
      </c>
      <c r="D9" s="1156">
        <f t="shared" si="0"/>
        <v>4841506</v>
      </c>
      <c r="E9" s="1156">
        <v>4841506</v>
      </c>
    </row>
    <row r="10" spans="1:5">
      <c r="A10" s="867" t="s">
        <v>22</v>
      </c>
      <c r="B10" s="870" t="s">
        <v>23</v>
      </c>
      <c r="C10" s="768" t="s">
        <v>265</v>
      </c>
      <c r="D10" s="1156">
        <f t="shared" si="0"/>
        <v>3668416</v>
      </c>
      <c r="E10" s="1156">
        <v>3668416</v>
      </c>
    </row>
    <row r="11" spans="1:5">
      <c r="A11" s="867" t="s">
        <v>24</v>
      </c>
      <c r="B11" s="870" t="s">
        <v>25</v>
      </c>
      <c r="C11" s="768" t="s">
        <v>267</v>
      </c>
      <c r="D11" s="1156">
        <f t="shared" si="0"/>
        <v>11465354</v>
      </c>
      <c r="E11" s="1156">
        <v>11465354</v>
      </c>
    </row>
    <row r="12" spans="1:5">
      <c r="A12" s="867" t="s">
        <v>26</v>
      </c>
      <c r="B12" s="870" t="s">
        <v>706</v>
      </c>
      <c r="C12" s="768" t="s">
        <v>265</v>
      </c>
      <c r="D12" s="1156">
        <f t="shared" si="0"/>
        <v>19971970</v>
      </c>
      <c r="E12" s="1156">
        <v>19971970</v>
      </c>
    </row>
    <row r="13" spans="1:5">
      <c r="A13" s="867" t="s">
        <v>27</v>
      </c>
      <c r="B13" s="870" t="s">
        <v>28</v>
      </c>
      <c r="C13" s="768" t="s">
        <v>265</v>
      </c>
      <c r="D13" s="1156">
        <f t="shared" si="0"/>
        <v>495675</v>
      </c>
      <c r="E13" s="1156">
        <v>495675</v>
      </c>
    </row>
    <row r="14" spans="1:5">
      <c r="A14" s="867" t="s">
        <v>29</v>
      </c>
      <c r="B14" s="870" t="s">
        <v>1012</v>
      </c>
      <c r="C14" s="768" t="s">
        <v>265</v>
      </c>
      <c r="D14" s="1156">
        <f t="shared" si="0"/>
        <v>9343782</v>
      </c>
      <c r="E14" s="1156">
        <v>9343782</v>
      </c>
    </row>
    <row r="15" spans="1:5">
      <c r="A15" s="867" t="s">
        <v>30</v>
      </c>
      <c r="B15" s="870" t="s">
        <v>31</v>
      </c>
      <c r="C15" s="768" t="s">
        <v>268</v>
      </c>
      <c r="D15" s="1156">
        <f t="shared" si="0"/>
        <v>767164</v>
      </c>
      <c r="E15" s="1156">
        <v>767164</v>
      </c>
    </row>
    <row r="16" spans="1:5">
      <c r="A16" s="867" t="s">
        <v>32</v>
      </c>
      <c r="B16" s="870" t="s">
        <v>33</v>
      </c>
      <c r="C16" s="768" t="s">
        <v>265</v>
      </c>
      <c r="D16" s="1156">
        <f t="shared" si="0"/>
        <v>2367528</v>
      </c>
      <c r="E16" s="1156">
        <v>2367528</v>
      </c>
    </row>
    <row r="17" spans="1:5">
      <c r="A17" s="867" t="s">
        <v>36</v>
      </c>
      <c r="B17" s="870" t="s">
        <v>37</v>
      </c>
      <c r="C17" s="768" t="s">
        <v>264</v>
      </c>
      <c r="D17" s="1156">
        <f t="shared" si="0"/>
        <v>5281342</v>
      </c>
      <c r="E17" s="1156">
        <v>5281342</v>
      </c>
    </row>
    <row r="18" spans="1:5">
      <c r="A18" s="867" t="s">
        <v>38</v>
      </c>
      <c r="B18" s="870" t="s">
        <v>39</v>
      </c>
      <c r="C18" s="768" t="s">
        <v>268</v>
      </c>
      <c r="D18" s="1156">
        <f t="shared" si="0"/>
        <v>6162362</v>
      </c>
      <c r="E18" s="1156">
        <v>6162362</v>
      </c>
    </row>
    <row r="19" spans="1:5">
      <c r="A19" s="867" t="s">
        <v>40</v>
      </c>
      <c r="B19" s="870" t="s">
        <v>41</v>
      </c>
      <c r="C19" s="768" t="s">
        <v>266</v>
      </c>
      <c r="D19" s="1156">
        <f t="shared" si="0"/>
        <v>4720197</v>
      </c>
      <c r="E19" s="1156">
        <v>4720197</v>
      </c>
    </row>
    <row r="20" spans="1:5">
      <c r="A20" s="867" t="s">
        <v>42</v>
      </c>
      <c r="B20" s="870" t="s">
        <v>43</v>
      </c>
      <c r="C20" s="768" t="s">
        <v>265</v>
      </c>
      <c r="D20" s="1156">
        <f t="shared" si="0"/>
        <v>10805882</v>
      </c>
      <c r="E20" s="1156">
        <v>10805882</v>
      </c>
    </row>
    <row r="21" spans="1:5">
      <c r="A21" s="867" t="s">
        <v>44</v>
      </c>
      <c r="B21" s="870" t="s">
        <v>45</v>
      </c>
      <c r="C21" s="768" t="s">
        <v>266</v>
      </c>
      <c r="D21" s="1156">
        <f t="shared" si="0"/>
        <v>7486507</v>
      </c>
      <c r="E21" s="1156">
        <v>7486507</v>
      </c>
    </row>
    <row r="22" spans="1:5">
      <c r="A22" s="867" t="s">
        <v>46</v>
      </c>
      <c r="B22" s="870" t="s">
        <v>47</v>
      </c>
      <c r="C22" s="768" t="s">
        <v>268</v>
      </c>
      <c r="D22" s="1156">
        <f t="shared" si="0"/>
        <v>7164530</v>
      </c>
      <c r="E22" s="1156">
        <v>7164530</v>
      </c>
    </row>
    <row r="23" spans="1:5">
      <c r="A23" s="867" t="s">
        <v>48</v>
      </c>
      <c r="B23" s="870" t="s">
        <v>269</v>
      </c>
      <c r="C23" s="768" t="s">
        <v>266</v>
      </c>
      <c r="D23" s="1156">
        <f t="shared" si="0"/>
        <v>1597079</v>
      </c>
      <c r="E23" s="1156">
        <v>1597079</v>
      </c>
    </row>
    <row r="24" spans="1:5">
      <c r="A24" s="867" t="s">
        <v>50</v>
      </c>
      <c r="B24" s="870" t="s">
        <v>51</v>
      </c>
      <c r="C24" s="768" t="s">
        <v>265</v>
      </c>
      <c r="D24" s="1156">
        <f t="shared" si="0"/>
        <v>2963234</v>
      </c>
      <c r="E24" s="1156">
        <v>2963234</v>
      </c>
    </row>
    <row r="25" spans="1:5">
      <c r="A25" s="867" t="s">
        <v>56</v>
      </c>
      <c r="B25" s="870" t="s">
        <v>295</v>
      </c>
      <c r="C25" s="768" t="s">
        <v>266</v>
      </c>
      <c r="D25" s="1156">
        <f t="shared" si="0"/>
        <v>51545050</v>
      </c>
      <c r="E25" s="1156">
        <v>51545050</v>
      </c>
    </row>
    <row r="26" spans="1:5">
      <c r="A26" s="867" t="s">
        <v>58</v>
      </c>
      <c r="B26" s="870" t="s">
        <v>59</v>
      </c>
      <c r="C26" s="768" t="s">
        <v>267</v>
      </c>
      <c r="D26" s="1156">
        <f t="shared" si="0"/>
        <v>1035886</v>
      </c>
      <c r="E26" s="1156">
        <v>1035886</v>
      </c>
    </row>
    <row r="27" spans="1:5">
      <c r="A27" s="867" t="s">
        <v>60</v>
      </c>
      <c r="B27" s="870" t="s">
        <v>61</v>
      </c>
      <c r="C27" s="768" t="s">
        <v>265</v>
      </c>
      <c r="D27" s="1156">
        <f t="shared" si="0"/>
        <v>736162</v>
      </c>
      <c r="E27" s="1156">
        <v>736162</v>
      </c>
    </row>
    <row r="28" spans="1:5">
      <c r="A28" s="867" t="s">
        <v>62</v>
      </c>
      <c r="B28" s="870" t="s">
        <v>63</v>
      </c>
      <c r="C28" s="768" t="s">
        <v>267</v>
      </c>
      <c r="D28" s="1156">
        <f t="shared" si="0"/>
        <v>8707778</v>
      </c>
      <c r="E28" s="1156">
        <v>8707778</v>
      </c>
    </row>
    <row r="29" spans="1:5">
      <c r="A29" s="867" t="s">
        <v>64</v>
      </c>
      <c r="B29" s="870" t="s">
        <v>65</v>
      </c>
      <c r="C29" s="768" t="s">
        <v>266</v>
      </c>
      <c r="D29" s="1156">
        <f t="shared" si="0"/>
        <v>3185829</v>
      </c>
      <c r="E29" s="1156">
        <v>3185829</v>
      </c>
    </row>
    <row r="30" spans="1:5">
      <c r="A30" s="867" t="s">
        <v>68</v>
      </c>
      <c r="B30" s="870" t="s">
        <v>69</v>
      </c>
      <c r="C30" s="768" t="s">
        <v>268</v>
      </c>
      <c r="D30" s="1156">
        <f t="shared" si="0"/>
        <v>4238201</v>
      </c>
      <c r="E30" s="1156">
        <v>4238201</v>
      </c>
    </row>
    <row r="31" spans="1:5">
      <c r="A31" s="867" t="s">
        <v>70</v>
      </c>
      <c r="B31" s="870" t="s">
        <v>71</v>
      </c>
      <c r="C31" s="768" t="s">
        <v>264</v>
      </c>
      <c r="D31" s="1156">
        <f t="shared" si="0"/>
        <v>7022598</v>
      </c>
      <c r="E31" s="1156">
        <v>7022598</v>
      </c>
    </row>
    <row r="32" spans="1:5">
      <c r="A32" s="867" t="s">
        <v>72</v>
      </c>
      <c r="B32" s="870" t="s">
        <v>73</v>
      </c>
      <c r="C32" s="768" t="s">
        <v>266</v>
      </c>
      <c r="D32" s="1156">
        <f t="shared" si="0"/>
        <v>3668363</v>
      </c>
      <c r="E32" s="1156">
        <v>3668363</v>
      </c>
    </row>
    <row r="33" spans="1:5">
      <c r="A33" s="867" t="s">
        <v>74</v>
      </c>
      <c r="B33" s="870" t="s">
        <v>302</v>
      </c>
      <c r="C33" s="768" t="s">
        <v>267</v>
      </c>
      <c r="D33" s="1156">
        <f t="shared" si="0"/>
        <v>74463345</v>
      </c>
      <c r="E33" s="1156">
        <v>74463345</v>
      </c>
    </row>
    <row r="34" spans="1:5">
      <c r="A34" s="867" t="s">
        <v>76</v>
      </c>
      <c r="B34" s="870" t="s">
        <v>77</v>
      </c>
      <c r="C34" s="768" t="s">
        <v>267</v>
      </c>
      <c r="D34" s="1156">
        <f t="shared" si="0"/>
        <v>6064294</v>
      </c>
      <c r="E34" s="1156">
        <v>6064294</v>
      </c>
    </row>
    <row r="35" spans="1:5">
      <c r="A35" s="867" t="s">
        <v>78</v>
      </c>
      <c r="B35" s="870" t="s">
        <v>79</v>
      </c>
      <c r="C35" s="768" t="s">
        <v>268</v>
      </c>
      <c r="D35" s="1156">
        <f t="shared" si="0"/>
        <v>2521481</v>
      </c>
      <c r="E35" s="1156">
        <v>2521481</v>
      </c>
    </row>
    <row r="36" spans="1:5">
      <c r="A36" s="867" t="s">
        <v>80</v>
      </c>
      <c r="B36" s="870" t="s">
        <v>81</v>
      </c>
      <c r="C36" s="768" t="s">
        <v>266</v>
      </c>
      <c r="D36" s="1156">
        <f t="shared" si="0"/>
        <v>2502735</v>
      </c>
      <c r="E36" s="1156">
        <v>2502735</v>
      </c>
    </row>
    <row r="37" spans="1:5">
      <c r="A37" s="867" t="s">
        <v>84</v>
      </c>
      <c r="B37" s="870" t="s">
        <v>308</v>
      </c>
      <c r="C37" s="768" t="s">
        <v>265</v>
      </c>
      <c r="D37" s="1156">
        <f t="shared" si="0"/>
        <v>11478639</v>
      </c>
      <c r="E37" s="1156">
        <v>11478639</v>
      </c>
    </row>
    <row r="38" spans="1:5">
      <c r="A38" s="867" t="s">
        <v>86</v>
      </c>
      <c r="B38" s="870" t="s">
        <v>87</v>
      </c>
      <c r="C38" s="768" t="s">
        <v>267</v>
      </c>
      <c r="D38" s="1156">
        <f t="shared" si="0"/>
        <v>9633610</v>
      </c>
      <c r="E38" s="1156">
        <v>9633610</v>
      </c>
    </row>
    <row r="39" spans="1:5">
      <c r="A39" s="867" t="s">
        <v>92</v>
      </c>
      <c r="B39" s="870" t="s">
        <v>93</v>
      </c>
      <c r="C39" s="768" t="s">
        <v>268</v>
      </c>
      <c r="D39" s="1156">
        <f t="shared" si="0"/>
        <v>3099799</v>
      </c>
      <c r="E39" s="1156">
        <v>3099799</v>
      </c>
    </row>
    <row r="40" spans="1:5">
      <c r="A40" s="867" t="s">
        <v>94</v>
      </c>
      <c r="B40" s="870" t="s">
        <v>95</v>
      </c>
      <c r="C40" s="768" t="s">
        <v>264</v>
      </c>
      <c r="D40" s="1156">
        <f t="shared" si="0"/>
        <v>6316596</v>
      </c>
      <c r="E40" s="1156">
        <v>6316596</v>
      </c>
    </row>
    <row r="41" spans="1:5">
      <c r="A41" s="867" t="s">
        <v>96</v>
      </c>
      <c r="B41" s="870" t="s">
        <v>97</v>
      </c>
      <c r="C41" s="768" t="s">
        <v>266</v>
      </c>
      <c r="D41" s="1156">
        <f t="shared" si="0"/>
        <v>1896801</v>
      </c>
      <c r="E41" s="1156">
        <v>1896801</v>
      </c>
    </row>
    <row r="42" spans="1:5">
      <c r="A42" s="867" t="s">
        <v>98</v>
      </c>
      <c r="B42" s="870" t="s">
        <v>99</v>
      </c>
      <c r="C42" s="768" t="s">
        <v>268</v>
      </c>
      <c r="D42" s="1156">
        <f t="shared" si="0"/>
        <v>3835663</v>
      </c>
      <c r="E42" s="1156">
        <v>3835663</v>
      </c>
    </row>
    <row r="43" spans="1:5">
      <c r="A43" s="867" t="s">
        <v>100</v>
      </c>
      <c r="B43" s="870" t="s">
        <v>101</v>
      </c>
      <c r="C43" s="768" t="s">
        <v>267</v>
      </c>
      <c r="D43" s="1156">
        <f t="shared" si="0"/>
        <v>2997406</v>
      </c>
      <c r="E43" s="1156">
        <v>2997406</v>
      </c>
    </row>
    <row r="44" spans="1:5">
      <c r="A44" s="867" t="s">
        <v>102</v>
      </c>
      <c r="B44" s="870" t="s">
        <v>103</v>
      </c>
      <c r="C44" s="768" t="s">
        <v>264</v>
      </c>
      <c r="D44" s="1156">
        <f t="shared" si="0"/>
        <v>6211913</v>
      </c>
      <c r="E44" s="1156">
        <v>6211913</v>
      </c>
    </row>
    <row r="45" spans="1:5">
      <c r="A45" s="867" t="s">
        <v>104</v>
      </c>
      <c r="B45" s="870" t="s">
        <v>309</v>
      </c>
      <c r="C45" s="768" t="s">
        <v>265</v>
      </c>
      <c r="D45" s="1156">
        <f t="shared" si="0"/>
        <v>9364487</v>
      </c>
      <c r="E45" s="1156">
        <v>9364487</v>
      </c>
    </row>
    <row r="46" spans="1:5">
      <c r="A46" s="867" t="s">
        <v>108</v>
      </c>
      <c r="B46" s="870" t="s">
        <v>109</v>
      </c>
      <c r="C46" s="768" t="s">
        <v>266</v>
      </c>
      <c r="D46" s="1156">
        <f t="shared" si="0"/>
        <v>8486087</v>
      </c>
      <c r="E46" s="1156">
        <v>8486087</v>
      </c>
    </row>
    <row r="47" spans="1:5">
      <c r="A47" s="867" t="s">
        <v>110</v>
      </c>
      <c r="B47" s="870" t="s">
        <v>111</v>
      </c>
      <c r="C47" s="768" t="s">
        <v>266</v>
      </c>
      <c r="D47" s="1156">
        <f t="shared" si="0"/>
        <v>52473252</v>
      </c>
      <c r="E47" s="1156">
        <v>52473252</v>
      </c>
    </row>
    <row r="48" spans="1:5">
      <c r="A48" s="867" t="s">
        <v>112</v>
      </c>
      <c r="B48" s="870" t="s">
        <v>300</v>
      </c>
      <c r="C48" s="768" t="s">
        <v>265</v>
      </c>
      <c r="D48" s="1156">
        <f t="shared" si="0"/>
        <v>23435064</v>
      </c>
      <c r="E48" s="1156">
        <v>23435064</v>
      </c>
    </row>
    <row r="49" spans="1:5">
      <c r="A49" s="867" t="s">
        <v>114</v>
      </c>
      <c r="B49" s="870" t="s">
        <v>115</v>
      </c>
      <c r="C49" s="768" t="s">
        <v>265</v>
      </c>
      <c r="D49" s="1156">
        <f t="shared" si="0"/>
        <v>196211</v>
      </c>
      <c r="E49" s="1156">
        <v>196211</v>
      </c>
    </row>
    <row r="50" spans="1:5">
      <c r="A50" s="867" t="s">
        <v>118</v>
      </c>
      <c r="B50" s="870" t="s">
        <v>119</v>
      </c>
      <c r="C50" s="768" t="s">
        <v>264</v>
      </c>
      <c r="D50" s="1156">
        <f t="shared" si="0"/>
        <v>5923759</v>
      </c>
      <c r="E50" s="1156">
        <v>5923759</v>
      </c>
    </row>
    <row r="51" spans="1:5">
      <c r="A51" s="867" t="s">
        <v>120</v>
      </c>
      <c r="B51" s="870" t="s">
        <v>121</v>
      </c>
      <c r="C51" s="768" t="s">
        <v>264</v>
      </c>
      <c r="D51" s="1156">
        <f t="shared" si="0"/>
        <v>7167145</v>
      </c>
      <c r="E51" s="1156">
        <v>7167145</v>
      </c>
    </row>
    <row r="52" spans="1:5">
      <c r="A52" s="867" t="s">
        <v>122</v>
      </c>
      <c r="B52" s="870" t="s">
        <v>271</v>
      </c>
      <c r="C52" s="768" t="s">
        <v>266</v>
      </c>
      <c r="D52" s="1156">
        <f t="shared" si="0"/>
        <v>1755284</v>
      </c>
      <c r="E52" s="1156">
        <v>1755284</v>
      </c>
    </row>
    <row r="53" spans="1:5">
      <c r="A53" s="867" t="s">
        <v>124</v>
      </c>
      <c r="B53" s="870" t="s">
        <v>125</v>
      </c>
      <c r="C53" s="768" t="s">
        <v>267</v>
      </c>
      <c r="D53" s="1156">
        <f t="shared" si="0"/>
        <v>4614889</v>
      </c>
      <c r="E53" s="1156">
        <v>4614889</v>
      </c>
    </row>
    <row r="54" spans="1:5">
      <c r="A54" s="867" t="s">
        <v>126</v>
      </c>
      <c r="B54" s="870" t="s">
        <v>127</v>
      </c>
      <c r="C54" s="768" t="s">
        <v>266</v>
      </c>
      <c r="D54" s="1156">
        <f t="shared" si="0"/>
        <v>2755485</v>
      </c>
      <c r="E54" s="1156">
        <v>2755485</v>
      </c>
    </row>
    <row r="55" spans="1:5">
      <c r="A55" s="867" t="s">
        <v>128</v>
      </c>
      <c r="B55" s="870" t="s">
        <v>129</v>
      </c>
      <c r="C55" s="768" t="s">
        <v>266</v>
      </c>
      <c r="D55" s="1156">
        <f t="shared" si="0"/>
        <v>2306122</v>
      </c>
      <c r="E55" s="1156">
        <v>2306122</v>
      </c>
    </row>
    <row r="56" spans="1:5">
      <c r="A56" s="867" t="s">
        <v>130</v>
      </c>
      <c r="B56" s="870" t="s">
        <v>131</v>
      </c>
      <c r="C56" s="768" t="s">
        <v>268</v>
      </c>
      <c r="D56" s="1156">
        <f t="shared" si="0"/>
        <v>8551238</v>
      </c>
      <c r="E56" s="1156">
        <v>8551238</v>
      </c>
    </row>
    <row r="57" spans="1:5">
      <c r="A57" s="867" t="s">
        <v>132</v>
      </c>
      <c r="B57" s="870" t="s">
        <v>133</v>
      </c>
      <c r="C57" s="768" t="s">
        <v>267</v>
      </c>
      <c r="D57" s="1156">
        <f t="shared" si="0"/>
        <v>14298462</v>
      </c>
      <c r="E57" s="1156">
        <v>14298462</v>
      </c>
    </row>
    <row r="58" spans="1:5">
      <c r="A58" s="867" t="s">
        <v>134</v>
      </c>
      <c r="B58" s="870" t="s">
        <v>135</v>
      </c>
      <c r="C58" s="768" t="s">
        <v>267</v>
      </c>
      <c r="D58" s="1156">
        <f t="shared" si="0"/>
        <v>6598809</v>
      </c>
      <c r="E58" s="1156">
        <v>6598809</v>
      </c>
    </row>
    <row r="59" spans="1:5">
      <c r="A59" s="867" t="s">
        <v>136</v>
      </c>
      <c r="B59" s="870" t="s">
        <v>137</v>
      </c>
      <c r="C59" s="768" t="s">
        <v>266</v>
      </c>
      <c r="D59" s="1156">
        <f t="shared" si="0"/>
        <v>3308276</v>
      </c>
      <c r="E59" s="1156">
        <v>3308276</v>
      </c>
    </row>
    <row r="60" spans="1:5">
      <c r="A60" s="867" t="s">
        <v>140</v>
      </c>
      <c r="B60" s="870" t="s">
        <v>141</v>
      </c>
      <c r="C60" s="768" t="s">
        <v>267</v>
      </c>
      <c r="D60" s="1156">
        <f t="shared" si="0"/>
        <v>2338235</v>
      </c>
      <c r="E60" s="1156">
        <v>2338235</v>
      </c>
    </row>
    <row r="61" spans="1:5">
      <c r="A61" s="867" t="s">
        <v>146</v>
      </c>
      <c r="B61" s="870" t="s">
        <v>147</v>
      </c>
      <c r="C61" s="768" t="s">
        <v>264</v>
      </c>
      <c r="D61" s="1156">
        <f t="shared" si="0"/>
        <v>1396109</v>
      </c>
      <c r="E61" s="1156">
        <v>1396109</v>
      </c>
    </row>
    <row r="62" spans="1:5">
      <c r="A62" s="867" t="s">
        <v>148</v>
      </c>
      <c r="B62" s="870" t="s">
        <v>149</v>
      </c>
      <c r="C62" s="768" t="s">
        <v>265</v>
      </c>
      <c r="D62" s="1156">
        <f t="shared" si="0"/>
        <v>7178516</v>
      </c>
      <c r="E62" s="1156">
        <v>7178516</v>
      </c>
    </row>
    <row r="63" spans="1:5">
      <c r="A63" s="867" t="s">
        <v>150</v>
      </c>
      <c r="B63" s="870" t="s">
        <v>151</v>
      </c>
      <c r="C63" s="768" t="s">
        <v>266</v>
      </c>
      <c r="D63" s="1156">
        <f t="shared" si="0"/>
        <v>2486965</v>
      </c>
      <c r="E63" s="1156">
        <v>2486965</v>
      </c>
    </row>
    <row r="64" spans="1:5">
      <c r="A64" s="867" t="s">
        <v>152</v>
      </c>
      <c r="B64" s="870" t="s">
        <v>153</v>
      </c>
      <c r="C64" s="768" t="s">
        <v>268</v>
      </c>
      <c r="D64" s="1156">
        <f t="shared" si="0"/>
        <v>10826517</v>
      </c>
      <c r="E64" s="1156">
        <v>10826517</v>
      </c>
    </row>
    <row r="65" spans="1:5">
      <c r="A65" s="867" t="s">
        <v>154</v>
      </c>
      <c r="B65" s="870" t="s">
        <v>155</v>
      </c>
      <c r="C65" s="768" t="s">
        <v>265</v>
      </c>
      <c r="D65" s="1156">
        <f t="shared" si="0"/>
        <v>3209980</v>
      </c>
      <c r="E65" s="1156">
        <v>3209980</v>
      </c>
    </row>
    <row r="66" spans="1:5">
      <c r="A66" s="867" t="s">
        <v>156</v>
      </c>
      <c r="B66" s="870" t="s">
        <v>157</v>
      </c>
      <c r="C66" s="768" t="s">
        <v>266</v>
      </c>
      <c r="D66" s="1156">
        <f t="shared" si="0"/>
        <v>1788417</v>
      </c>
      <c r="E66" s="1156">
        <v>1788417</v>
      </c>
    </row>
    <row r="67" spans="1:5">
      <c r="A67" s="867" t="s">
        <v>162</v>
      </c>
      <c r="B67" s="870" t="s">
        <v>163</v>
      </c>
      <c r="C67" s="768" t="s">
        <v>264</v>
      </c>
      <c r="D67" s="1156">
        <f t="shared" si="0"/>
        <v>3896906</v>
      </c>
      <c r="E67" s="1156">
        <v>3896906</v>
      </c>
    </row>
    <row r="68" spans="1:5">
      <c r="A68" s="867" t="s">
        <v>164</v>
      </c>
      <c r="B68" s="870" t="s">
        <v>165</v>
      </c>
      <c r="C68" s="768" t="s">
        <v>266</v>
      </c>
      <c r="D68" s="1156">
        <f t="shared" si="0"/>
        <v>2540214</v>
      </c>
      <c r="E68" s="1156">
        <v>2540214</v>
      </c>
    </row>
    <row r="69" spans="1:5">
      <c r="A69" s="867" t="s">
        <v>168</v>
      </c>
      <c r="B69" s="870" t="s">
        <v>169</v>
      </c>
      <c r="C69" s="768" t="s">
        <v>266</v>
      </c>
      <c r="D69" s="1156">
        <f t="shared" si="0"/>
        <v>5156259</v>
      </c>
      <c r="E69" s="1156">
        <v>5156259</v>
      </c>
    </row>
    <row r="70" spans="1:5">
      <c r="A70" s="867" t="s">
        <v>170</v>
      </c>
      <c r="B70" s="870" t="s">
        <v>171</v>
      </c>
      <c r="C70" s="768" t="s">
        <v>267</v>
      </c>
      <c r="D70" s="1156">
        <f t="shared" ref="D70:D124" si="1">E70</f>
        <v>4910310</v>
      </c>
      <c r="E70" s="1156">
        <v>4910310</v>
      </c>
    </row>
    <row r="71" spans="1:5">
      <c r="A71" s="867" t="s">
        <v>172</v>
      </c>
      <c r="B71" s="870" t="s">
        <v>173</v>
      </c>
      <c r="C71" s="768" t="s">
        <v>267</v>
      </c>
      <c r="D71" s="1156">
        <f t="shared" si="1"/>
        <v>5434987</v>
      </c>
      <c r="E71" s="1156">
        <v>5434987</v>
      </c>
    </row>
    <row r="72" spans="1:5">
      <c r="A72" s="867" t="s">
        <v>174</v>
      </c>
      <c r="B72" s="870" t="s">
        <v>175</v>
      </c>
      <c r="C72" s="768" t="s">
        <v>268</v>
      </c>
      <c r="D72" s="1156">
        <f t="shared" si="1"/>
        <v>4204804</v>
      </c>
      <c r="E72" s="1156">
        <v>4204804</v>
      </c>
    </row>
    <row r="73" spans="1:5">
      <c r="A73" s="867" t="s">
        <v>178</v>
      </c>
      <c r="B73" s="870" t="s">
        <v>179</v>
      </c>
      <c r="C73" s="768" t="s">
        <v>265</v>
      </c>
      <c r="D73" s="1156">
        <f t="shared" si="1"/>
        <v>14102268</v>
      </c>
      <c r="E73" s="1156">
        <v>14102268</v>
      </c>
    </row>
    <row r="74" spans="1:5">
      <c r="A74" s="867" t="s">
        <v>182</v>
      </c>
      <c r="B74" s="870" t="s">
        <v>183</v>
      </c>
      <c r="C74" s="768" t="s">
        <v>266</v>
      </c>
      <c r="D74" s="1156">
        <f t="shared" si="1"/>
        <v>2017821</v>
      </c>
      <c r="E74" s="1156">
        <v>2017821</v>
      </c>
    </row>
    <row r="75" spans="1:5">
      <c r="A75" s="867" t="s">
        <v>184</v>
      </c>
      <c r="B75" s="870" t="s">
        <v>185</v>
      </c>
      <c r="C75" s="768" t="s">
        <v>266</v>
      </c>
      <c r="D75" s="1156">
        <f t="shared" si="1"/>
        <v>5004619</v>
      </c>
      <c r="E75" s="1156">
        <v>5004619</v>
      </c>
    </row>
    <row r="76" spans="1:5">
      <c r="A76" s="867" t="s">
        <v>186</v>
      </c>
      <c r="B76" s="870" t="s">
        <v>187</v>
      </c>
      <c r="C76" s="768" t="s">
        <v>264</v>
      </c>
      <c r="D76" s="1156">
        <f t="shared" si="1"/>
        <v>4541877</v>
      </c>
      <c r="E76" s="1156">
        <v>4541877</v>
      </c>
    </row>
    <row r="77" spans="1:5">
      <c r="A77" s="867" t="s">
        <v>188</v>
      </c>
      <c r="B77" s="870" t="s">
        <v>189</v>
      </c>
      <c r="C77" s="768" t="s">
        <v>267</v>
      </c>
      <c r="D77" s="1156">
        <f t="shared" si="1"/>
        <v>45365671</v>
      </c>
      <c r="E77" s="1156">
        <v>45365671</v>
      </c>
    </row>
    <row r="78" spans="1:5">
      <c r="A78" s="867" t="s">
        <v>190</v>
      </c>
      <c r="B78" s="870" t="s">
        <v>191</v>
      </c>
      <c r="C78" s="768" t="s">
        <v>268</v>
      </c>
      <c r="D78" s="1156">
        <f t="shared" si="1"/>
        <v>8127109</v>
      </c>
      <c r="E78" s="1156">
        <v>8127109</v>
      </c>
    </row>
    <row r="79" spans="1:5">
      <c r="A79" s="867" t="s">
        <v>194</v>
      </c>
      <c r="B79" s="870" t="s">
        <v>195</v>
      </c>
      <c r="C79" s="768" t="s">
        <v>267</v>
      </c>
      <c r="D79" s="1156">
        <f t="shared" si="1"/>
        <v>621564</v>
      </c>
      <c r="E79" s="1156">
        <v>621564</v>
      </c>
    </row>
    <row r="80" spans="1:5">
      <c r="A80" s="867" t="s">
        <v>198</v>
      </c>
      <c r="B80" s="870" t="s">
        <v>199</v>
      </c>
      <c r="C80" s="768" t="s">
        <v>266</v>
      </c>
      <c r="D80" s="1156">
        <f t="shared" si="1"/>
        <v>2255838</v>
      </c>
      <c r="E80" s="1156">
        <v>2255838</v>
      </c>
    </row>
    <row r="81" spans="1:5">
      <c r="A81" s="867" t="s">
        <v>202</v>
      </c>
      <c r="B81" s="870" t="s">
        <v>203</v>
      </c>
      <c r="C81" s="768" t="s">
        <v>265</v>
      </c>
      <c r="D81" s="1156">
        <f t="shared" si="1"/>
        <v>11477161</v>
      </c>
      <c r="E81" s="1156">
        <v>11477161</v>
      </c>
    </row>
    <row r="82" spans="1:5">
      <c r="A82" s="867" t="s">
        <v>204</v>
      </c>
      <c r="B82" s="870" t="s">
        <v>205</v>
      </c>
      <c r="C82" s="768" t="s">
        <v>265</v>
      </c>
      <c r="D82" s="1156">
        <f t="shared" si="1"/>
        <v>5668377</v>
      </c>
      <c r="E82" s="1156">
        <v>5668377</v>
      </c>
    </row>
    <row r="83" spans="1:5">
      <c r="A83" s="867" t="s">
        <v>206</v>
      </c>
      <c r="B83" s="870" t="s">
        <v>207</v>
      </c>
      <c r="C83" s="768" t="s">
        <v>267</v>
      </c>
      <c r="D83" s="1156">
        <f t="shared" si="1"/>
        <v>15245622</v>
      </c>
      <c r="E83" s="1156">
        <v>15245622</v>
      </c>
    </row>
    <row r="84" spans="1:5">
      <c r="A84" s="867" t="s">
        <v>208</v>
      </c>
      <c r="B84" s="870" t="s">
        <v>209</v>
      </c>
      <c r="C84" s="768" t="s">
        <v>268</v>
      </c>
      <c r="D84" s="1156">
        <f t="shared" si="1"/>
        <v>8227436</v>
      </c>
      <c r="E84" s="1156">
        <v>8227436</v>
      </c>
    </row>
    <row r="85" spans="1:5">
      <c r="A85" s="867" t="s">
        <v>210</v>
      </c>
      <c r="B85" s="870" t="s">
        <v>211</v>
      </c>
      <c r="C85" s="768" t="s">
        <v>268</v>
      </c>
      <c r="D85" s="1156">
        <f t="shared" si="1"/>
        <v>5084202</v>
      </c>
      <c r="E85" s="1156">
        <v>5084202</v>
      </c>
    </row>
    <row r="86" spans="1:5">
      <c r="A86" s="867" t="s">
        <v>212</v>
      </c>
      <c r="B86" s="870" t="s">
        <v>213</v>
      </c>
      <c r="C86" s="768" t="s">
        <v>267</v>
      </c>
      <c r="D86" s="1156">
        <f t="shared" si="1"/>
        <v>7995911</v>
      </c>
      <c r="E86" s="1156">
        <v>7995911</v>
      </c>
    </row>
    <row r="87" spans="1:5">
      <c r="A87" s="867" t="s">
        <v>214</v>
      </c>
      <c r="B87" s="870" t="s">
        <v>215</v>
      </c>
      <c r="C87" s="768" t="s">
        <v>268</v>
      </c>
      <c r="D87" s="1156">
        <f t="shared" si="1"/>
        <v>8720828</v>
      </c>
      <c r="E87" s="1156">
        <v>8720828</v>
      </c>
    </row>
    <row r="88" spans="1:5">
      <c r="A88" s="867" t="s">
        <v>216</v>
      </c>
      <c r="B88" s="870" t="s">
        <v>217</v>
      </c>
      <c r="C88" s="768" t="s">
        <v>264</v>
      </c>
      <c r="D88" s="1156">
        <f t="shared" si="1"/>
        <v>4249222</v>
      </c>
      <c r="E88" s="1156">
        <v>4249222</v>
      </c>
    </row>
    <row r="89" spans="1:5">
      <c r="A89" s="867" t="s">
        <v>218</v>
      </c>
      <c r="B89" s="870" t="s">
        <v>219</v>
      </c>
      <c r="C89" s="768" t="s">
        <v>267</v>
      </c>
      <c r="D89" s="1156">
        <f t="shared" si="1"/>
        <v>18059333</v>
      </c>
      <c r="E89" s="1156">
        <v>18059333</v>
      </c>
    </row>
    <row r="90" spans="1:5">
      <c r="A90" s="867" t="s">
        <v>220</v>
      </c>
      <c r="B90" s="870" t="s">
        <v>221</v>
      </c>
      <c r="C90" s="768" t="s">
        <v>267</v>
      </c>
      <c r="D90" s="1156">
        <f t="shared" si="1"/>
        <v>14896850</v>
      </c>
      <c r="E90" s="1156">
        <v>14896850</v>
      </c>
    </row>
    <row r="91" spans="1:5">
      <c r="A91" s="867" t="s">
        <v>224</v>
      </c>
      <c r="B91" s="870" t="s">
        <v>225</v>
      </c>
      <c r="C91" s="768" t="s">
        <v>264</v>
      </c>
      <c r="D91" s="1156">
        <f t="shared" si="1"/>
        <v>1561422</v>
      </c>
      <c r="E91" s="1156">
        <v>1561422</v>
      </c>
    </row>
    <row r="92" spans="1:5">
      <c r="A92" s="867" t="s">
        <v>226</v>
      </c>
      <c r="B92" s="870" t="s">
        <v>227</v>
      </c>
      <c r="C92" s="768" t="s">
        <v>264</v>
      </c>
      <c r="D92" s="1156">
        <f t="shared" si="1"/>
        <v>2841048</v>
      </c>
      <c r="E92" s="1156">
        <v>2841048</v>
      </c>
    </row>
    <row r="93" spans="1:5">
      <c r="A93" s="867" t="s">
        <v>228</v>
      </c>
      <c r="B93" s="870" t="s">
        <v>229</v>
      </c>
      <c r="C93" s="768" t="s">
        <v>268</v>
      </c>
      <c r="D93" s="1156">
        <f t="shared" si="1"/>
        <v>11596241</v>
      </c>
      <c r="E93" s="1156">
        <v>11596241</v>
      </c>
    </row>
    <row r="94" spans="1:5">
      <c r="A94" s="867" t="s">
        <v>232</v>
      </c>
      <c r="B94" s="870" t="s">
        <v>233</v>
      </c>
      <c r="C94" s="768" t="s">
        <v>267</v>
      </c>
      <c r="D94" s="1156">
        <f t="shared" si="1"/>
        <v>7559974</v>
      </c>
      <c r="E94" s="1156">
        <v>7559974</v>
      </c>
    </row>
    <row r="95" spans="1:5">
      <c r="A95" s="867" t="s">
        <v>234</v>
      </c>
      <c r="B95" s="870" t="s">
        <v>235</v>
      </c>
      <c r="C95" s="768" t="s">
        <v>268</v>
      </c>
      <c r="D95" s="1156">
        <f t="shared" si="1"/>
        <v>10731719</v>
      </c>
      <c r="E95" s="1156">
        <v>10731719</v>
      </c>
    </row>
    <row r="96" spans="1:5">
      <c r="A96" s="867" t="s">
        <v>236</v>
      </c>
      <c r="B96" s="870" t="s">
        <v>237</v>
      </c>
      <c r="C96" s="768" t="s">
        <v>266</v>
      </c>
      <c r="D96" s="1156">
        <f t="shared" si="1"/>
        <v>4735369</v>
      </c>
      <c r="E96" s="1156">
        <v>4735369</v>
      </c>
    </row>
    <row r="97" spans="1:5">
      <c r="A97" s="867" t="s">
        <v>242</v>
      </c>
      <c r="B97" s="870" t="s">
        <v>243</v>
      </c>
      <c r="C97" s="768" t="s">
        <v>268</v>
      </c>
      <c r="D97" s="1156">
        <f t="shared" si="1"/>
        <v>12313216</v>
      </c>
      <c r="E97" s="1156">
        <v>12313216</v>
      </c>
    </row>
    <row r="98" spans="1:5">
      <c r="A98" s="867" t="s">
        <v>244</v>
      </c>
      <c r="B98" s="870" t="s">
        <v>245</v>
      </c>
      <c r="C98" s="768" t="s">
        <v>268</v>
      </c>
      <c r="D98" s="1156">
        <f t="shared" si="1"/>
        <v>5812032</v>
      </c>
      <c r="E98" s="1156">
        <v>5812032</v>
      </c>
    </row>
    <row r="99" spans="1:5">
      <c r="A99" s="867" t="s">
        <v>246</v>
      </c>
      <c r="B99" s="870" t="s">
        <v>310</v>
      </c>
      <c r="C99" s="768" t="s">
        <v>264</v>
      </c>
      <c r="D99" s="1156">
        <f t="shared" si="1"/>
        <v>4918761</v>
      </c>
      <c r="E99" s="1156">
        <v>4918761</v>
      </c>
    </row>
    <row r="100" spans="1:5">
      <c r="A100" s="867" t="s">
        <v>14</v>
      </c>
      <c r="B100" s="870" t="s">
        <v>15</v>
      </c>
      <c r="C100" s="768" t="s">
        <v>267</v>
      </c>
      <c r="D100" s="1156">
        <f t="shared" si="1"/>
        <v>13139304</v>
      </c>
      <c r="E100" s="1156">
        <v>13139304</v>
      </c>
    </row>
    <row r="101" spans="1:5">
      <c r="A101" s="867" t="s">
        <v>34</v>
      </c>
      <c r="B101" s="870" t="s">
        <v>35</v>
      </c>
      <c r="C101" s="768" t="s">
        <v>268</v>
      </c>
      <c r="D101" s="1156">
        <f t="shared" si="1"/>
        <v>6962650</v>
      </c>
      <c r="E101" s="1156">
        <v>6962650</v>
      </c>
    </row>
    <row r="102" spans="1:5">
      <c r="A102" s="867" t="s">
        <v>52</v>
      </c>
      <c r="B102" s="870" t="s">
        <v>53</v>
      </c>
      <c r="C102" s="768" t="s">
        <v>265</v>
      </c>
      <c r="D102" s="1156">
        <f t="shared" si="1"/>
        <v>7630146</v>
      </c>
      <c r="E102" s="1156">
        <v>7630146</v>
      </c>
    </row>
    <row r="103" spans="1:5">
      <c r="A103" s="867" t="s">
        <v>54</v>
      </c>
      <c r="B103" s="870" t="s">
        <v>55</v>
      </c>
      <c r="C103" s="768" t="s">
        <v>264</v>
      </c>
      <c r="D103" s="1156">
        <f t="shared" si="1"/>
        <v>36475399</v>
      </c>
      <c r="E103" s="1156">
        <v>36475399</v>
      </c>
    </row>
    <row r="104" spans="1:5">
      <c r="A104" s="867" t="s">
        <v>66</v>
      </c>
      <c r="B104" s="870" t="s">
        <v>67</v>
      </c>
      <c r="C104" s="768" t="s">
        <v>265</v>
      </c>
      <c r="D104" s="1156">
        <f t="shared" si="1"/>
        <v>20128677</v>
      </c>
      <c r="E104" s="1156">
        <v>20128677</v>
      </c>
    </row>
    <row r="105" spans="1:5">
      <c r="A105" s="867" t="s">
        <v>82</v>
      </c>
      <c r="B105" s="870" t="s">
        <v>311</v>
      </c>
      <c r="C105" s="768" t="s">
        <v>264</v>
      </c>
      <c r="D105" s="1156">
        <f t="shared" si="1"/>
        <v>4105719</v>
      </c>
      <c r="E105" s="1156">
        <v>4105719</v>
      </c>
    </row>
    <row r="106" spans="1:5">
      <c r="A106" s="867" t="s">
        <v>88</v>
      </c>
      <c r="B106" s="870" t="s">
        <v>89</v>
      </c>
      <c r="C106" s="768" t="s">
        <v>267</v>
      </c>
      <c r="D106" s="1156">
        <f t="shared" si="1"/>
        <v>6573277</v>
      </c>
      <c r="E106" s="1156">
        <v>6573277</v>
      </c>
    </row>
    <row r="107" spans="1:5">
      <c r="A107" s="867" t="s">
        <v>90</v>
      </c>
      <c r="B107" s="870" t="s">
        <v>91</v>
      </c>
      <c r="C107" s="768" t="s">
        <v>268</v>
      </c>
      <c r="D107" s="1156">
        <f t="shared" si="1"/>
        <v>2725592</v>
      </c>
      <c r="E107" s="1156">
        <v>2725592</v>
      </c>
    </row>
    <row r="108" spans="1:5">
      <c r="A108" s="867" t="s">
        <v>106</v>
      </c>
      <c r="B108" s="870" t="s">
        <v>107</v>
      </c>
      <c r="C108" s="768" t="s">
        <v>264</v>
      </c>
      <c r="D108" s="1156">
        <f t="shared" si="1"/>
        <v>34920652</v>
      </c>
      <c r="E108" s="1156">
        <v>34920652</v>
      </c>
    </row>
    <row r="109" spans="1:5">
      <c r="A109" s="867" t="s">
        <v>116</v>
      </c>
      <c r="B109" s="870" t="s">
        <v>117</v>
      </c>
      <c r="C109" s="768" t="s">
        <v>266</v>
      </c>
      <c r="D109" s="1156">
        <f t="shared" si="1"/>
        <v>10655207</v>
      </c>
      <c r="E109" s="1156">
        <v>10655207</v>
      </c>
    </row>
    <row r="110" spans="1:5">
      <c r="A110" s="867" t="s">
        <v>138</v>
      </c>
      <c r="B110" s="870" t="s">
        <v>139</v>
      </c>
      <c r="C110" s="768" t="s">
        <v>265</v>
      </c>
      <c r="D110" s="1156">
        <f t="shared" si="1"/>
        <v>21053793</v>
      </c>
      <c r="E110" s="1156">
        <v>21053793</v>
      </c>
    </row>
    <row r="111" spans="1:5">
      <c r="A111" s="867" t="s">
        <v>142</v>
      </c>
      <c r="B111" s="870" t="s">
        <v>143</v>
      </c>
      <c r="C111" s="768" t="s">
        <v>267</v>
      </c>
      <c r="D111" s="1156">
        <f t="shared" si="1"/>
        <v>6553179</v>
      </c>
      <c r="E111" s="1156">
        <v>6553179</v>
      </c>
    </row>
    <row r="112" spans="1:5">
      <c r="A112" s="867" t="s">
        <v>144</v>
      </c>
      <c r="B112" s="870" t="s">
        <v>145</v>
      </c>
      <c r="C112" s="768" t="s">
        <v>267</v>
      </c>
      <c r="D112" s="1156">
        <f t="shared" si="1"/>
        <v>1739805</v>
      </c>
      <c r="E112" s="1156">
        <v>1739805</v>
      </c>
    </row>
    <row r="113" spans="1:5">
      <c r="A113" s="867" t="s">
        <v>158</v>
      </c>
      <c r="B113" s="870" t="s">
        <v>159</v>
      </c>
      <c r="C113" s="768" t="s">
        <v>264</v>
      </c>
      <c r="D113" s="1156">
        <f t="shared" si="1"/>
        <v>57652149</v>
      </c>
      <c r="E113" s="1156">
        <v>57652149</v>
      </c>
    </row>
    <row r="114" spans="1:5">
      <c r="A114" s="867" t="s">
        <v>160</v>
      </c>
      <c r="B114" s="870" t="s">
        <v>161</v>
      </c>
      <c r="C114" s="768" t="s">
        <v>264</v>
      </c>
      <c r="D114" s="1156">
        <f t="shared" si="1"/>
        <v>77927171</v>
      </c>
      <c r="E114" s="1156">
        <v>77927171</v>
      </c>
    </row>
    <row r="115" spans="1:5">
      <c r="A115" s="867" t="s">
        <v>166</v>
      </c>
      <c r="B115" s="870" t="s">
        <v>167</v>
      </c>
      <c r="C115" s="768" t="s">
        <v>268</v>
      </c>
      <c r="D115" s="1156">
        <f t="shared" si="1"/>
        <v>1362554</v>
      </c>
      <c r="E115" s="1156">
        <v>1362554</v>
      </c>
    </row>
    <row r="116" spans="1:5">
      <c r="A116" s="867" t="s">
        <v>176</v>
      </c>
      <c r="B116" s="870" t="s">
        <v>177</v>
      </c>
      <c r="C116" s="768" t="s">
        <v>266</v>
      </c>
      <c r="D116" s="1156">
        <f t="shared" si="1"/>
        <v>17103130</v>
      </c>
      <c r="E116" s="1156">
        <v>17103130</v>
      </c>
    </row>
    <row r="117" spans="1:5">
      <c r="A117" s="867" t="s">
        <v>180</v>
      </c>
      <c r="B117" s="870" t="s">
        <v>181</v>
      </c>
      <c r="C117" s="768" t="s">
        <v>264</v>
      </c>
      <c r="D117" s="1156">
        <f t="shared" si="1"/>
        <v>37217621</v>
      </c>
      <c r="E117" s="1156">
        <v>37217621</v>
      </c>
    </row>
    <row r="118" spans="1:5">
      <c r="A118" s="867" t="s">
        <v>192</v>
      </c>
      <c r="B118" s="870" t="s">
        <v>193</v>
      </c>
      <c r="C118" s="768" t="s">
        <v>268</v>
      </c>
      <c r="D118" s="1156">
        <f t="shared" si="1"/>
        <v>2591093</v>
      </c>
      <c r="E118" s="1156">
        <v>2591093</v>
      </c>
    </row>
    <row r="119" spans="1:5">
      <c r="A119" s="867" t="s">
        <v>196</v>
      </c>
      <c r="B119" s="870" t="s">
        <v>312</v>
      </c>
      <c r="C119" s="768" t="s">
        <v>266</v>
      </c>
      <c r="D119" s="1156">
        <f t="shared" si="1"/>
        <v>84654298</v>
      </c>
      <c r="E119" s="1156">
        <v>84654298</v>
      </c>
    </row>
    <row r="120" spans="1:5">
      <c r="A120" s="867" t="s">
        <v>200</v>
      </c>
      <c r="B120" s="870" t="s">
        <v>313</v>
      </c>
      <c r="C120" s="768" t="s">
        <v>265</v>
      </c>
      <c r="D120" s="1156">
        <f t="shared" si="1"/>
        <v>36905045</v>
      </c>
      <c r="E120" s="1156">
        <v>36905045</v>
      </c>
    </row>
    <row r="121" spans="1:5">
      <c r="A121" s="867" t="s">
        <v>222</v>
      </c>
      <c r="B121" s="870" t="s">
        <v>223</v>
      </c>
      <c r="C121" s="768" t="s">
        <v>264</v>
      </c>
      <c r="D121" s="1156">
        <f t="shared" si="1"/>
        <v>19769853</v>
      </c>
      <c r="E121" s="1156">
        <v>19769853</v>
      </c>
    </row>
    <row r="122" spans="1:5">
      <c r="A122" s="867" t="s">
        <v>230</v>
      </c>
      <c r="B122" s="870" t="s">
        <v>231</v>
      </c>
      <c r="C122" s="768" t="s">
        <v>264</v>
      </c>
      <c r="D122" s="1156">
        <f t="shared" si="1"/>
        <v>53427029</v>
      </c>
      <c r="E122" s="1156">
        <v>53427029</v>
      </c>
    </row>
    <row r="123" spans="1:5">
      <c r="A123" s="867" t="s">
        <v>238</v>
      </c>
      <c r="B123" s="870" t="s">
        <v>239</v>
      </c>
      <c r="C123" s="768" t="s">
        <v>264</v>
      </c>
      <c r="D123" s="1156">
        <f t="shared" si="1"/>
        <v>1847165</v>
      </c>
      <c r="E123" s="1156">
        <v>1847165</v>
      </c>
    </row>
    <row r="124" spans="1:5">
      <c r="A124" s="867" t="s">
        <v>240</v>
      </c>
      <c r="B124" s="870" t="s">
        <v>241</v>
      </c>
      <c r="C124" s="771" t="s">
        <v>267</v>
      </c>
      <c r="D124" s="1156">
        <f t="shared" si="1"/>
        <v>6473252</v>
      </c>
      <c r="E124" s="1156">
        <v>6473252</v>
      </c>
    </row>
    <row r="126" spans="1:5" s="403" customFormat="1">
      <c r="A126" s="403" t="s">
        <v>822</v>
      </c>
      <c r="B126" s="742"/>
      <c r="C126" s="742"/>
      <c r="D126" s="692"/>
    </row>
    <row r="127" spans="1:5" s="403" customFormat="1"/>
    <row r="128" spans="1:5" s="428" customFormat="1">
      <c r="A128" s="428" t="s">
        <v>248</v>
      </c>
    </row>
    <row r="129" spans="1:3">
      <c r="A129" s="429" t="s">
        <v>249</v>
      </c>
      <c r="B129" s="430" t="s">
        <v>250</v>
      </c>
      <c r="C129" s="430"/>
    </row>
  </sheetData>
  <autoFilter ref="A3:C3"/>
  <hyperlinks>
    <hyperlink ref="B129" r:id="rId1"/>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dimension ref="A1:D132"/>
  <sheetViews>
    <sheetView workbookViewId="0">
      <pane ySplit="3" topLeftCell="A5" activePane="bottomLeft" state="frozen"/>
      <selection pane="bottomLeft" activeCell="B13" sqref="B13"/>
    </sheetView>
  </sheetViews>
  <sheetFormatPr defaultRowHeight="15.75"/>
  <cols>
    <col min="1" max="1" width="14.75" style="271" customWidth="1"/>
    <col min="2" max="2" width="33.75" style="271" customWidth="1"/>
    <col min="3" max="3" width="18.25" style="271" customWidth="1"/>
    <col min="4" max="4" width="16.125" style="271" customWidth="1"/>
    <col min="5" max="16384" width="9" style="271"/>
  </cols>
  <sheetData>
    <row r="1" spans="1:4">
      <c r="A1" s="64" t="s">
        <v>672</v>
      </c>
    </row>
    <row r="2" spans="1:4">
      <c r="A2" s="64"/>
    </row>
    <row r="3" spans="1:4">
      <c r="A3" s="64" t="s">
        <v>4</v>
      </c>
      <c r="B3" s="64" t="s">
        <v>5</v>
      </c>
      <c r="C3" s="64" t="s">
        <v>251</v>
      </c>
      <c r="D3" s="64" t="s">
        <v>604</v>
      </c>
    </row>
    <row r="4" spans="1:4">
      <c r="A4" s="271" t="s">
        <v>10</v>
      </c>
      <c r="B4" s="271" t="s">
        <v>11</v>
      </c>
      <c r="C4" s="271" t="s">
        <v>264</v>
      </c>
      <c r="D4" s="271" t="s">
        <v>736</v>
      </c>
    </row>
    <row r="5" spans="1:4">
      <c r="A5" s="271" t="s">
        <v>12</v>
      </c>
      <c r="B5" s="271" t="s">
        <v>13</v>
      </c>
      <c r="C5" s="271" t="s">
        <v>265</v>
      </c>
      <c r="D5" s="271" t="s">
        <v>736</v>
      </c>
    </row>
    <row r="6" spans="1:4">
      <c r="A6" s="271" t="s">
        <v>16</v>
      </c>
      <c r="B6" s="271" t="s">
        <v>605</v>
      </c>
      <c r="C6" s="271" t="s">
        <v>265</v>
      </c>
      <c r="D6" s="271" t="s">
        <v>737</v>
      </c>
    </row>
    <row r="7" spans="1:4">
      <c r="A7" s="271" t="s">
        <v>18</v>
      </c>
      <c r="B7" s="271" t="s">
        <v>19</v>
      </c>
      <c r="C7" s="271" t="s">
        <v>266</v>
      </c>
      <c r="D7" s="271" t="s">
        <v>737</v>
      </c>
    </row>
    <row r="8" spans="1:4">
      <c r="A8" s="271" t="s">
        <v>20</v>
      </c>
      <c r="B8" s="271" t="s">
        <v>21</v>
      </c>
      <c r="C8" s="271" t="s">
        <v>265</v>
      </c>
      <c r="D8" s="271" t="s">
        <v>737</v>
      </c>
    </row>
    <row r="9" spans="1:4">
      <c r="A9" s="271" t="s">
        <v>22</v>
      </c>
      <c r="B9" s="271" t="s">
        <v>23</v>
      </c>
      <c r="C9" s="271" t="s">
        <v>265</v>
      </c>
      <c r="D9" s="271" t="s">
        <v>737</v>
      </c>
    </row>
    <row r="10" spans="1:4">
      <c r="A10" s="271" t="s">
        <v>24</v>
      </c>
      <c r="B10" s="271" t="s">
        <v>25</v>
      </c>
      <c r="C10" s="271" t="s">
        <v>267</v>
      </c>
      <c r="D10" s="271" t="s">
        <v>736</v>
      </c>
    </row>
    <row r="11" spans="1:4">
      <c r="A11" s="271" t="s">
        <v>26</v>
      </c>
      <c r="B11" s="271" t="s">
        <v>706</v>
      </c>
      <c r="C11" s="271" t="s">
        <v>265</v>
      </c>
      <c r="D11" s="271" t="s">
        <v>736</v>
      </c>
    </row>
    <row r="12" spans="1:4">
      <c r="A12" s="271" t="s">
        <v>27</v>
      </c>
      <c r="B12" s="271" t="s">
        <v>28</v>
      </c>
      <c r="C12" s="271" t="s">
        <v>265</v>
      </c>
      <c r="D12" s="271" t="s">
        <v>737</v>
      </c>
    </row>
    <row r="13" spans="1:4">
      <c r="A13" s="271" t="s">
        <v>29</v>
      </c>
      <c r="B13" s="505" t="s">
        <v>1012</v>
      </c>
      <c r="C13" s="271" t="s">
        <v>265</v>
      </c>
      <c r="D13" s="271" t="s">
        <v>737</v>
      </c>
    </row>
    <row r="14" spans="1:4">
      <c r="A14" s="271" t="s">
        <v>30</v>
      </c>
      <c r="B14" s="271" t="s">
        <v>31</v>
      </c>
      <c r="C14" s="271" t="s">
        <v>268</v>
      </c>
      <c r="D14" s="271" t="s">
        <v>737</v>
      </c>
    </row>
    <row r="15" spans="1:4">
      <c r="A15" s="271" t="s">
        <v>32</v>
      </c>
      <c r="B15" s="271" t="s">
        <v>33</v>
      </c>
      <c r="C15" s="271" t="s">
        <v>265</v>
      </c>
      <c r="D15" s="271" t="s">
        <v>737</v>
      </c>
    </row>
    <row r="16" spans="1:4">
      <c r="A16" s="271" t="s">
        <v>36</v>
      </c>
      <c r="B16" s="271" t="s">
        <v>37</v>
      </c>
      <c r="C16" s="271" t="s">
        <v>264</v>
      </c>
      <c r="D16" s="271" t="s">
        <v>737</v>
      </c>
    </row>
    <row r="17" spans="1:4">
      <c r="A17" s="271" t="s">
        <v>38</v>
      </c>
      <c r="B17" s="1486" t="s">
        <v>39</v>
      </c>
      <c r="C17" s="271" t="s">
        <v>268</v>
      </c>
      <c r="D17" s="271" t="s">
        <v>737</v>
      </c>
    </row>
    <row r="18" spans="1:4">
      <c r="A18" s="271" t="s">
        <v>40</v>
      </c>
      <c r="B18" s="271" t="s">
        <v>41</v>
      </c>
      <c r="C18" s="271" t="s">
        <v>266</v>
      </c>
      <c r="D18" s="271" t="s">
        <v>737</v>
      </c>
    </row>
    <row r="19" spans="1:4">
      <c r="A19" s="271" t="s">
        <v>42</v>
      </c>
      <c r="B19" s="271" t="s">
        <v>43</v>
      </c>
      <c r="C19" s="271" t="s">
        <v>265</v>
      </c>
      <c r="D19" s="271" t="s">
        <v>737</v>
      </c>
    </row>
    <row r="20" spans="1:4">
      <c r="A20" s="271" t="s">
        <v>44</v>
      </c>
      <c r="B20" s="271" t="s">
        <v>45</v>
      </c>
      <c r="C20" s="271" t="s">
        <v>266</v>
      </c>
      <c r="D20" s="271" t="s">
        <v>737</v>
      </c>
    </row>
    <row r="21" spans="1:4">
      <c r="A21" s="271" t="s">
        <v>46</v>
      </c>
      <c r="B21" s="271" t="s">
        <v>47</v>
      </c>
      <c r="C21" s="271" t="s">
        <v>268</v>
      </c>
      <c r="D21" s="271" t="s">
        <v>737</v>
      </c>
    </row>
    <row r="22" spans="1:4">
      <c r="A22" s="271" t="s">
        <v>48</v>
      </c>
      <c r="B22" s="271" t="s">
        <v>49</v>
      </c>
      <c r="C22" s="271" t="s">
        <v>266</v>
      </c>
      <c r="D22" s="271" t="s">
        <v>737</v>
      </c>
    </row>
    <row r="23" spans="1:4">
      <c r="A23" s="271" t="s">
        <v>50</v>
      </c>
      <c r="B23" s="271" t="s">
        <v>51</v>
      </c>
      <c r="C23" s="271" t="s">
        <v>265</v>
      </c>
      <c r="D23" s="271" t="s">
        <v>737</v>
      </c>
    </row>
    <row r="24" spans="1:4">
      <c r="A24" s="271" t="s">
        <v>56</v>
      </c>
      <c r="B24" s="271" t="s">
        <v>295</v>
      </c>
      <c r="C24" s="271" t="s">
        <v>266</v>
      </c>
      <c r="D24" s="271" t="s">
        <v>736</v>
      </c>
    </row>
    <row r="25" spans="1:4">
      <c r="A25" s="271" t="s">
        <v>58</v>
      </c>
      <c r="B25" s="271" t="s">
        <v>59</v>
      </c>
      <c r="C25" s="271" t="s">
        <v>267</v>
      </c>
      <c r="D25" s="271" t="s">
        <v>737</v>
      </c>
    </row>
    <row r="26" spans="1:4">
      <c r="A26" s="271" t="s">
        <v>60</v>
      </c>
      <c r="B26" s="271" t="s">
        <v>61</v>
      </c>
      <c r="C26" s="271" t="s">
        <v>265</v>
      </c>
      <c r="D26" s="271" t="s">
        <v>737</v>
      </c>
    </row>
    <row r="27" spans="1:4">
      <c r="A27" s="271" t="s">
        <v>62</v>
      </c>
      <c r="B27" s="271" t="s">
        <v>63</v>
      </c>
      <c r="C27" s="271" t="s">
        <v>267</v>
      </c>
      <c r="D27" s="271" t="s">
        <v>737</v>
      </c>
    </row>
    <row r="28" spans="1:4">
      <c r="A28" s="271" t="s">
        <v>64</v>
      </c>
      <c r="B28" s="271" t="s">
        <v>65</v>
      </c>
      <c r="C28" s="271" t="s">
        <v>266</v>
      </c>
      <c r="D28" s="271" t="s">
        <v>737</v>
      </c>
    </row>
    <row r="29" spans="1:4">
      <c r="A29" s="271" t="s">
        <v>68</v>
      </c>
      <c r="B29" s="271" t="s">
        <v>69</v>
      </c>
      <c r="C29" s="271" t="s">
        <v>268</v>
      </c>
      <c r="D29" s="271" t="s">
        <v>737</v>
      </c>
    </row>
    <row r="30" spans="1:4">
      <c r="A30" s="271" t="s">
        <v>70</v>
      </c>
      <c r="B30" s="271" t="s">
        <v>71</v>
      </c>
      <c r="C30" s="271" t="s">
        <v>264</v>
      </c>
      <c r="D30" s="271" t="s">
        <v>737</v>
      </c>
    </row>
    <row r="31" spans="1:4">
      <c r="A31" s="271" t="s">
        <v>72</v>
      </c>
      <c r="B31" s="271" t="s">
        <v>73</v>
      </c>
      <c r="C31" s="271" t="s">
        <v>266</v>
      </c>
      <c r="D31" s="271" t="s">
        <v>737</v>
      </c>
    </row>
    <row r="32" spans="1:4">
      <c r="A32" s="271" t="s">
        <v>74</v>
      </c>
      <c r="B32" s="271" t="s">
        <v>606</v>
      </c>
      <c r="C32" s="271" t="s">
        <v>267</v>
      </c>
      <c r="D32" s="271" t="s">
        <v>736</v>
      </c>
    </row>
    <row r="33" spans="1:4">
      <c r="A33" s="271" t="s">
        <v>76</v>
      </c>
      <c r="B33" s="271" t="s">
        <v>77</v>
      </c>
      <c r="C33" s="271" t="s">
        <v>267</v>
      </c>
      <c r="D33" s="271" t="s">
        <v>737</v>
      </c>
    </row>
    <row r="34" spans="1:4">
      <c r="A34" s="271" t="s">
        <v>78</v>
      </c>
      <c r="B34" s="271" t="s">
        <v>79</v>
      </c>
      <c r="C34" s="271" t="s">
        <v>268</v>
      </c>
      <c r="D34" s="271" t="s">
        <v>737</v>
      </c>
    </row>
    <row r="35" spans="1:4">
      <c r="A35" s="271" t="s">
        <v>80</v>
      </c>
      <c r="B35" s="271" t="s">
        <v>81</v>
      </c>
      <c r="C35" s="271" t="s">
        <v>266</v>
      </c>
      <c r="D35" s="271" t="s">
        <v>737</v>
      </c>
    </row>
    <row r="36" spans="1:4">
      <c r="A36" s="271" t="s">
        <v>84</v>
      </c>
      <c r="B36" s="271" t="s">
        <v>85</v>
      </c>
      <c r="C36" s="271" t="s">
        <v>265</v>
      </c>
      <c r="D36" s="271" t="s">
        <v>737</v>
      </c>
    </row>
    <row r="37" spans="1:4">
      <c r="A37" s="271" t="s">
        <v>86</v>
      </c>
      <c r="B37" s="271" t="s">
        <v>87</v>
      </c>
      <c r="C37" s="271" t="s">
        <v>267</v>
      </c>
      <c r="D37" s="271" t="s">
        <v>737</v>
      </c>
    </row>
    <row r="38" spans="1:4">
      <c r="A38" s="271" t="s">
        <v>92</v>
      </c>
      <c r="B38" s="271" t="s">
        <v>93</v>
      </c>
      <c r="C38" s="271" t="s">
        <v>268</v>
      </c>
      <c r="D38" s="271" t="s">
        <v>737</v>
      </c>
    </row>
    <row r="39" spans="1:4">
      <c r="A39" s="271" t="s">
        <v>94</v>
      </c>
      <c r="B39" s="271" t="s">
        <v>95</v>
      </c>
      <c r="C39" s="271" t="s">
        <v>264</v>
      </c>
      <c r="D39" s="271" t="s">
        <v>737</v>
      </c>
    </row>
    <row r="40" spans="1:4">
      <c r="A40" s="271" t="s">
        <v>96</v>
      </c>
      <c r="B40" s="271" t="s">
        <v>97</v>
      </c>
      <c r="C40" s="271" t="s">
        <v>266</v>
      </c>
      <c r="D40" s="271" t="s">
        <v>736</v>
      </c>
    </row>
    <row r="41" spans="1:4">
      <c r="A41" s="271" t="s">
        <v>98</v>
      </c>
      <c r="B41" s="271" t="s">
        <v>99</v>
      </c>
      <c r="C41" s="271" t="s">
        <v>268</v>
      </c>
      <c r="D41" s="271" t="s">
        <v>737</v>
      </c>
    </row>
    <row r="42" spans="1:4">
      <c r="A42" s="271" t="s">
        <v>100</v>
      </c>
      <c r="B42" s="271" t="s">
        <v>101</v>
      </c>
      <c r="C42" s="271" t="s">
        <v>267</v>
      </c>
      <c r="D42" s="271" t="s">
        <v>737</v>
      </c>
    </row>
    <row r="43" spans="1:4">
      <c r="A43" s="271" t="s">
        <v>102</v>
      </c>
      <c r="B43" s="271" t="s">
        <v>282</v>
      </c>
      <c r="C43" s="271" t="s">
        <v>264</v>
      </c>
      <c r="D43" s="271" t="s">
        <v>737</v>
      </c>
    </row>
    <row r="44" spans="1:4">
      <c r="A44" s="271" t="s">
        <v>104</v>
      </c>
      <c r="B44" s="271" t="s">
        <v>607</v>
      </c>
      <c r="C44" s="271" t="s">
        <v>265</v>
      </c>
      <c r="D44" s="271" t="s">
        <v>737</v>
      </c>
    </row>
    <row r="45" spans="1:4">
      <c r="A45" s="271" t="s">
        <v>108</v>
      </c>
      <c r="B45" s="271" t="s">
        <v>109</v>
      </c>
      <c r="C45" s="271" t="s">
        <v>266</v>
      </c>
      <c r="D45" s="271" t="s">
        <v>737</v>
      </c>
    </row>
    <row r="46" spans="1:4">
      <c r="A46" s="271" t="s">
        <v>110</v>
      </c>
      <c r="B46" s="271" t="s">
        <v>111</v>
      </c>
      <c r="C46" s="271" t="s">
        <v>266</v>
      </c>
      <c r="D46" s="271" t="s">
        <v>736</v>
      </c>
    </row>
    <row r="47" spans="1:4">
      <c r="A47" s="271" t="s">
        <v>112</v>
      </c>
      <c r="B47" s="271" t="s">
        <v>300</v>
      </c>
      <c r="C47" s="271" t="s">
        <v>265</v>
      </c>
      <c r="D47" s="271" t="s">
        <v>737</v>
      </c>
    </row>
    <row r="48" spans="1:4">
      <c r="A48" s="271" t="s">
        <v>114</v>
      </c>
      <c r="B48" s="271" t="s">
        <v>115</v>
      </c>
      <c r="C48" s="271" t="s">
        <v>265</v>
      </c>
      <c r="D48" s="271" t="s">
        <v>737</v>
      </c>
    </row>
    <row r="49" spans="1:4">
      <c r="A49" s="271" t="s">
        <v>118</v>
      </c>
      <c r="B49" s="271" t="s">
        <v>119</v>
      </c>
      <c r="C49" s="271" t="s">
        <v>264</v>
      </c>
      <c r="D49" s="271" t="s">
        <v>736</v>
      </c>
    </row>
    <row r="50" spans="1:4">
      <c r="A50" s="271" t="s">
        <v>120</v>
      </c>
      <c r="B50" s="271" t="s">
        <v>121</v>
      </c>
      <c r="C50" s="271" t="s">
        <v>264</v>
      </c>
      <c r="D50" s="271" t="s">
        <v>736</v>
      </c>
    </row>
    <row r="51" spans="1:4">
      <c r="A51" s="271" t="s">
        <v>122</v>
      </c>
      <c r="B51" s="271" t="s">
        <v>123</v>
      </c>
      <c r="C51" s="271" t="s">
        <v>266</v>
      </c>
      <c r="D51" s="271" t="s">
        <v>737</v>
      </c>
    </row>
    <row r="52" spans="1:4">
      <c r="A52" s="271" t="s">
        <v>124</v>
      </c>
      <c r="B52" s="271" t="s">
        <v>125</v>
      </c>
      <c r="C52" s="271" t="s">
        <v>267</v>
      </c>
      <c r="D52" s="271" t="s">
        <v>737</v>
      </c>
    </row>
    <row r="53" spans="1:4">
      <c r="A53" s="271" t="s">
        <v>126</v>
      </c>
      <c r="B53" s="271" t="s">
        <v>127</v>
      </c>
      <c r="C53" s="271" t="s">
        <v>266</v>
      </c>
      <c r="D53" s="271" t="s">
        <v>737</v>
      </c>
    </row>
    <row r="54" spans="1:4">
      <c r="A54" s="271" t="s">
        <v>128</v>
      </c>
      <c r="B54" s="271" t="s">
        <v>129</v>
      </c>
      <c r="C54" s="271" t="s">
        <v>266</v>
      </c>
      <c r="D54" s="271" t="s">
        <v>737</v>
      </c>
    </row>
    <row r="55" spans="1:4">
      <c r="A55" s="271" t="s">
        <v>130</v>
      </c>
      <c r="B55" s="271" t="s">
        <v>131</v>
      </c>
      <c r="C55" s="271" t="s">
        <v>268</v>
      </c>
      <c r="D55" s="271" t="s">
        <v>737</v>
      </c>
    </row>
    <row r="56" spans="1:4">
      <c r="A56" s="271" t="s">
        <v>132</v>
      </c>
      <c r="B56" s="271" t="s">
        <v>133</v>
      </c>
      <c r="C56" s="271" t="s">
        <v>267</v>
      </c>
      <c r="D56" s="271" t="s">
        <v>737</v>
      </c>
    </row>
    <row r="57" spans="1:4">
      <c r="A57" s="271" t="s">
        <v>134</v>
      </c>
      <c r="B57" s="271" t="s">
        <v>135</v>
      </c>
      <c r="C57" s="271" t="s">
        <v>267</v>
      </c>
      <c r="D57" s="271" t="s">
        <v>737</v>
      </c>
    </row>
    <row r="58" spans="1:4">
      <c r="A58" s="271" t="s">
        <v>136</v>
      </c>
      <c r="B58" s="271" t="s">
        <v>137</v>
      </c>
      <c r="C58" s="271" t="s">
        <v>266</v>
      </c>
      <c r="D58" s="271" t="s">
        <v>737</v>
      </c>
    </row>
    <row r="59" spans="1:4">
      <c r="A59" s="271" t="s">
        <v>140</v>
      </c>
      <c r="B59" s="271" t="s">
        <v>141</v>
      </c>
      <c r="C59" s="271" t="s">
        <v>267</v>
      </c>
      <c r="D59" s="271" t="s">
        <v>737</v>
      </c>
    </row>
    <row r="60" spans="1:4">
      <c r="A60" s="271" t="s">
        <v>146</v>
      </c>
      <c r="B60" s="271" t="s">
        <v>147</v>
      </c>
      <c r="C60" s="271" t="s">
        <v>264</v>
      </c>
      <c r="D60" s="271" t="s">
        <v>737</v>
      </c>
    </row>
    <row r="61" spans="1:4">
      <c r="A61" s="271" t="s">
        <v>148</v>
      </c>
      <c r="B61" s="271" t="s">
        <v>149</v>
      </c>
      <c r="C61" s="271" t="s">
        <v>265</v>
      </c>
      <c r="D61" s="271" t="s">
        <v>737</v>
      </c>
    </row>
    <row r="62" spans="1:4">
      <c r="A62" s="271" t="s">
        <v>150</v>
      </c>
      <c r="B62" s="271" t="s">
        <v>151</v>
      </c>
      <c r="C62" s="271" t="s">
        <v>266</v>
      </c>
      <c r="D62" s="271" t="s">
        <v>737</v>
      </c>
    </row>
    <row r="63" spans="1:4">
      <c r="A63" s="271" t="s">
        <v>152</v>
      </c>
      <c r="B63" s="271" t="s">
        <v>153</v>
      </c>
      <c r="C63" s="271" t="s">
        <v>268</v>
      </c>
      <c r="D63" s="271" t="s">
        <v>737</v>
      </c>
    </row>
    <row r="64" spans="1:4">
      <c r="A64" s="271" t="s">
        <v>154</v>
      </c>
      <c r="B64" s="271" t="s">
        <v>155</v>
      </c>
      <c r="C64" s="271" t="s">
        <v>265</v>
      </c>
      <c r="D64" s="271" t="s">
        <v>737</v>
      </c>
    </row>
    <row r="65" spans="1:4">
      <c r="A65" s="271" t="s">
        <v>156</v>
      </c>
      <c r="B65" s="271" t="s">
        <v>157</v>
      </c>
      <c r="C65" s="271" t="s">
        <v>266</v>
      </c>
      <c r="D65" s="271" t="s">
        <v>737</v>
      </c>
    </row>
    <row r="66" spans="1:4">
      <c r="A66" s="271" t="s">
        <v>162</v>
      </c>
      <c r="B66" s="271" t="s">
        <v>163</v>
      </c>
      <c r="C66" s="271" t="s">
        <v>264</v>
      </c>
      <c r="D66" s="271" t="s">
        <v>737</v>
      </c>
    </row>
    <row r="67" spans="1:4">
      <c r="A67" s="271" t="s">
        <v>164</v>
      </c>
      <c r="B67" s="271" t="s">
        <v>165</v>
      </c>
      <c r="C67" s="271" t="s">
        <v>266</v>
      </c>
      <c r="D67" s="271" t="s">
        <v>737</v>
      </c>
    </row>
    <row r="68" spans="1:4">
      <c r="A68" s="271" t="s">
        <v>168</v>
      </c>
      <c r="B68" s="271" t="s">
        <v>169</v>
      </c>
      <c r="C68" s="271" t="s">
        <v>266</v>
      </c>
      <c r="D68" s="271" t="s">
        <v>737</v>
      </c>
    </row>
    <row r="69" spans="1:4">
      <c r="A69" s="271" t="s">
        <v>170</v>
      </c>
      <c r="B69" s="271" t="s">
        <v>171</v>
      </c>
      <c r="C69" s="271" t="s">
        <v>267</v>
      </c>
      <c r="D69" s="271" t="s">
        <v>737</v>
      </c>
    </row>
    <row r="70" spans="1:4">
      <c r="A70" s="271" t="s">
        <v>172</v>
      </c>
      <c r="B70" s="271" t="s">
        <v>173</v>
      </c>
      <c r="C70" s="271" t="s">
        <v>267</v>
      </c>
      <c r="D70" s="271" t="s">
        <v>737</v>
      </c>
    </row>
    <row r="71" spans="1:4">
      <c r="A71" s="271" t="s">
        <v>174</v>
      </c>
      <c r="B71" s="271" t="s">
        <v>175</v>
      </c>
      <c r="C71" s="271" t="s">
        <v>268</v>
      </c>
      <c r="D71" s="271" t="s">
        <v>737</v>
      </c>
    </row>
    <row r="72" spans="1:4">
      <c r="A72" s="271" t="s">
        <v>178</v>
      </c>
      <c r="B72" s="271" t="s">
        <v>179</v>
      </c>
      <c r="C72" s="271" t="s">
        <v>265</v>
      </c>
      <c r="D72" s="271" t="s">
        <v>737</v>
      </c>
    </row>
    <row r="73" spans="1:4">
      <c r="A73" s="271" t="s">
        <v>182</v>
      </c>
      <c r="B73" s="271" t="s">
        <v>183</v>
      </c>
      <c r="C73" s="271" t="s">
        <v>266</v>
      </c>
      <c r="D73" s="271" t="s">
        <v>737</v>
      </c>
    </row>
    <row r="74" spans="1:4">
      <c r="A74" s="271" t="s">
        <v>184</v>
      </c>
      <c r="B74" s="271" t="s">
        <v>185</v>
      </c>
      <c r="C74" s="271" t="s">
        <v>266</v>
      </c>
      <c r="D74" s="271" t="s">
        <v>737</v>
      </c>
    </row>
    <row r="75" spans="1:4">
      <c r="A75" s="271" t="s">
        <v>186</v>
      </c>
      <c r="B75" s="271" t="s">
        <v>187</v>
      </c>
      <c r="C75" s="271" t="s">
        <v>264</v>
      </c>
      <c r="D75" s="271" t="s">
        <v>737</v>
      </c>
    </row>
    <row r="76" spans="1:4">
      <c r="A76" s="271" t="s">
        <v>188</v>
      </c>
      <c r="B76" s="271" t="s">
        <v>189</v>
      </c>
      <c r="C76" s="271" t="s">
        <v>267</v>
      </c>
      <c r="D76" s="271" t="s">
        <v>736</v>
      </c>
    </row>
    <row r="77" spans="1:4">
      <c r="A77" s="271" t="s">
        <v>190</v>
      </c>
      <c r="B77" s="271" t="s">
        <v>191</v>
      </c>
      <c r="C77" s="271" t="s">
        <v>268</v>
      </c>
      <c r="D77" s="271" t="s">
        <v>736</v>
      </c>
    </row>
    <row r="78" spans="1:4">
      <c r="A78" s="271" t="s">
        <v>194</v>
      </c>
      <c r="B78" s="271" t="s">
        <v>195</v>
      </c>
      <c r="C78" s="271" t="s">
        <v>267</v>
      </c>
      <c r="D78" s="271" t="s">
        <v>737</v>
      </c>
    </row>
    <row r="79" spans="1:4">
      <c r="A79" s="271" t="s">
        <v>198</v>
      </c>
      <c r="B79" s="271" t="s">
        <v>272</v>
      </c>
      <c r="C79" s="271" t="s">
        <v>266</v>
      </c>
      <c r="D79" s="271" t="s">
        <v>737</v>
      </c>
    </row>
    <row r="80" spans="1:4">
      <c r="A80" s="271" t="s">
        <v>202</v>
      </c>
      <c r="B80" s="271" t="s">
        <v>301</v>
      </c>
      <c r="C80" s="271" t="s">
        <v>265</v>
      </c>
      <c r="D80" s="271" t="s">
        <v>736</v>
      </c>
    </row>
    <row r="81" spans="1:4">
      <c r="A81" s="271" t="s">
        <v>204</v>
      </c>
      <c r="B81" s="271" t="s">
        <v>293</v>
      </c>
      <c r="C81" s="271" t="s">
        <v>265</v>
      </c>
      <c r="D81" s="271" t="s">
        <v>737</v>
      </c>
    </row>
    <row r="82" spans="1:4">
      <c r="A82" s="271" t="s">
        <v>206</v>
      </c>
      <c r="B82" s="271" t="s">
        <v>294</v>
      </c>
      <c r="C82" s="271" t="s">
        <v>267</v>
      </c>
      <c r="D82" s="271" t="s">
        <v>736</v>
      </c>
    </row>
    <row r="83" spans="1:4">
      <c r="A83" s="271" t="s">
        <v>208</v>
      </c>
      <c r="B83" s="271" t="s">
        <v>209</v>
      </c>
      <c r="C83" s="271" t="s">
        <v>268</v>
      </c>
      <c r="D83" s="271" t="s">
        <v>737</v>
      </c>
    </row>
    <row r="84" spans="1:4">
      <c r="A84" s="271" t="s">
        <v>210</v>
      </c>
      <c r="B84" s="271" t="s">
        <v>211</v>
      </c>
      <c r="C84" s="271" t="s">
        <v>268</v>
      </c>
      <c r="D84" s="271" t="s">
        <v>737</v>
      </c>
    </row>
    <row r="85" spans="1:4">
      <c r="A85" s="271" t="s">
        <v>212</v>
      </c>
      <c r="B85" s="271" t="s">
        <v>213</v>
      </c>
      <c r="C85" s="271" t="s">
        <v>267</v>
      </c>
      <c r="D85" s="271" t="s">
        <v>737</v>
      </c>
    </row>
    <row r="86" spans="1:4">
      <c r="A86" s="271" t="s">
        <v>214</v>
      </c>
      <c r="B86" s="271" t="s">
        <v>215</v>
      </c>
      <c r="C86" s="271" t="s">
        <v>268</v>
      </c>
      <c r="D86" s="271" t="s">
        <v>737</v>
      </c>
    </row>
    <row r="87" spans="1:4">
      <c r="A87" s="271" t="s">
        <v>216</v>
      </c>
      <c r="B87" s="271" t="s">
        <v>217</v>
      </c>
      <c r="C87" s="271" t="s">
        <v>264</v>
      </c>
      <c r="D87" s="271" t="s">
        <v>737</v>
      </c>
    </row>
    <row r="88" spans="1:4">
      <c r="A88" s="271" t="s">
        <v>218</v>
      </c>
      <c r="B88" s="271" t="s">
        <v>219</v>
      </c>
      <c r="C88" s="271" t="s">
        <v>267</v>
      </c>
      <c r="D88" s="271" t="s">
        <v>737</v>
      </c>
    </row>
    <row r="89" spans="1:4">
      <c r="A89" s="271" t="s">
        <v>220</v>
      </c>
      <c r="B89" s="271" t="s">
        <v>221</v>
      </c>
      <c r="C89" s="271" t="s">
        <v>267</v>
      </c>
      <c r="D89" s="271" t="s">
        <v>737</v>
      </c>
    </row>
    <row r="90" spans="1:4">
      <c r="A90" s="271" t="s">
        <v>224</v>
      </c>
      <c r="B90" s="271" t="s">
        <v>225</v>
      </c>
      <c r="C90" s="271" t="s">
        <v>264</v>
      </c>
      <c r="D90" s="271" t="s">
        <v>737</v>
      </c>
    </row>
    <row r="91" spans="1:4">
      <c r="A91" s="271" t="s">
        <v>226</v>
      </c>
      <c r="B91" s="271" t="s">
        <v>227</v>
      </c>
      <c r="C91" s="271" t="s">
        <v>264</v>
      </c>
      <c r="D91" s="271" t="s">
        <v>737</v>
      </c>
    </row>
    <row r="92" spans="1:4">
      <c r="A92" s="271" t="s">
        <v>228</v>
      </c>
      <c r="B92" s="271" t="s">
        <v>229</v>
      </c>
      <c r="C92" s="271" t="s">
        <v>268</v>
      </c>
      <c r="D92" s="271" t="s">
        <v>736</v>
      </c>
    </row>
    <row r="93" spans="1:4">
      <c r="A93" s="271" t="s">
        <v>232</v>
      </c>
      <c r="B93" s="271" t="s">
        <v>233</v>
      </c>
      <c r="C93" s="271" t="s">
        <v>267</v>
      </c>
      <c r="D93" s="271" t="s">
        <v>737</v>
      </c>
    </row>
    <row r="94" spans="1:4">
      <c r="A94" s="271" t="s">
        <v>234</v>
      </c>
      <c r="B94" s="271" t="s">
        <v>235</v>
      </c>
      <c r="C94" s="271" t="s">
        <v>268</v>
      </c>
      <c r="D94" s="271" t="s">
        <v>737</v>
      </c>
    </row>
    <row r="95" spans="1:4">
      <c r="A95" s="271" t="s">
        <v>236</v>
      </c>
      <c r="B95" s="271" t="s">
        <v>237</v>
      </c>
      <c r="C95" s="271" t="s">
        <v>266</v>
      </c>
      <c r="D95" s="271" t="s">
        <v>737</v>
      </c>
    </row>
    <row r="96" spans="1:4">
      <c r="A96" s="271" t="s">
        <v>242</v>
      </c>
      <c r="B96" s="271" t="s">
        <v>243</v>
      </c>
      <c r="C96" s="271" t="s">
        <v>268</v>
      </c>
      <c r="D96" s="271" t="s">
        <v>737</v>
      </c>
    </row>
    <row r="97" spans="1:4">
      <c r="A97" s="271" t="s">
        <v>244</v>
      </c>
      <c r="B97" s="271" t="s">
        <v>245</v>
      </c>
      <c r="C97" s="271" t="s">
        <v>268</v>
      </c>
      <c r="D97" s="271" t="s">
        <v>737</v>
      </c>
    </row>
    <row r="98" spans="1:4">
      <c r="A98" s="271" t="s">
        <v>246</v>
      </c>
      <c r="B98" s="271" t="s">
        <v>247</v>
      </c>
      <c r="C98" s="271" t="s">
        <v>264</v>
      </c>
      <c r="D98" s="271" t="s">
        <v>736</v>
      </c>
    </row>
    <row r="99" spans="1:4">
      <c r="A99" s="271" t="s">
        <v>14</v>
      </c>
      <c r="B99" s="271" t="s">
        <v>15</v>
      </c>
      <c r="C99" s="271" t="s">
        <v>267</v>
      </c>
      <c r="D99" s="271" t="s">
        <v>736</v>
      </c>
    </row>
    <row r="100" spans="1:4">
      <c r="A100" s="271" t="s">
        <v>34</v>
      </c>
      <c r="B100" s="271" t="s">
        <v>35</v>
      </c>
      <c r="C100" s="271" t="s">
        <v>268</v>
      </c>
      <c r="D100" s="271" t="s">
        <v>737</v>
      </c>
    </row>
    <row r="101" spans="1:4">
      <c r="A101" s="271" t="s">
        <v>52</v>
      </c>
      <c r="B101" s="271" t="s">
        <v>53</v>
      </c>
      <c r="C101" s="271" t="s">
        <v>265</v>
      </c>
      <c r="D101" s="271" t="s">
        <v>736</v>
      </c>
    </row>
    <row r="102" spans="1:4">
      <c r="A102" s="271" t="s">
        <v>54</v>
      </c>
      <c r="B102" s="271" t="s">
        <v>55</v>
      </c>
      <c r="C102" s="271" t="s">
        <v>264</v>
      </c>
      <c r="D102" s="271" t="s">
        <v>737</v>
      </c>
    </row>
    <row r="103" spans="1:4">
      <c r="A103" s="271" t="s">
        <v>66</v>
      </c>
      <c r="B103" s="271" t="s">
        <v>67</v>
      </c>
      <c r="C103" s="271" t="s">
        <v>265</v>
      </c>
      <c r="D103" s="271" t="s">
        <v>737</v>
      </c>
    </row>
    <row r="104" spans="1:4">
      <c r="A104" s="271" t="s">
        <v>82</v>
      </c>
      <c r="B104" s="271" t="s">
        <v>83</v>
      </c>
      <c r="C104" s="271" t="s">
        <v>264</v>
      </c>
      <c r="D104" s="271" t="s">
        <v>737</v>
      </c>
    </row>
    <row r="105" spans="1:4">
      <c r="A105" s="271" t="s">
        <v>88</v>
      </c>
      <c r="B105" s="271" t="s">
        <v>89</v>
      </c>
      <c r="C105" s="271" t="s">
        <v>267</v>
      </c>
      <c r="D105" s="271" t="s">
        <v>737</v>
      </c>
    </row>
    <row r="106" spans="1:4">
      <c r="A106" s="271" t="s">
        <v>90</v>
      </c>
      <c r="B106" s="271" t="s">
        <v>91</v>
      </c>
      <c r="C106" s="271" t="s">
        <v>268</v>
      </c>
      <c r="D106" s="271" t="s">
        <v>737</v>
      </c>
    </row>
    <row r="107" spans="1:4">
      <c r="A107" s="271" t="s">
        <v>106</v>
      </c>
      <c r="B107" s="271" t="s">
        <v>107</v>
      </c>
      <c r="C107" s="271" t="s">
        <v>264</v>
      </c>
      <c r="D107" s="271" t="s">
        <v>736</v>
      </c>
    </row>
    <row r="108" spans="1:4">
      <c r="A108" s="271" t="s">
        <v>116</v>
      </c>
      <c r="B108" s="271" t="s">
        <v>117</v>
      </c>
      <c r="C108" s="271" t="s">
        <v>266</v>
      </c>
      <c r="D108" s="271" t="s">
        <v>737</v>
      </c>
    </row>
    <row r="109" spans="1:4">
      <c r="A109" s="271" t="s">
        <v>138</v>
      </c>
      <c r="B109" s="271" t="s">
        <v>139</v>
      </c>
      <c r="C109" s="271" t="s">
        <v>265</v>
      </c>
      <c r="D109" s="271" t="s">
        <v>736</v>
      </c>
    </row>
    <row r="110" spans="1:4">
      <c r="A110" s="271" t="s">
        <v>142</v>
      </c>
      <c r="B110" s="271" t="s">
        <v>143</v>
      </c>
      <c r="C110" s="271" t="s">
        <v>267</v>
      </c>
      <c r="D110" s="271" t="s">
        <v>737</v>
      </c>
    </row>
    <row r="111" spans="1:4">
      <c r="A111" s="271" t="s">
        <v>144</v>
      </c>
      <c r="B111" s="271" t="s">
        <v>145</v>
      </c>
      <c r="C111" s="271" t="s">
        <v>267</v>
      </c>
      <c r="D111" s="271" t="s">
        <v>737</v>
      </c>
    </row>
    <row r="112" spans="1:4">
      <c r="A112" s="271" t="s">
        <v>158</v>
      </c>
      <c r="B112" s="271" t="s">
        <v>159</v>
      </c>
      <c r="C112" s="271" t="s">
        <v>264</v>
      </c>
      <c r="D112" s="271" t="s">
        <v>736</v>
      </c>
    </row>
    <row r="113" spans="1:4">
      <c r="A113" s="271" t="s">
        <v>160</v>
      </c>
      <c r="B113" s="271" t="s">
        <v>161</v>
      </c>
      <c r="C113" s="271" t="s">
        <v>264</v>
      </c>
      <c r="D113" s="271" t="s">
        <v>736</v>
      </c>
    </row>
    <row r="114" spans="1:4">
      <c r="A114" s="271" t="s">
        <v>166</v>
      </c>
      <c r="B114" s="271" t="s">
        <v>167</v>
      </c>
      <c r="C114" s="271" t="s">
        <v>268</v>
      </c>
      <c r="D114" s="271" t="s">
        <v>737</v>
      </c>
    </row>
    <row r="115" spans="1:4">
      <c r="A115" s="271" t="s">
        <v>176</v>
      </c>
      <c r="B115" s="271" t="s">
        <v>177</v>
      </c>
      <c r="C115" s="271" t="s">
        <v>266</v>
      </c>
      <c r="D115" s="271" t="s">
        <v>737</v>
      </c>
    </row>
    <row r="116" spans="1:4">
      <c r="A116" s="271" t="s">
        <v>180</v>
      </c>
      <c r="B116" s="271" t="s">
        <v>181</v>
      </c>
      <c r="C116" s="271" t="s">
        <v>264</v>
      </c>
      <c r="D116" s="271" t="s">
        <v>736</v>
      </c>
    </row>
    <row r="117" spans="1:4">
      <c r="A117" s="271" t="s">
        <v>192</v>
      </c>
      <c r="B117" s="271" t="s">
        <v>193</v>
      </c>
      <c r="C117" s="271" t="s">
        <v>268</v>
      </c>
      <c r="D117" s="271" t="s">
        <v>737</v>
      </c>
    </row>
    <row r="118" spans="1:4">
      <c r="A118" s="271" t="s">
        <v>196</v>
      </c>
      <c r="B118" s="271" t="s">
        <v>197</v>
      </c>
      <c r="C118" s="271" t="s">
        <v>266</v>
      </c>
      <c r="D118" s="271" t="s">
        <v>736</v>
      </c>
    </row>
    <row r="119" spans="1:4">
      <c r="A119" s="271" t="s">
        <v>200</v>
      </c>
      <c r="B119" s="271" t="s">
        <v>201</v>
      </c>
      <c r="C119" s="271" t="s">
        <v>265</v>
      </c>
      <c r="D119" s="271" t="s">
        <v>736</v>
      </c>
    </row>
    <row r="120" spans="1:4">
      <c r="A120" s="271" t="s">
        <v>222</v>
      </c>
      <c r="B120" s="271" t="s">
        <v>223</v>
      </c>
      <c r="C120" s="271" t="s">
        <v>264</v>
      </c>
      <c r="D120" s="271" t="s">
        <v>736</v>
      </c>
    </row>
    <row r="121" spans="1:4">
      <c r="A121" s="271" t="s">
        <v>230</v>
      </c>
      <c r="B121" s="271" t="s">
        <v>231</v>
      </c>
      <c r="C121" s="271" t="s">
        <v>264</v>
      </c>
      <c r="D121" s="271" t="s">
        <v>736</v>
      </c>
    </row>
    <row r="122" spans="1:4">
      <c r="A122" s="271" t="s">
        <v>238</v>
      </c>
      <c r="B122" s="271" t="s">
        <v>239</v>
      </c>
      <c r="C122" s="271" t="s">
        <v>264</v>
      </c>
      <c r="D122" s="271" t="s">
        <v>737</v>
      </c>
    </row>
    <row r="123" spans="1:4">
      <c r="A123" s="271" t="s">
        <v>240</v>
      </c>
      <c r="B123" s="271" t="s">
        <v>241</v>
      </c>
      <c r="C123" s="271" t="s">
        <v>267</v>
      </c>
      <c r="D123" s="271" t="s">
        <v>737</v>
      </c>
    </row>
    <row r="125" spans="1:4">
      <c r="C125" s="64" t="s">
        <v>608</v>
      </c>
      <c r="D125" s="542">
        <f>COUNTIF(D4:D123,"Full")</f>
        <v>93</v>
      </c>
    </row>
    <row r="126" spans="1:4">
      <c r="C126" s="64" t="s">
        <v>609</v>
      </c>
      <c r="D126" s="542">
        <f>COUNTIF(D4:D123,"Shared")</f>
        <v>27</v>
      </c>
    </row>
    <row r="128" spans="1:4">
      <c r="A128" s="271" t="s">
        <v>610</v>
      </c>
    </row>
    <row r="129" spans="1:2">
      <c r="A129" s="271" t="s">
        <v>959</v>
      </c>
    </row>
    <row r="131" spans="1:2" s="428" customFormat="1">
      <c r="A131" s="428" t="s">
        <v>248</v>
      </c>
    </row>
    <row r="132" spans="1:2" s="428" customFormat="1">
      <c r="A132" s="429" t="s">
        <v>249</v>
      </c>
      <c r="B132" s="430" t="s">
        <v>250</v>
      </c>
    </row>
  </sheetData>
  <autoFilter ref="A3:D123"/>
  <sortState ref="A4:D123">
    <sortCondition ref="A4:A123"/>
  </sortState>
  <hyperlinks>
    <hyperlink ref="B132" r:id="rId1"/>
  </hyperlinks>
  <pageMargins left="0.7" right="0.7" top="0.75" bottom="0.75" header="0.3" footer="0.3"/>
</worksheet>
</file>

<file path=xl/worksheets/sheet50.xml><?xml version="1.0" encoding="utf-8"?>
<worksheet xmlns="http://schemas.openxmlformats.org/spreadsheetml/2006/main" xmlns:r="http://schemas.openxmlformats.org/officeDocument/2006/relationships">
  <dimension ref="A1:J130"/>
  <sheetViews>
    <sheetView zoomScale="98" zoomScaleNormal="98" workbookViewId="0">
      <pane xSplit="3" ySplit="4" topLeftCell="D5" activePane="bottomRight" state="frozen"/>
      <selection pane="topRight" activeCell="D1" sqref="D1"/>
      <selection pane="bottomLeft" activeCell="A5" sqref="A5"/>
      <selection pane="bottomRight" activeCell="J4" sqref="J4"/>
    </sheetView>
  </sheetViews>
  <sheetFormatPr defaultRowHeight="15.75"/>
  <cols>
    <col min="1" max="1" width="13.375" style="271" bestFit="1" customWidth="1"/>
    <col min="2" max="2" width="31.375" style="271" customWidth="1"/>
    <col min="3" max="3" width="14.875" style="271" customWidth="1"/>
    <col min="4" max="4" width="12.375" style="271" bestFit="1" customWidth="1"/>
    <col min="5" max="5" width="11.375" style="271" customWidth="1"/>
    <col min="6" max="6" width="12.375" style="271" bestFit="1" customWidth="1"/>
    <col min="7" max="7" width="10.875" style="271" customWidth="1"/>
    <col min="8" max="8" width="10.125" style="271" bestFit="1" customWidth="1"/>
    <col min="9" max="9" width="12.375" style="271" bestFit="1" customWidth="1"/>
    <col min="10" max="10" width="12.625" style="271" customWidth="1"/>
    <col min="11" max="16384" width="9" style="271"/>
  </cols>
  <sheetData>
    <row r="1" spans="1:10">
      <c r="A1" s="64" t="s">
        <v>1185</v>
      </c>
    </row>
    <row r="2" spans="1:10">
      <c r="D2" s="1540"/>
      <c r="E2" s="1540"/>
      <c r="F2" s="1540"/>
      <c r="G2" s="1540"/>
      <c r="H2" s="1540"/>
      <c r="I2" s="1540"/>
    </row>
    <row r="3" spans="1:10" ht="31.5">
      <c r="A3" s="889" t="s">
        <v>4</v>
      </c>
      <c r="B3" s="890" t="s">
        <v>5</v>
      </c>
      <c r="C3" s="962" t="s">
        <v>251</v>
      </c>
      <c r="D3" s="891" t="s">
        <v>1055</v>
      </c>
      <c r="E3" s="892" t="s">
        <v>1056</v>
      </c>
      <c r="F3" s="892" t="s">
        <v>1057</v>
      </c>
      <c r="G3" s="892" t="s">
        <v>1058</v>
      </c>
      <c r="H3" s="892" t="s">
        <v>1059</v>
      </c>
      <c r="I3" s="1613" t="s">
        <v>1060</v>
      </c>
      <c r="J3" s="1617" t="s">
        <v>1188</v>
      </c>
    </row>
    <row r="4" spans="1:10">
      <c r="A4" s="884">
        <v>999</v>
      </c>
      <c r="B4" s="885" t="s">
        <v>9</v>
      </c>
      <c r="C4" s="963"/>
      <c r="D4" s="1556">
        <f t="shared" ref="D4:I4" si="0">SUM(D5:D124)</f>
        <v>47428181.286449991</v>
      </c>
      <c r="E4" s="1556">
        <f t="shared" si="0"/>
        <v>0</v>
      </c>
      <c r="F4" s="1556">
        <f t="shared" si="0"/>
        <v>46786192.102465004</v>
      </c>
      <c r="G4" s="1556">
        <f t="shared" si="0"/>
        <v>0</v>
      </c>
      <c r="H4" s="1556">
        <f t="shared" si="0"/>
        <v>0</v>
      </c>
      <c r="I4" s="1614">
        <f t="shared" si="0"/>
        <v>94214373.388914987</v>
      </c>
      <c r="J4" s="1618">
        <f>G4+H4</f>
        <v>0</v>
      </c>
    </row>
    <row r="5" spans="1:10" s="505" customFormat="1" ht="15" customHeight="1">
      <c r="A5" s="886" t="s">
        <v>10</v>
      </c>
      <c r="B5" s="887" t="s">
        <v>11</v>
      </c>
      <c r="C5" s="768" t="s">
        <v>264</v>
      </c>
      <c r="D5" s="1229">
        <v>209155.95049599998</v>
      </c>
      <c r="E5" s="1230"/>
      <c r="F5" s="1230">
        <v>195875.40950399998</v>
      </c>
      <c r="G5" s="1230">
        <v>0</v>
      </c>
      <c r="H5" s="1230">
        <v>0</v>
      </c>
      <c r="I5" s="1615">
        <f t="shared" ref="I5:I36" si="1">SUM(D5:H5)</f>
        <v>405031.36</v>
      </c>
      <c r="J5" s="1616">
        <f t="shared" ref="J5:J68" si="2">G5+H5</f>
        <v>0</v>
      </c>
    </row>
    <row r="6" spans="1:10" s="505" customFormat="1" ht="15" customHeight="1">
      <c r="A6" s="886" t="s">
        <v>12</v>
      </c>
      <c r="B6" s="887" t="s">
        <v>13</v>
      </c>
      <c r="C6" s="768" t="s">
        <v>265</v>
      </c>
      <c r="D6" s="1223">
        <v>206570.07415900001</v>
      </c>
      <c r="E6" s="1224"/>
      <c r="F6" s="1224">
        <v>234482.13584100001</v>
      </c>
      <c r="G6" s="1224">
        <v>0</v>
      </c>
      <c r="H6" s="1224">
        <v>0</v>
      </c>
      <c r="I6" s="1615">
        <f t="shared" si="1"/>
        <v>441052.21</v>
      </c>
      <c r="J6" s="1616">
        <f t="shared" si="2"/>
        <v>0</v>
      </c>
    </row>
    <row r="7" spans="1:10" s="505" customFormat="1" ht="15" customHeight="1">
      <c r="A7" s="886" t="s">
        <v>16</v>
      </c>
      <c r="B7" s="887" t="s">
        <v>297</v>
      </c>
      <c r="C7" s="768" t="s">
        <v>265</v>
      </c>
      <c r="D7" s="1225">
        <v>121178.12645200001</v>
      </c>
      <c r="E7" s="1226"/>
      <c r="F7" s="1226">
        <v>135164.35354800001</v>
      </c>
      <c r="G7" s="1226">
        <v>0</v>
      </c>
      <c r="H7" s="1226">
        <v>0</v>
      </c>
      <c r="I7" s="1615">
        <f t="shared" si="1"/>
        <v>256342.48000000004</v>
      </c>
      <c r="J7" s="1616">
        <f t="shared" si="2"/>
        <v>0</v>
      </c>
    </row>
    <row r="8" spans="1:10" s="505" customFormat="1" ht="15" customHeight="1">
      <c r="A8" s="886" t="s">
        <v>18</v>
      </c>
      <c r="B8" s="887" t="s">
        <v>19</v>
      </c>
      <c r="C8" s="768" t="s">
        <v>266</v>
      </c>
      <c r="D8" s="1225">
        <v>70905.110666000008</v>
      </c>
      <c r="E8" s="1226"/>
      <c r="F8" s="1226">
        <v>85344.949334000004</v>
      </c>
      <c r="G8" s="1226">
        <v>0</v>
      </c>
      <c r="H8" s="1226">
        <v>0</v>
      </c>
      <c r="I8" s="1615">
        <f t="shared" si="1"/>
        <v>156250.06</v>
      </c>
      <c r="J8" s="1616">
        <f t="shared" si="2"/>
        <v>0</v>
      </c>
    </row>
    <row r="9" spans="1:10" s="505" customFormat="1" ht="15" customHeight="1">
      <c r="A9" s="886" t="s">
        <v>20</v>
      </c>
      <c r="B9" s="887" t="s">
        <v>21</v>
      </c>
      <c r="C9" s="768" t="s">
        <v>265</v>
      </c>
      <c r="D9" s="1223">
        <v>120359.3478</v>
      </c>
      <c r="E9" s="1224"/>
      <c r="F9" s="1224">
        <v>105907.65220000001</v>
      </c>
      <c r="G9" s="1224">
        <v>0</v>
      </c>
      <c r="H9" s="1224">
        <v>0</v>
      </c>
      <c r="I9" s="1615">
        <f t="shared" si="1"/>
        <v>226267</v>
      </c>
      <c r="J9" s="1616">
        <f t="shared" si="2"/>
        <v>0</v>
      </c>
    </row>
    <row r="10" spans="1:10" s="505" customFormat="1" ht="15" customHeight="1">
      <c r="A10" s="886" t="s">
        <v>22</v>
      </c>
      <c r="B10" s="887" t="s">
        <v>23</v>
      </c>
      <c r="C10" s="768" t="s">
        <v>265</v>
      </c>
      <c r="D10" s="1225">
        <v>147645.50734999997</v>
      </c>
      <c r="E10" s="1226"/>
      <c r="F10" s="1226">
        <v>153243.49264999997</v>
      </c>
      <c r="G10" s="1226">
        <v>0</v>
      </c>
      <c r="H10" s="1226">
        <v>0</v>
      </c>
      <c r="I10" s="1615">
        <f t="shared" si="1"/>
        <v>300888.99999999994</v>
      </c>
      <c r="J10" s="1616">
        <f t="shared" si="2"/>
        <v>0</v>
      </c>
    </row>
    <row r="11" spans="1:10" s="505" customFormat="1" ht="15" customHeight="1">
      <c r="A11" s="886" t="s">
        <v>24</v>
      </c>
      <c r="B11" s="887" t="s">
        <v>25</v>
      </c>
      <c r="C11" s="768" t="s">
        <v>267</v>
      </c>
      <c r="D11" s="1225">
        <v>391633.04833000002</v>
      </c>
      <c r="E11" s="1226"/>
      <c r="F11" s="1226">
        <v>386762.55167000002</v>
      </c>
      <c r="G11" s="1226">
        <v>0</v>
      </c>
      <c r="H11" s="1226">
        <v>0</v>
      </c>
      <c r="I11" s="1615">
        <f t="shared" si="1"/>
        <v>778395.60000000009</v>
      </c>
      <c r="J11" s="1616">
        <f t="shared" si="2"/>
        <v>0</v>
      </c>
    </row>
    <row r="12" spans="1:10" s="505" customFormat="1" ht="15" customHeight="1">
      <c r="A12" s="886" t="s">
        <v>26</v>
      </c>
      <c r="B12" s="887" t="s">
        <v>706</v>
      </c>
      <c r="C12" s="768" t="s">
        <v>265</v>
      </c>
      <c r="D12" s="1225">
        <v>865775.21523300011</v>
      </c>
      <c r="E12" s="1226"/>
      <c r="F12" s="1226">
        <v>850549.85476700007</v>
      </c>
      <c r="G12" s="1226">
        <v>0</v>
      </c>
      <c r="H12" s="1226">
        <v>0</v>
      </c>
      <c r="I12" s="1615">
        <f t="shared" si="1"/>
        <v>1716325.0700000003</v>
      </c>
      <c r="J12" s="1616">
        <f t="shared" si="2"/>
        <v>0</v>
      </c>
    </row>
    <row r="13" spans="1:10" s="505" customFormat="1" ht="15" customHeight="1">
      <c r="A13" s="886" t="s">
        <v>27</v>
      </c>
      <c r="B13" s="887" t="s">
        <v>28</v>
      </c>
      <c r="C13" s="768" t="s">
        <v>265</v>
      </c>
      <c r="D13" s="1223">
        <v>4153.0905000000002</v>
      </c>
      <c r="E13" s="1224"/>
      <c r="F13" s="1224">
        <v>5347.9094999999998</v>
      </c>
      <c r="G13" s="1224">
        <v>0</v>
      </c>
      <c r="H13" s="1224">
        <v>0</v>
      </c>
      <c r="I13" s="1615">
        <f t="shared" si="1"/>
        <v>9501</v>
      </c>
      <c r="J13" s="1616">
        <f t="shared" si="2"/>
        <v>0</v>
      </c>
    </row>
    <row r="14" spans="1:10" s="505" customFormat="1" ht="15" customHeight="1">
      <c r="A14" s="886" t="s">
        <v>29</v>
      </c>
      <c r="B14" s="887" t="s">
        <v>1012</v>
      </c>
      <c r="C14" s="768" t="s">
        <v>265</v>
      </c>
      <c r="D14" s="1225">
        <v>272535.62841000006</v>
      </c>
      <c r="E14" s="1226"/>
      <c r="F14" s="1226">
        <v>274342.47159000003</v>
      </c>
      <c r="G14" s="1226">
        <v>0</v>
      </c>
      <c r="H14" s="1226">
        <v>0</v>
      </c>
      <c r="I14" s="1615">
        <f t="shared" si="1"/>
        <v>546878.10000000009</v>
      </c>
      <c r="J14" s="1616">
        <f t="shared" si="2"/>
        <v>0</v>
      </c>
    </row>
    <row r="15" spans="1:10" s="505" customFormat="1" ht="15" customHeight="1">
      <c r="A15" s="886" t="s">
        <v>30</v>
      </c>
      <c r="B15" s="887" t="s">
        <v>31</v>
      </c>
      <c r="C15" s="768" t="s">
        <v>268</v>
      </c>
      <c r="D15" s="1223">
        <v>17858.5622</v>
      </c>
      <c r="E15" s="1224"/>
      <c r="F15" s="1224">
        <v>15747.437800000002</v>
      </c>
      <c r="G15" s="1224">
        <v>0</v>
      </c>
      <c r="H15" s="1224">
        <v>0</v>
      </c>
      <c r="I15" s="1615">
        <f t="shared" si="1"/>
        <v>33606</v>
      </c>
      <c r="J15" s="1616">
        <f t="shared" si="2"/>
        <v>0</v>
      </c>
    </row>
    <row r="16" spans="1:10" s="505" customFormat="1" ht="15" customHeight="1">
      <c r="A16" s="886" t="s">
        <v>32</v>
      </c>
      <c r="B16" s="887" t="s">
        <v>33</v>
      </c>
      <c r="C16" s="768" t="s">
        <v>265</v>
      </c>
      <c r="D16" s="1223">
        <v>44835.006595999999</v>
      </c>
      <c r="E16" s="1224"/>
      <c r="F16" s="1224">
        <v>43856.353404000001</v>
      </c>
      <c r="G16" s="1224">
        <v>0</v>
      </c>
      <c r="H16" s="1224">
        <v>0</v>
      </c>
      <c r="I16" s="1615">
        <f t="shared" si="1"/>
        <v>88691.36</v>
      </c>
      <c r="J16" s="1616">
        <f t="shared" si="2"/>
        <v>0</v>
      </c>
    </row>
    <row r="17" spans="1:10" s="505" customFormat="1" ht="15" customHeight="1">
      <c r="A17" s="886" t="s">
        <v>36</v>
      </c>
      <c r="B17" s="887" t="s">
        <v>37</v>
      </c>
      <c r="C17" s="768" t="s">
        <v>264</v>
      </c>
      <c r="D17" s="1223">
        <v>138319.75765000001</v>
      </c>
      <c r="E17" s="1224"/>
      <c r="F17" s="1224">
        <v>125710.74235</v>
      </c>
      <c r="G17" s="1224">
        <v>0</v>
      </c>
      <c r="H17" s="1224">
        <v>0</v>
      </c>
      <c r="I17" s="1615">
        <f t="shared" si="1"/>
        <v>264030.5</v>
      </c>
      <c r="J17" s="1616">
        <f t="shared" si="2"/>
        <v>0</v>
      </c>
    </row>
    <row r="18" spans="1:10" s="505" customFormat="1" ht="15" customHeight="1">
      <c r="A18" s="886" t="s">
        <v>38</v>
      </c>
      <c r="B18" s="887" t="s">
        <v>39</v>
      </c>
      <c r="C18" s="768" t="s">
        <v>268</v>
      </c>
      <c r="D18" s="1225">
        <v>206958.79360000003</v>
      </c>
      <c r="E18" s="1226"/>
      <c r="F18" s="1226">
        <v>210406.60640000005</v>
      </c>
      <c r="G18" s="1226">
        <v>0</v>
      </c>
      <c r="H18" s="1226">
        <v>0</v>
      </c>
      <c r="I18" s="1615">
        <f t="shared" si="1"/>
        <v>417365.40000000008</v>
      </c>
      <c r="J18" s="1616">
        <f t="shared" si="2"/>
        <v>0</v>
      </c>
    </row>
    <row r="19" spans="1:10" s="505" customFormat="1" ht="15" customHeight="1">
      <c r="A19" s="886" t="s">
        <v>40</v>
      </c>
      <c r="B19" s="887" t="s">
        <v>41</v>
      </c>
      <c r="C19" s="768" t="s">
        <v>266</v>
      </c>
      <c r="D19" s="1225">
        <v>89427.768693000005</v>
      </c>
      <c r="E19" s="1226"/>
      <c r="F19" s="1226">
        <v>92805.021307000003</v>
      </c>
      <c r="G19" s="1226">
        <v>0</v>
      </c>
      <c r="H19" s="1226">
        <v>0</v>
      </c>
      <c r="I19" s="1615">
        <f t="shared" si="1"/>
        <v>182232.79</v>
      </c>
      <c r="J19" s="1616">
        <f t="shared" si="2"/>
        <v>0</v>
      </c>
    </row>
    <row r="20" spans="1:10" s="505" customFormat="1" ht="15" customHeight="1">
      <c r="A20" s="886" t="s">
        <v>42</v>
      </c>
      <c r="B20" s="887" t="s">
        <v>43</v>
      </c>
      <c r="C20" s="768" t="s">
        <v>265</v>
      </c>
      <c r="D20" s="1225">
        <v>316106.64286800002</v>
      </c>
      <c r="E20" s="1226"/>
      <c r="F20" s="1226">
        <v>371088.48713200004</v>
      </c>
      <c r="G20" s="1226">
        <v>0</v>
      </c>
      <c r="H20" s="1226">
        <v>0</v>
      </c>
      <c r="I20" s="1615">
        <f t="shared" si="1"/>
        <v>687195.13000000012</v>
      </c>
      <c r="J20" s="1616">
        <f t="shared" si="2"/>
        <v>0</v>
      </c>
    </row>
    <row r="21" spans="1:10" s="505" customFormat="1" ht="15" customHeight="1">
      <c r="A21" s="886" t="s">
        <v>44</v>
      </c>
      <c r="B21" s="887" t="s">
        <v>45</v>
      </c>
      <c r="C21" s="768" t="s">
        <v>266</v>
      </c>
      <c r="D21" s="1225">
        <v>224883.16085000001</v>
      </c>
      <c r="E21" s="1226"/>
      <c r="F21" s="1226">
        <v>267173.49915000005</v>
      </c>
      <c r="G21" s="1226">
        <v>0</v>
      </c>
      <c r="H21" s="1226">
        <v>0</v>
      </c>
      <c r="I21" s="1615">
        <f t="shared" si="1"/>
        <v>492056.66000000003</v>
      </c>
      <c r="J21" s="1616">
        <f t="shared" si="2"/>
        <v>0</v>
      </c>
    </row>
    <row r="22" spans="1:10" s="505" customFormat="1" ht="15" customHeight="1">
      <c r="A22" s="886" t="s">
        <v>46</v>
      </c>
      <c r="B22" s="887" t="s">
        <v>47</v>
      </c>
      <c r="C22" s="768" t="s">
        <v>268</v>
      </c>
      <c r="D22" s="1225">
        <v>121713.18431000001</v>
      </c>
      <c r="E22" s="1226"/>
      <c r="F22" s="1226">
        <v>125765.91569000001</v>
      </c>
      <c r="G22" s="1226">
        <v>0</v>
      </c>
      <c r="H22" s="1226">
        <v>0</v>
      </c>
      <c r="I22" s="1615">
        <f t="shared" si="1"/>
        <v>247479.10000000003</v>
      </c>
      <c r="J22" s="1616">
        <f t="shared" si="2"/>
        <v>0</v>
      </c>
    </row>
    <row r="23" spans="1:10" s="505" customFormat="1" ht="15" customHeight="1">
      <c r="A23" s="886" t="s">
        <v>48</v>
      </c>
      <c r="B23" s="887" t="s">
        <v>269</v>
      </c>
      <c r="C23" s="768" t="s">
        <v>266</v>
      </c>
      <c r="D23" s="1223">
        <v>20272.870300000002</v>
      </c>
      <c r="E23" s="1224"/>
      <c r="F23" s="1224">
        <v>16850.129700000001</v>
      </c>
      <c r="G23" s="1224">
        <v>0</v>
      </c>
      <c r="H23" s="1224">
        <v>0</v>
      </c>
      <c r="I23" s="1615">
        <f t="shared" si="1"/>
        <v>37123</v>
      </c>
      <c r="J23" s="1616">
        <f t="shared" si="2"/>
        <v>0</v>
      </c>
    </row>
    <row r="24" spans="1:10" s="505" customFormat="1" ht="15" customHeight="1">
      <c r="A24" s="886" t="s">
        <v>50</v>
      </c>
      <c r="B24" s="887" t="s">
        <v>51</v>
      </c>
      <c r="C24" s="768" t="s">
        <v>265</v>
      </c>
      <c r="D24" s="1225">
        <v>106248.88834000002</v>
      </c>
      <c r="E24" s="1226"/>
      <c r="F24" s="1226">
        <v>120872.01166000002</v>
      </c>
      <c r="G24" s="1226">
        <v>0</v>
      </c>
      <c r="H24" s="1226">
        <v>0</v>
      </c>
      <c r="I24" s="1615">
        <f t="shared" si="1"/>
        <v>227120.90000000002</v>
      </c>
      <c r="J24" s="1616">
        <f t="shared" si="2"/>
        <v>0</v>
      </c>
    </row>
    <row r="25" spans="1:10" s="505" customFormat="1" ht="15" customHeight="1">
      <c r="A25" s="886" t="s">
        <v>56</v>
      </c>
      <c r="B25" s="887" t="s">
        <v>295</v>
      </c>
      <c r="C25" s="768" t="s">
        <v>266</v>
      </c>
      <c r="D25" s="1225">
        <v>1439369.9904440003</v>
      </c>
      <c r="E25" s="1226"/>
      <c r="F25" s="1226">
        <v>1404540.7095560001</v>
      </c>
      <c r="G25" s="1226">
        <v>0</v>
      </c>
      <c r="H25" s="1226">
        <v>0</v>
      </c>
      <c r="I25" s="1615">
        <f t="shared" si="1"/>
        <v>2843910.7</v>
      </c>
      <c r="J25" s="1616">
        <f t="shared" si="2"/>
        <v>0</v>
      </c>
    </row>
    <row r="26" spans="1:10" s="505" customFormat="1" ht="15" customHeight="1">
      <c r="A26" s="886" t="s">
        <v>58</v>
      </c>
      <c r="B26" s="887" t="s">
        <v>59</v>
      </c>
      <c r="C26" s="768" t="s">
        <v>267</v>
      </c>
      <c r="D26" s="1223">
        <v>16686.085500000001</v>
      </c>
      <c r="E26" s="1224"/>
      <c r="F26" s="1224">
        <v>19100.914499999999</v>
      </c>
      <c r="G26" s="1224">
        <v>0</v>
      </c>
      <c r="H26" s="1224">
        <v>0</v>
      </c>
      <c r="I26" s="1615">
        <f t="shared" si="1"/>
        <v>35787</v>
      </c>
      <c r="J26" s="1616">
        <f t="shared" si="2"/>
        <v>0</v>
      </c>
    </row>
    <row r="27" spans="1:10" s="505" customFormat="1" ht="15" customHeight="1">
      <c r="A27" s="886" t="s">
        <v>60</v>
      </c>
      <c r="B27" s="887" t="s">
        <v>61</v>
      </c>
      <c r="C27" s="768" t="s">
        <v>265</v>
      </c>
      <c r="D27" s="1223">
        <v>14990.991100000001</v>
      </c>
      <c r="E27" s="1224"/>
      <c r="F27" s="1224">
        <v>12460.008900000001</v>
      </c>
      <c r="G27" s="1224">
        <v>0</v>
      </c>
      <c r="H27" s="1224">
        <v>0</v>
      </c>
      <c r="I27" s="1615">
        <f t="shared" si="1"/>
        <v>27451</v>
      </c>
      <c r="J27" s="1616">
        <f t="shared" si="2"/>
        <v>0</v>
      </c>
    </row>
    <row r="28" spans="1:10" s="505" customFormat="1" ht="15" customHeight="1">
      <c r="A28" s="886" t="s">
        <v>62</v>
      </c>
      <c r="B28" s="887" t="s">
        <v>63</v>
      </c>
      <c r="C28" s="768" t="s">
        <v>267</v>
      </c>
      <c r="D28" s="1225">
        <v>213734.026938</v>
      </c>
      <c r="E28" s="1226"/>
      <c r="F28" s="1226">
        <v>212450.64306199999</v>
      </c>
      <c r="G28" s="1226">
        <v>0</v>
      </c>
      <c r="H28" s="1226">
        <v>0</v>
      </c>
      <c r="I28" s="1615">
        <f t="shared" si="1"/>
        <v>426184.67</v>
      </c>
      <c r="J28" s="1616">
        <f t="shared" si="2"/>
        <v>0</v>
      </c>
    </row>
    <row r="29" spans="1:10" s="505" customFormat="1" ht="15" customHeight="1">
      <c r="A29" s="886" t="s">
        <v>64</v>
      </c>
      <c r="B29" s="887" t="s">
        <v>65</v>
      </c>
      <c r="C29" s="768" t="s">
        <v>266</v>
      </c>
      <c r="D29" s="1225">
        <v>85493.533229000008</v>
      </c>
      <c r="E29" s="1226"/>
      <c r="F29" s="1226">
        <v>95272.356771000006</v>
      </c>
      <c r="G29" s="1226">
        <v>0</v>
      </c>
      <c r="H29" s="1226">
        <v>0</v>
      </c>
      <c r="I29" s="1615">
        <f t="shared" si="1"/>
        <v>180765.89</v>
      </c>
      <c r="J29" s="1616">
        <f t="shared" si="2"/>
        <v>0</v>
      </c>
    </row>
    <row r="30" spans="1:10" s="505" customFormat="1" ht="15" customHeight="1">
      <c r="A30" s="886" t="s">
        <v>68</v>
      </c>
      <c r="B30" s="887" t="s">
        <v>69</v>
      </c>
      <c r="C30" s="768" t="s">
        <v>268</v>
      </c>
      <c r="D30" s="1225">
        <v>89426.004790000006</v>
      </c>
      <c r="E30" s="1226"/>
      <c r="F30" s="1226">
        <v>94548.895210000002</v>
      </c>
      <c r="G30" s="1226">
        <v>0</v>
      </c>
      <c r="H30" s="1226">
        <v>0</v>
      </c>
      <c r="I30" s="1615">
        <f t="shared" si="1"/>
        <v>183974.90000000002</v>
      </c>
      <c r="J30" s="1616">
        <f t="shared" si="2"/>
        <v>0</v>
      </c>
    </row>
    <row r="31" spans="1:10" s="505" customFormat="1" ht="15" customHeight="1">
      <c r="A31" s="886" t="s">
        <v>70</v>
      </c>
      <c r="B31" s="887" t="s">
        <v>71</v>
      </c>
      <c r="C31" s="768" t="s">
        <v>264</v>
      </c>
      <c r="D31" s="1225">
        <v>171048.3498</v>
      </c>
      <c r="E31" s="1226"/>
      <c r="F31" s="1226">
        <v>159225.6502</v>
      </c>
      <c r="G31" s="1226">
        <v>0</v>
      </c>
      <c r="H31" s="1226">
        <v>0</v>
      </c>
      <c r="I31" s="1615">
        <f t="shared" si="1"/>
        <v>330274</v>
      </c>
      <c r="J31" s="1616">
        <f t="shared" si="2"/>
        <v>0</v>
      </c>
    </row>
    <row r="32" spans="1:10" s="505" customFormat="1" ht="15" customHeight="1">
      <c r="A32" s="886" t="s">
        <v>72</v>
      </c>
      <c r="B32" s="887" t="s">
        <v>73</v>
      </c>
      <c r="C32" s="768" t="s">
        <v>266</v>
      </c>
      <c r="D32" s="1223">
        <v>107030.02978</v>
      </c>
      <c r="E32" s="1224"/>
      <c r="F32" s="1224">
        <v>97586.770220000006</v>
      </c>
      <c r="G32" s="1224">
        <v>0</v>
      </c>
      <c r="H32" s="1224">
        <v>0</v>
      </c>
      <c r="I32" s="1615">
        <f t="shared" si="1"/>
        <v>204616.8</v>
      </c>
      <c r="J32" s="1616">
        <f t="shared" si="2"/>
        <v>0</v>
      </c>
    </row>
    <row r="33" spans="1:10" s="505" customFormat="1" ht="15" customHeight="1">
      <c r="A33" s="886" t="s">
        <v>74</v>
      </c>
      <c r="B33" s="887" t="s">
        <v>684</v>
      </c>
      <c r="C33" s="768" t="s">
        <v>267</v>
      </c>
      <c r="D33" s="1225">
        <v>2474064.7648399998</v>
      </c>
      <c r="E33" s="1226"/>
      <c r="F33" s="1226">
        <v>2732812.2251599999</v>
      </c>
      <c r="G33" s="1226">
        <v>0</v>
      </c>
      <c r="H33" s="1226">
        <v>0</v>
      </c>
      <c r="I33" s="1615">
        <f t="shared" si="1"/>
        <v>5206876.99</v>
      </c>
      <c r="J33" s="1616">
        <f t="shared" si="2"/>
        <v>0</v>
      </c>
    </row>
    <row r="34" spans="1:10" s="505" customFormat="1" ht="15" customHeight="1">
      <c r="A34" s="886" t="s">
        <v>76</v>
      </c>
      <c r="B34" s="887" t="s">
        <v>77</v>
      </c>
      <c r="C34" s="768" t="s">
        <v>267</v>
      </c>
      <c r="D34" s="1225">
        <v>119964.46289000001</v>
      </c>
      <c r="E34" s="1226"/>
      <c r="F34" s="1226">
        <v>124188.43711</v>
      </c>
      <c r="G34" s="1226">
        <v>0</v>
      </c>
      <c r="H34" s="1226">
        <v>0</v>
      </c>
      <c r="I34" s="1615">
        <f t="shared" si="1"/>
        <v>244152.90000000002</v>
      </c>
      <c r="J34" s="1616">
        <f t="shared" si="2"/>
        <v>0</v>
      </c>
    </row>
    <row r="35" spans="1:10" s="505" customFormat="1" ht="15" customHeight="1">
      <c r="A35" s="886" t="s">
        <v>78</v>
      </c>
      <c r="B35" s="887" t="s">
        <v>79</v>
      </c>
      <c r="C35" s="768" t="s">
        <v>268</v>
      </c>
      <c r="D35" s="1223">
        <v>60568.917597000007</v>
      </c>
      <c r="E35" s="1224"/>
      <c r="F35" s="1224">
        <v>71756.262403000001</v>
      </c>
      <c r="G35" s="1224">
        <v>0</v>
      </c>
      <c r="H35" s="1224">
        <v>0</v>
      </c>
      <c r="I35" s="1615">
        <f t="shared" si="1"/>
        <v>132325.18</v>
      </c>
      <c r="J35" s="1616">
        <f t="shared" si="2"/>
        <v>0</v>
      </c>
    </row>
    <row r="36" spans="1:10" s="505" customFormat="1" ht="15" customHeight="1">
      <c r="A36" s="886" t="s">
        <v>80</v>
      </c>
      <c r="B36" s="887" t="s">
        <v>81</v>
      </c>
      <c r="C36" s="768" t="s">
        <v>266</v>
      </c>
      <c r="D36" s="1225">
        <v>65713.851300000009</v>
      </c>
      <c r="E36" s="1226"/>
      <c r="F36" s="1226">
        <v>66539.018700000001</v>
      </c>
      <c r="G36" s="1226">
        <v>0</v>
      </c>
      <c r="H36" s="1226">
        <v>0</v>
      </c>
      <c r="I36" s="1615">
        <f t="shared" si="1"/>
        <v>132252.87</v>
      </c>
      <c r="J36" s="1616">
        <f t="shared" si="2"/>
        <v>0</v>
      </c>
    </row>
    <row r="37" spans="1:10" s="505" customFormat="1" ht="15" customHeight="1">
      <c r="A37" s="886" t="s">
        <v>84</v>
      </c>
      <c r="B37" s="887" t="s">
        <v>308</v>
      </c>
      <c r="C37" s="768" t="s">
        <v>265</v>
      </c>
      <c r="D37" s="1225">
        <v>279085.628264</v>
      </c>
      <c r="E37" s="1226"/>
      <c r="F37" s="1226">
        <v>279424.02173600002</v>
      </c>
      <c r="G37" s="1226">
        <v>0</v>
      </c>
      <c r="H37" s="1226">
        <v>0</v>
      </c>
      <c r="I37" s="1615">
        <f t="shared" ref="I37:I68" si="3">SUM(D37:H37)</f>
        <v>558509.65</v>
      </c>
      <c r="J37" s="1616">
        <f t="shared" si="2"/>
        <v>0</v>
      </c>
    </row>
    <row r="38" spans="1:10" s="505" customFormat="1" ht="15" customHeight="1">
      <c r="A38" s="886" t="s">
        <v>86</v>
      </c>
      <c r="B38" s="887" t="s">
        <v>87</v>
      </c>
      <c r="C38" s="768" t="s">
        <v>267</v>
      </c>
      <c r="D38" s="1223">
        <v>138862.728497</v>
      </c>
      <c r="E38" s="1224"/>
      <c r="F38" s="1224">
        <v>153856.89150300002</v>
      </c>
      <c r="G38" s="1224">
        <v>0</v>
      </c>
      <c r="H38" s="1224">
        <v>0</v>
      </c>
      <c r="I38" s="1615">
        <f t="shared" si="3"/>
        <v>292719.62</v>
      </c>
      <c r="J38" s="1616">
        <f t="shared" si="2"/>
        <v>0</v>
      </c>
    </row>
    <row r="39" spans="1:10" s="505" customFormat="1" ht="15" customHeight="1">
      <c r="A39" s="886" t="s">
        <v>92</v>
      </c>
      <c r="B39" s="887" t="s">
        <v>93</v>
      </c>
      <c r="C39" s="768" t="s">
        <v>268</v>
      </c>
      <c r="D39" s="1225">
        <v>72720.423520000011</v>
      </c>
      <c r="E39" s="1226"/>
      <c r="F39" s="1226">
        <v>63776.776480000008</v>
      </c>
      <c r="G39" s="1226">
        <v>0</v>
      </c>
      <c r="H39" s="1226">
        <v>0</v>
      </c>
      <c r="I39" s="1615">
        <f t="shared" si="3"/>
        <v>136497.20000000001</v>
      </c>
      <c r="J39" s="1616">
        <f t="shared" si="2"/>
        <v>0</v>
      </c>
    </row>
    <row r="40" spans="1:10" s="505" customFormat="1" ht="15" customHeight="1">
      <c r="A40" s="886" t="s">
        <v>94</v>
      </c>
      <c r="B40" s="887" t="s">
        <v>95</v>
      </c>
      <c r="C40" s="768" t="s">
        <v>264</v>
      </c>
      <c r="D40" s="1223">
        <v>149672.25920200002</v>
      </c>
      <c r="E40" s="1224"/>
      <c r="F40" s="1224">
        <v>156805.89079800001</v>
      </c>
      <c r="G40" s="1224">
        <v>0</v>
      </c>
      <c r="H40" s="1224">
        <v>0</v>
      </c>
      <c r="I40" s="1615">
        <f t="shared" si="3"/>
        <v>306478.15000000002</v>
      </c>
      <c r="J40" s="1616">
        <f t="shared" si="2"/>
        <v>0</v>
      </c>
    </row>
    <row r="41" spans="1:10" s="505" customFormat="1" ht="15" customHeight="1">
      <c r="A41" s="886" t="s">
        <v>96</v>
      </c>
      <c r="B41" s="887" t="s">
        <v>97</v>
      </c>
      <c r="C41" s="768" t="s">
        <v>266</v>
      </c>
      <c r="D41" s="1223">
        <v>35476.840400000001</v>
      </c>
      <c r="E41" s="1224"/>
      <c r="F41" s="1224">
        <v>36573.159599999999</v>
      </c>
      <c r="G41" s="1224">
        <v>0</v>
      </c>
      <c r="H41" s="1224">
        <v>0</v>
      </c>
      <c r="I41" s="1615">
        <f t="shared" si="3"/>
        <v>72050</v>
      </c>
      <c r="J41" s="1616">
        <f t="shared" si="2"/>
        <v>0</v>
      </c>
    </row>
    <row r="42" spans="1:10" s="505" customFormat="1" ht="15" customHeight="1">
      <c r="A42" s="886" t="s">
        <v>98</v>
      </c>
      <c r="B42" s="887" t="s">
        <v>99</v>
      </c>
      <c r="C42" s="768" t="s">
        <v>268</v>
      </c>
      <c r="D42" s="1223">
        <v>50635.047320000012</v>
      </c>
      <c r="E42" s="1224"/>
      <c r="F42" s="1224">
        <v>45966.582680000007</v>
      </c>
      <c r="G42" s="1224">
        <v>0</v>
      </c>
      <c r="H42" s="1224">
        <v>0</v>
      </c>
      <c r="I42" s="1615">
        <f t="shared" si="3"/>
        <v>96601.630000000019</v>
      </c>
      <c r="J42" s="1616">
        <f t="shared" si="2"/>
        <v>0</v>
      </c>
    </row>
    <row r="43" spans="1:10" s="505" customFormat="1" ht="15" customHeight="1">
      <c r="A43" s="886" t="s">
        <v>100</v>
      </c>
      <c r="B43" s="887" t="s">
        <v>101</v>
      </c>
      <c r="C43" s="768" t="s">
        <v>267</v>
      </c>
      <c r="D43" s="1223">
        <v>47536.093650000003</v>
      </c>
      <c r="E43" s="1224"/>
      <c r="F43" s="1224">
        <v>59076.406350000005</v>
      </c>
      <c r="G43" s="1224">
        <v>0</v>
      </c>
      <c r="H43" s="1224">
        <v>0</v>
      </c>
      <c r="I43" s="1615">
        <f t="shared" si="3"/>
        <v>106612.5</v>
      </c>
      <c r="J43" s="1616">
        <f t="shared" si="2"/>
        <v>0</v>
      </c>
    </row>
    <row r="44" spans="1:10" s="505" customFormat="1" ht="15" customHeight="1">
      <c r="A44" s="886" t="s">
        <v>102</v>
      </c>
      <c r="B44" s="887" t="s">
        <v>103</v>
      </c>
      <c r="C44" s="768" t="s">
        <v>264</v>
      </c>
      <c r="D44" s="1223">
        <v>221519.45790000001</v>
      </c>
      <c r="E44" s="1224"/>
      <c r="F44" s="1224">
        <v>203158.54210000002</v>
      </c>
      <c r="G44" s="1224">
        <v>0</v>
      </c>
      <c r="H44" s="1224">
        <v>0</v>
      </c>
      <c r="I44" s="1615">
        <f t="shared" si="3"/>
        <v>424678</v>
      </c>
      <c r="J44" s="1616">
        <f t="shared" si="2"/>
        <v>0</v>
      </c>
    </row>
    <row r="45" spans="1:10" s="505" customFormat="1" ht="15" customHeight="1">
      <c r="A45" s="886" t="s">
        <v>104</v>
      </c>
      <c r="B45" s="887" t="s">
        <v>309</v>
      </c>
      <c r="C45" s="768" t="s">
        <v>265</v>
      </c>
      <c r="D45" s="1225">
        <v>275652.69621700002</v>
      </c>
      <c r="E45" s="1226"/>
      <c r="F45" s="1226">
        <v>244886.27378300001</v>
      </c>
      <c r="G45" s="1226">
        <v>0</v>
      </c>
      <c r="H45" s="1226">
        <v>0</v>
      </c>
      <c r="I45" s="1615">
        <f t="shared" si="3"/>
        <v>520538.97000000003</v>
      </c>
      <c r="J45" s="1616">
        <f t="shared" si="2"/>
        <v>0</v>
      </c>
    </row>
    <row r="46" spans="1:10" s="505" customFormat="1" ht="15" customHeight="1">
      <c r="A46" s="886" t="s">
        <v>108</v>
      </c>
      <c r="B46" s="887" t="s">
        <v>109</v>
      </c>
      <c r="C46" s="768" t="s">
        <v>266</v>
      </c>
      <c r="D46" s="1225">
        <v>186529.438345</v>
      </c>
      <c r="E46" s="1226"/>
      <c r="F46" s="1226">
        <v>205760.73165500001</v>
      </c>
      <c r="G46" s="1226">
        <v>0</v>
      </c>
      <c r="H46" s="1226">
        <v>0</v>
      </c>
      <c r="I46" s="1615">
        <f t="shared" si="3"/>
        <v>392290.17000000004</v>
      </c>
      <c r="J46" s="1616">
        <f t="shared" si="2"/>
        <v>0</v>
      </c>
    </row>
    <row r="47" spans="1:10" s="505" customFormat="1" ht="15" customHeight="1">
      <c r="A47" s="886" t="s">
        <v>110</v>
      </c>
      <c r="B47" s="887" t="s">
        <v>111</v>
      </c>
      <c r="C47" s="768" t="s">
        <v>266</v>
      </c>
      <c r="D47" s="1225">
        <v>1981006.0598240001</v>
      </c>
      <c r="E47" s="1226"/>
      <c r="F47" s="1226">
        <v>2013212.070176</v>
      </c>
      <c r="G47" s="1226">
        <v>0</v>
      </c>
      <c r="H47" s="1226">
        <v>0</v>
      </c>
      <c r="I47" s="1615">
        <f t="shared" si="3"/>
        <v>3994218.13</v>
      </c>
      <c r="J47" s="1616">
        <f t="shared" si="2"/>
        <v>0</v>
      </c>
    </row>
    <row r="48" spans="1:10" s="505" customFormat="1" ht="15" customHeight="1">
      <c r="A48" s="886" t="s">
        <v>112</v>
      </c>
      <c r="B48" s="887" t="s">
        <v>300</v>
      </c>
      <c r="C48" s="768" t="s">
        <v>265</v>
      </c>
      <c r="D48" s="1225">
        <v>619233.1276730001</v>
      </c>
      <c r="E48" s="1226"/>
      <c r="F48" s="1226">
        <v>568133.80232700007</v>
      </c>
      <c r="G48" s="1226">
        <v>0</v>
      </c>
      <c r="H48" s="1226">
        <v>0</v>
      </c>
      <c r="I48" s="1615">
        <f t="shared" si="3"/>
        <v>1187366.9300000002</v>
      </c>
      <c r="J48" s="1616">
        <f t="shared" si="2"/>
        <v>0</v>
      </c>
    </row>
    <row r="49" spans="1:10" s="505" customFormat="1" ht="15" customHeight="1">
      <c r="A49" s="886" t="s">
        <v>114</v>
      </c>
      <c r="B49" s="887" t="s">
        <v>115</v>
      </c>
      <c r="C49" s="768" t="s">
        <v>265</v>
      </c>
      <c r="D49" s="1223">
        <v>3144.9899</v>
      </c>
      <c r="E49" s="1224"/>
      <c r="F49" s="1224">
        <v>2614.0101</v>
      </c>
      <c r="G49" s="1224">
        <v>0</v>
      </c>
      <c r="H49" s="1224">
        <v>0</v>
      </c>
      <c r="I49" s="1615">
        <f t="shared" si="3"/>
        <v>5759</v>
      </c>
      <c r="J49" s="1616">
        <f t="shared" si="2"/>
        <v>0</v>
      </c>
    </row>
    <row r="50" spans="1:10" s="505" customFormat="1" ht="15" customHeight="1">
      <c r="A50" s="886" t="s">
        <v>118</v>
      </c>
      <c r="B50" s="887" t="s">
        <v>119</v>
      </c>
      <c r="C50" s="768" t="s">
        <v>264</v>
      </c>
      <c r="D50" s="1225">
        <v>148886.448607</v>
      </c>
      <c r="E50" s="1226"/>
      <c r="F50" s="1226">
        <v>134500.10139300002</v>
      </c>
      <c r="G50" s="1226">
        <v>0</v>
      </c>
      <c r="H50" s="1226">
        <v>0</v>
      </c>
      <c r="I50" s="1615">
        <f t="shared" si="3"/>
        <v>283386.55000000005</v>
      </c>
      <c r="J50" s="1616">
        <f t="shared" si="2"/>
        <v>0</v>
      </c>
    </row>
    <row r="51" spans="1:10" s="505" customFormat="1" ht="15" customHeight="1">
      <c r="A51" s="886" t="s">
        <v>120</v>
      </c>
      <c r="B51" s="887" t="s">
        <v>121</v>
      </c>
      <c r="C51" s="768" t="s">
        <v>264</v>
      </c>
      <c r="D51" s="1225">
        <v>207591.357613</v>
      </c>
      <c r="E51" s="1226"/>
      <c r="F51" s="1226">
        <v>190288.97238699999</v>
      </c>
      <c r="G51" s="1226">
        <v>0</v>
      </c>
      <c r="H51" s="1226">
        <v>0</v>
      </c>
      <c r="I51" s="1615">
        <f t="shared" si="3"/>
        <v>397880.32999999996</v>
      </c>
      <c r="J51" s="1616">
        <f t="shared" si="2"/>
        <v>0</v>
      </c>
    </row>
    <row r="52" spans="1:10" s="505" customFormat="1" ht="15" customHeight="1">
      <c r="A52" s="886" t="s">
        <v>122</v>
      </c>
      <c r="B52" s="887" t="s">
        <v>271</v>
      </c>
      <c r="C52" s="768" t="s">
        <v>266</v>
      </c>
      <c r="D52" s="1223">
        <v>37030.074402999999</v>
      </c>
      <c r="E52" s="1224"/>
      <c r="F52" s="1224">
        <v>33627.155597000004</v>
      </c>
      <c r="G52" s="1224">
        <v>0</v>
      </c>
      <c r="H52" s="1224">
        <v>0</v>
      </c>
      <c r="I52" s="1615">
        <f t="shared" si="3"/>
        <v>70657.23000000001</v>
      </c>
      <c r="J52" s="1616">
        <f t="shared" si="2"/>
        <v>0</v>
      </c>
    </row>
    <row r="53" spans="1:10" s="505" customFormat="1" ht="15" customHeight="1">
      <c r="A53" s="886" t="s">
        <v>124</v>
      </c>
      <c r="B53" s="887" t="s">
        <v>125</v>
      </c>
      <c r="C53" s="768" t="s">
        <v>267</v>
      </c>
      <c r="D53" s="1225">
        <v>73735.945619000006</v>
      </c>
      <c r="E53" s="1226"/>
      <c r="F53" s="1226">
        <v>78086.204381000018</v>
      </c>
      <c r="G53" s="1226">
        <v>0</v>
      </c>
      <c r="H53" s="1226">
        <v>0</v>
      </c>
      <c r="I53" s="1615">
        <f t="shared" si="3"/>
        <v>151822.15000000002</v>
      </c>
      <c r="J53" s="1616">
        <f t="shared" si="2"/>
        <v>0</v>
      </c>
    </row>
    <row r="54" spans="1:10" s="505" customFormat="1" ht="15" customHeight="1">
      <c r="A54" s="886" t="s">
        <v>126</v>
      </c>
      <c r="B54" s="887" t="s">
        <v>127</v>
      </c>
      <c r="C54" s="768" t="s">
        <v>266</v>
      </c>
      <c r="D54" s="1223">
        <v>49064.654855000001</v>
      </c>
      <c r="E54" s="1224"/>
      <c r="F54" s="1224">
        <v>46145.895145000002</v>
      </c>
      <c r="G54" s="1224">
        <v>0</v>
      </c>
      <c r="H54" s="1224">
        <v>0</v>
      </c>
      <c r="I54" s="1615">
        <f t="shared" si="3"/>
        <v>95210.55</v>
      </c>
      <c r="J54" s="1616">
        <f t="shared" si="2"/>
        <v>0</v>
      </c>
    </row>
    <row r="55" spans="1:10" s="505" customFormat="1" ht="15" customHeight="1">
      <c r="A55" s="886" t="s">
        <v>128</v>
      </c>
      <c r="B55" s="887" t="s">
        <v>129</v>
      </c>
      <c r="C55" s="768" t="s">
        <v>266</v>
      </c>
      <c r="D55" s="1225">
        <v>52339.469108000005</v>
      </c>
      <c r="E55" s="1226"/>
      <c r="F55" s="1226">
        <v>44476.810892000001</v>
      </c>
      <c r="G55" s="1226">
        <v>0</v>
      </c>
      <c r="H55" s="1226">
        <v>0</v>
      </c>
      <c r="I55" s="1615">
        <f t="shared" si="3"/>
        <v>96816.28</v>
      </c>
      <c r="J55" s="1616">
        <f t="shared" si="2"/>
        <v>0</v>
      </c>
    </row>
    <row r="56" spans="1:10" s="505" customFormat="1" ht="15" customHeight="1">
      <c r="A56" s="886" t="s">
        <v>130</v>
      </c>
      <c r="B56" s="887" t="s">
        <v>131</v>
      </c>
      <c r="C56" s="768" t="s">
        <v>268</v>
      </c>
      <c r="D56" s="1225">
        <v>357579.78687100002</v>
      </c>
      <c r="E56" s="1226"/>
      <c r="F56" s="1226">
        <v>428159.72312900005</v>
      </c>
      <c r="G56" s="1226">
        <v>0</v>
      </c>
      <c r="H56" s="1226">
        <v>0</v>
      </c>
      <c r="I56" s="1615">
        <f t="shared" si="3"/>
        <v>785739.51</v>
      </c>
      <c r="J56" s="1616">
        <f t="shared" si="2"/>
        <v>0</v>
      </c>
    </row>
    <row r="57" spans="1:10" s="505" customFormat="1" ht="15" customHeight="1">
      <c r="A57" s="886" t="s">
        <v>132</v>
      </c>
      <c r="B57" s="887" t="s">
        <v>133</v>
      </c>
      <c r="C57" s="768" t="s">
        <v>267</v>
      </c>
      <c r="D57" s="1225">
        <v>333365.57088499999</v>
      </c>
      <c r="E57" s="1226"/>
      <c r="F57" s="1226">
        <v>429622.33911499998</v>
      </c>
      <c r="G57" s="1226">
        <v>0</v>
      </c>
      <c r="H57" s="1226">
        <v>0</v>
      </c>
      <c r="I57" s="1615">
        <f t="shared" si="3"/>
        <v>762987.90999999992</v>
      </c>
      <c r="J57" s="1616">
        <f t="shared" si="2"/>
        <v>0</v>
      </c>
    </row>
    <row r="58" spans="1:10" s="505" customFormat="1" ht="15" customHeight="1">
      <c r="A58" s="886" t="s">
        <v>134</v>
      </c>
      <c r="B58" s="887" t="s">
        <v>135</v>
      </c>
      <c r="C58" s="768" t="s">
        <v>267</v>
      </c>
      <c r="D58" s="1225">
        <v>146135.85758800001</v>
      </c>
      <c r="E58" s="1226"/>
      <c r="F58" s="1226">
        <v>156739.24241200002</v>
      </c>
      <c r="G58" s="1226">
        <v>0</v>
      </c>
      <c r="H58" s="1226">
        <v>0</v>
      </c>
      <c r="I58" s="1615">
        <f t="shared" si="3"/>
        <v>302875.10000000003</v>
      </c>
      <c r="J58" s="1616">
        <f t="shared" si="2"/>
        <v>0</v>
      </c>
    </row>
    <row r="59" spans="1:10" s="505" customFormat="1" ht="15" customHeight="1">
      <c r="A59" s="886" t="s">
        <v>136</v>
      </c>
      <c r="B59" s="887" t="s">
        <v>137</v>
      </c>
      <c r="C59" s="768" t="s">
        <v>266</v>
      </c>
      <c r="D59" s="1223">
        <v>75337.389329999991</v>
      </c>
      <c r="E59" s="1224"/>
      <c r="F59" s="1224">
        <v>71608.910669999997</v>
      </c>
      <c r="G59" s="1224">
        <v>0</v>
      </c>
      <c r="H59" s="1224">
        <v>0</v>
      </c>
      <c r="I59" s="1615">
        <f t="shared" si="3"/>
        <v>146946.29999999999</v>
      </c>
      <c r="J59" s="1616">
        <f t="shared" si="2"/>
        <v>0</v>
      </c>
    </row>
    <row r="60" spans="1:10" s="505" customFormat="1" ht="15" customHeight="1">
      <c r="A60" s="886" t="s">
        <v>140</v>
      </c>
      <c r="B60" s="887" t="s">
        <v>141</v>
      </c>
      <c r="C60" s="768" t="s">
        <v>267</v>
      </c>
      <c r="D60" s="1225">
        <v>30786.387500000001</v>
      </c>
      <c r="E60" s="1226"/>
      <c r="F60" s="1226">
        <v>33077.642500000002</v>
      </c>
      <c r="G60" s="1226">
        <v>0</v>
      </c>
      <c r="H60" s="1226">
        <v>0</v>
      </c>
      <c r="I60" s="1615">
        <f t="shared" si="3"/>
        <v>63864.03</v>
      </c>
      <c r="J60" s="1616">
        <f t="shared" si="2"/>
        <v>0</v>
      </c>
    </row>
    <row r="61" spans="1:10" s="505" customFormat="1" ht="15" customHeight="1">
      <c r="A61" s="886" t="s">
        <v>146</v>
      </c>
      <c r="B61" s="887" t="s">
        <v>147</v>
      </c>
      <c r="C61" s="768" t="s">
        <v>264</v>
      </c>
      <c r="D61" s="1223">
        <v>33776.421525000005</v>
      </c>
      <c r="E61" s="1224"/>
      <c r="F61" s="1224">
        <v>32088.828475000002</v>
      </c>
      <c r="G61" s="1224">
        <v>0</v>
      </c>
      <c r="H61" s="1224">
        <v>0</v>
      </c>
      <c r="I61" s="1615">
        <f t="shared" si="3"/>
        <v>65865.25</v>
      </c>
      <c r="J61" s="1616">
        <f t="shared" si="2"/>
        <v>0</v>
      </c>
    </row>
    <row r="62" spans="1:10" s="505" customFormat="1" ht="15" customHeight="1">
      <c r="A62" s="886" t="s">
        <v>148</v>
      </c>
      <c r="B62" s="887" t="s">
        <v>149</v>
      </c>
      <c r="C62" s="768" t="s">
        <v>265</v>
      </c>
      <c r="D62" s="1225">
        <v>209087.61700300002</v>
      </c>
      <c r="E62" s="1226"/>
      <c r="F62" s="1226">
        <v>187347.29299700001</v>
      </c>
      <c r="G62" s="1226">
        <v>0</v>
      </c>
      <c r="H62" s="1226">
        <v>0</v>
      </c>
      <c r="I62" s="1615">
        <f t="shared" si="3"/>
        <v>396434.91000000003</v>
      </c>
      <c r="J62" s="1616">
        <f t="shared" si="2"/>
        <v>0</v>
      </c>
    </row>
    <row r="63" spans="1:10" s="505" customFormat="1" ht="15" customHeight="1">
      <c r="A63" s="886" t="s">
        <v>150</v>
      </c>
      <c r="B63" s="887" t="s">
        <v>151</v>
      </c>
      <c r="C63" s="768" t="s">
        <v>266</v>
      </c>
      <c r="D63" s="1225">
        <v>95788.998160000017</v>
      </c>
      <c r="E63" s="1226"/>
      <c r="F63" s="1226">
        <v>117128.60184000002</v>
      </c>
      <c r="G63" s="1226">
        <v>0</v>
      </c>
      <c r="H63" s="1226">
        <v>0</v>
      </c>
      <c r="I63" s="1615">
        <f t="shared" si="3"/>
        <v>212917.60000000003</v>
      </c>
      <c r="J63" s="1616">
        <f t="shared" si="2"/>
        <v>0</v>
      </c>
    </row>
    <row r="64" spans="1:10" s="505" customFormat="1" ht="15" customHeight="1">
      <c r="A64" s="886" t="s">
        <v>152</v>
      </c>
      <c r="B64" s="887" t="s">
        <v>153</v>
      </c>
      <c r="C64" s="768" t="s">
        <v>268</v>
      </c>
      <c r="D64" s="1225">
        <v>549295.236561</v>
      </c>
      <c r="E64" s="1226"/>
      <c r="F64" s="1226">
        <v>543361.77343900001</v>
      </c>
      <c r="G64" s="1226">
        <v>0</v>
      </c>
      <c r="H64" s="1226">
        <v>0</v>
      </c>
      <c r="I64" s="1615">
        <f t="shared" si="3"/>
        <v>1092657.01</v>
      </c>
      <c r="J64" s="1616">
        <f t="shared" si="2"/>
        <v>0</v>
      </c>
    </row>
    <row r="65" spans="1:10" s="505" customFormat="1" ht="15" customHeight="1">
      <c r="A65" s="886" t="s">
        <v>154</v>
      </c>
      <c r="B65" s="887" t="s">
        <v>155</v>
      </c>
      <c r="C65" s="768" t="s">
        <v>265</v>
      </c>
      <c r="D65" s="1223">
        <v>47605.393740000007</v>
      </c>
      <c r="E65" s="1224"/>
      <c r="F65" s="1224">
        <v>46283.006260000009</v>
      </c>
      <c r="G65" s="1224">
        <v>0</v>
      </c>
      <c r="H65" s="1224">
        <v>0</v>
      </c>
      <c r="I65" s="1615">
        <f t="shared" si="3"/>
        <v>93888.400000000023</v>
      </c>
      <c r="J65" s="1616">
        <f t="shared" si="2"/>
        <v>0</v>
      </c>
    </row>
    <row r="66" spans="1:10" s="505" customFormat="1" ht="15" customHeight="1">
      <c r="A66" s="886" t="s">
        <v>156</v>
      </c>
      <c r="B66" s="887" t="s">
        <v>157</v>
      </c>
      <c r="C66" s="768" t="s">
        <v>266</v>
      </c>
      <c r="D66" s="1223">
        <v>61052.887800000004</v>
      </c>
      <c r="E66" s="1224"/>
      <c r="F66" s="1224">
        <v>66681.112200000003</v>
      </c>
      <c r="G66" s="1224">
        <v>0</v>
      </c>
      <c r="H66" s="1224">
        <v>0</v>
      </c>
      <c r="I66" s="1615">
        <f t="shared" si="3"/>
        <v>127734</v>
      </c>
      <c r="J66" s="1616">
        <f t="shared" si="2"/>
        <v>0</v>
      </c>
    </row>
    <row r="67" spans="1:10" s="505" customFormat="1" ht="15" customHeight="1">
      <c r="A67" s="886" t="s">
        <v>162</v>
      </c>
      <c r="B67" s="887" t="s">
        <v>163</v>
      </c>
      <c r="C67" s="768" t="s">
        <v>264</v>
      </c>
      <c r="D67" s="1223">
        <v>140009.22722000003</v>
      </c>
      <c r="E67" s="1224"/>
      <c r="F67" s="1224">
        <v>131217.97278000001</v>
      </c>
      <c r="G67" s="1224">
        <v>0</v>
      </c>
      <c r="H67" s="1224">
        <v>0</v>
      </c>
      <c r="I67" s="1615">
        <f t="shared" si="3"/>
        <v>271227.20000000007</v>
      </c>
      <c r="J67" s="1616">
        <f t="shared" si="2"/>
        <v>0</v>
      </c>
    </row>
    <row r="68" spans="1:10" s="505" customFormat="1" ht="15" customHeight="1">
      <c r="A68" s="886" t="s">
        <v>164</v>
      </c>
      <c r="B68" s="887" t="s">
        <v>165</v>
      </c>
      <c r="C68" s="768" t="s">
        <v>266</v>
      </c>
      <c r="D68" s="1225">
        <v>41057.818570000003</v>
      </c>
      <c r="E68" s="1226"/>
      <c r="F68" s="1226">
        <v>35297.881430000001</v>
      </c>
      <c r="G68" s="1226">
        <v>0</v>
      </c>
      <c r="H68" s="1226">
        <v>0</v>
      </c>
      <c r="I68" s="1615">
        <f t="shared" si="3"/>
        <v>76355.700000000012</v>
      </c>
      <c r="J68" s="1616">
        <f t="shared" si="2"/>
        <v>0</v>
      </c>
    </row>
    <row r="69" spans="1:10" s="505" customFormat="1" ht="15" customHeight="1">
      <c r="A69" s="886" t="s">
        <v>168</v>
      </c>
      <c r="B69" s="887" t="s">
        <v>169</v>
      </c>
      <c r="C69" s="768" t="s">
        <v>266</v>
      </c>
      <c r="D69" s="1223">
        <v>178927.005493</v>
      </c>
      <c r="E69" s="1224"/>
      <c r="F69" s="1224">
        <v>186198.124507</v>
      </c>
      <c r="G69" s="1224">
        <v>0</v>
      </c>
      <c r="H69" s="1224">
        <v>0</v>
      </c>
      <c r="I69" s="1615">
        <f t="shared" ref="I69:I100" si="4">SUM(D69:H69)</f>
        <v>365125.13</v>
      </c>
      <c r="J69" s="1616">
        <f t="shared" ref="J69:J124" si="5">G69+H69</f>
        <v>0</v>
      </c>
    </row>
    <row r="70" spans="1:10" s="505" customFormat="1" ht="15" customHeight="1">
      <c r="A70" s="886" t="s">
        <v>170</v>
      </c>
      <c r="B70" s="887" t="s">
        <v>171</v>
      </c>
      <c r="C70" s="768" t="s">
        <v>267</v>
      </c>
      <c r="D70" s="1225">
        <v>137178.78545900001</v>
      </c>
      <c r="E70" s="1226"/>
      <c r="F70" s="1226">
        <v>143932.40454100003</v>
      </c>
      <c r="G70" s="1226">
        <v>0</v>
      </c>
      <c r="H70" s="1226">
        <v>0</v>
      </c>
      <c r="I70" s="1615">
        <f t="shared" si="4"/>
        <v>281111.19000000006</v>
      </c>
      <c r="J70" s="1616">
        <f t="shared" si="5"/>
        <v>0</v>
      </c>
    </row>
    <row r="71" spans="1:10" s="505" customFormat="1" ht="15" customHeight="1">
      <c r="A71" s="886" t="s">
        <v>172</v>
      </c>
      <c r="B71" s="887" t="s">
        <v>173</v>
      </c>
      <c r="C71" s="768" t="s">
        <v>267</v>
      </c>
      <c r="D71" s="1223">
        <v>59265.502500000002</v>
      </c>
      <c r="E71" s="1224"/>
      <c r="F71" s="1224">
        <v>76675.497499999998</v>
      </c>
      <c r="G71" s="1224">
        <v>0</v>
      </c>
      <c r="H71" s="1224">
        <v>0</v>
      </c>
      <c r="I71" s="1615">
        <f t="shared" si="4"/>
        <v>135941</v>
      </c>
      <c r="J71" s="1616">
        <f t="shared" si="5"/>
        <v>0</v>
      </c>
    </row>
    <row r="72" spans="1:10" s="505" customFormat="1" ht="15" customHeight="1">
      <c r="A72" s="886" t="s">
        <v>174</v>
      </c>
      <c r="B72" s="887" t="s">
        <v>175</v>
      </c>
      <c r="C72" s="768" t="s">
        <v>268</v>
      </c>
      <c r="D72" s="1225">
        <v>118103.28309700002</v>
      </c>
      <c r="E72" s="1226"/>
      <c r="F72" s="1226">
        <v>160443.48690300001</v>
      </c>
      <c r="G72" s="1226">
        <v>0</v>
      </c>
      <c r="H72" s="1226">
        <v>0</v>
      </c>
      <c r="I72" s="1615">
        <f t="shared" si="4"/>
        <v>278546.77</v>
      </c>
      <c r="J72" s="1616">
        <f t="shared" si="5"/>
        <v>0</v>
      </c>
    </row>
    <row r="73" spans="1:10" s="505" customFormat="1" ht="15" customHeight="1">
      <c r="A73" s="886" t="s">
        <v>178</v>
      </c>
      <c r="B73" s="887" t="s">
        <v>179</v>
      </c>
      <c r="C73" s="768" t="s">
        <v>265</v>
      </c>
      <c r="D73" s="1225">
        <v>285844.05810500006</v>
      </c>
      <c r="E73" s="1226"/>
      <c r="F73" s="1226">
        <v>259757.02189500004</v>
      </c>
      <c r="G73" s="1226">
        <v>0</v>
      </c>
      <c r="H73" s="1226">
        <v>0</v>
      </c>
      <c r="I73" s="1615">
        <f t="shared" si="4"/>
        <v>545601.08000000007</v>
      </c>
      <c r="J73" s="1616">
        <f t="shared" si="5"/>
        <v>0</v>
      </c>
    </row>
    <row r="74" spans="1:10" s="505" customFormat="1" ht="15" customHeight="1">
      <c r="A74" s="886" t="s">
        <v>182</v>
      </c>
      <c r="B74" s="887" t="s">
        <v>183</v>
      </c>
      <c r="C74" s="768" t="s">
        <v>266</v>
      </c>
      <c r="D74" s="1223">
        <v>60728.777450000009</v>
      </c>
      <c r="E74" s="1224"/>
      <c r="F74" s="1224">
        <v>66304.722550000006</v>
      </c>
      <c r="G74" s="1224">
        <v>0</v>
      </c>
      <c r="H74" s="1224">
        <v>0</v>
      </c>
      <c r="I74" s="1615">
        <f t="shared" si="4"/>
        <v>127033.50000000001</v>
      </c>
      <c r="J74" s="1616">
        <f t="shared" si="5"/>
        <v>0</v>
      </c>
    </row>
    <row r="75" spans="1:10" s="505" customFormat="1" ht="15" customHeight="1">
      <c r="A75" s="886" t="s">
        <v>184</v>
      </c>
      <c r="B75" s="887" t="s">
        <v>185</v>
      </c>
      <c r="C75" s="768" t="s">
        <v>266</v>
      </c>
      <c r="D75" s="1225">
        <v>178165.56187999999</v>
      </c>
      <c r="E75" s="1226"/>
      <c r="F75" s="1226">
        <v>175725.23811999999</v>
      </c>
      <c r="G75" s="1226">
        <v>0</v>
      </c>
      <c r="H75" s="1226">
        <v>0</v>
      </c>
      <c r="I75" s="1615">
        <f t="shared" si="4"/>
        <v>353890.8</v>
      </c>
      <c r="J75" s="1616">
        <f t="shared" si="5"/>
        <v>0</v>
      </c>
    </row>
    <row r="76" spans="1:10" s="505" customFormat="1" ht="15" customHeight="1">
      <c r="A76" s="886" t="s">
        <v>186</v>
      </c>
      <c r="B76" s="887" t="s">
        <v>187</v>
      </c>
      <c r="C76" s="768" t="s">
        <v>264</v>
      </c>
      <c r="D76" s="1225">
        <v>112259.04650000001</v>
      </c>
      <c r="E76" s="1226"/>
      <c r="F76" s="1226">
        <v>120892.50350000001</v>
      </c>
      <c r="G76" s="1226">
        <v>0</v>
      </c>
      <c r="H76" s="1226">
        <v>0</v>
      </c>
      <c r="I76" s="1615">
        <f t="shared" si="4"/>
        <v>233151.55000000002</v>
      </c>
      <c r="J76" s="1616">
        <f t="shared" si="5"/>
        <v>0</v>
      </c>
    </row>
    <row r="77" spans="1:10" s="505" customFormat="1" ht="15" customHeight="1">
      <c r="A77" s="886" t="s">
        <v>188</v>
      </c>
      <c r="B77" s="887" t="s">
        <v>189</v>
      </c>
      <c r="C77" s="768" t="s">
        <v>267</v>
      </c>
      <c r="D77" s="1225">
        <v>1922488.2774440001</v>
      </c>
      <c r="E77" s="1226"/>
      <c r="F77" s="1226">
        <v>2026952.9125560001</v>
      </c>
      <c r="G77" s="1226">
        <v>0</v>
      </c>
      <c r="H77" s="1226">
        <v>0</v>
      </c>
      <c r="I77" s="1615">
        <f t="shared" si="4"/>
        <v>3949441.1900000004</v>
      </c>
      <c r="J77" s="1616">
        <f t="shared" si="5"/>
        <v>0</v>
      </c>
    </row>
    <row r="78" spans="1:10" s="505" customFormat="1" ht="15" customHeight="1">
      <c r="A78" s="886" t="s">
        <v>190</v>
      </c>
      <c r="B78" s="887" t="s">
        <v>191</v>
      </c>
      <c r="C78" s="768" t="s">
        <v>268</v>
      </c>
      <c r="D78" s="1225">
        <v>213100.12497999999</v>
      </c>
      <c r="E78" s="1226"/>
      <c r="F78" s="1226">
        <v>191476.92502</v>
      </c>
      <c r="G78" s="1226">
        <v>0</v>
      </c>
      <c r="H78" s="1226">
        <v>0</v>
      </c>
      <c r="I78" s="1615">
        <f t="shared" si="4"/>
        <v>404577.05</v>
      </c>
      <c r="J78" s="1616">
        <f t="shared" si="5"/>
        <v>0</v>
      </c>
    </row>
    <row r="79" spans="1:10" s="505" customFormat="1" ht="15" customHeight="1">
      <c r="A79" s="886" t="s">
        <v>194</v>
      </c>
      <c r="B79" s="887" t="s">
        <v>195</v>
      </c>
      <c r="C79" s="768" t="s">
        <v>267</v>
      </c>
      <c r="D79" s="1223">
        <v>16710.1139</v>
      </c>
      <c r="E79" s="1224"/>
      <c r="F79" s="1224">
        <v>13888.886100000002</v>
      </c>
      <c r="G79" s="1224">
        <v>0</v>
      </c>
      <c r="H79" s="1224">
        <v>0</v>
      </c>
      <c r="I79" s="1615">
        <f t="shared" si="4"/>
        <v>30599</v>
      </c>
      <c r="J79" s="1616">
        <f t="shared" si="5"/>
        <v>0</v>
      </c>
    </row>
    <row r="80" spans="1:10" s="505" customFormat="1" ht="15" customHeight="1">
      <c r="A80" s="886" t="s">
        <v>198</v>
      </c>
      <c r="B80" s="887" t="s">
        <v>199</v>
      </c>
      <c r="C80" s="768" t="s">
        <v>266</v>
      </c>
      <c r="D80" s="1223">
        <v>60942.029500000004</v>
      </c>
      <c r="E80" s="1224"/>
      <c r="F80" s="1224">
        <v>50652.970500000003</v>
      </c>
      <c r="G80" s="1224">
        <v>0</v>
      </c>
      <c r="H80" s="1224">
        <v>0</v>
      </c>
      <c r="I80" s="1615">
        <f t="shared" si="4"/>
        <v>111595</v>
      </c>
      <c r="J80" s="1616">
        <f t="shared" si="5"/>
        <v>0</v>
      </c>
    </row>
    <row r="81" spans="1:10" s="505" customFormat="1" ht="15" customHeight="1">
      <c r="A81" s="886" t="s">
        <v>202</v>
      </c>
      <c r="B81" s="887" t="s">
        <v>203</v>
      </c>
      <c r="C81" s="768" t="s">
        <v>265</v>
      </c>
      <c r="D81" s="1225">
        <v>441617.87622400001</v>
      </c>
      <c r="E81" s="1226"/>
      <c r="F81" s="1226">
        <v>423394.53377600003</v>
      </c>
      <c r="G81" s="1226">
        <v>0</v>
      </c>
      <c r="H81" s="1226">
        <v>0</v>
      </c>
      <c r="I81" s="1615">
        <f t="shared" si="4"/>
        <v>865012.41</v>
      </c>
      <c r="J81" s="1616">
        <f t="shared" si="5"/>
        <v>0</v>
      </c>
    </row>
    <row r="82" spans="1:10" s="505" customFormat="1" ht="15" customHeight="1">
      <c r="A82" s="886" t="s">
        <v>204</v>
      </c>
      <c r="B82" s="887" t="s">
        <v>205</v>
      </c>
      <c r="C82" s="768" t="s">
        <v>265</v>
      </c>
      <c r="D82" s="1223">
        <v>105263.95330200001</v>
      </c>
      <c r="E82" s="1224"/>
      <c r="F82" s="1224">
        <v>97599.866698000013</v>
      </c>
      <c r="G82" s="1224">
        <v>0</v>
      </c>
      <c r="H82" s="1224">
        <v>0</v>
      </c>
      <c r="I82" s="1615">
        <f t="shared" si="4"/>
        <v>202863.82</v>
      </c>
      <c r="J82" s="1616">
        <f t="shared" si="5"/>
        <v>0</v>
      </c>
    </row>
    <row r="83" spans="1:10" s="505" customFormat="1" ht="15" customHeight="1">
      <c r="A83" s="886" t="s">
        <v>206</v>
      </c>
      <c r="B83" s="887" t="s">
        <v>207</v>
      </c>
      <c r="C83" s="768" t="s">
        <v>267</v>
      </c>
      <c r="D83" s="1225">
        <v>386669.10855000012</v>
      </c>
      <c r="E83" s="1226"/>
      <c r="F83" s="1226">
        <v>454087.94145000004</v>
      </c>
      <c r="G83" s="1226">
        <v>0</v>
      </c>
      <c r="H83" s="1226">
        <v>0</v>
      </c>
      <c r="I83" s="1615">
        <f t="shared" si="4"/>
        <v>840757.05000000016</v>
      </c>
      <c r="J83" s="1616">
        <f t="shared" si="5"/>
        <v>0</v>
      </c>
    </row>
    <row r="84" spans="1:10" s="505" customFormat="1" ht="15" customHeight="1">
      <c r="A84" s="886" t="s">
        <v>208</v>
      </c>
      <c r="B84" s="887" t="s">
        <v>209</v>
      </c>
      <c r="C84" s="768" t="s">
        <v>268</v>
      </c>
      <c r="D84" s="1225">
        <v>289773.38413000002</v>
      </c>
      <c r="E84" s="1226"/>
      <c r="F84" s="1226">
        <v>297840.91587000003</v>
      </c>
      <c r="G84" s="1226">
        <v>0</v>
      </c>
      <c r="H84" s="1226">
        <v>0</v>
      </c>
      <c r="I84" s="1615">
        <f t="shared" si="4"/>
        <v>587614.30000000005</v>
      </c>
      <c r="J84" s="1616">
        <f t="shared" si="5"/>
        <v>0</v>
      </c>
    </row>
    <row r="85" spans="1:10" s="505" customFormat="1" ht="15" customHeight="1">
      <c r="A85" s="886" t="s">
        <v>210</v>
      </c>
      <c r="B85" s="887" t="s">
        <v>211</v>
      </c>
      <c r="C85" s="768" t="s">
        <v>268</v>
      </c>
      <c r="D85" s="1225">
        <v>210939.37111000001</v>
      </c>
      <c r="E85" s="1226"/>
      <c r="F85" s="1226">
        <v>225554.72889</v>
      </c>
      <c r="G85" s="1226">
        <v>0</v>
      </c>
      <c r="H85" s="1226">
        <v>0</v>
      </c>
      <c r="I85" s="1615">
        <f t="shared" si="4"/>
        <v>436494.1</v>
      </c>
      <c r="J85" s="1616">
        <f t="shared" si="5"/>
        <v>0</v>
      </c>
    </row>
    <row r="86" spans="1:10" s="505" customFormat="1" ht="15" customHeight="1">
      <c r="A86" s="886" t="s">
        <v>212</v>
      </c>
      <c r="B86" s="887" t="s">
        <v>213</v>
      </c>
      <c r="C86" s="768" t="s">
        <v>267</v>
      </c>
      <c r="D86" s="1223">
        <v>108891.24780000001</v>
      </c>
      <c r="E86" s="1224"/>
      <c r="F86" s="1224">
        <v>142664.75219999999</v>
      </c>
      <c r="G86" s="1224">
        <v>0</v>
      </c>
      <c r="H86" s="1224">
        <v>0</v>
      </c>
      <c r="I86" s="1615">
        <f t="shared" si="4"/>
        <v>251556</v>
      </c>
      <c r="J86" s="1616">
        <f t="shared" si="5"/>
        <v>0</v>
      </c>
    </row>
    <row r="87" spans="1:10" s="505" customFormat="1" ht="15" customHeight="1">
      <c r="A87" s="886" t="s">
        <v>214</v>
      </c>
      <c r="B87" s="887" t="s">
        <v>215</v>
      </c>
      <c r="C87" s="768" t="s">
        <v>268</v>
      </c>
      <c r="D87" s="1225">
        <v>262019.27148999996</v>
      </c>
      <c r="E87" s="1226"/>
      <c r="F87" s="1226">
        <v>276858.47850999999</v>
      </c>
      <c r="G87" s="1226">
        <v>0</v>
      </c>
      <c r="H87" s="1226">
        <v>0</v>
      </c>
      <c r="I87" s="1615">
        <f t="shared" si="4"/>
        <v>538877.75</v>
      </c>
      <c r="J87" s="1616">
        <f t="shared" si="5"/>
        <v>0</v>
      </c>
    </row>
    <row r="88" spans="1:10" s="505" customFormat="1" ht="15" customHeight="1">
      <c r="A88" s="886" t="s">
        <v>216</v>
      </c>
      <c r="B88" s="887" t="s">
        <v>217</v>
      </c>
      <c r="C88" s="768" t="s">
        <v>264</v>
      </c>
      <c r="D88" s="1225">
        <v>107160.22002000001</v>
      </c>
      <c r="E88" s="1226"/>
      <c r="F88" s="1226">
        <v>101713.97998</v>
      </c>
      <c r="G88" s="1226">
        <v>0</v>
      </c>
      <c r="H88" s="1226">
        <v>0</v>
      </c>
      <c r="I88" s="1615">
        <f t="shared" si="4"/>
        <v>208874.2</v>
      </c>
      <c r="J88" s="1616">
        <f t="shared" si="5"/>
        <v>0</v>
      </c>
    </row>
    <row r="89" spans="1:10" s="505" customFormat="1" ht="15" customHeight="1">
      <c r="A89" s="886" t="s">
        <v>218</v>
      </c>
      <c r="B89" s="887" t="s">
        <v>219</v>
      </c>
      <c r="C89" s="768" t="s">
        <v>267</v>
      </c>
      <c r="D89" s="1225">
        <v>564481.80791500001</v>
      </c>
      <c r="E89" s="1226"/>
      <c r="F89" s="1226">
        <v>585494.34208500001</v>
      </c>
      <c r="G89" s="1226">
        <v>0</v>
      </c>
      <c r="H89" s="1226">
        <v>0</v>
      </c>
      <c r="I89" s="1615">
        <f t="shared" si="4"/>
        <v>1149976.1499999999</v>
      </c>
      <c r="J89" s="1616">
        <f t="shared" si="5"/>
        <v>0</v>
      </c>
    </row>
    <row r="90" spans="1:10" s="505" customFormat="1" ht="15" customHeight="1">
      <c r="A90" s="886" t="s">
        <v>220</v>
      </c>
      <c r="B90" s="887" t="s">
        <v>221</v>
      </c>
      <c r="C90" s="768" t="s">
        <v>267</v>
      </c>
      <c r="D90" s="1225">
        <v>402507.42294900009</v>
      </c>
      <c r="E90" s="1226"/>
      <c r="F90" s="1226">
        <v>422527.66705100005</v>
      </c>
      <c r="G90" s="1226">
        <v>0</v>
      </c>
      <c r="H90" s="1226">
        <v>0</v>
      </c>
      <c r="I90" s="1615">
        <f t="shared" si="4"/>
        <v>825035.09000000008</v>
      </c>
      <c r="J90" s="1616">
        <f t="shared" si="5"/>
        <v>0</v>
      </c>
    </row>
    <row r="91" spans="1:10" s="505" customFormat="1" ht="15" customHeight="1">
      <c r="A91" s="886" t="s">
        <v>224</v>
      </c>
      <c r="B91" s="887" t="s">
        <v>225</v>
      </c>
      <c r="C91" s="768" t="s">
        <v>264</v>
      </c>
      <c r="D91" s="1223">
        <v>57475.457693000011</v>
      </c>
      <c r="E91" s="1224"/>
      <c r="F91" s="1224">
        <v>56373.672307000008</v>
      </c>
      <c r="G91" s="1224">
        <v>0</v>
      </c>
      <c r="H91" s="1224">
        <v>0</v>
      </c>
      <c r="I91" s="1615">
        <f t="shared" si="4"/>
        <v>113849.13000000002</v>
      </c>
      <c r="J91" s="1616">
        <f t="shared" si="5"/>
        <v>0</v>
      </c>
    </row>
    <row r="92" spans="1:10" s="505" customFormat="1" ht="15" customHeight="1">
      <c r="A92" s="886" t="s">
        <v>226</v>
      </c>
      <c r="B92" s="887" t="s">
        <v>227</v>
      </c>
      <c r="C92" s="768" t="s">
        <v>264</v>
      </c>
      <c r="D92" s="1225">
        <v>104182.48962800001</v>
      </c>
      <c r="E92" s="1226"/>
      <c r="F92" s="1226">
        <v>87900.990372000015</v>
      </c>
      <c r="G92" s="1226">
        <v>0</v>
      </c>
      <c r="H92" s="1226">
        <v>0</v>
      </c>
      <c r="I92" s="1615">
        <f t="shared" si="4"/>
        <v>192083.48000000004</v>
      </c>
      <c r="J92" s="1616">
        <f t="shared" si="5"/>
        <v>0</v>
      </c>
    </row>
    <row r="93" spans="1:10" s="505" customFormat="1" ht="15" customHeight="1">
      <c r="A93" s="886" t="s">
        <v>228</v>
      </c>
      <c r="B93" s="887" t="s">
        <v>229</v>
      </c>
      <c r="C93" s="768" t="s">
        <v>268</v>
      </c>
      <c r="D93" s="1225">
        <v>335573.66616400005</v>
      </c>
      <c r="E93" s="1226"/>
      <c r="F93" s="1226">
        <v>349263.57383600005</v>
      </c>
      <c r="G93" s="1226">
        <v>0</v>
      </c>
      <c r="H93" s="1226">
        <v>0</v>
      </c>
      <c r="I93" s="1615">
        <f t="shared" si="4"/>
        <v>684837.24000000011</v>
      </c>
      <c r="J93" s="1616">
        <f t="shared" si="5"/>
        <v>0</v>
      </c>
    </row>
    <row r="94" spans="1:10" s="505" customFormat="1" ht="15" customHeight="1">
      <c r="A94" s="886" t="s">
        <v>232</v>
      </c>
      <c r="B94" s="887" t="s">
        <v>233</v>
      </c>
      <c r="C94" s="768" t="s">
        <v>267</v>
      </c>
      <c r="D94" s="1225">
        <v>207337.33373700004</v>
      </c>
      <c r="E94" s="1226"/>
      <c r="F94" s="1226">
        <v>205509.78626300005</v>
      </c>
      <c r="G94" s="1226">
        <v>0</v>
      </c>
      <c r="H94" s="1226">
        <v>0</v>
      </c>
      <c r="I94" s="1615">
        <f t="shared" si="4"/>
        <v>412847.12000000011</v>
      </c>
      <c r="J94" s="1616">
        <f t="shared" si="5"/>
        <v>0</v>
      </c>
    </row>
    <row r="95" spans="1:10" s="505" customFormat="1" ht="15" customHeight="1">
      <c r="A95" s="886" t="s">
        <v>234</v>
      </c>
      <c r="B95" s="887" t="s">
        <v>235</v>
      </c>
      <c r="C95" s="768" t="s">
        <v>268</v>
      </c>
      <c r="D95" s="1225">
        <v>258602.56953500008</v>
      </c>
      <c r="E95" s="1226"/>
      <c r="F95" s="1226">
        <v>246011.18046500004</v>
      </c>
      <c r="G95" s="1226">
        <v>0</v>
      </c>
      <c r="H95" s="1226">
        <v>0</v>
      </c>
      <c r="I95" s="1615">
        <f t="shared" si="4"/>
        <v>504613.75000000012</v>
      </c>
      <c r="J95" s="1616">
        <f t="shared" si="5"/>
        <v>0</v>
      </c>
    </row>
    <row r="96" spans="1:10" s="505" customFormat="1" ht="15" customHeight="1">
      <c r="A96" s="886" t="s">
        <v>236</v>
      </c>
      <c r="B96" s="887" t="s">
        <v>237</v>
      </c>
      <c r="C96" s="768" t="s">
        <v>266</v>
      </c>
      <c r="D96" s="1225">
        <v>102834.50184900001</v>
      </c>
      <c r="E96" s="1226"/>
      <c r="F96" s="1226">
        <v>100456.588151</v>
      </c>
      <c r="G96" s="1226">
        <v>0</v>
      </c>
      <c r="H96" s="1226">
        <v>0</v>
      </c>
      <c r="I96" s="1615">
        <f t="shared" si="4"/>
        <v>203291.09000000003</v>
      </c>
      <c r="J96" s="1616">
        <f t="shared" si="5"/>
        <v>0</v>
      </c>
    </row>
    <row r="97" spans="1:10" s="505" customFormat="1" ht="15" customHeight="1">
      <c r="A97" s="886" t="s">
        <v>242</v>
      </c>
      <c r="B97" s="887" t="s">
        <v>243</v>
      </c>
      <c r="C97" s="768" t="s">
        <v>268</v>
      </c>
      <c r="D97" s="1225">
        <v>464052.21578500001</v>
      </c>
      <c r="E97" s="1226"/>
      <c r="F97" s="1226">
        <v>462807.63421500003</v>
      </c>
      <c r="G97" s="1226">
        <v>0</v>
      </c>
      <c r="H97" s="1226">
        <v>0</v>
      </c>
      <c r="I97" s="1615">
        <f t="shared" si="4"/>
        <v>926859.85000000009</v>
      </c>
      <c r="J97" s="1616">
        <f t="shared" si="5"/>
        <v>0</v>
      </c>
    </row>
    <row r="98" spans="1:10" s="505" customFormat="1" ht="15" customHeight="1">
      <c r="A98" s="886" t="s">
        <v>244</v>
      </c>
      <c r="B98" s="887" t="s">
        <v>245</v>
      </c>
      <c r="C98" s="768" t="s">
        <v>268</v>
      </c>
      <c r="D98" s="1225">
        <v>133767.90493000002</v>
      </c>
      <c r="E98" s="1226"/>
      <c r="F98" s="1226">
        <v>134446.39507000003</v>
      </c>
      <c r="G98" s="1226">
        <v>0</v>
      </c>
      <c r="H98" s="1226">
        <v>0</v>
      </c>
      <c r="I98" s="1615">
        <f t="shared" si="4"/>
        <v>268214.30000000005</v>
      </c>
      <c r="J98" s="1616">
        <f t="shared" si="5"/>
        <v>0</v>
      </c>
    </row>
    <row r="99" spans="1:10" s="505" customFormat="1" ht="15" customHeight="1">
      <c r="A99" s="886" t="s">
        <v>246</v>
      </c>
      <c r="B99" s="887" t="s">
        <v>310</v>
      </c>
      <c r="C99" s="768" t="s">
        <v>264</v>
      </c>
      <c r="D99" s="1225">
        <v>242886.77813200001</v>
      </c>
      <c r="E99" s="1226"/>
      <c r="F99" s="1226">
        <v>262638.31186800002</v>
      </c>
      <c r="G99" s="1226">
        <v>0</v>
      </c>
      <c r="H99" s="1226">
        <v>0</v>
      </c>
      <c r="I99" s="1615">
        <f t="shared" si="4"/>
        <v>505525.09</v>
      </c>
      <c r="J99" s="1616">
        <f t="shared" si="5"/>
        <v>0</v>
      </c>
    </row>
    <row r="100" spans="1:10" s="505" customFormat="1" ht="15" customHeight="1">
      <c r="A100" s="886" t="s">
        <v>14</v>
      </c>
      <c r="B100" s="887" t="s">
        <v>15</v>
      </c>
      <c r="C100" s="768" t="s">
        <v>267</v>
      </c>
      <c r="D100" s="1225">
        <v>748162.37362400012</v>
      </c>
      <c r="E100" s="1226"/>
      <c r="F100" s="1226">
        <v>830829.46637600008</v>
      </c>
      <c r="G100" s="1226">
        <v>0</v>
      </c>
      <c r="H100" s="1226">
        <v>0</v>
      </c>
      <c r="I100" s="1615">
        <f t="shared" si="4"/>
        <v>1578991.8400000003</v>
      </c>
      <c r="J100" s="1616">
        <f t="shared" si="5"/>
        <v>0</v>
      </c>
    </row>
    <row r="101" spans="1:10" s="505" customFormat="1" ht="15" customHeight="1">
      <c r="A101" s="886" t="s">
        <v>34</v>
      </c>
      <c r="B101" s="887" t="s">
        <v>35</v>
      </c>
      <c r="C101" s="768" t="s">
        <v>268</v>
      </c>
      <c r="D101" s="1223">
        <v>321028.95890600007</v>
      </c>
      <c r="E101" s="1224"/>
      <c r="F101" s="1224">
        <v>369289.72109400004</v>
      </c>
      <c r="G101" s="1224">
        <v>0</v>
      </c>
      <c r="H101" s="1224">
        <v>0</v>
      </c>
      <c r="I101" s="1615">
        <f t="shared" ref="I101:I124" si="6">SUM(D101:H101)</f>
        <v>690318.68000000017</v>
      </c>
      <c r="J101" s="1616">
        <f t="shared" si="5"/>
        <v>0</v>
      </c>
    </row>
    <row r="102" spans="1:10" s="505" customFormat="1" ht="15" customHeight="1">
      <c r="A102" s="886" t="s">
        <v>52</v>
      </c>
      <c r="B102" s="887" t="s">
        <v>53</v>
      </c>
      <c r="C102" s="768" t="s">
        <v>265</v>
      </c>
      <c r="D102" s="1225">
        <v>528903.85163900012</v>
      </c>
      <c r="E102" s="1226"/>
      <c r="F102" s="1226">
        <v>573834.11836099997</v>
      </c>
      <c r="G102" s="1226">
        <v>0</v>
      </c>
      <c r="H102" s="1226">
        <v>0</v>
      </c>
      <c r="I102" s="1615">
        <f t="shared" si="6"/>
        <v>1102737.9700000002</v>
      </c>
      <c r="J102" s="1616">
        <f t="shared" si="5"/>
        <v>0</v>
      </c>
    </row>
    <row r="103" spans="1:10" s="505" customFormat="1" ht="15" customHeight="1">
      <c r="A103" s="886" t="s">
        <v>54</v>
      </c>
      <c r="B103" s="887" t="s">
        <v>55</v>
      </c>
      <c r="C103" s="768" t="s">
        <v>264</v>
      </c>
      <c r="D103" s="1225">
        <v>1499290.73649</v>
      </c>
      <c r="E103" s="1226"/>
      <c r="F103" s="1226">
        <v>1327881.2035100001</v>
      </c>
      <c r="G103" s="1226">
        <v>0</v>
      </c>
      <c r="H103" s="1226">
        <v>0</v>
      </c>
      <c r="I103" s="1615">
        <f t="shared" si="6"/>
        <v>2827171.9400000004</v>
      </c>
      <c r="J103" s="1616">
        <f t="shared" si="5"/>
        <v>0</v>
      </c>
    </row>
    <row r="104" spans="1:10" s="505" customFormat="1" ht="15" customHeight="1">
      <c r="A104" s="886" t="s">
        <v>66</v>
      </c>
      <c r="B104" s="887" t="s">
        <v>67</v>
      </c>
      <c r="C104" s="768" t="s">
        <v>265</v>
      </c>
      <c r="D104" s="1225">
        <v>575170.08803700004</v>
      </c>
      <c r="E104" s="1226"/>
      <c r="F104" s="1226">
        <v>512724.29196300003</v>
      </c>
      <c r="G104" s="1226">
        <v>0</v>
      </c>
      <c r="H104" s="1226">
        <v>0</v>
      </c>
      <c r="I104" s="1615">
        <f t="shared" si="6"/>
        <v>1087894.3800000001</v>
      </c>
      <c r="J104" s="1616">
        <f t="shared" si="5"/>
        <v>0</v>
      </c>
    </row>
    <row r="105" spans="1:10" s="505" customFormat="1" ht="15" customHeight="1">
      <c r="A105" s="886" t="s">
        <v>82</v>
      </c>
      <c r="B105" s="887" t="s">
        <v>311</v>
      </c>
      <c r="C105" s="768" t="s">
        <v>264</v>
      </c>
      <c r="D105" s="1223">
        <v>140821.68749500002</v>
      </c>
      <c r="E105" s="1224"/>
      <c r="F105" s="1224">
        <v>130140.19250500001</v>
      </c>
      <c r="G105" s="1224">
        <v>0</v>
      </c>
      <c r="H105" s="1224">
        <v>0</v>
      </c>
      <c r="I105" s="1615">
        <f t="shared" si="6"/>
        <v>270961.88</v>
      </c>
      <c r="J105" s="1616">
        <f t="shared" si="5"/>
        <v>0</v>
      </c>
    </row>
    <row r="106" spans="1:10" s="505" customFormat="1" ht="15" customHeight="1">
      <c r="A106" s="886" t="s">
        <v>88</v>
      </c>
      <c r="B106" s="887" t="s">
        <v>89</v>
      </c>
      <c r="C106" s="768" t="s">
        <v>267</v>
      </c>
      <c r="D106" s="1225">
        <v>326840.66432599997</v>
      </c>
      <c r="E106" s="1226"/>
      <c r="F106" s="1226">
        <v>350787.69567399996</v>
      </c>
      <c r="G106" s="1226">
        <v>0</v>
      </c>
      <c r="H106" s="1226">
        <v>0</v>
      </c>
      <c r="I106" s="1615">
        <f t="shared" si="6"/>
        <v>677628.35999999987</v>
      </c>
      <c r="J106" s="1616">
        <f t="shared" si="5"/>
        <v>0</v>
      </c>
    </row>
    <row r="107" spans="1:10" s="505" customFormat="1" ht="15" customHeight="1">
      <c r="A107" s="886" t="s">
        <v>90</v>
      </c>
      <c r="B107" s="887" t="s">
        <v>91</v>
      </c>
      <c r="C107" s="768" t="s">
        <v>268</v>
      </c>
      <c r="D107" s="1225">
        <v>74550.459229999993</v>
      </c>
      <c r="E107" s="1226"/>
      <c r="F107" s="1226">
        <v>67205.840769999995</v>
      </c>
      <c r="G107" s="1226">
        <v>0</v>
      </c>
      <c r="H107" s="1226">
        <v>0</v>
      </c>
      <c r="I107" s="1615">
        <f t="shared" si="6"/>
        <v>141756.29999999999</v>
      </c>
      <c r="J107" s="1616">
        <f t="shared" si="5"/>
        <v>0</v>
      </c>
    </row>
    <row r="108" spans="1:10" s="505" customFormat="1" ht="15" customHeight="1">
      <c r="A108" s="886" t="s">
        <v>106</v>
      </c>
      <c r="B108" s="887" t="s">
        <v>107</v>
      </c>
      <c r="C108" s="768" t="s">
        <v>264</v>
      </c>
      <c r="D108" s="1225">
        <v>2428222.3784959996</v>
      </c>
      <c r="E108" s="1226"/>
      <c r="F108" s="1226">
        <v>2237044.701504</v>
      </c>
      <c r="G108" s="1226">
        <v>0</v>
      </c>
      <c r="H108" s="1226">
        <v>0</v>
      </c>
      <c r="I108" s="1615">
        <f t="shared" si="6"/>
        <v>4665267.08</v>
      </c>
      <c r="J108" s="1616">
        <f t="shared" si="5"/>
        <v>0</v>
      </c>
    </row>
    <row r="109" spans="1:10" s="505" customFormat="1" ht="15" customHeight="1">
      <c r="A109" s="886" t="s">
        <v>116</v>
      </c>
      <c r="B109" s="887" t="s">
        <v>117</v>
      </c>
      <c r="C109" s="768" t="s">
        <v>266</v>
      </c>
      <c r="D109" s="1223">
        <v>497333.76149000012</v>
      </c>
      <c r="E109" s="1224"/>
      <c r="F109" s="1224">
        <v>504844.52851000009</v>
      </c>
      <c r="G109" s="1224">
        <v>0</v>
      </c>
      <c r="H109" s="1224">
        <v>0</v>
      </c>
      <c r="I109" s="1615">
        <f t="shared" si="6"/>
        <v>1002178.2900000003</v>
      </c>
      <c r="J109" s="1616">
        <f t="shared" si="5"/>
        <v>0</v>
      </c>
    </row>
    <row r="110" spans="1:10" s="505" customFormat="1" ht="15" customHeight="1">
      <c r="A110" s="886" t="s">
        <v>138</v>
      </c>
      <c r="B110" s="887" t="s">
        <v>139</v>
      </c>
      <c r="C110" s="768" t="s">
        <v>265</v>
      </c>
      <c r="D110" s="1225">
        <v>812081.652948</v>
      </c>
      <c r="E110" s="1226"/>
      <c r="F110" s="1226">
        <v>753989.11705200002</v>
      </c>
      <c r="G110" s="1226">
        <v>0</v>
      </c>
      <c r="H110" s="1226">
        <v>0</v>
      </c>
      <c r="I110" s="1615">
        <f t="shared" si="6"/>
        <v>1566070.77</v>
      </c>
      <c r="J110" s="1616">
        <f t="shared" si="5"/>
        <v>0</v>
      </c>
    </row>
    <row r="111" spans="1:10" s="505" customFormat="1" ht="15" customHeight="1">
      <c r="A111" s="886" t="s">
        <v>142</v>
      </c>
      <c r="B111" s="887" t="s">
        <v>143</v>
      </c>
      <c r="C111" s="768" t="s">
        <v>267</v>
      </c>
      <c r="D111" s="1223">
        <v>289148.29076500004</v>
      </c>
      <c r="E111" s="1224"/>
      <c r="F111" s="1224">
        <v>290735.35923499998</v>
      </c>
      <c r="G111" s="1224">
        <v>0</v>
      </c>
      <c r="H111" s="1224">
        <v>0</v>
      </c>
      <c r="I111" s="1615">
        <f t="shared" si="6"/>
        <v>579883.65</v>
      </c>
      <c r="J111" s="1616">
        <f t="shared" si="5"/>
        <v>0</v>
      </c>
    </row>
    <row r="112" spans="1:10" s="505" customFormat="1" ht="15" customHeight="1">
      <c r="A112" s="886" t="s">
        <v>144</v>
      </c>
      <c r="B112" s="887" t="s">
        <v>145</v>
      </c>
      <c r="C112" s="768" t="s">
        <v>267</v>
      </c>
      <c r="D112" s="1225">
        <v>67652.06942</v>
      </c>
      <c r="E112" s="1226"/>
      <c r="F112" s="1226">
        <v>69522.130579999997</v>
      </c>
      <c r="G112" s="1226">
        <v>0</v>
      </c>
      <c r="H112" s="1226">
        <v>0</v>
      </c>
      <c r="I112" s="1615">
        <f t="shared" si="6"/>
        <v>137174.20000000001</v>
      </c>
      <c r="J112" s="1616">
        <f t="shared" si="5"/>
        <v>0</v>
      </c>
    </row>
    <row r="113" spans="1:10" s="505" customFormat="1" ht="15" customHeight="1">
      <c r="A113" s="886" t="s">
        <v>158</v>
      </c>
      <c r="B113" s="887" t="s">
        <v>159</v>
      </c>
      <c r="C113" s="768" t="s">
        <v>264</v>
      </c>
      <c r="D113" s="1225">
        <v>2439939.8878270001</v>
      </c>
      <c r="E113" s="1226"/>
      <c r="F113" s="1226">
        <v>2347677.4821730005</v>
      </c>
      <c r="G113" s="1226">
        <v>0</v>
      </c>
      <c r="H113" s="1226">
        <v>0</v>
      </c>
      <c r="I113" s="1615">
        <f t="shared" si="6"/>
        <v>4787617.370000001</v>
      </c>
      <c r="J113" s="1616">
        <f t="shared" si="5"/>
        <v>0</v>
      </c>
    </row>
    <row r="114" spans="1:10" s="505" customFormat="1" ht="15" customHeight="1">
      <c r="A114" s="886" t="s">
        <v>160</v>
      </c>
      <c r="B114" s="887" t="s">
        <v>161</v>
      </c>
      <c r="C114" s="768" t="s">
        <v>264</v>
      </c>
      <c r="D114" s="1225">
        <v>3134042.6046480001</v>
      </c>
      <c r="E114" s="1226"/>
      <c r="F114" s="1226">
        <v>2838719.3953519999</v>
      </c>
      <c r="G114" s="1226">
        <v>0</v>
      </c>
      <c r="H114" s="1226">
        <v>0</v>
      </c>
      <c r="I114" s="1615">
        <f t="shared" si="6"/>
        <v>5972762</v>
      </c>
      <c r="J114" s="1616">
        <f t="shared" si="5"/>
        <v>0</v>
      </c>
    </row>
    <row r="115" spans="1:10" s="505" customFormat="1" ht="15" customHeight="1">
      <c r="A115" s="886" t="s">
        <v>166</v>
      </c>
      <c r="B115" s="887" t="s">
        <v>167</v>
      </c>
      <c r="C115" s="768" t="s">
        <v>268</v>
      </c>
      <c r="D115" s="1225">
        <v>79778.656800000012</v>
      </c>
      <c r="E115" s="1226"/>
      <c r="F115" s="1226">
        <v>75138.343200000003</v>
      </c>
      <c r="G115" s="1226">
        <v>0</v>
      </c>
      <c r="H115" s="1226">
        <v>0</v>
      </c>
      <c r="I115" s="1615">
        <f t="shared" si="6"/>
        <v>154917</v>
      </c>
      <c r="J115" s="1616">
        <f t="shared" si="5"/>
        <v>0</v>
      </c>
    </row>
    <row r="116" spans="1:10" s="505" customFormat="1" ht="15" customHeight="1">
      <c r="A116" s="886" t="s">
        <v>176</v>
      </c>
      <c r="B116" s="887" t="s">
        <v>177</v>
      </c>
      <c r="C116" s="768" t="s">
        <v>266</v>
      </c>
      <c r="D116" s="1225">
        <v>774254.19609100011</v>
      </c>
      <c r="E116" s="1226"/>
      <c r="F116" s="1226">
        <v>690279.11390900007</v>
      </c>
      <c r="G116" s="1226">
        <v>0</v>
      </c>
      <c r="H116" s="1226">
        <v>0</v>
      </c>
      <c r="I116" s="1615">
        <f t="shared" si="6"/>
        <v>1464533.31</v>
      </c>
      <c r="J116" s="1616">
        <f t="shared" si="5"/>
        <v>0</v>
      </c>
    </row>
    <row r="117" spans="1:10" s="505" customFormat="1" ht="15" customHeight="1">
      <c r="A117" s="886" t="s">
        <v>180</v>
      </c>
      <c r="B117" s="887" t="s">
        <v>181</v>
      </c>
      <c r="C117" s="768" t="s">
        <v>264</v>
      </c>
      <c r="D117" s="1223">
        <v>1654337.2913949999</v>
      </c>
      <c r="E117" s="1224"/>
      <c r="F117" s="1224">
        <v>1509286.128605</v>
      </c>
      <c r="G117" s="1224">
        <v>0</v>
      </c>
      <c r="H117" s="1224">
        <v>0</v>
      </c>
      <c r="I117" s="1615">
        <f t="shared" si="6"/>
        <v>3163623.42</v>
      </c>
      <c r="J117" s="1616">
        <f t="shared" si="5"/>
        <v>0</v>
      </c>
    </row>
    <row r="118" spans="1:10" s="505" customFormat="1" ht="15" customHeight="1">
      <c r="A118" s="886" t="s">
        <v>192</v>
      </c>
      <c r="B118" s="887" t="s">
        <v>193</v>
      </c>
      <c r="C118" s="768" t="s">
        <v>268</v>
      </c>
      <c r="D118" s="1223">
        <v>118248.6713</v>
      </c>
      <c r="E118" s="1224"/>
      <c r="F118" s="1224">
        <v>128344.32870000001</v>
      </c>
      <c r="G118" s="1224">
        <v>0</v>
      </c>
      <c r="H118" s="1224">
        <v>0</v>
      </c>
      <c r="I118" s="1615">
        <f t="shared" si="6"/>
        <v>246593</v>
      </c>
      <c r="J118" s="1616">
        <f t="shared" si="5"/>
        <v>0</v>
      </c>
    </row>
    <row r="119" spans="1:10" s="505" customFormat="1" ht="15" customHeight="1">
      <c r="A119" s="886" t="s">
        <v>196</v>
      </c>
      <c r="B119" s="887" t="s">
        <v>312</v>
      </c>
      <c r="C119" s="768" t="s">
        <v>266</v>
      </c>
      <c r="D119" s="1225">
        <v>3775337.5388449999</v>
      </c>
      <c r="E119" s="1226"/>
      <c r="F119" s="1226">
        <v>3416778.591155</v>
      </c>
      <c r="G119" s="1226">
        <v>0</v>
      </c>
      <c r="H119" s="1226">
        <v>0</v>
      </c>
      <c r="I119" s="1615">
        <f t="shared" si="6"/>
        <v>7192116.1299999999</v>
      </c>
      <c r="J119" s="1616">
        <f t="shared" si="5"/>
        <v>0</v>
      </c>
    </row>
    <row r="120" spans="1:10" s="505" customFormat="1" ht="15" customHeight="1">
      <c r="A120" s="886" t="s">
        <v>200</v>
      </c>
      <c r="B120" s="887" t="s">
        <v>313</v>
      </c>
      <c r="C120" s="768" t="s">
        <v>265</v>
      </c>
      <c r="D120" s="1225">
        <v>1563645.4650320001</v>
      </c>
      <c r="E120" s="1226"/>
      <c r="F120" s="1226">
        <v>1612913.914968</v>
      </c>
      <c r="G120" s="1226">
        <v>0</v>
      </c>
      <c r="H120" s="1226">
        <v>0</v>
      </c>
      <c r="I120" s="1615">
        <f t="shared" si="6"/>
        <v>3176559.38</v>
      </c>
      <c r="J120" s="1616">
        <f t="shared" si="5"/>
        <v>0</v>
      </c>
    </row>
    <row r="121" spans="1:10" s="505" customFormat="1" ht="15" customHeight="1">
      <c r="A121" s="886" t="s">
        <v>222</v>
      </c>
      <c r="B121" s="887" t="s">
        <v>223</v>
      </c>
      <c r="C121" s="768" t="s">
        <v>264</v>
      </c>
      <c r="D121" s="1225">
        <v>596351.75065200008</v>
      </c>
      <c r="E121" s="1226"/>
      <c r="F121" s="1226">
        <v>522417.56934800005</v>
      </c>
      <c r="G121" s="1226">
        <v>0</v>
      </c>
      <c r="H121" s="1226">
        <v>0</v>
      </c>
      <c r="I121" s="1615">
        <f t="shared" si="6"/>
        <v>1118769.32</v>
      </c>
      <c r="J121" s="1616">
        <f t="shared" si="5"/>
        <v>0</v>
      </c>
    </row>
    <row r="122" spans="1:10" s="505" customFormat="1" ht="15" customHeight="1">
      <c r="A122" s="886" t="s">
        <v>230</v>
      </c>
      <c r="B122" s="887" t="s">
        <v>231</v>
      </c>
      <c r="C122" s="768" t="s">
        <v>264</v>
      </c>
      <c r="D122" s="1225">
        <v>1354644.3393470002</v>
      </c>
      <c r="E122" s="1226"/>
      <c r="F122" s="1226">
        <v>1275098.9606530003</v>
      </c>
      <c r="G122" s="1226">
        <v>0</v>
      </c>
      <c r="H122" s="1226">
        <v>0</v>
      </c>
      <c r="I122" s="1615">
        <f t="shared" si="6"/>
        <v>2629743.3000000007</v>
      </c>
      <c r="J122" s="1616">
        <f t="shared" si="5"/>
        <v>0</v>
      </c>
    </row>
    <row r="123" spans="1:10" s="505" customFormat="1" ht="15" customHeight="1">
      <c r="A123" s="886" t="s">
        <v>238</v>
      </c>
      <c r="B123" s="887" t="s">
        <v>239</v>
      </c>
      <c r="C123" s="768" t="s">
        <v>264</v>
      </c>
      <c r="D123" s="1223">
        <v>47296.628800000006</v>
      </c>
      <c r="E123" s="1224"/>
      <c r="F123" s="1224">
        <v>49018.371200000001</v>
      </c>
      <c r="G123" s="1224">
        <v>0</v>
      </c>
      <c r="H123" s="1224">
        <v>0</v>
      </c>
      <c r="I123" s="1615">
        <f t="shared" si="6"/>
        <v>96315</v>
      </c>
      <c r="J123" s="1616">
        <f t="shared" si="5"/>
        <v>0</v>
      </c>
    </row>
    <row r="124" spans="1:10" s="505" customFormat="1" ht="15" customHeight="1">
      <c r="A124" s="886" t="s">
        <v>240</v>
      </c>
      <c r="B124" s="887" t="s">
        <v>241</v>
      </c>
      <c r="C124" s="771" t="s">
        <v>267</v>
      </c>
      <c r="D124" s="1227">
        <v>146120.05891500003</v>
      </c>
      <c r="E124" s="1228"/>
      <c r="F124" s="1228">
        <v>148882</v>
      </c>
      <c r="G124" s="1228">
        <v>0</v>
      </c>
      <c r="H124" s="1228">
        <v>0</v>
      </c>
      <c r="I124" s="1615">
        <f t="shared" si="6"/>
        <v>295002.05891500006</v>
      </c>
      <c r="J124" s="1616">
        <f t="shared" si="5"/>
        <v>0</v>
      </c>
    </row>
    <row r="125" spans="1:10">
      <c r="D125" s="888"/>
      <c r="E125" s="888"/>
      <c r="F125" s="888"/>
      <c r="G125" s="888"/>
      <c r="H125" s="888"/>
      <c r="I125" s="888"/>
    </row>
    <row r="127" spans="1:10" s="403" customFormat="1">
      <c r="A127" s="403" t="s">
        <v>823</v>
      </c>
      <c r="B127" s="742"/>
      <c r="C127" s="742"/>
    </row>
    <row r="128" spans="1:10" s="403" customFormat="1"/>
    <row r="129" spans="1:3" s="428" customFormat="1">
      <c r="A129" s="428" t="s">
        <v>248</v>
      </c>
    </row>
    <row r="130" spans="1:3">
      <c r="A130" s="429" t="s">
        <v>249</v>
      </c>
      <c r="B130" s="430" t="s">
        <v>250</v>
      </c>
      <c r="C130" s="430"/>
    </row>
  </sheetData>
  <autoFilter ref="A3:C3"/>
  <hyperlinks>
    <hyperlink ref="B130" r:id="rId1"/>
  </hyperlinks>
  <pageMargins left="0.7" right="0.7" top="0.75" bottom="0.75" header="0.3" footer="0.3"/>
</worksheet>
</file>

<file path=xl/worksheets/sheet51.xml><?xml version="1.0" encoding="utf-8"?>
<worksheet xmlns="http://schemas.openxmlformats.org/spreadsheetml/2006/main" xmlns:r="http://schemas.openxmlformats.org/officeDocument/2006/relationships">
  <dimension ref="A1:J129"/>
  <sheetViews>
    <sheetView workbookViewId="0">
      <pane ySplit="4" topLeftCell="A5" activePane="bottomLeft" state="frozen"/>
      <selection pane="bottomLeft" activeCell="J6" sqref="J6:J124"/>
    </sheetView>
  </sheetViews>
  <sheetFormatPr defaultRowHeight="15.75"/>
  <cols>
    <col min="1" max="1" width="8.375" style="271" customWidth="1"/>
    <col min="2" max="2" width="28.625" style="271" customWidth="1"/>
    <col min="3" max="3" width="16.5" style="271" customWidth="1"/>
    <col min="4" max="10" width="17.125" style="271" customWidth="1"/>
    <col min="11" max="16384" width="9" style="271"/>
  </cols>
  <sheetData>
    <row r="1" spans="1:10">
      <c r="A1" s="64" t="s">
        <v>1068</v>
      </c>
      <c r="D1" s="748"/>
    </row>
    <row r="2" spans="1:10">
      <c r="D2" s="748"/>
    </row>
    <row r="3" spans="1:10" ht="26.25" customHeight="1">
      <c r="A3" s="873" t="s">
        <v>4</v>
      </c>
      <c r="B3" s="876" t="s">
        <v>5</v>
      </c>
      <c r="C3" s="876" t="s">
        <v>251</v>
      </c>
      <c r="D3" s="877" t="s">
        <v>400</v>
      </c>
      <c r="E3" s="877" t="s">
        <v>1072</v>
      </c>
      <c r="F3" s="877" t="s">
        <v>1069</v>
      </c>
      <c r="G3" s="877" t="s">
        <v>1070</v>
      </c>
      <c r="H3" s="877" t="s">
        <v>1071</v>
      </c>
      <c r="I3" s="877" t="s">
        <v>1073</v>
      </c>
      <c r="J3" s="877" t="s">
        <v>1074</v>
      </c>
    </row>
    <row r="4" spans="1:10">
      <c r="A4" s="878">
        <v>999</v>
      </c>
      <c r="B4" s="879" t="s">
        <v>9</v>
      </c>
      <c r="C4" s="879"/>
      <c r="D4" s="1159">
        <f>SUM(D5:D124)</f>
        <v>61020968.329999983</v>
      </c>
      <c r="E4" s="1159">
        <f>SUM(E5:E124)</f>
        <v>61020968.329999983</v>
      </c>
      <c r="F4" s="1159">
        <f t="shared" ref="F4:J4" si="0">SUM(F5:F124)</f>
        <v>0</v>
      </c>
      <c r="G4" s="1159">
        <f t="shared" si="0"/>
        <v>0</v>
      </c>
      <c r="H4" s="1159">
        <f t="shared" si="0"/>
        <v>0</v>
      </c>
      <c r="I4" s="1159">
        <f t="shared" si="0"/>
        <v>0</v>
      </c>
      <c r="J4" s="1159">
        <f t="shared" si="0"/>
        <v>0</v>
      </c>
    </row>
    <row r="5" spans="1:10">
      <c r="A5" s="880" t="s">
        <v>10</v>
      </c>
      <c r="B5" s="881" t="s">
        <v>11</v>
      </c>
      <c r="C5" s="768" t="s">
        <v>264</v>
      </c>
      <c r="D5" s="1160">
        <f>SUM(E5:I5)</f>
        <v>1023525.8200000001</v>
      </c>
      <c r="E5" s="1160">
        <v>1023525.8200000001</v>
      </c>
      <c r="F5" s="1160">
        <v>0</v>
      </c>
      <c r="G5" s="1160">
        <v>0</v>
      </c>
      <c r="H5" s="1160">
        <v>0</v>
      </c>
      <c r="I5" s="1160">
        <v>0</v>
      </c>
      <c r="J5" s="1160">
        <f>H5+I5</f>
        <v>0</v>
      </c>
    </row>
    <row r="6" spans="1:10">
      <c r="A6" s="880" t="s">
        <v>12</v>
      </c>
      <c r="B6" s="881" t="s">
        <v>13</v>
      </c>
      <c r="C6" s="768" t="s">
        <v>265</v>
      </c>
      <c r="D6" s="1160">
        <f t="shared" ref="D6:D69" si="1">SUM(E6:I6)</f>
        <v>446493.33</v>
      </c>
      <c r="E6" s="1160">
        <v>446493.33</v>
      </c>
      <c r="F6" s="1160">
        <v>0</v>
      </c>
      <c r="G6" s="1160">
        <v>0</v>
      </c>
      <c r="H6" s="1160">
        <v>0</v>
      </c>
      <c r="I6" s="1160">
        <v>0</v>
      </c>
      <c r="J6" s="1160">
        <f t="shared" ref="J6:J69" si="2">H6+I6</f>
        <v>0</v>
      </c>
    </row>
    <row r="7" spans="1:10">
      <c r="A7" s="880" t="s">
        <v>16</v>
      </c>
      <c r="B7" s="881" t="s">
        <v>297</v>
      </c>
      <c r="C7" s="768" t="s">
        <v>265</v>
      </c>
      <c r="D7" s="1160">
        <f t="shared" si="1"/>
        <v>476175.37</v>
      </c>
      <c r="E7" s="1160">
        <v>476175.37</v>
      </c>
      <c r="F7" s="1160">
        <v>0</v>
      </c>
      <c r="G7" s="1160">
        <v>0</v>
      </c>
      <c r="H7" s="1160">
        <v>0</v>
      </c>
      <c r="I7" s="1160">
        <v>0</v>
      </c>
      <c r="J7" s="1160">
        <f t="shared" si="2"/>
        <v>0</v>
      </c>
    </row>
    <row r="8" spans="1:10">
      <c r="A8" s="880" t="s">
        <v>18</v>
      </c>
      <c r="B8" s="881" t="s">
        <v>19</v>
      </c>
      <c r="C8" s="768" t="s">
        <v>266</v>
      </c>
      <c r="D8" s="1160">
        <f t="shared" si="1"/>
        <v>179058.29</v>
      </c>
      <c r="E8" s="1160">
        <v>179058.29</v>
      </c>
      <c r="F8" s="1160">
        <v>0</v>
      </c>
      <c r="G8" s="1160">
        <v>0</v>
      </c>
      <c r="H8" s="1160">
        <v>0</v>
      </c>
      <c r="I8" s="1160">
        <v>0</v>
      </c>
      <c r="J8" s="1160">
        <f t="shared" si="2"/>
        <v>0</v>
      </c>
    </row>
    <row r="9" spans="1:10">
      <c r="A9" s="880" t="s">
        <v>20</v>
      </c>
      <c r="B9" s="881" t="s">
        <v>21</v>
      </c>
      <c r="C9" s="768" t="s">
        <v>265</v>
      </c>
      <c r="D9" s="1160">
        <f t="shared" si="1"/>
        <v>446247.73</v>
      </c>
      <c r="E9" s="1160">
        <v>446247.73</v>
      </c>
      <c r="F9" s="1160">
        <v>0</v>
      </c>
      <c r="G9" s="1160">
        <v>0</v>
      </c>
      <c r="H9" s="1160">
        <v>0</v>
      </c>
      <c r="I9" s="1160">
        <v>0</v>
      </c>
      <c r="J9" s="1160">
        <f t="shared" si="2"/>
        <v>0</v>
      </c>
    </row>
    <row r="10" spans="1:10">
      <c r="A10" s="880" t="s">
        <v>22</v>
      </c>
      <c r="B10" s="881" t="s">
        <v>23</v>
      </c>
      <c r="C10" s="768" t="s">
        <v>265</v>
      </c>
      <c r="D10" s="1160">
        <f t="shared" si="1"/>
        <v>317112.03000000003</v>
      </c>
      <c r="E10" s="1160">
        <v>317112.03000000003</v>
      </c>
      <c r="F10" s="1160">
        <v>0</v>
      </c>
      <c r="G10" s="1160">
        <v>0</v>
      </c>
      <c r="H10" s="1160">
        <v>0</v>
      </c>
      <c r="I10" s="1160">
        <v>0</v>
      </c>
      <c r="J10" s="1160">
        <f t="shared" si="2"/>
        <v>0</v>
      </c>
    </row>
    <row r="11" spans="1:10">
      <c r="A11" s="880" t="s">
        <v>24</v>
      </c>
      <c r="B11" s="881" t="s">
        <v>25</v>
      </c>
      <c r="C11" s="768" t="s">
        <v>267</v>
      </c>
      <c r="D11" s="1160">
        <f t="shared" si="1"/>
        <v>271752.13</v>
      </c>
      <c r="E11" s="1160">
        <v>271752.13</v>
      </c>
      <c r="F11" s="1160">
        <v>0</v>
      </c>
      <c r="G11" s="1160">
        <v>0</v>
      </c>
      <c r="H11" s="1160">
        <v>0</v>
      </c>
      <c r="I11" s="1160">
        <v>0</v>
      </c>
      <c r="J11" s="1160">
        <f t="shared" si="2"/>
        <v>0</v>
      </c>
    </row>
    <row r="12" spans="1:10">
      <c r="A12" s="880" t="s">
        <v>26</v>
      </c>
      <c r="B12" s="881" t="s">
        <v>706</v>
      </c>
      <c r="C12" s="768" t="s">
        <v>265</v>
      </c>
      <c r="D12" s="1160">
        <f t="shared" si="1"/>
        <v>1145348.48</v>
      </c>
      <c r="E12" s="1160">
        <v>1145348.48</v>
      </c>
      <c r="F12" s="1160">
        <v>0</v>
      </c>
      <c r="G12" s="1160">
        <v>0</v>
      </c>
      <c r="H12" s="1160">
        <v>0</v>
      </c>
      <c r="I12" s="1160">
        <v>0</v>
      </c>
      <c r="J12" s="1160">
        <f t="shared" si="2"/>
        <v>0</v>
      </c>
    </row>
    <row r="13" spans="1:10">
      <c r="A13" s="880" t="s">
        <v>27</v>
      </c>
      <c r="B13" s="881" t="s">
        <v>28</v>
      </c>
      <c r="C13" s="768" t="s">
        <v>265</v>
      </c>
      <c r="D13" s="1160">
        <f t="shared" si="1"/>
        <v>62420.390000000007</v>
      </c>
      <c r="E13" s="1160">
        <v>62420.390000000007</v>
      </c>
      <c r="F13" s="1160">
        <v>0</v>
      </c>
      <c r="G13" s="1160">
        <v>0</v>
      </c>
      <c r="H13" s="1160">
        <v>0</v>
      </c>
      <c r="I13" s="1160">
        <v>0</v>
      </c>
      <c r="J13" s="1160">
        <f t="shared" si="2"/>
        <v>0</v>
      </c>
    </row>
    <row r="14" spans="1:10">
      <c r="A14" s="880" t="s">
        <v>29</v>
      </c>
      <c r="B14" s="881" t="s">
        <v>1012</v>
      </c>
      <c r="C14" s="768" t="s">
        <v>265</v>
      </c>
      <c r="D14" s="1160">
        <f t="shared" si="1"/>
        <v>529004.1399999999</v>
      </c>
      <c r="E14" s="1160">
        <v>529004.1399999999</v>
      </c>
      <c r="F14" s="1160">
        <v>0</v>
      </c>
      <c r="G14" s="1160">
        <v>0</v>
      </c>
      <c r="H14" s="1160">
        <v>0</v>
      </c>
      <c r="I14" s="1160">
        <v>0</v>
      </c>
      <c r="J14" s="1160">
        <f t="shared" si="2"/>
        <v>0</v>
      </c>
    </row>
    <row r="15" spans="1:10">
      <c r="A15" s="880" t="s">
        <v>30</v>
      </c>
      <c r="B15" s="881" t="s">
        <v>31</v>
      </c>
      <c r="C15" s="768" t="s">
        <v>268</v>
      </c>
      <c r="D15" s="1160">
        <f t="shared" si="1"/>
        <v>97743.48000000001</v>
      </c>
      <c r="E15" s="1160">
        <v>97743.48000000001</v>
      </c>
      <c r="F15" s="1160">
        <v>0</v>
      </c>
      <c r="G15" s="1160">
        <v>0</v>
      </c>
      <c r="H15" s="1160">
        <v>0</v>
      </c>
      <c r="I15" s="1160">
        <v>0</v>
      </c>
      <c r="J15" s="1160">
        <f t="shared" si="2"/>
        <v>0</v>
      </c>
    </row>
    <row r="16" spans="1:10">
      <c r="A16" s="880" t="s">
        <v>32</v>
      </c>
      <c r="B16" s="881" t="s">
        <v>33</v>
      </c>
      <c r="C16" s="768" t="s">
        <v>265</v>
      </c>
      <c r="D16" s="1160">
        <f t="shared" si="1"/>
        <v>175949.43999999997</v>
      </c>
      <c r="E16" s="1160">
        <v>175949.43999999997</v>
      </c>
      <c r="F16" s="1160">
        <v>0</v>
      </c>
      <c r="G16" s="1160">
        <v>0</v>
      </c>
      <c r="H16" s="1160">
        <v>0</v>
      </c>
      <c r="I16" s="1160">
        <v>0</v>
      </c>
      <c r="J16" s="1160">
        <f t="shared" si="2"/>
        <v>0</v>
      </c>
    </row>
    <row r="17" spans="1:10">
      <c r="A17" s="880" t="s">
        <v>36</v>
      </c>
      <c r="B17" s="881" t="s">
        <v>37</v>
      </c>
      <c r="C17" s="768" t="s">
        <v>264</v>
      </c>
      <c r="D17" s="1160">
        <f t="shared" si="1"/>
        <v>587578.61</v>
      </c>
      <c r="E17" s="1160">
        <v>587578.61</v>
      </c>
      <c r="F17" s="1160">
        <v>0</v>
      </c>
      <c r="G17" s="1160">
        <v>0</v>
      </c>
      <c r="H17" s="1160">
        <v>0</v>
      </c>
      <c r="I17" s="1160">
        <v>0</v>
      </c>
      <c r="J17" s="1160">
        <f t="shared" si="2"/>
        <v>0</v>
      </c>
    </row>
    <row r="18" spans="1:10">
      <c r="A18" s="880" t="s">
        <v>38</v>
      </c>
      <c r="B18" s="881" t="s">
        <v>39</v>
      </c>
      <c r="C18" s="768" t="s">
        <v>268</v>
      </c>
      <c r="D18" s="1160">
        <f t="shared" si="1"/>
        <v>1133241.6100000001</v>
      </c>
      <c r="E18" s="1160">
        <v>1133241.6100000001</v>
      </c>
      <c r="F18" s="1160">
        <v>0</v>
      </c>
      <c r="G18" s="1160">
        <v>0</v>
      </c>
      <c r="H18" s="1160">
        <v>0</v>
      </c>
      <c r="I18" s="1160">
        <v>0</v>
      </c>
      <c r="J18" s="1160">
        <f t="shared" si="2"/>
        <v>0</v>
      </c>
    </row>
    <row r="19" spans="1:10">
      <c r="A19" s="880" t="s">
        <v>40</v>
      </c>
      <c r="B19" s="881" t="s">
        <v>41</v>
      </c>
      <c r="C19" s="768" t="s">
        <v>266</v>
      </c>
      <c r="D19" s="1160">
        <f t="shared" si="1"/>
        <v>374538.55</v>
      </c>
      <c r="E19" s="1160">
        <v>374538.55</v>
      </c>
      <c r="F19" s="1160">
        <v>0</v>
      </c>
      <c r="G19" s="1160">
        <v>0</v>
      </c>
      <c r="H19" s="1160">
        <v>0</v>
      </c>
      <c r="I19" s="1160">
        <v>0</v>
      </c>
      <c r="J19" s="1160">
        <f t="shared" si="2"/>
        <v>0</v>
      </c>
    </row>
    <row r="20" spans="1:10">
      <c r="A20" s="880" t="s">
        <v>42</v>
      </c>
      <c r="B20" s="881" t="s">
        <v>43</v>
      </c>
      <c r="C20" s="768" t="s">
        <v>265</v>
      </c>
      <c r="D20" s="1160">
        <f t="shared" si="1"/>
        <v>911553.25</v>
      </c>
      <c r="E20" s="1160">
        <v>911553.25</v>
      </c>
      <c r="F20" s="1160">
        <v>0</v>
      </c>
      <c r="G20" s="1160">
        <v>0</v>
      </c>
      <c r="H20" s="1160">
        <v>0</v>
      </c>
      <c r="I20" s="1160">
        <v>0</v>
      </c>
      <c r="J20" s="1160">
        <f t="shared" si="2"/>
        <v>0</v>
      </c>
    </row>
    <row r="21" spans="1:10">
      <c r="A21" s="880" t="s">
        <v>44</v>
      </c>
      <c r="B21" s="881" t="s">
        <v>45</v>
      </c>
      <c r="C21" s="768" t="s">
        <v>266</v>
      </c>
      <c r="D21" s="1160">
        <f t="shared" si="1"/>
        <v>233161.87</v>
      </c>
      <c r="E21" s="1160">
        <v>233161.87</v>
      </c>
      <c r="F21" s="1160">
        <v>0</v>
      </c>
      <c r="G21" s="1160">
        <v>0</v>
      </c>
      <c r="H21" s="1160">
        <v>0</v>
      </c>
      <c r="I21" s="1160">
        <v>0</v>
      </c>
      <c r="J21" s="1160">
        <f t="shared" si="2"/>
        <v>0</v>
      </c>
    </row>
    <row r="22" spans="1:10">
      <c r="A22" s="880" t="s">
        <v>46</v>
      </c>
      <c r="B22" s="881" t="s">
        <v>47</v>
      </c>
      <c r="C22" s="768" t="s">
        <v>268</v>
      </c>
      <c r="D22" s="1160">
        <f t="shared" si="1"/>
        <v>808326.92999999993</v>
      </c>
      <c r="E22" s="1160">
        <v>808326.92999999993</v>
      </c>
      <c r="F22" s="1160">
        <v>0</v>
      </c>
      <c r="G22" s="1160">
        <v>0</v>
      </c>
      <c r="H22" s="1160">
        <v>0</v>
      </c>
      <c r="I22" s="1160">
        <v>0</v>
      </c>
      <c r="J22" s="1160">
        <f t="shared" si="2"/>
        <v>0</v>
      </c>
    </row>
    <row r="23" spans="1:10">
      <c r="A23" s="880" t="s">
        <v>48</v>
      </c>
      <c r="B23" s="881" t="s">
        <v>269</v>
      </c>
      <c r="C23" s="768" t="s">
        <v>266</v>
      </c>
      <c r="D23" s="1160">
        <f t="shared" si="1"/>
        <v>98915.340000000011</v>
      </c>
      <c r="E23" s="1160">
        <v>98915.340000000011</v>
      </c>
      <c r="F23" s="1160">
        <v>0</v>
      </c>
      <c r="G23" s="1160">
        <v>0</v>
      </c>
      <c r="H23" s="1160">
        <v>0</v>
      </c>
      <c r="I23" s="1160">
        <v>0</v>
      </c>
      <c r="J23" s="1160">
        <f t="shared" si="2"/>
        <v>0</v>
      </c>
    </row>
    <row r="24" spans="1:10">
      <c r="A24" s="880" t="s">
        <v>50</v>
      </c>
      <c r="B24" s="881" t="s">
        <v>51</v>
      </c>
      <c r="C24" s="768" t="s">
        <v>265</v>
      </c>
      <c r="D24" s="1160">
        <f t="shared" si="1"/>
        <v>337356.61000000004</v>
      </c>
      <c r="E24" s="1160">
        <v>337356.61000000004</v>
      </c>
      <c r="F24" s="1160">
        <v>0</v>
      </c>
      <c r="G24" s="1160">
        <v>0</v>
      </c>
      <c r="H24" s="1160">
        <v>0</v>
      </c>
      <c r="I24" s="1160">
        <v>0</v>
      </c>
      <c r="J24" s="1160">
        <f t="shared" si="2"/>
        <v>0</v>
      </c>
    </row>
    <row r="25" spans="1:10">
      <c r="A25" s="880" t="s">
        <v>56</v>
      </c>
      <c r="B25" s="881" t="s">
        <v>295</v>
      </c>
      <c r="C25" s="768" t="s">
        <v>266</v>
      </c>
      <c r="D25" s="1160">
        <f t="shared" si="1"/>
        <v>990699.32000000007</v>
      </c>
      <c r="E25" s="1160">
        <v>990699.32000000007</v>
      </c>
      <c r="F25" s="1160">
        <v>0</v>
      </c>
      <c r="G25" s="1160">
        <v>0</v>
      </c>
      <c r="H25" s="1160">
        <v>0</v>
      </c>
      <c r="I25" s="1160">
        <v>0</v>
      </c>
      <c r="J25" s="1160">
        <f t="shared" si="2"/>
        <v>0</v>
      </c>
    </row>
    <row r="26" spans="1:10">
      <c r="A26" s="880" t="s">
        <v>58</v>
      </c>
      <c r="B26" s="881" t="s">
        <v>59</v>
      </c>
      <c r="C26" s="768" t="s">
        <v>267</v>
      </c>
      <c r="D26" s="1160">
        <f t="shared" si="1"/>
        <v>45929.66</v>
      </c>
      <c r="E26" s="1160">
        <v>45929.66</v>
      </c>
      <c r="F26" s="1160">
        <v>0</v>
      </c>
      <c r="G26" s="1160">
        <v>0</v>
      </c>
      <c r="H26" s="1160">
        <v>0</v>
      </c>
      <c r="I26" s="1160">
        <v>0</v>
      </c>
      <c r="J26" s="1160">
        <f t="shared" si="2"/>
        <v>0</v>
      </c>
    </row>
    <row r="27" spans="1:10">
      <c r="A27" s="880" t="s">
        <v>60</v>
      </c>
      <c r="B27" s="881" t="s">
        <v>61</v>
      </c>
      <c r="C27" s="768" t="s">
        <v>265</v>
      </c>
      <c r="D27" s="1160">
        <f t="shared" si="1"/>
        <v>88491.459999999992</v>
      </c>
      <c r="E27" s="1160">
        <v>88491.459999999992</v>
      </c>
      <c r="F27" s="1160">
        <v>0</v>
      </c>
      <c r="G27" s="1160">
        <v>0</v>
      </c>
      <c r="H27" s="1160">
        <v>0</v>
      </c>
      <c r="I27" s="1160">
        <v>0</v>
      </c>
      <c r="J27" s="1160">
        <f t="shared" si="2"/>
        <v>0</v>
      </c>
    </row>
    <row r="28" spans="1:10">
      <c r="A28" s="880" t="s">
        <v>62</v>
      </c>
      <c r="B28" s="881" t="s">
        <v>63</v>
      </c>
      <c r="C28" s="768" t="s">
        <v>267</v>
      </c>
      <c r="D28" s="1160">
        <f t="shared" si="1"/>
        <v>280970.7</v>
      </c>
      <c r="E28" s="1160">
        <v>280970.7</v>
      </c>
      <c r="F28" s="1160">
        <v>0</v>
      </c>
      <c r="G28" s="1160">
        <v>0</v>
      </c>
      <c r="H28" s="1160">
        <v>0</v>
      </c>
      <c r="I28" s="1160">
        <v>0</v>
      </c>
      <c r="J28" s="1160">
        <f t="shared" si="2"/>
        <v>0</v>
      </c>
    </row>
    <row r="29" spans="1:10">
      <c r="A29" s="880" t="s">
        <v>64</v>
      </c>
      <c r="B29" s="881" t="s">
        <v>65</v>
      </c>
      <c r="C29" s="768" t="s">
        <v>266</v>
      </c>
      <c r="D29" s="1160">
        <f t="shared" si="1"/>
        <v>195725.50000000003</v>
      </c>
      <c r="E29" s="1160">
        <v>195725.50000000003</v>
      </c>
      <c r="F29" s="1160">
        <v>0</v>
      </c>
      <c r="G29" s="1160">
        <v>0</v>
      </c>
      <c r="H29" s="1160">
        <v>0</v>
      </c>
      <c r="I29" s="1160">
        <v>0</v>
      </c>
      <c r="J29" s="1160">
        <f t="shared" si="2"/>
        <v>0</v>
      </c>
    </row>
    <row r="30" spans="1:10">
      <c r="A30" s="880" t="s">
        <v>68</v>
      </c>
      <c r="B30" s="881" t="s">
        <v>69</v>
      </c>
      <c r="C30" s="768" t="s">
        <v>268</v>
      </c>
      <c r="D30" s="1160">
        <f t="shared" si="1"/>
        <v>649493.97</v>
      </c>
      <c r="E30" s="1160">
        <v>649493.97</v>
      </c>
      <c r="F30" s="1160">
        <v>0</v>
      </c>
      <c r="G30" s="1160">
        <v>0</v>
      </c>
      <c r="H30" s="1160">
        <v>0</v>
      </c>
      <c r="I30" s="1160">
        <v>0</v>
      </c>
      <c r="J30" s="1160">
        <f t="shared" si="2"/>
        <v>0</v>
      </c>
    </row>
    <row r="31" spans="1:10">
      <c r="A31" s="880" t="s">
        <v>70</v>
      </c>
      <c r="B31" s="881" t="s">
        <v>71</v>
      </c>
      <c r="C31" s="768" t="s">
        <v>264</v>
      </c>
      <c r="D31" s="1160">
        <f t="shared" si="1"/>
        <v>427003.45999999996</v>
      </c>
      <c r="E31" s="1160">
        <v>427003.45999999996</v>
      </c>
      <c r="F31" s="1160">
        <v>0</v>
      </c>
      <c r="G31" s="1160">
        <v>0</v>
      </c>
      <c r="H31" s="1160">
        <v>0</v>
      </c>
      <c r="I31" s="1160">
        <v>0</v>
      </c>
      <c r="J31" s="1160">
        <f t="shared" si="2"/>
        <v>0</v>
      </c>
    </row>
    <row r="32" spans="1:10">
      <c r="A32" s="880" t="s">
        <v>72</v>
      </c>
      <c r="B32" s="881" t="s">
        <v>73</v>
      </c>
      <c r="C32" s="768" t="s">
        <v>266</v>
      </c>
      <c r="D32" s="1160">
        <f t="shared" si="1"/>
        <v>217833.47</v>
      </c>
      <c r="E32" s="1160">
        <v>217833.47</v>
      </c>
      <c r="F32" s="1160">
        <v>0</v>
      </c>
      <c r="G32" s="1160">
        <v>0</v>
      </c>
      <c r="H32" s="1160">
        <v>0</v>
      </c>
      <c r="I32" s="1160">
        <v>0</v>
      </c>
      <c r="J32" s="1160">
        <f t="shared" si="2"/>
        <v>0</v>
      </c>
    </row>
    <row r="33" spans="1:10">
      <c r="A33" s="880" t="s">
        <v>74</v>
      </c>
      <c r="B33" s="881" t="s">
        <v>302</v>
      </c>
      <c r="C33" s="768" t="s">
        <v>267</v>
      </c>
      <c r="D33" s="1160">
        <f t="shared" si="1"/>
        <v>644832.68999999994</v>
      </c>
      <c r="E33" s="1160">
        <v>644832.68999999994</v>
      </c>
      <c r="F33" s="1160">
        <v>0</v>
      </c>
      <c r="G33" s="1160">
        <v>0</v>
      </c>
      <c r="H33" s="1160">
        <v>0</v>
      </c>
      <c r="I33" s="1160">
        <v>0</v>
      </c>
      <c r="J33" s="1160">
        <f t="shared" si="2"/>
        <v>0</v>
      </c>
    </row>
    <row r="34" spans="1:10">
      <c r="A34" s="880" t="s">
        <v>76</v>
      </c>
      <c r="B34" s="881" t="s">
        <v>77</v>
      </c>
      <c r="C34" s="768" t="s">
        <v>267</v>
      </c>
      <c r="D34" s="1160">
        <f t="shared" si="1"/>
        <v>161061.69</v>
      </c>
      <c r="E34" s="1160">
        <v>161061.69</v>
      </c>
      <c r="F34" s="1160">
        <v>0</v>
      </c>
      <c r="G34" s="1160">
        <v>0</v>
      </c>
      <c r="H34" s="1160">
        <v>0</v>
      </c>
      <c r="I34" s="1160">
        <v>0</v>
      </c>
      <c r="J34" s="1160">
        <f t="shared" si="2"/>
        <v>0</v>
      </c>
    </row>
    <row r="35" spans="1:10">
      <c r="A35" s="880" t="s">
        <v>78</v>
      </c>
      <c r="B35" s="881" t="s">
        <v>79</v>
      </c>
      <c r="C35" s="768" t="s">
        <v>268</v>
      </c>
      <c r="D35" s="1160">
        <f t="shared" si="1"/>
        <v>252706.53000000003</v>
      </c>
      <c r="E35" s="1160">
        <v>252706.53000000003</v>
      </c>
      <c r="F35" s="1160">
        <v>0</v>
      </c>
      <c r="G35" s="1160">
        <v>0</v>
      </c>
      <c r="H35" s="1160">
        <v>0</v>
      </c>
      <c r="I35" s="1160">
        <v>0</v>
      </c>
      <c r="J35" s="1160">
        <f t="shared" si="2"/>
        <v>0</v>
      </c>
    </row>
    <row r="36" spans="1:10">
      <c r="A36" s="880" t="s">
        <v>80</v>
      </c>
      <c r="B36" s="881" t="s">
        <v>81</v>
      </c>
      <c r="C36" s="768" t="s">
        <v>266</v>
      </c>
      <c r="D36" s="1160">
        <f t="shared" si="1"/>
        <v>159886.57</v>
      </c>
      <c r="E36" s="1160">
        <v>159886.57</v>
      </c>
      <c r="F36" s="1160">
        <v>0</v>
      </c>
      <c r="G36" s="1160">
        <v>0</v>
      </c>
      <c r="H36" s="1160">
        <v>0</v>
      </c>
      <c r="I36" s="1160">
        <v>0</v>
      </c>
      <c r="J36" s="1160">
        <f t="shared" si="2"/>
        <v>0</v>
      </c>
    </row>
    <row r="37" spans="1:10">
      <c r="A37" s="880" t="s">
        <v>84</v>
      </c>
      <c r="B37" s="881" t="s">
        <v>308</v>
      </c>
      <c r="C37" s="768" t="s">
        <v>265</v>
      </c>
      <c r="D37" s="1160">
        <f t="shared" si="1"/>
        <v>786489.76</v>
      </c>
      <c r="E37" s="1160">
        <v>786489.76</v>
      </c>
      <c r="F37" s="1160">
        <v>0</v>
      </c>
      <c r="G37" s="1160">
        <v>0</v>
      </c>
      <c r="H37" s="1160">
        <v>0</v>
      </c>
      <c r="I37" s="1160">
        <v>0</v>
      </c>
      <c r="J37" s="1160">
        <f t="shared" si="2"/>
        <v>0</v>
      </c>
    </row>
    <row r="38" spans="1:10">
      <c r="A38" s="880" t="s">
        <v>86</v>
      </c>
      <c r="B38" s="881" t="s">
        <v>87</v>
      </c>
      <c r="C38" s="768" t="s">
        <v>267</v>
      </c>
      <c r="D38" s="1160">
        <f t="shared" si="1"/>
        <v>272384.23</v>
      </c>
      <c r="E38" s="1160">
        <v>272384.23</v>
      </c>
      <c r="F38" s="1160">
        <v>0</v>
      </c>
      <c r="G38" s="1160">
        <v>0</v>
      </c>
      <c r="H38" s="1160">
        <v>0</v>
      </c>
      <c r="I38" s="1160">
        <v>0</v>
      </c>
      <c r="J38" s="1160">
        <f t="shared" si="2"/>
        <v>0</v>
      </c>
    </row>
    <row r="39" spans="1:10">
      <c r="A39" s="880" t="s">
        <v>92</v>
      </c>
      <c r="B39" s="881" t="s">
        <v>93</v>
      </c>
      <c r="C39" s="768" t="s">
        <v>268</v>
      </c>
      <c r="D39" s="1160">
        <f t="shared" si="1"/>
        <v>348978.47000000003</v>
      </c>
      <c r="E39" s="1160">
        <v>348978.47000000003</v>
      </c>
      <c r="F39" s="1160">
        <v>0</v>
      </c>
      <c r="G39" s="1160">
        <v>0</v>
      </c>
      <c r="H39" s="1160">
        <v>0</v>
      </c>
      <c r="I39" s="1160">
        <v>0</v>
      </c>
      <c r="J39" s="1160">
        <f t="shared" si="2"/>
        <v>0</v>
      </c>
    </row>
    <row r="40" spans="1:10">
      <c r="A40" s="880" t="s">
        <v>94</v>
      </c>
      <c r="B40" s="881" t="s">
        <v>95</v>
      </c>
      <c r="C40" s="768" t="s">
        <v>264</v>
      </c>
      <c r="D40" s="1160">
        <f t="shared" si="1"/>
        <v>290340.89</v>
      </c>
      <c r="E40" s="1160">
        <v>290340.89</v>
      </c>
      <c r="F40" s="1160">
        <v>0</v>
      </c>
      <c r="G40" s="1160">
        <v>0</v>
      </c>
      <c r="H40" s="1160">
        <v>0</v>
      </c>
      <c r="I40" s="1160">
        <v>0</v>
      </c>
      <c r="J40" s="1160">
        <f t="shared" si="2"/>
        <v>0</v>
      </c>
    </row>
    <row r="41" spans="1:10">
      <c r="A41" s="880" t="s">
        <v>96</v>
      </c>
      <c r="B41" s="881" t="s">
        <v>97</v>
      </c>
      <c r="C41" s="768" t="s">
        <v>266</v>
      </c>
      <c r="D41" s="1160">
        <f t="shared" si="1"/>
        <v>108839.85</v>
      </c>
      <c r="E41" s="1160">
        <v>108839.85</v>
      </c>
      <c r="F41" s="1160">
        <v>0</v>
      </c>
      <c r="G41" s="1160">
        <v>0</v>
      </c>
      <c r="H41" s="1160">
        <v>0</v>
      </c>
      <c r="I41" s="1160">
        <v>0</v>
      </c>
      <c r="J41" s="1160">
        <f t="shared" si="2"/>
        <v>0</v>
      </c>
    </row>
    <row r="42" spans="1:10">
      <c r="A42" s="880" t="s">
        <v>98</v>
      </c>
      <c r="B42" s="881" t="s">
        <v>99</v>
      </c>
      <c r="C42" s="768" t="s">
        <v>268</v>
      </c>
      <c r="D42" s="1160">
        <f t="shared" si="1"/>
        <v>533810.13</v>
      </c>
      <c r="E42" s="1160">
        <v>533810.13</v>
      </c>
      <c r="F42" s="1160">
        <v>0</v>
      </c>
      <c r="G42" s="1160">
        <v>0</v>
      </c>
      <c r="H42" s="1160">
        <v>0</v>
      </c>
      <c r="I42" s="1160">
        <v>0</v>
      </c>
      <c r="J42" s="1160">
        <f t="shared" si="2"/>
        <v>0</v>
      </c>
    </row>
    <row r="43" spans="1:10">
      <c r="A43" s="880" t="s">
        <v>100</v>
      </c>
      <c r="B43" s="881" t="s">
        <v>101</v>
      </c>
      <c r="C43" s="768" t="s">
        <v>267</v>
      </c>
      <c r="D43" s="1160">
        <f t="shared" si="1"/>
        <v>135936.82</v>
      </c>
      <c r="E43" s="1160">
        <v>135936.82</v>
      </c>
      <c r="F43" s="1160">
        <v>0</v>
      </c>
      <c r="G43" s="1160">
        <v>0</v>
      </c>
      <c r="H43" s="1160">
        <v>0</v>
      </c>
      <c r="I43" s="1160">
        <v>0</v>
      </c>
      <c r="J43" s="1160">
        <f t="shared" si="2"/>
        <v>0</v>
      </c>
    </row>
    <row r="44" spans="1:10">
      <c r="A44" s="880" t="s">
        <v>102</v>
      </c>
      <c r="B44" s="881" t="s">
        <v>103</v>
      </c>
      <c r="C44" s="768" t="s">
        <v>264</v>
      </c>
      <c r="D44" s="1160">
        <f t="shared" si="1"/>
        <v>385441.48</v>
      </c>
      <c r="E44" s="1160">
        <v>385441.48</v>
      </c>
      <c r="F44" s="1160">
        <v>0</v>
      </c>
      <c r="G44" s="1160">
        <v>0</v>
      </c>
      <c r="H44" s="1160">
        <v>0</v>
      </c>
      <c r="I44" s="1160">
        <v>0</v>
      </c>
      <c r="J44" s="1160">
        <f t="shared" si="2"/>
        <v>0</v>
      </c>
    </row>
    <row r="45" spans="1:10">
      <c r="A45" s="880" t="s">
        <v>104</v>
      </c>
      <c r="B45" s="881" t="s">
        <v>309</v>
      </c>
      <c r="C45" s="768" t="s">
        <v>265</v>
      </c>
      <c r="D45" s="1160">
        <f t="shared" si="1"/>
        <v>1084576.32</v>
      </c>
      <c r="E45" s="1160">
        <v>1084576.32</v>
      </c>
      <c r="F45" s="1160">
        <v>0</v>
      </c>
      <c r="G45" s="1160">
        <v>0</v>
      </c>
      <c r="H45" s="1160">
        <v>0</v>
      </c>
      <c r="I45" s="1160">
        <v>0</v>
      </c>
      <c r="J45" s="1160">
        <f t="shared" si="2"/>
        <v>0</v>
      </c>
    </row>
    <row r="46" spans="1:10">
      <c r="A46" s="880" t="s">
        <v>108</v>
      </c>
      <c r="B46" s="881" t="s">
        <v>109</v>
      </c>
      <c r="C46" s="768" t="s">
        <v>266</v>
      </c>
      <c r="D46" s="1160">
        <f t="shared" si="1"/>
        <v>305511.44999999995</v>
      </c>
      <c r="E46" s="1160">
        <v>305511.44999999995</v>
      </c>
      <c r="F46" s="1160">
        <v>0</v>
      </c>
      <c r="G46" s="1160">
        <v>0</v>
      </c>
      <c r="H46" s="1160">
        <v>0</v>
      </c>
      <c r="I46" s="1160">
        <v>0</v>
      </c>
      <c r="J46" s="1160">
        <f t="shared" si="2"/>
        <v>0</v>
      </c>
    </row>
    <row r="47" spans="1:10">
      <c r="A47" s="880" t="s">
        <v>110</v>
      </c>
      <c r="B47" s="881" t="s">
        <v>111</v>
      </c>
      <c r="C47" s="768" t="s">
        <v>266</v>
      </c>
      <c r="D47" s="1160">
        <f t="shared" si="1"/>
        <v>1478297.9700000002</v>
      </c>
      <c r="E47" s="1160">
        <v>1478297.9700000002</v>
      </c>
      <c r="F47" s="1160">
        <v>0</v>
      </c>
      <c r="G47" s="1160">
        <v>0</v>
      </c>
      <c r="H47" s="1160">
        <v>0</v>
      </c>
      <c r="I47" s="1160">
        <v>0</v>
      </c>
      <c r="J47" s="1160">
        <f t="shared" si="2"/>
        <v>0</v>
      </c>
    </row>
    <row r="48" spans="1:10">
      <c r="A48" s="880" t="s">
        <v>112</v>
      </c>
      <c r="B48" s="881" t="s">
        <v>300</v>
      </c>
      <c r="C48" s="768" t="s">
        <v>265</v>
      </c>
      <c r="D48" s="1160">
        <f t="shared" si="1"/>
        <v>1700299.88</v>
      </c>
      <c r="E48" s="1160">
        <v>1700299.88</v>
      </c>
      <c r="F48" s="1160">
        <v>0</v>
      </c>
      <c r="G48" s="1160">
        <v>0</v>
      </c>
      <c r="H48" s="1160">
        <v>0</v>
      </c>
      <c r="I48" s="1160">
        <v>0</v>
      </c>
      <c r="J48" s="1160">
        <f t="shared" si="2"/>
        <v>0</v>
      </c>
    </row>
    <row r="49" spans="1:10">
      <c r="A49" s="880" t="s">
        <v>114</v>
      </c>
      <c r="B49" s="881" t="s">
        <v>115</v>
      </c>
      <c r="C49" s="768" t="s">
        <v>265</v>
      </c>
      <c r="D49" s="1160">
        <f t="shared" si="1"/>
        <v>25566.74</v>
      </c>
      <c r="E49" s="1160">
        <v>25566.74</v>
      </c>
      <c r="F49" s="1160">
        <v>0</v>
      </c>
      <c r="G49" s="1160">
        <v>0</v>
      </c>
      <c r="H49" s="1160">
        <v>0</v>
      </c>
      <c r="I49" s="1160">
        <v>0</v>
      </c>
      <c r="J49" s="1160">
        <f t="shared" si="2"/>
        <v>0</v>
      </c>
    </row>
    <row r="50" spans="1:10">
      <c r="A50" s="880" t="s">
        <v>118</v>
      </c>
      <c r="B50" s="881" t="s">
        <v>119</v>
      </c>
      <c r="C50" s="768" t="s">
        <v>264</v>
      </c>
      <c r="D50" s="1160">
        <f t="shared" si="1"/>
        <v>265836.90000000002</v>
      </c>
      <c r="E50" s="1160">
        <v>265836.90000000002</v>
      </c>
      <c r="F50" s="1160">
        <v>0</v>
      </c>
      <c r="G50" s="1160">
        <v>0</v>
      </c>
      <c r="H50" s="1160">
        <v>0</v>
      </c>
      <c r="I50" s="1160">
        <v>0</v>
      </c>
      <c r="J50" s="1160">
        <f t="shared" si="2"/>
        <v>0</v>
      </c>
    </row>
    <row r="51" spans="1:10">
      <c r="A51" s="880" t="s">
        <v>120</v>
      </c>
      <c r="B51" s="881" t="s">
        <v>121</v>
      </c>
      <c r="C51" s="768" t="s">
        <v>264</v>
      </c>
      <c r="D51" s="1160">
        <f t="shared" si="1"/>
        <v>244951.21000000002</v>
      </c>
      <c r="E51" s="1160">
        <v>244951.21000000002</v>
      </c>
      <c r="F51" s="1160">
        <v>0</v>
      </c>
      <c r="G51" s="1160">
        <v>0</v>
      </c>
      <c r="H51" s="1160">
        <v>0</v>
      </c>
      <c r="I51" s="1160">
        <v>0</v>
      </c>
      <c r="J51" s="1160">
        <f t="shared" si="2"/>
        <v>0</v>
      </c>
    </row>
    <row r="52" spans="1:10">
      <c r="A52" s="880" t="s">
        <v>122</v>
      </c>
      <c r="B52" s="881" t="s">
        <v>271</v>
      </c>
      <c r="C52" s="768" t="s">
        <v>266</v>
      </c>
      <c r="D52" s="1160">
        <f t="shared" si="1"/>
        <v>110291.41</v>
      </c>
      <c r="E52" s="1160">
        <v>110291.41</v>
      </c>
      <c r="F52" s="1160">
        <v>0</v>
      </c>
      <c r="G52" s="1160">
        <v>0</v>
      </c>
      <c r="H52" s="1160">
        <v>0</v>
      </c>
      <c r="I52" s="1160">
        <v>0</v>
      </c>
      <c r="J52" s="1160">
        <f t="shared" si="2"/>
        <v>0</v>
      </c>
    </row>
    <row r="53" spans="1:10">
      <c r="A53" s="880" t="s">
        <v>124</v>
      </c>
      <c r="B53" s="881" t="s">
        <v>125</v>
      </c>
      <c r="C53" s="768" t="s">
        <v>267</v>
      </c>
      <c r="D53" s="1160">
        <f t="shared" si="1"/>
        <v>184138.24000000002</v>
      </c>
      <c r="E53" s="1160">
        <v>184138.24000000002</v>
      </c>
      <c r="F53" s="1160">
        <v>0</v>
      </c>
      <c r="G53" s="1160">
        <v>0</v>
      </c>
      <c r="H53" s="1160">
        <v>0</v>
      </c>
      <c r="I53" s="1160">
        <v>0</v>
      </c>
      <c r="J53" s="1160">
        <f t="shared" si="2"/>
        <v>0</v>
      </c>
    </row>
    <row r="54" spans="1:10">
      <c r="A54" s="880" t="s">
        <v>126</v>
      </c>
      <c r="B54" s="881" t="s">
        <v>127</v>
      </c>
      <c r="C54" s="768" t="s">
        <v>266</v>
      </c>
      <c r="D54" s="1160">
        <f t="shared" si="1"/>
        <v>113512.21</v>
      </c>
      <c r="E54" s="1160">
        <v>113512.21</v>
      </c>
      <c r="F54" s="1160">
        <v>0</v>
      </c>
      <c r="G54" s="1160">
        <v>0</v>
      </c>
      <c r="H54" s="1160">
        <v>0</v>
      </c>
      <c r="I54" s="1160">
        <v>0</v>
      </c>
      <c r="J54" s="1160">
        <f t="shared" si="2"/>
        <v>0</v>
      </c>
    </row>
    <row r="55" spans="1:10">
      <c r="A55" s="880" t="s">
        <v>128</v>
      </c>
      <c r="B55" s="881" t="s">
        <v>129</v>
      </c>
      <c r="C55" s="768" t="s">
        <v>266</v>
      </c>
      <c r="D55" s="1160">
        <f t="shared" si="1"/>
        <v>231825.13</v>
      </c>
      <c r="E55" s="1160">
        <v>231825.13</v>
      </c>
      <c r="F55" s="1160">
        <v>0</v>
      </c>
      <c r="G55" s="1160">
        <v>0</v>
      </c>
      <c r="H55" s="1160">
        <v>0</v>
      </c>
      <c r="I55" s="1160">
        <v>0</v>
      </c>
      <c r="J55" s="1160">
        <f t="shared" si="2"/>
        <v>0</v>
      </c>
    </row>
    <row r="56" spans="1:10">
      <c r="A56" s="880" t="s">
        <v>130</v>
      </c>
      <c r="B56" s="881" t="s">
        <v>131</v>
      </c>
      <c r="C56" s="768" t="s">
        <v>268</v>
      </c>
      <c r="D56" s="1160">
        <f t="shared" si="1"/>
        <v>1224621.69</v>
      </c>
      <c r="E56" s="1160">
        <v>1224621.69</v>
      </c>
      <c r="F56" s="1160">
        <v>0</v>
      </c>
      <c r="G56" s="1160">
        <v>0</v>
      </c>
      <c r="H56" s="1160">
        <v>0</v>
      </c>
      <c r="I56" s="1160">
        <v>0</v>
      </c>
      <c r="J56" s="1160">
        <f t="shared" si="2"/>
        <v>0</v>
      </c>
    </row>
    <row r="57" spans="1:10">
      <c r="A57" s="880" t="s">
        <v>132</v>
      </c>
      <c r="B57" s="881" t="s">
        <v>133</v>
      </c>
      <c r="C57" s="768" t="s">
        <v>267</v>
      </c>
      <c r="D57" s="1160">
        <f t="shared" si="1"/>
        <v>103472.23999999999</v>
      </c>
      <c r="E57" s="1160">
        <v>103472.23999999999</v>
      </c>
      <c r="F57" s="1160">
        <v>0</v>
      </c>
      <c r="G57" s="1160">
        <v>0</v>
      </c>
      <c r="H57" s="1160">
        <v>0</v>
      </c>
      <c r="I57" s="1160">
        <v>0</v>
      </c>
      <c r="J57" s="1160">
        <f t="shared" si="2"/>
        <v>0</v>
      </c>
    </row>
    <row r="58" spans="1:10">
      <c r="A58" s="880" t="s">
        <v>134</v>
      </c>
      <c r="B58" s="881" t="s">
        <v>135</v>
      </c>
      <c r="C58" s="768" t="s">
        <v>267</v>
      </c>
      <c r="D58" s="1160">
        <f t="shared" si="1"/>
        <v>459610.36</v>
      </c>
      <c r="E58" s="1160">
        <v>459610.36</v>
      </c>
      <c r="F58" s="1160">
        <v>0</v>
      </c>
      <c r="G58" s="1160">
        <v>0</v>
      </c>
      <c r="H58" s="1160">
        <v>0</v>
      </c>
      <c r="I58" s="1160">
        <v>0</v>
      </c>
      <c r="J58" s="1160">
        <f t="shared" si="2"/>
        <v>0</v>
      </c>
    </row>
    <row r="59" spans="1:10">
      <c r="A59" s="880" t="s">
        <v>136</v>
      </c>
      <c r="B59" s="881" t="s">
        <v>137</v>
      </c>
      <c r="C59" s="768" t="s">
        <v>266</v>
      </c>
      <c r="D59" s="1160">
        <f t="shared" si="1"/>
        <v>390634.51</v>
      </c>
      <c r="E59" s="1160">
        <v>390634.51</v>
      </c>
      <c r="F59" s="1160">
        <v>0</v>
      </c>
      <c r="G59" s="1160">
        <v>0</v>
      </c>
      <c r="H59" s="1160">
        <v>0</v>
      </c>
      <c r="I59" s="1160">
        <v>0</v>
      </c>
      <c r="J59" s="1160">
        <f t="shared" si="2"/>
        <v>0</v>
      </c>
    </row>
    <row r="60" spans="1:10">
      <c r="A60" s="880" t="s">
        <v>140</v>
      </c>
      <c r="B60" s="881" t="s">
        <v>141</v>
      </c>
      <c r="C60" s="768" t="s">
        <v>267</v>
      </c>
      <c r="D60" s="1160">
        <f t="shared" si="1"/>
        <v>118528.98</v>
      </c>
      <c r="E60" s="1160">
        <v>118528.98</v>
      </c>
      <c r="F60" s="1160">
        <v>0</v>
      </c>
      <c r="G60" s="1160">
        <v>0</v>
      </c>
      <c r="H60" s="1160">
        <v>0</v>
      </c>
      <c r="I60" s="1160">
        <v>0</v>
      </c>
      <c r="J60" s="1160">
        <f t="shared" si="2"/>
        <v>0</v>
      </c>
    </row>
    <row r="61" spans="1:10">
      <c r="A61" s="880" t="s">
        <v>146</v>
      </c>
      <c r="B61" s="881" t="s">
        <v>147</v>
      </c>
      <c r="C61" s="768" t="s">
        <v>264</v>
      </c>
      <c r="D61" s="1160">
        <f t="shared" si="1"/>
        <v>103521.89</v>
      </c>
      <c r="E61" s="1160">
        <v>103521.89</v>
      </c>
      <c r="F61" s="1160">
        <v>0</v>
      </c>
      <c r="G61" s="1160">
        <v>0</v>
      </c>
      <c r="H61" s="1160">
        <v>0</v>
      </c>
      <c r="I61" s="1160">
        <v>0</v>
      </c>
      <c r="J61" s="1160">
        <f t="shared" si="2"/>
        <v>0</v>
      </c>
    </row>
    <row r="62" spans="1:10">
      <c r="A62" s="880" t="s">
        <v>148</v>
      </c>
      <c r="B62" s="881" t="s">
        <v>149</v>
      </c>
      <c r="C62" s="768" t="s">
        <v>265</v>
      </c>
      <c r="D62" s="1160">
        <f t="shared" si="1"/>
        <v>832800.95000000007</v>
      </c>
      <c r="E62" s="1160">
        <v>832800.95000000007</v>
      </c>
      <c r="F62" s="1160">
        <v>0</v>
      </c>
      <c r="G62" s="1160">
        <v>0</v>
      </c>
      <c r="H62" s="1160">
        <v>0</v>
      </c>
      <c r="I62" s="1160">
        <v>0</v>
      </c>
      <c r="J62" s="1160">
        <f t="shared" si="2"/>
        <v>0</v>
      </c>
    </row>
    <row r="63" spans="1:10">
      <c r="A63" s="880" t="s">
        <v>150</v>
      </c>
      <c r="B63" s="881" t="s">
        <v>151</v>
      </c>
      <c r="C63" s="768" t="s">
        <v>266</v>
      </c>
      <c r="D63" s="1160">
        <f t="shared" si="1"/>
        <v>157566.81</v>
      </c>
      <c r="E63" s="1160">
        <v>157566.81</v>
      </c>
      <c r="F63" s="1160">
        <v>0</v>
      </c>
      <c r="G63" s="1160">
        <v>0</v>
      </c>
      <c r="H63" s="1160">
        <v>0</v>
      </c>
      <c r="I63" s="1160">
        <v>0</v>
      </c>
      <c r="J63" s="1160">
        <f t="shared" si="2"/>
        <v>0</v>
      </c>
    </row>
    <row r="64" spans="1:10">
      <c r="A64" s="880" t="s">
        <v>152</v>
      </c>
      <c r="B64" s="881" t="s">
        <v>153</v>
      </c>
      <c r="C64" s="768" t="s">
        <v>268</v>
      </c>
      <c r="D64" s="1160">
        <f t="shared" si="1"/>
        <v>798766.41999999993</v>
      </c>
      <c r="E64" s="1160">
        <v>798766.41999999993</v>
      </c>
      <c r="F64" s="1160">
        <v>0</v>
      </c>
      <c r="G64" s="1160">
        <v>0</v>
      </c>
      <c r="H64" s="1160">
        <v>0</v>
      </c>
      <c r="I64" s="1160">
        <v>0</v>
      </c>
      <c r="J64" s="1160">
        <f t="shared" si="2"/>
        <v>0</v>
      </c>
    </row>
    <row r="65" spans="1:10">
      <c r="A65" s="880" t="s">
        <v>154</v>
      </c>
      <c r="B65" s="881" t="s">
        <v>155</v>
      </c>
      <c r="C65" s="768" t="s">
        <v>265</v>
      </c>
      <c r="D65" s="1160">
        <f t="shared" si="1"/>
        <v>303460.08</v>
      </c>
      <c r="E65" s="1160">
        <v>303460.08</v>
      </c>
      <c r="F65" s="1160">
        <v>0</v>
      </c>
      <c r="G65" s="1160">
        <v>0</v>
      </c>
      <c r="H65" s="1160">
        <v>0</v>
      </c>
      <c r="I65" s="1160">
        <v>0</v>
      </c>
      <c r="J65" s="1160">
        <f t="shared" si="2"/>
        <v>0</v>
      </c>
    </row>
    <row r="66" spans="1:10">
      <c r="A66" s="880" t="s">
        <v>156</v>
      </c>
      <c r="B66" s="881" t="s">
        <v>157</v>
      </c>
      <c r="C66" s="768" t="s">
        <v>266</v>
      </c>
      <c r="D66" s="1160">
        <f t="shared" si="1"/>
        <v>58216.39</v>
      </c>
      <c r="E66" s="1160">
        <v>58216.39</v>
      </c>
      <c r="F66" s="1160">
        <v>0</v>
      </c>
      <c r="G66" s="1160">
        <v>0</v>
      </c>
      <c r="H66" s="1160">
        <v>0</v>
      </c>
      <c r="I66" s="1160">
        <v>0</v>
      </c>
      <c r="J66" s="1160">
        <f t="shared" si="2"/>
        <v>0</v>
      </c>
    </row>
    <row r="67" spans="1:10">
      <c r="A67" s="880" t="s">
        <v>162</v>
      </c>
      <c r="B67" s="881" t="s">
        <v>163</v>
      </c>
      <c r="C67" s="768" t="s">
        <v>264</v>
      </c>
      <c r="D67" s="1160">
        <f t="shared" si="1"/>
        <v>495345.22000000003</v>
      </c>
      <c r="E67" s="1160">
        <v>495345.22000000003</v>
      </c>
      <c r="F67" s="1160">
        <v>0</v>
      </c>
      <c r="G67" s="1160">
        <v>0</v>
      </c>
      <c r="H67" s="1160">
        <v>0</v>
      </c>
      <c r="I67" s="1160">
        <v>0</v>
      </c>
      <c r="J67" s="1160">
        <f t="shared" si="2"/>
        <v>0</v>
      </c>
    </row>
    <row r="68" spans="1:10">
      <c r="A68" s="880" t="s">
        <v>164</v>
      </c>
      <c r="B68" s="881" t="s">
        <v>165</v>
      </c>
      <c r="C68" s="768" t="s">
        <v>266</v>
      </c>
      <c r="D68" s="1160">
        <f t="shared" si="1"/>
        <v>268968.49</v>
      </c>
      <c r="E68" s="1160">
        <v>268968.49</v>
      </c>
      <c r="F68" s="1160">
        <v>0</v>
      </c>
      <c r="G68" s="1160">
        <v>0</v>
      </c>
      <c r="H68" s="1160">
        <v>0</v>
      </c>
      <c r="I68" s="1160">
        <v>0</v>
      </c>
      <c r="J68" s="1160">
        <f t="shared" si="2"/>
        <v>0</v>
      </c>
    </row>
    <row r="69" spans="1:10">
      <c r="A69" s="880" t="s">
        <v>168</v>
      </c>
      <c r="B69" s="881" t="s">
        <v>169</v>
      </c>
      <c r="C69" s="768" t="s">
        <v>266</v>
      </c>
      <c r="D69" s="1160">
        <f t="shared" si="1"/>
        <v>384580.54</v>
      </c>
      <c r="E69" s="1160">
        <v>384580.54</v>
      </c>
      <c r="F69" s="1160">
        <v>0</v>
      </c>
      <c r="G69" s="1160">
        <v>0</v>
      </c>
      <c r="H69" s="1160">
        <v>0</v>
      </c>
      <c r="I69" s="1160">
        <v>0</v>
      </c>
      <c r="J69" s="1160">
        <f t="shared" si="2"/>
        <v>0</v>
      </c>
    </row>
    <row r="70" spans="1:10">
      <c r="A70" s="880" t="s">
        <v>170</v>
      </c>
      <c r="B70" s="881" t="s">
        <v>171</v>
      </c>
      <c r="C70" s="768" t="s">
        <v>267</v>
      </c>
      <c r="D70" s="1160">
        <f t="shared" ref="D70:D124" si="3">SUM(E70:I70)</f>
        <v>260301.34000000003</v>
      </c>
      <c r="E70" s="1160">
        <v>260301.34000000003</v>
      </c>
      <c r="F70" s="1160">
        <v>0</v>
      </c>
      <c r="G70" s="1160">
        <v>0</v>
      </c>
      <c r="H70" s="1160">
        <v>0</v>
      </c>
      <c r="I70" s="1160">
        <v>0</v>
      </c>
      <c r="J70" s="1160">
        <f t="shared" ref="J70:J124" si="4">H70+I70</f>
        <v>0</v>
      </c>
    </row>
    <row r="71" spans="1:10">
      <c r="A71" s="880" t="s">
        <v>172</v>
      </c>
      <c r="B71" s="881" t="s">
        <v>173</v>
      </c>
      <c r="C71" s="768" t="s">
        <v>267</v>
      </c>
      <c r="D71" s="1160">
        <f t="shared" si="3"/>
        <v>424375.93999999994</v>
      </c>
      <c r="E71" s="1160">
        <v>424375.93999999994</v>
      </c>
      <c r="F71" s="1160">
        <v>0</v>
      </c>
      <c r="G71" s="1160">
        <v>0</v>
      </c>
      <c r="H71" s="1160">
        <v>0</v>
      </c>
      <c r="I71" s="1160">
        <v>0</v>
      </c>
      <c r="J71" s="1160">
        <f t="shared" si="4"/>
        <v>0</v>
      </c>
    </row>
    <row r="72" spans="1:10">
      <c r="A72" s="880" t="s">
        <v>174</v>
      </c>
      <c r="B72" s="881" t="s">
        <v>175</v>
      </c>
      <c r="C72" s="768" t="s">
        <v>268</v>
      </c>
      <c r="D72" s="1160">
        <f t="shared" si="3"/>
        <v>494468.61</v>
      </c>
      <c r="E72" s="1160">
        <v>494468.61</v>
      </c>
      <c r="F72" s="1160">
        <v>0</v>
      </c>
      <c r="G72" s="1160">
        <v>0</v>
      </c>
      <c r="H72" s="1160">
        <v>0</v>
      </c>
      <c r="I72" s="1160">
        <v>0</v>
      </c>
      <c r="J72" s="1160">
        <f t="shared" si="4"/>
        <v>0</v>
      </c>
    </row>
    <row r="73" spans="1:10">
      <c r="A73" s="880" t="s">
        <v>178</v>
      </c>
      <c r="B73" s="881" t="s">
        <v>179</v>
      </c>
      <c r="C73" s="768" t="s">
        <v>265</v>
      </c>
      <c r="D73" s="1160">
        <f t="shared" si="3"/>
        <v>1186100.51</v>
      </c>
      <c r="E73" s="1160">
        <v>1186100.51</v>
      </c>
      <c r="F73" s="1160">
        <v>0</v>
      </c>
      <c r="G73" s="1160">
        <v>0</v>
      </c>
      <c r="H73" s="1160">
        <v>0</v>
      </c>
      <c r="I73" s="1160">
        <v>0</v>
      </c>
      <c r="J73" s="1160">
        <f t="shared" si="4"/>
        <v>0</v>
      </c>
    </row>
    <row r="74" spans="1:10">
      <c r="A74" s="880" t="s">
        <v>182</v>
      </c>
      <c r="B74" s="881" t="s">
        <v>183</v>
      </c>
      <c r="C74" s="768" t="s">
        <v>266</v>
      </c>
      <c r="D74" s="1160">
        <f t="shared" si="3"/>
        <v>78545.510000000009</v>
      </c>
      <c r="E74" s="1160">
        <v>78545.510000000009</v>
      </c>
      <c r="F74" s="1160">
        <v>0</v>
      </c>
      <c r="G74" s="1160">
        <v>0</v>
      </c>
      <c r="H74" s="1160">
        <v>0</v>
      </c>
      <c r="I74" s="1160">
        <v>0</v>
      </c>
      <c r="J74" s="1160">
        <f t="shared" si="4"/>
        <v>0</v>
      </c>
    </row>
    <row r="75" spans="1:10">
      <c r="A75" s="880" t="s">
        <v>184</v>
      </c>
      <c r="B75" s="881" t="s">
        <v>185</v>
      </c>
      <c r="C75" s="768" t="s">
        <v>266</v>
      </c>
      <c r="D75" s="1160">
        <f t="shared" si="3"/>
        <v>394514.62</v>
      </c>
      <c r="E75" s="1160">
        <v>394514.62</v>
      </c>
      <c r="F75" s="1160">
        <v>0</v>
      </c>
      <c r="G75" s="1160">
        <v>0</v>
      </c>
      <c r="H75" s="1160">
        <v>0</v>
      </c>
      <c r="I75" s="1160">
        <v>0</v>
      </c>
      <c r="J75" s="1160">
        <f t="shared" si="4"/>
        <v>0</v>
      </c>
    </row>
    <row r="76" spans="1:10">
      <c r="A76" s="880" t="s">
        <v>186</v>
      </c>
      <c r="B76" s="881" t="s">
        <v>187</v>
      </c>
      <c r="C76" s="768" t="s">
        <v>264</v>
      </c>
      <c r="D76" s="1160">
        <f t="shared" si="3"/>
        <v>137280.76999999999</v>
      </c>
      <c r="E76" s="1160">
        <v>137280.76999999999</v>
      </c>
      <c r="F76" s="1160">
        <v>0</v>
      </c>
      <c r="G76" s="1160">
        <v>0</v>
      </c>
      <c r="H76" s="1160">
        <v>0</v>
      </c>
      <c r="I76" s="1160">
        <v>0</v>
      </c>
      <c r="J76" s="1160">
        <f t="shared" si="4"/>
        <v>0</v>
      </c>
    </row>
    <row r="77" spans="1:10">
      <c r="A77" s="880" t="s">
        <v>188</v>
      </c>
      <c r="B77" s="881" t="s">
        <v>189</v>
      </c>
      <c r="C77" s="768" t="s">
        <v>267</v>
      </c>
      <c r="D77" s="1160">
        <f t="shared" si="3"/>
        <v>392154.38</v>
      </c>
      <c r="E77" s="1160">
        <v>392154.38</v>
      </c>
      <c r="F77" s="1160">
        <v>0</v>
      </c>
      <c r="G77" s="1160">
        <v>0</v>
      </c>
      <c r="H77" s="1160">
        <v>0</v>
      </c>
      <c r="I77" s="1160">
        <v>0</v>
      </c>
      <c r="J77" s="1160">
        <f t="shared" si="4"/>
        <v>0</v>
      </c>
    </row>
    <row r="78" spans="1:10">
      <c r="A78" s="880" t="s">
        <v>190</v>
      </c>
      <c r="B78" s="881" t="s">
        <v>191</v>
      </c>
      <c r="C78" s="768" t="s">
        <v>268</v>
      </c>
      <c r="D78" s="1160">
        <f t="shared" si="3"/>
        <v>862961.52</v>
      </c>
      <c r="E78" s="1160">
        <v>862961.52</v>
      </c>
      <c r="F78" s="1160">
        <v>0</v>
      </c>
      <c r="G78" s="1160">
        <v>0</v>
      </c>
      <c r="H78" s="1160">
        <v>0</v>
      </c>
      <c r="I78" s="1160">
        <v>0</v>
      </c>
      <c r="J78" s="1160">
        <f t="shared" si="4"/>
        <v>0</v>
      </c>
    </row>
    <row r="79" spans="1:10">
      <c r="A79" s="880" t="s">
        <v>194</v>
      </c>
      <c r="B79" s="881" t="s">
        <v>195</v>
      </c>
      <c r="C79" s="768" t="s">
        <v>267</v>
      </c>
      <c r="D79" s="1160">
        <f t="shared" si="3"/>
        <v>33514.31</v>
      </c>
      <c r="E79" s="1160">
        <v>33514.31</v>
      </c>
      <c r="F79" s="1160">
        <v>0</v>
      </c>
      <c r="G79" s="1160">
        <v>0</v>
      </c>
      <c r="H79" s="1160">
        <v>0</v>
      </c>
      <c r="I79" s="1160">
        <v>0</v>
      </c>
      <c r="J79" s="1160">
        <f t="shared" si="4"/>
        <v>0</v>
      </c>
    </row>
    <row r="80" spans="1:10">
      <c r="A80" s="880" t="s">
        <v>198</v>
      </c>
      <c r="B80" s="881" t="s">
        <v>199</v>
      </c>
      <c r="C80" s="768" t="s">
        <v>266</v>
      </c>
      <c r="D80" s="1160">
        <f t="shared" si="3"/>
        <v>179529.36</v>
      </c>
      <c r="E80" s="1160">
        <v>179529.36</v>
      </c>
      <c r="F80" s="1160">
        <v>0</v>
      </c>
      <c r="G80" s="1160">
        <v>0</v>
      </c>
      <c r="H80" s="1160">
        <v>0</v>
      </c>
      <c r="I80" s="1160">
        <v>0</v>
      </c>
      <c r="J80" s="1160">
        <f t="shared" si="4"/>
        <v>0</v>
      </c>
    </row>
    <row r="81" spans="1:10">
      <c r="A81" s="880" t="s">
        <v>202</v>
      </c>
      <c r="B81" s="881" t="s">
        <v>203</v>
      </c>
      <c r="C81" s="768" t="s">
        <v>265</v>
      </c>
      <c r="D81" s="1160">
        <f t="shared" si="3"/>
        <v>538343.77</v>
      </c>
      <c r="E81" s="1160">
        <v>538343.77</v>
      </c>
      <c r="F81" s="1160">
        <v>0</v>
      </c>
      <c r="G81" s="1160">
        <v>0</v>
      </c>
      <c r="H81" s="1160">
        <v>0</v>
      </c>
      <c r="I81" s="1160">
        <v>0</v>
      </c>
      <c r="J81" s="1160">
        <f t="shared" si="4"/>
        <v>0</v>
      </c>
    </row>
    <row r="82" spans="1:10" ht="31.5">
      <c r="A82" s="880" t="s">
        <v>204</v>
      </c>
      <c r="B82" s="881" t="s">
        <v>205</v>
      </c>
      <c r="C82" s="768" t="s">
        <v>265</v>
      </c>
      <c r="D82" s="1160">
        <f t="shared" si="3"/>
        <v>599692.41999999993</v>
      </c>
      <c r="E82" s="1160">
        <v>599692.41999999993</v>
      </c>
      <c r="F82" s="1160">
        <v>0</v>
      </c>
      <c r="G82" s="1160">
        <v>0</v>
      </c>
      <c r="H82" s="1160">
        <v>0</v>
      </c>
      <c r="I82" s="1160">
        <v>0</v>
      </c>
      <c r="J82" s="1160">
        <f t="shared" si="4"/>
        <v>0</v>
      </c>
    </row>
    <row r="83" spans="1:10">
      <c r="A83" s="880" t="s">
        <v>206</v>
      </c>
      <c r="B83" s="881" t="s">
        <v>207</v>
      </c>
      <c r="C83" s="768" t="s">
        <v>267</v>
      </c>
      <c r="D83" s="1160">
        <f t="shared" si="3"/>
        <v>874655.64</v>
      </c>
      <c r="E83" s="1160">
        <v>874655.64</v>
      </c>
      <c r="F83" s="1160">
        <v>0</v>
      </c>
      <c r="G83" s="1160">
        <v>0</v>
      </c>
      <c r="H83" s="1160">
        <v>0</v>
      </c>
      <c r="I83" s="1160">
        <v>0</v>
      </c>
      <c r="J83" s="1160">
        <f t="shared" si="4"/>
        <v>0</v>
      </c>
    </row>
    <row r="84" spans="1:10">
      <c r="A84" s="880" t="s">
        <v>208</v>
      </c>
      <c r="B84" s="881" t="s">
        <v>209</v>
      </c>
      <c r="C84" s="768" t="s">
        <v>268</v>
      </c>
      <c r="D84" s="1160">
        <f t="shared" si="3"/>
        <v>1128994.6200000001</v>
      </c>
      <c r="E84" s="1160">
        <v>1128994.6200000001</v>
      </c>
      <c r="F84" s="1160">
        <v>0</v>
      </c>
      <c r="G84" s="1160">
        <v>0</v>
      </c>
      <c r="H84" s="1160">
        <v>0</v>
      </c>
      <c r="I84" s="1160">
        <v>0</v>
      </c>
      <c r="J84" s="1160">
        <f t="shared" si="4"/>
        <v>0</v>
      </c>
    </row>
    <row r="85" spans="1:10">
      <c r="A85" s="880" t="s">
        <v>210</v>
      </c>
      <c r="B85" s="881" t="s">
        <v>211</v>
      </c>
      <c r="C85" s="768" t="s">
        <v>268</v>
      </c>
      <c r="D85" s="1160">
        <f t="shared" si="3"/>
        <v>750386.91999999993</v>
      </c>
      <c r="E85" s="1160">
        <v>750386.91999999993</v>
      </c>
      <c r="F85" s="1160">
        <v>0</v>
      </c>
      <c r="G85" s="1160">
        <v>0</v>
      </c>
      <c r="H85" s="1160">
        <v>0</v>
      </c>
      <c r="I85" s="1160">
        <v>0</v>
      </c>
      <c r="J85" s="1160">
        <f t="shared" si="4"/>
        <v>0</v>
      </c>
    </row>
    <row r="86" spans="1:10">
      <c r="A86" s="880" t="s">
        <v>212</v>
      </c>
      <c r="B86" s="881" t="s">
        <v>213</v>
      </c>
      <c r="C86" s="768" t="s">
        <v>267</v>
      </c>
      <c r="D86" s="1160">
        <f t="shared" si="3"/>
        <v>466041.58</v>
      </c>
      <c r="E86" s="1160">
        <v>466041.58</v>
      </c>
      <c r="F86" s="1160">
        <v>0</v>
      </c>
      <c r="G86" s="1160">
        <v>0</v>
      </c>
      <c r="H86" s="1160">
        <v>0</v>
      </c>
      <c r="I86" s="1160">
        <v>0</v>
      </c>
      <c r="J86" s="1160">
        <f t="shared" si="4"/>
        <v>0</v>
      </c>
    </row>
    <row r="87" spans="1:10">
      <c r="A87" s="880" t="s">
        <v>214</v>
      </c>
      <c r="B87" s="881" t="s">
        <v>215</v>
      </c>
      <c r="C87" s="768" t="s">
        <v>268</v>
      </c>
      <c r="D87" s="1160">
        <f t="shared" si="3"/>
        <v>1053569.3900000001</v>
      </c>
      <c r="E87" s="1160">
        <v>1053569.3900000001</v>
      </c>
      <c r="F87" s="1160">
        <v>0</v>
      </c>
      <c r="G87" s="1160">
        <v>0</v>
      </c>
      <c r="H87" s="1160">
        <v>0</v>
      </c>
      <c r="I87" s="1160">
        <v>0</v>
      </c>
      <c r="J87" s="1160">
        <f t="shared" si="4"/>
        <v>0</v>
      </c>
    </row>
    <row r="88" spans="1:10">
      <c r="A88" s="880" t="s">
        <v>216</v>
      </c>
      <c r="B88" s="881" t="s">
        <v>217</v>
      </c>
      <c r="C88" s="768" t="s">
        <v>264</v>
      </c>
      <c r="D88" s="1160">
        <f t="shared" si="3"/>
        <v>287140.75</v>
      </c>
      <c r="E88" s="1160">
        <v>287140.75</v>
      </c>
      <c r="F88" s="1160">
        <v>0</v>
      </c>
      <c r="G88" s="1160">
        <v>0</v>
      </c>
      <c r="H88" s="1160">
        <v>0</v>
      </c>
      <c r="I88" s="1160">
        <v>0</v>
      </c>
      <c r="J88" s="1160">
        <f t="shared" si="4"/>
        <v>0</v>
      </c>
    </row>
    <row r="89" spans="1:10">
      <c r="A89" s="880" t="s">
        <v>218</v>
      </c>
      <c r="B89" s="881" t="s">
        <v>219</v>
      </c>
      <c r="C89" s="768" t="s">
        <v>267</v>
      </c>
      <c r="D89" s="1160">
        <f t="shared" si="3"/>
        <v>330253.07</v>
      </c>
      <c r="E89" s="1160">
        <v>330253.07</v>
      </c>
      <c r="F89" s="1160">
        <v>0</v>
      </c>
      <c r="G89" s="1160">
        <v>0</v>
      </c>
      <c r="H89" s="1160">
        <v>0</v>
      </c>
      <c r="I89" s="1160">
        <v>0</v>
      </c>
      <c r="J89" s="1160">
        <f t="shared" si="4"/>
        <v>0</v>
      </c>
    </row>
    <row r="90" spans="1:10">
      <c r="A90" s="880" t="s">
        <v>220</v>
      </c>
      <c r="B90" s="881" t="s">
        <v>221</v>
      </c>
      <c r="C90" s="768" t="s">
        <v>267</v>
      </c>
      <c r="D90" s="1160">
        <f t="shared" si="3"/>
        <v>186594.11</v>
      </c>
      <c r="E90" s="1160">
        <v>186594.11</v>
      </c>
      <c r="F90" s="1160">
        <v>0</v>
      </c>
      <c r="G90" s="1160">
        <v>0</v>
      </c>
      <c r="H90" s="1160">
        <v>0</v>
      </c>
      <c r="I90" s="1160">
        <v>0</v>
      </c>
      <c r="J90" s="1160">
        <f t="shared" si="4"/>
        <v>0</v>
      </c>
    </row>
    <row r="91" spans="1:10">
      <c r="A91" s="880" t="s">
        <v>224</v>
      </c>
      <c r="B91" s="881" t="s">
        <v>225</v>
      </c>
      <c r="C91" s="768" t="s">
        <v>264</v>
      </c>
      <c r="D91" s="1160">
        <f t="shared" si="3"/>
        <v>103326.65999999999</v>
      </c>
      <c r="E91" s="1160">
        <v>103326.65999999999</v>
      </c>
      <c r="F91" s="1160">
        <v>0</v>
      </c>
      <c r="G91" s="1160">
        <v>0</v>
      </c>
      <c r="H91" s="1160">
        <v>0</v>
      </c>
      <c r="I91" s="1160">
        <v>0</v>
      </c>
      <c r="J91" s="1160">
        <f t="shared" si="4"/>
        <v>0</v>
      </c>
    </row>
    <row r="92" spans="1:10">
      <c r="A92" s="880" t="s">
        <v>226</v>
      </c>
      <c r="B92" s="881" t="s">
        <v>227</v>
      </c>
      <c r="C92" s="768" t="s">
        <v>264</v>
      </c>
      <c r="D92" s="1160">
        <f t="shared" si="3"/>
        <v>208839.83</v>
      </c>
      <c r="E92" s="1160">
        <v>208839.83</v>
      </c>
      <c r="F92" s="1160">
        <v>0</v>
      </c>
      <c r="G92" s="1160">
        <v>0</v>
      </c>
      <c r="H92" s="1160">
        <v>0</v>
      </c>
      <c r="I92" s="1160">
        <v>0</v>
      </c>
      <c r="J92" s="1160">
        <f t="shared" si="4"/>
        <v>0</v>
      </c>
    </row>
    <row r="93" spans="1:10">
      <c r="A93" s="880" t="s">
        <v>228</v>
      </c>
      <c r="B93" s="881" t="s">
        <v>229</v>
      </c>
      <c r="C93" s="768" t="s">
        <v>268</v>
      </c>
      <c r="D93" s="1160">
        <f t="shared" si="3"/>
        <v>1295492.98</v>
      </c>
      <c r="E93" s="1160">
        <v>1295492.98</v>
      </c>
      <c r="F93" s="1160">
        <v>0</v>
      </c>
      <c r="G93" s="1160">
        <v>0</v>
      </c>
      <c r="H93" s="1160">
        <v>0</v>
      </c>
      <c r="I93" s="1160">
        <v>0</v>
      </c>
      <c r="J93" s="1160">
        <f t="shared" si="4"/>
        <v>0</v>
      </c>
    </row>
    <row r="94" spans="1:10">
      <c r="A94" s="880" t="s">
        <v>232</v>
      </c>
      <c r="B94" s="881" t="s">
        <v>233</v>
      </c>
      <c r="C94" s="768" t="s">
        <v>267</v>
      </c>
      <c r="D94" s="1160">
        <f t="shared" si="3"/>
        <v>284746.77</v>
      </c>
      <c r="E94" s="1160">
        <v>284746.77</v>
      </c>
      <c r="F94" s="1160">
        <v>0</v>
      </c>
      <c r="G94" s="1160">
        <v>0</v>
      </c>
      <c r="H94" s="1160">
        <v>0</v>
      </c>
      <c r="I94" s="1160">
        <v>0</v>
      </c>
      <c r="J94" s="1160">
        <f t="shared" si="4"/>
        <v>0</v>
      </c>
    </row>
    <row r="95" spans="1:10">
      <c r="A95" s="880" t="s">
        <v>234</v>
      </c>
      <c r="B95" s="881" t="s">
        <v>235</v>
      </c>
      <c r="C95" s="768" t="s">
        <v>268</v>
      </c>
      <c r="D95" s="1160">
        <f t="shared" si="3"/>
        <v>942618.01</v>
      </c>
      <c r="E95" s="1160">
        <v>942618.01</v>
      </c>
      <c r="F95" s="1160">
        <v>0</v>
      </c>
      <c r="G95" s="1160">
        <v>0</v>
      </c>
      <c r="H95" s="1160">
        <v>0</v>
      </c>
      <c r="I95" s="1160">
        <v>0</v>
      </c>
      <c r="J95" s="1160">
        <f t="shared" si="4"/>
        <v>0</v>
      </c>
    </row>
    <row r="96" spans="1:10">
      <c r="A96" s="880" t="s">
        <v>236</v>
      </c>
      <c r="B96" s="881" t="s">
        <v>237</v>
      </c>
      <c r="C96" s="768" t="s">
        <v>266</v>
      </c>
      <c r="D96" s="1160">
        <f t="shared" si="3"/>
        <v>376831.05</v>
      </c>
      <c r="E96" s="1160">
        <v>376831.05</v>
      </c>
      <c r="F96" s="1160">
        <v>0</v>
      </c>
      <c r="G96" s="1160">
        <v>0</v>
      </c>
      <c r="H96" s="1160">
        <v>0</v>
      </c>
      <c r="I96" s="1160">
        <v>0</v>
      </c>
      <c r="J96" s="1160">
        <f t="shared" si="4"/>
        <v>0</v>
      </c>
    </row>
    <row r="97" spans="1:10">
      <c r="A97" s="880" t="s">
        <v>242</v>
      </c>
      <c r="B97" s="881" t="s">
        <v>243</v>
      </c>
      <c r="C97" s="768" t="s">
        <v>268</v>
      </c>
      <c r="D97" s="1160">
        <f t="shared" si="3"/>
        <v>1261565.97</v>
      </c>
      <c r="E97" s="1160">
        <v>1261565.97</v>
      </c>
      <c r="F97" s="1160">
        <v>0</v>
      </c>
      <c r="G97" s="1160">
        <v>0</v>
      </c>
      <c r="H97" s="1160">
        <v>0</v>
      </c>
      <c r="I97" s="1160">
        <v>0</v>
      </c>
      <c r="J97" s="1160">
        <f t="shared" si="4"/>
        <v>0</v>
      </c>
    </row>
    <row r="98" spans="1:10">
      <c r="A98" s="880" t="s">
        <v>244</v>
      </c>
      <c r="B98" s="881" t="s">
        <v>245</v>
      </c>
      <c r="C98" s="768" t="s">
        <v>268</v>
      </c>
      <c r="D98" s="1160">
        <f t="shared" si="3"/>
        <v>578235.94999999995</v>
      </c>
      <c r="E98" s="1160">
        <v>578235.94999999995</v>
      </c>
      <c r="F98" s="1160">
        <v>0</v>
      </c>
      <c r="G98" s="1160">
        <v>0</v>
      </c>
      <c r="H98" s="1160">
        <v>0</v>
      </c>
      <c r="I98" s="1160">
        <v>0</v>
      </c>
      <c r="J98" s="1160">
        <f t="shared" si="4"/>
        <v>0</v>
      </c>
    </row>
    <row r="99" spans="1:10">
      <c r="A99" s="880" t="s">
        <v>246</v>
      </c>
      <c r="B99" s="881" t="s">
        <v>310</v>
      </c>
      <c r="C99" s="768" t="s">
        <v>264</v>
      </c>
      <c r="D99" s="1160">
        <f t="shared" si="3"/>
        <v>129965.44</v>
      </c>
      <c r="E99" s="1160">
        <v>129965.44</v>
      </c>
      <c r="F99" s="1160">
        <v>0</v>
      </c>
      <c r="G99" s="1160">
        <v>0</v>
      </c>
      <c r="H99" s="1160">
        <v>0</v>
      </c>
      <c r="I99" s="1160">
        <v>0</v>
      </c>
      <c r="J99" s="1160">
        <f t="shared" si="4"/>
        <v>0</v>
      </c>
    </row>
    <row r="100" spans="1:10">
      <c r="A100" s="880" t="s">
        <v>14</v>
      </c>
      <c r="B100" s="881" t="s">
        <v>15</v>
      </c>
      <c r="C100" s="768" t="s">
        <v>267</v>
      </c>
      <c r="D100" s="1160">
        <f t="shared" si="3"/>
        <v>250358.69999999998</v>
      </c>
      <c r="E100" s="1160">
        <v>250358.69999999998</v>
      </c>
      <c r="F100" s="1160">
        <v>0</v>
      </c>
      <c r="G100" s="1160">
        <v>0</v>
      </c>
      <c r="H100" s="1160">
        <v>0</v>
      </c>
      <c r="I100" s="1160">
        <v>0</v>
      </c>
      <c r="J100" s="1160">
        <f t="shared" si="4"/>
        <v>0</v>
      </c>
    </row>
    <row r="101" spans="1:10">
      <c r="A101" s="880" t="s">
        <v>34</v>
      </c>
      <c r="B101" s="881" t="s">
        <v>35</v>
      </c>
      <c r="C101" s="768" t="s">
        <v>268</v>
      </c>
      <c r="D101" s="1160">
        <f t="shared" si="3"/>
        <v>287552.33</v>
      </c>
      <c r="E101" s="1160">
        <v>287552.33</v>
      </c>
      <c r="F101" s="1160">
        <v>0</v>
      </c>
      <c r="G101" s="1160">
        <v>0</v>
      </c>
      <c r="H101" s="1160">
        <v>0</v>
      </c>
      <c r="I101" s="1160">
        <v>0</v>
      </c>
      <c r="J101" s="1160">
        <f t="shared" si="4"/>
        <v>0</v>
      </c>
    </row>
    <row r="102" spans="1:10">
      <c r="A102" s="880" t="s">
        <v>52</v>
      </c>
      <c r="B102" s="881" t="s">
        <v>53</v>
      </c>
      <c r="C102" s="768" t="s">
        <v>265</v>
      </c>
      <c r="D102" s="1160">
        <f t="shared" si="3"/>
        <v>280871.69</v>
      </c>
      <c r="E102" s="1160">
        <v>280871.69</v>
      </c>
      <c r="F102" s="1160">
        <v>0</v>
      </c>
      <c r="G102" s="1160">
        <v>0</v>
      </c>
      <c r="H102" s="1160">
        <v>0</v>
      </c>
      <c r="I102" s="1160">
        <v>0</v>
      </c>
      <c r="J102" s="1160">
        <f t="shared" si="4"/>
        <v>0</v>
      </c>
    </row>
    <row r="103" spans="1:10">
      <c r="A103" s="880" t="s">
        <v>54</v>
      </c>
      <c r="B103" s="881" t="s">
        <v>55</v>
      </c>
      <c r="C103" s="768" t="s">
        <v>264</v>
      </c>
      <c r="D103" s="1160">
        <f t="shared" si="3"/>
        <v>834130.18</v>
      </c>
      <c r="E103" s="1160">
        <v>834130.18</v>
      </c>
      <c r="F103" s="1160">
        <v>0</v>
      </c>
      <c r="G103" s="1160">
        <v>0</v>
      </c>
      <c r="H103" s="1160">
        <v>0</v>
      </c>
      <c r="I103" s="1160">
        <v>0</v>
      </c>
      <c r="J103" s="1160">
        <f t="shared" si="4"/>
        <v>0</v>
      </c>
    </row>
    <row r="104" spans="1:10">
      <c r="A104" s="880" t="s">
        <v>66</v>
      </c>
      <c r="B104" s="881" t="s">
        <v>67</v>
      </c>
      <c r="C104" s="768" t="s">
        <v>265</v>
      </c>
      <c r="D104" s="1160">
        <f t="shared" si="3"/>
        <v>1103703.1099999999</v>
      </c>
      <c r="E104" s="1160">
        <v>1103703.1099999999</v>
      </c>
      <c r="F104" s="1160">
        <v>0</v>
      </c>
      <c r="G104" s="1160">
        <v>0</v>
      </c>
      <c r="H104" s="1160">
        <v>0</v>
      </c>
      <c r="I104" s="1160">
        <v>0</v>
      </c>
      <c r="J104" s="1160">
        <f t="shared" si="4"/>
        <v>0</v>
      </c>
    </row>
    <row r="105" spans="1:10">
      <c r="A105" s="880" t="s">
        <v>82</v>
      </c>
      <c r="B105" s="881" t="s">
        <v>311</v>
      </c>
      <c r="C105" s="768" t="s">
        <v>264</v>
      </c>
      <c r="D105" s="1160">
        <f t="shared" si="3"/>
        <v>276284.64</v>
      </c>
      <c r="E105" s="1160">
        <v>276284.64</v>
      </c>
      <c r="F105" s="1160">
        <v>0</v>
      </c>
      <c r="G105" s="1160">
        <v>0</v>
      </c>
      <c r="H105" s="1160">
        <v>0</v>
      </c>
      <c r="I105" s="1160">
        <v>0</v>
      </c>
      <c r="J105" s="1160">
        <f t="shared" si="4"/>
        <v>0</v>
      </c>
    </row>
    <row r="106" spans="1:10">
      <c r="A106" s="880" t="s">
        <v>88</v>
      </c>
      <c r="B106" s="881" t="s">
        <v>89</v>
      </c>
      <c r="C106" s="768" t="s">
        <v>267</v>
      </c>
      <c r="D106" s="1160">
        <f t="shared" si="3"/>
        <v>196583.83000000002</v>
      </c>
      <c r="E106" s="1160">
        <v>196583.83000000002</v>
      </c>
      <c r="F106" s="1160">
        <v>0</v>
      </c>
      <c r="G106" s="1160">
        <v>0</v>
      </c>
      <c r="H106" s="1160">
        <v>0</v>
      </c>
      <c r="I106" s="1160">
        <v>0</v>
      </c>
      <c r="J106" s="1160">
        <f t="shared" si="4"/>
        <v>0</v>
      </c>
    </row>
    <row r="107" spans="1:10">
      <c r="A107" s="880" t="s">
        <v>90</v>
      </c>
      <c r="B107" s="881" t="s">
        <v>91</v>
      </c>
      <c r="C107" s="768" t="s">
        <v>268</v>
      </c>
      <c r="D107" s="1160">
        <f t="shared" si="3"/>
        <v>299233.17000000004</v>
      </c>
      <c r="E107" s="1160">
        <v>299233.17000000004</v>
      </c>
      <c r="F107" s="1160">
        <v>0</v>
      </c>
      <c r="G107" s="1160">
        <v>0</v>
      </c>
      <c r="H107" s="1160">
        <v>0</v>
      </c>
      <c r="I107" s="1160">
        <v>0</v>
      </c>
      <c r="J107" s="1160">
        <f t="shared" si="4"/>
        <v>0</v>
      </c>
    </row>
    <row r="108" spans="1:10">
      <c r="A108" s="880" t="s">
        <v>106</v>
      </c>
      <c r="B108" s="881" t="s">
        <v>107</v>
      </c>
      <c r="C108" s="768" t="s">
        <v>264</v>
      </c>
      <c r="D108" s="1160">
        <f t="shared" si="3"/>
        <v>830274.82</v>
      </c>
      <c r="E108" s="1160">
        <v>830274.82</v>
      </c>
      <c r="F108" s="1160">
        <v>0</v>
      </c>
      <c r="G108" s="1160">
        <v>0</v>
      </c>
      <c r="H108" s="1160">
        <v>0</v>
      </c>
      <c r="I108" s="1160">
        <v>0</v>
      </c>
      <c r="J108" s="1160">
        <f t="shared" si="4"/>
        <v>0</v>
      </c>
    </row>
    <row r="109" spans="1:10">
      <c r="A109" s="880" t="s">
        <v>116</v>
      </c>
      <c r="B109" s="881" t="s">
        <v>117</v>
      </c>
      <c r="C109" s="768" t="s">
        <v>266</v>
      </c>
      <c r="D109" s="1160">
        <f t="shared" si="3"/>
        <v>332189.28000000003</v>
      </c>
      <c r="E109" s="1160">
        <v>332189.28000000003</v>
      </c>
      <c r="F109" s="1160">
        <v>0</v>
      </c>
      <c r="G109" s="1160">
        <v>0</v>
      </c>
      <c r="H109" s="1160">
        <v>0</v>
      </c>
      <c r="I109" s="1160">
        <v>0</v>
      </c>
      <c r="J109" s="1160">
        <f t="shared" si="4"/>
        <v>0</v>
      </c>
    </row>
    <row r="110" spans="1:10">
      <c r="A110" s="880" t="s">
        <v>138</v>
      </c>
      <c r="B110" s="881" t="s">
        <v>139</v>
      </c>
      <c r="C110" s="768" t="s">
        <v>265</v>
      </c>
      <c r="D110" s="1160">
        <f t="shared" si="3"/>
        <v>1374854.34</v>
      </c>
      <c r="E110" s="1160">
        <v>1374854.34</v>
      </c>
      <c r="F110" s="1160">
        <v>0</v>
      </c>
      <c r="G110" s="1160">
        <v>0</v>
      </c>
      <c r="H110" s="1160">
        <v>0</v>
      </c>
      <c r="I110" s="1160">
        <v>0</v>
      </c>
      <c r="J110" s="1160">
        <f t="shared" si="4"/>
        <v>0</v>
      </c>
    </row>
    <row r="111" spans="1:10">
      <c r="A111" s="880" t="s">
        <v>142</v>
      </c>
      <c r="B111" s="881" t="s">
        <v>143</v>
      </c>
      <c r="C111" s="768" t="s">
        <v>267</v>
      </c>
      <c r="D111" s="1160">
        <f t="shared" si="3"/>
        <v>47219.839999999997</v>
      </c>
      <c r="E111" s="1160">
        <v>47219.839999999997</v>
      </c>
      <c r="F111" s="1160">
        <v>0</v>
      </c>
      <c r="G111" s="1160">
        <v>0</v>
      </c>
      <c r="H111" s="1160">
        <v>0</v>
      </c>
      <c r="I111" s="1160">
        <v>0</v>
      </c>
      <c r="J111" s="1160">
        <f t="shared" si="4"/>
        <v>0</v>
      </c>
    </row>
    <row r="112" spans="1:10">
      <c r="A112" s="880" t="s">
        <v>144</v>
      </c>
      <c r="B112" s="881" t="s">
        <v>145</v>
      </c>
      <c r="C112" s="768" t="s">
        <v>267</v>
      </c>
      <c r="D112" s="1160">
        <f t="shared" si="3"/>
        <v>17387.419999999998</v>
      </c>
      <c r="E112" s="1160">
        <v>17387.419999999998</v>
      </c>
      <c r="F112" s="1160">
        <v>0</v>
      </c>
      <c r="G112" s="1160">
        <v>0</v>
      </c>
      <c r="H112" s="1160">
        <v>0</v>
      </c>
      <c r="I112" s="1160">
        <v>0</v>
      </c>
      <c r="J112" s="1160">
        <f t="shared" si="4"/>
        <v>0</v>
      </c>
    </row>
    <row r="113" spans="1:10">
      <c r="A113" s="880" t="s">
        <v>158</v>
      </c>
      <c r="B113" s="881" t="s">
        <v>159</v>
      </c>
      <c r="C113" s="768" t="s">
        <v>264</v>
      </c>
      <c r="D113" s="1160">
        <f t="shared" si="3"/>
        <v>1447848.37</v>
      </c>
      <c r="E113" s="1160">
        <v>1447848.37</v>
      </c>
      <c r="F113" s="1160">
        <v>0</v>
      </c>
      <c r="G113" s="1160">
        <v>0</v>
      </c>
      <c r="H113" s="1160">
        <v>0</v>
      </c>
      <c r="I113" s="1160">
        <v>0</v>
      </c>
      <c r="J113" s="1160">
        <f t="shared" si="4"/>
        <v>0</v>
      </c>
    </row>
    <row r="114" spans="1:10">
      <c r="A114" s="880" t="s">
        <v>160</v>
      </c>
      <c r="B114" s="881" t="s">
        <v>161</v>
      </c>
      <c r="C114" s="768" t="s">
        <v>264</v>
      </c>
      <c r="D114" s="1160">
        <f t="shared" si="3"/>
        <v>1850312.4700000002</v>
      </c>
      <c r="E114" s="1160">
        <v>1850312.4700000002</v>
      </c>
      <c r="F114" s="1160">
        <v>0</v>
      </c>
      <c r="G114" s="1160">
        <v>0</v>
      </c>
      <c r="H114" s="1160">
        <v>0</v>
      </c>
      <c r="I114" s="1160">
        <v>0</v>
      </c>
      <c r="J114" s="1160">
        <f t="shared" si="4"/>
        <v>0</v>
      </c>
    </row>
    <row r="115" spans="1:10">
      <c r="A115" s="880" t="s">
        <v>166</v>
      </c>
      <c r="B115" s="881" t="s">
        <v>167</v>
      </c>
      <c r="C115" s="768" t="s">
        <v>268</v>
      </c>
      <c r="D115" s="1160">
        <f t="shared" si="3"/>
        <v>152952.26999999999</v>
      </c>
      <c r="E115" s="1160">
        <v>152952.26999999999</v>
      </c>
      <c r="F115" s="1160">
        <v>0</v>
      </c>
      <c r="G115" s="1160">
        <v>0</v>
      </c>
      <c r="H115" s="1160">
        <v>0</v>
      </c>
      <c r="I115" s="1160">
        <v>0</v>
      </c>
      <c r="J115" s="1160">
        <f t="shared" si="4"/>
        <v>0</v>
      </c>
    </row>
    <row r="116" spans="1:10">
      <c r="A116" s="880" t="s">
        <v>176</v>
      </c>
      <c r="B116" s="881" t="s">
        <v>177</v>
      </c>
      <c r="C116" s="768" t="s">
        <v>266</v>
      </c>
      <c r="D116" s="1160">
        <f t="shared" si="3"/>
        <v>688677.69</v>
      </c>
      <c r="E116" s="1160">
        <v>688677.69</v>
      </c>
      <c r="F116" s="1160">
        <v>0</v>
      </c>
      <c r="G116" s="1160">
        <v>0</v>
      </c>
      <c r="H116" s="1160">
        <v>0</v>
      </c>
      <c r="I116" s="1160">
        <v>0</v>
      </c>
      <c r="J116" s="1160">
        <f t="shared" si="4"/>
        <v>0</v>
      </c>
    </row>
    <row r="117" spans="1:10">
      <c r="A117" s="880" t="s">
        <v>180</v>
      </c>
      <c r="B117" s="881" t="s">
        <v>181</v>
      </c>
      <c r="C117" s="768" t="s">
        <v>264</v>
      </c>
      <c r="D117" s="1160">
        <f t="shared" si="3"/>
        <v>759587.82000000007</v>
      </c>
      <c r="E117" s="1160">
        <v>759587.82000000007</v>
      </c>
      <c r="F117" s="1160">
        <v>0</v>
      </c>
      <c r="G117" s="1160">
        <v>0</v>
      </c>
      <c r="H117" s="1160">
        <v>0</v>
      </c>
      <c r="I117" s="1160">
        <v>0</v>
      </c>
      <c r="J117" s="1160">
        <f t="shared" si="4"/>
        <v>0</v>
      </c>
    </row>
    <row r="118" spans="1:10">
      <c r="A118" s="880" t="s">
        <v>192</v>
      </c>
      <c r="B118" s="881" t="s">
        <v>193</v>
      </c>
      <c r="C118" s="768" t="s">
        <v>268</v>
      </c>
      <c r="D118" s="1160">
        <f t="shared" si="3"/>
        <v>188263.8</v>
      </c>
      <c r="E118" s="1160">
        <v>188263.8</v>
      </c>
      <c r="F118" s="1160">
        <v>0</v>
      </c>
      <c r="G118" s="1160">
        <v>0</v>
      </c>
      <c r="H118" s="1160">
        <v>0</v>
      </c>
      <c r="I118" s="1160">
        <v>0</v>
      </c>
      <c r="J118" s="1160">
        <f t="shared" si="4"/>
        <v>0</v>
      </c>
    </row>
    <row r="119" spans="1:10">
      <c r="A119" s="880" t="s">
        <v>196</v>
      </c>
      <c r="B119" s="881" t="s">
        <v>312</v>
      </c>
      <c r="C119" s="768" t="s">
        <v>266</v>
      </c>
      <c r="D119" s="1160">
        <f t="shared" si="3"/>
        <v>2384546.7799999998</v>
      </c>
      <c r="E119" s="1160">
        <v>2384546.7799999998</v>
      </c>
      <c r="F119" s="1160">
        <v>0</v>
      </c>
      <c r="G119" s="1160">
        <v>0</v>
      </c>
      <c r="H119" s="1160">
        <v>0</v>
      </c>
      <c r="I119" s="1160">
        <v>0</v>
      </c>
      <c r="J119" s="1160">
        <f t="shared" si="4"/>
        <v>0</v>
      </c>
    </row>
    <row r="120" spans="1:10">
      <c r="A120" s="880" t="s">
        <v>200</v>
      </c>
      <c r="B120" s="881" t="s">
        <v>313</v>
      </c>
      <c r="C120" s="768" t="s">
        <v>265</v>
      </c>
      <c r="D120" s="1160">
        <f t="shared" si="3"/>
        <v>1506383.64</v>
      </c>
      <c r="E120" s="1160">
        <v>1506383.64</v>
      </c>
      <c r="F120" s="1160">
        <v>0</v>
      </c>
      <c r="G120" s="1160">
        <v>0</v>
      </c>
      <c r="H120" s="1160">
        <v>0</v>
      </c>
      <c r="I120" s="1160">
        <v>0</v>
      </c>
      <c r="J120" s="1160">
        <f t="shared" si="4"/>
        <v>0</v>
      </c>
    </row>
    <row r="121" spans="1:10">
      <c r="A121" s="880" t="s">
        <v>222</v>
      </c>
      <c r="B121" s="881" t="s">
        <v>223</v>
      </c>
      <c r="C121" s="768" t="s">
        <v>264</v>
      </c>
      <c r="D121" s="1160">
        <f t="shared" si="3"/>
        <v>782292.71</v>
      </c>
      <c r="E121" s="1160">
        <v>782292.71</v>
      </c>
      <c r="F121" s="1160">
        <v>0</v>
      </c>
      <c r="G121" s="1160">
        <v>0</v>
      </c>
      <c r="H121" s="1160">
        <v>0</v>
      </c>
      <c r="I121" s="1160">
        <v>0</v>
      </c>
      <c r="J121" s="1160">
        <f t="shared" si="4"/>
        <v>0</v>
      </c>
    </row>
    <row r="122" spans="1:10">
      <c r="A122" s="880" t="s">
        <v>230</v>
      </c>
      <c r="B122" s="881" t="s">
        <v>231</v>
      </c>
      <c r="C122" s="768" t="s">
        <v>264</v>
      </c>
      <c r="D122" s="1160">
        <f t="shared" si="3"/>
        <v>1004784.99</v>
      </c>
      <c r="E122" s="1160">
        <v>1004784.99</v>
      </c>
      <c r="F122" s="1160">
        <v>0</v>
      </c>
      <c r="G122" s="1160">
        <v>0</v>
      </c>
      <c r="H122" s="1160">
        <v>0</v>
      </c>
      <c r="I122" s="1160">
        <v>0</v>
      </c>
      <c r="J122" s="1160">
        <f t="shared" si="4"/>
        <v>0</v>
      </c>
    </row>
    <row r="123" spans="1:10">
      <c r="A123" s="880" t="s">
        <v>238</v>
      </c>
      <c r="B123" s="881" t="s">
        <v>239</v>
      </c>
      <c r="C123" s="768" t="s">
        <v>264</v>
      </c>
      <c r="D123" s="1160">
        <f t="shared" si="3"/>
        <v>17502.849999999999</v>
      </c>
      <c r="E123" s="1160">
        <v>17502.849999999999</v>
      </c>
      <c r="F123" s="1160">
        <v>0</v>
      </c>
      <c r="G123" s="1160">
        <v>0</v>
      </c>
      <c r="H123" s="1160">
        <v>0</v>
      </c>
      <c r="I123" s="1160">
        <v>0</v>
      </c>
      <c r="J123" s="1160">
        <f t="shared" si="4"/>
        <v>0</v>
      </c>
    </row>
    <row r="124" spans="1:10">
      <c r="A124" s="882" t="s">
        <v>240</v>
      </c>
      <c r="B124" s="883" t="s">
        <v>241</v>
      </c>
      <c r="C124" s="771" t="s">
        <v>267</v>
      </c>
      <c r="D124" s="1160">
        <f t="shared" si="3"/>
        <v>188867.71</v>
      </c>
      <c r="E124" s="1161">
        <v>188867.71</v>
      </c>
      <c r="F124" s="1161">
        <v>0</v>
      </c>
      <c r="G124" s="1161">
        <v>0</v>
      </c>
      <c r="H124" s="1161">
        <v>0</v>
      </c>
      <c r="I124" s="1161">
        <v>0</v>
      </c>
      <c r="J124" s="1160">
        <f t="shared" si="4"/>
        <v>0</v>
      </c>
    </row>
    <row r="125" spans="1:10">
      <c r="D125" s="875"/>
      <c r="E125" s="875"/>
      <c r="F125" s="875"/>
      <c r="G125" s="875"/>
      <c r="H125" s="875"/>
      <c r="I125" s="875"/>
      <c r="J125" s="875"/>
    </row>
    <row r="126" spans="1:10" s="403" customFormat="1">
      <c r="A126" s="403" t="s">
        <v>823</v>
      </c>
      <c r="B126" s="742"/>
      <c r="C126" s="742"/>
      <c r="D126" s="692"/>
      <c r="E126" s="692"/>
      <c r="F126" s="692"/>
      <c r="G126" s="692"/>
      <c r="H126" s="692"/>
      <c r="I126" s="692"/>
      <c r="J126" s="692"/>
    </row>
    <row r="127" spans="1:10" s="403" customFormat="1"/>
    <row r="128" spans="1:10" s="428" customFormat="1">
      <c r="A128" s="428" t="s">
        <v>248</v>
      </c>
    </row>
    <row r="129" spans="1:3">
      <c r="A129" s="429" t="s">
        <v>249</v>
      </c>
      <c r="B129" s="430" t="s">
        <v>250</v>
      </c>
      <c r="C129" s="430"/>
    </row>
  </sheetData>
  <autoFilter ref="A3:C3"/>
  <hyperlinks>
    <hyperlink ref="B129" r:id="rId1"/>
  </hyperlinks>
  <pageMargins left="0.7" right="0.7" top="0.75" bottom="0.75" header="0.3" footer="0.3"/>
  <pageSetup orientation="portrait" r:id="rId2"/>
</worksheet>
</file>

<file path=xl/worksheets/sheet52.xml><?xml version="1.0" encoding="utf-8"?>
<worksheet xmlns="http://schemas.openxmlformats.org/spreadsheetml/2006/main" xmlns:r="http://schemas.openxmlformats.org/officeDocument/2006/relationships">
  <dimension ref="A1:AO129"/>
  <sheetViews>
    <sheetView zoomScale="130" workbookViewId="0">
      <pane xSplit="3" ySplit="4" topLeftCell="E5" activePane="bottomRight" state="frozen"/>
      <selection pane="topRight" activeCell="D1" sqref="D1"/>
      <selection pane="bottomLeft" activeCell="A5" sqref="A5"/>
      <selection pane="bottomRight" activeCell="C29" sqref="C29"/>
    </sheetView>
  </sheetViews>
  <sheetFormatPr defaultRowHeight="12.75"/>
  <cols>
    <col min="1" max="1" width="9" style="222"/>
    <col min="2" max="2" width="27.75" style="222" customWidth="1"/>
    <col min="3" max="3" width="14.25" style="222" customWidth="1"/>
    <col min="4" max="9" width="11.375" style="222" customWidth="1"/>
    <col min="10" max="41" width="9.875" style="222" customWidth="1"/>
    <col min="42" max="16384" width="9" style="222"/>
  </cols>
  <sheetData>
    <row r="1" spans="1:41">
      <c r="A1" s="65" t="s">
        <v>1083</v>
      </c>
      <c r="G1" s="1163"/>
      <c r="J1" s="1164"/>
      <c r="K1" s="1164"/>
      <c r="L1" s="1164"/>
      <c r="M1" s="1164"/>
      <c r="N1" s="1164"/>
      <c r="O1" s="1164"/>
      <c r="P1" s="1164"/>
      <c r="Q1" s="1164"/>
      <c r="R1" s="1164"/>
      <c r="S1" s="1164"/>
      <c r="T1" s="1164"/>
      <c r="U1" s="1164"/>
      <c r="V1" s="1164"/>
      <c r="W1" s="1164"/>
      <c r="X1" s="1164"/>
      <c r="Y1" s="1164"/>
      <c r="Z1" s="1164"/>
      <c r="AA1" s="1164"/>
      <c r="AB1" s="1164"/>
      <c r="AC1" s="1164"/>
      <c r="AD1" s="1164"/>
      <c r="AE1" s="1164"/>
      <c r="AF1" s="1164"/>
      <c r="AG1" s="1164"/>
      <c r="AH1" s="1164"/>
      <c r="AI1" s="1164"/>
      <c r="AJ1" s="1164"/>
      <c r="AK1" s="1164"/>
      <c r="AL1" s="1164"/>
      <c r="AM1" s="1164"/>
      <c r="AN1" s="1164"/>
      <c r="AO1" s="1164"/>
    </row>
    <row r="2" spans="1:41">
      <c r="D2" s="1163"/>
      <c r="E2" s="1163"/>
      <c r="F2" s="1163"/>
      <c r="G2" s="1163"/>
      <c r="H2" s="1163"/>
      <c r="I2" s="1163"/>
      <c r="J2" s="1165"/>
      <c r="K2" s="1165"/>
      <c r="L2" s="1165"/>
      <c r="M2" s="1165"/>
      <c r="N2" s="1165"/>
      <c r="O2" s="1165"/>
      <c r="P2" s="1558"/>
      <c r="Q2" s="1558"/>
      <c r="R2" s="1165"/>
      <c r="S2" s="1165"/>
      <c r="T2" s="1165"/>
      <c r="U2" s="1165"/>
      <c r="V2" s="1165"/>
      <c r="W2" s="1165"/>
      <c r="X2" s="1558"/>
      <c r="Y2" s="1558"/>
      <c r="Z2" s="1165"/>
      <c r="AA2" s="1165"/>
      <c r="AB2" s="1165"/>
      <c r="AC2" s="1165"/>
      <c r="AD2" s="1165"/>
      <c r="AE2" s="1165"/>
      <c r="AF2" s="1558"/>
      <c r="AG2" s="1558"/>
      <c r="AH2" s="1165"/>
      <c r="AI2" s="1165"/>
      <c r="AJ2" s="1165"/>
      <c r="AK2" s="1165"/>
      <c r="AL2" s="1165"/>
      <c r="AM2" s="1165"/>
      <c r="AN2" s="1165"/>
      <c r="AO2" s="1165"/>
    </row>
    <row r="3" spans="1:41" ht="25.5">
      <c r="A3" s="1166" t="s">
        <v>4</v>
      </c>
      <c r="B3" s="1167" t="s">
        <v>5</v>
      </c>
      <c r="C3" s="1167" t="s">
        <v>251</v>
      </c>
      <c r="D3" s="1168" t="s">
        <v>314</v>
      </c>
      <c r="E3" s="1169" t="s">
        <v>315</v>
      </c>
      <c r="F3" s="1169" t="s">
        <v>316</v>
      </c>
      <c r="G3" s="1169" t="s">
        <v>304</v>
      </c>
      <c r="H3" s="1170" t="s">
        <v>1088</v>
      </c>
      <c r="I3" s="1559" t="s">
        <v>281</v>
      </c>
      <c r="J3" s="1168" t="s">
        <v>401</v>
      </c>
      <c r="K3" s="1169" t="s">
        <v>402</v>
      </c>
      <c r="L3" s="1169" t="s">
        <v>403</v>
      </c>
      <c r="M3" s="1169" t="s">
        <v>1084</v>
      </c>
      <c r="N3" s="1169" t="s">
        <v>1085</v>
      </c>
      <c r="O3" s="1170" t="s">
        <v>404</v>
      </c>
      <c r="P3" s="1170" t="s">
        <v>1086</v>
      </c>
      <c r="Q3" s="1170" t="s">
        <v>1087</v>
      </c>
      <c r="R3" s="1168" t="s">
        <v>405</v>
      </c>
      <c r="S3" s="1169" t="s">
        <v>406</v>
      </c>
      <c r="T3" s="1169" t="s">
        <v>407</v>
      </c>
      <c r="U3" s="1169" t="s">
        <v>1089</v>
      </c>
      <c r="V3" s="1169" t="s">
        <v>1090</v>
      </c>
      <c r="W3" s="1171" t="s">
        <v>408</v>
      </c>
      <c r="X3" s="1559" t="s">
        <v>1091</v>
      </c>
      <c r="Y3" s="1559" t="s">
        <v>1092</v>
      </c>
      <c r="Z3" s="1168" t="s">
        <v>883</v>
      </c>
      <c r="AA3" s="1169" t="s">
        <v>884</v>
      </c>
      <c r="AB3" s="1169" t="s">
        <v>885</v>
      </c>
      <c r="AC3" s="1169" t="s">
        <v>1097</v>
      </c>
      <c r="AD3" s="1169" t="s">
        <v>1098</v>
      </c>
      <c r="AE3" s="1171" t="s">
        <v>886</v>
      </c>
      <c r="AF3" s="1559" t="s">
        <v>1099</v>
      </c>
      <c r="AG3" s="1559" t="s">
        <v>1100</v>
      </c>
      <c r="AH3" s="1168" t="s">
        <v>409</v>
      </c>
      <c r="AI3" s="1169" t="s">
        <v>410</v>
      </c>
      <c r="AJ3" s="1169" t="s">
        <v>411</v>
      </c>
      <c r="AK3" s="1169" t="s">
        <v>1093</v>
      </c>
      <c r="AL3" s="1169" t="s">
        <v>1094</v>
      </c>
      <c r="AM3" s="1171" t="s">
        <v>412</v>
      </c>
      <c r="AN3" s="1171" t="s">
        <v>1095</v>
      </c>
      <c r="AO3" s="1171" t="s">
        <v>1096</v>
      </c>
    </row>
    <row r="4" spans="1:41">
      <c r="A4" s="1172">
        <v>999</v>
      </c>
      <c r="B4" s="1173" t="s">
        <v>9</v>
      </c>
      <c r="C4" s="1174"/>
      <c r="D4" s="1175">
        <f t="shared" ref="D4:AM4" si="0">SUM(D5:D124)</f>
        <v>61516427.030000001</v>
      </c>
      <c r="E4" s="1176">
        <f t="shared" si="0"/>
        <v>92916092.530000046</v>
      </c>
      <c r="F4" s="1176">
        <f t="shared" si="0"/>
        <v>0</v>
      </c>
      <c r="G4" s="1176">
        <f t="shared" si="0"/>
        <v>297848.42000000022</v>
      </c>
      <c r="H4" s="1177">
        <f t="shared" si="0"/>
        <v>297848.42000000022</v>
      </c>
      <c r="I4" s="1177">
        <f t="shared" si="0"/>
        <v>154730367.97999996</v>
      </c>
      <c r="J4" s="1175">
        <f t="shared" si="0"/>
        <v>21539405.969999999</v>
      </c>
      <c r="K4" s="1176">
        <f t="shared" si="0"/>
        <v>21539405.969999999</v>
      </c>
      <c r="L4" s="1176">
        <f t="shared" si="0"/>
        <v>0</v>
      </c>
      <c r="M4" s="1176">
        <f t="shared" si="0"/>
        <v>-82789.540000000008</v>
      </c>
      <c r="N4" s="1176">
        <f t="shared" si="0"/>
        <v>193733.16999999998</v>
      </c>
      <c r="O4" s="1177">
        <f t="shared" si="0"/>
        <v>43189755.57</v>
      </c>
      <c r="P4" s="1177">
        <f t="shared" si="0"/>
        <v>110943.63</v>
      </c>
      <c r="Q4" s="1177">
        <f t="shared" si="0"/>
        <v>110943.63</v>
      </c>
      <c r="R4" s="1175">
        <f t="shared" si="0"/>
        <v>36803193.390000001</v>
      </c>
      <c r="S4" s="1176">
        <f t="shared" si="0"/>
        <v>36803193.390000001</v>
      </c>
      <c r="T4" s="1176">
        <f t="shared" si="0"/>
        <v>0</v>
      </c>
      <c r="U4" s="1176">
        <f t="shared" si="0"/>
        <v>41555.370000000003</v>
      </c>
      <c r="V4" s="1176">
        <f t="shared" si="0"/>
        <v>167420.14000000001</v>
      </c>
      <c r="W4" s="1178">
        <f t="shared" si="0"/>
        <v>73815362.289999992</v>
      </c>
      <c r="X4" s="1176">
        <f t="shared" si="0"/>
        <v>208975.50999999986</v>
      </c>
      <c r="Y4" s="1176">
        <f t="shared" si="0"/>
        <v>208975.50999999986</v>
      </c>
      <c r="Z4" s="1175">
        <f t="shared" si="0"/>
        <v>1425</v>
      </c>
      <c r="AA4" s="1176">
        <f t="shared" si="0"/>
        <v>1425</v>
      </c>
      <c r="AB4" s="1176">
        <f t="shared" si="0"/>
        <v>0</v>
      </c>
      <c r="AC4" s="1176">
        <f t="shared" si="0"/>
        <v>0</v>
      </c>
      <c r="AD4" s="1176">
        <f t="shared" si="0"/>
        <v>0</v>
      </c>
      <c r="AE4" s="1178">
        <f t="shared" si="0"/>
        <v>2850</v>
      </c>
      <c r="AF4" s="1178">
        <f t="shared" si="0"/>
        <v>0</v>
      </c>
      <c r="AG4" s="1178">
        <f t="shared" si="0"/>
        <v>0</v>
      </c>
      <c r="AH4" s="1175">
        <f t="shared" si="0"/>
        <v>3172402.669999999</v>
      </c>
      <c r="AI4" s="1176">
        <f t="shared" si="0"/>
        <v>34572068.170000009</v>
      </c>
      <c r="AJ4" s="1176">
        <f t="shared" si="0"/>
        <v>0</v>
      </c>
      <c r="AK4" s="1176">
        <f t="shared" si="0"/>
        <v>10813.94</v>
      </c>
      <c r="AL4" s="1176">
        <f t="shared" si="0"/>
        <v>-32884.660000000003</v>
      </c>
      <c r="AM4" s="1178">
        <f t="shared" si="0"/>
        <v>37722400.119999997</v>
      </c>
      <c r="AN4" s="1178">
        <f t="shared" ref="AN4:AO4" si="1">SUM(AN5:AN124)</f>
        <v>-22070.720000000001</v>
      </c>
      <c r="AO4" s="1178">
        <f t="shared" si="1"/>
        <v>-22070.720000000001</v>
      </c>
    </row>
    <row r="5" spans="1:41" s="237" customFormat="1">
      <c r="A5" s="1179" t="s">
        <v>10</v>
      </c>
      <c r="B5" s="1180" t="s">
        <v>11</v>
      </c>
      <c r="C5" s="103" t="s">
        <v>264</v>
      </c>
      <c r="D5" s="1181">
        <f>J5+R5+Z5+AH5</f>
        <v>106192.5</v>
      </c>
      <c r="E5" s="1181">
        <f>K5+S5+AA5+AI5</f>
        <v>130634.9</v>
      </c>
      <c r="F5" s="1181">
        <f>L5+T5+AB5+AJ5</f>
        <v>0</v>
      </c>
      <c r="G5" s="1182">
        <f>P5+X5+AF5+AN5</f>
        <v>-7.0000000000000007E-2</v>
      </c>
      <c r="H5" s="1182">
        <f>Q5+Y5+AG5+AO5</f>
        <v>-7.0000000000000007E-2</v>
      </c>
      <c r="I5" s="1561">
        <f>SUM(D5:G5)</f>
        <v>236827.33</v>
      </c>
      <c r="J5" s="1183">
        <v>52958.2</v>
      </c>
      <c r="K5" s="1184">
        <v>52958.2</v>
      </c>
      <c r="L5" s="1184">
        <v>0</v>
      </c>
      <c r="M5" s="1184">
        <v>-7.0000000000000007E-2</v>
      </c>
      <c r="N5" s="1184">
        <v>0</v>
      </c>
      <c r="O5" s="1185">
        <f>SUM(J5:N5)</f>
        <v>105916.32999999999</v>
      </c>
      <c r="P5" s="1560">
        <f>M5+N5</f>
        <v>-7.0000000000000007E-2</v>
      </c>
      <c r="Q5" s="1560">
        <f>L5+P5</f>
        <v>-7.0000000000000007E-2</v>
      </c>
      <c r="R5" s="1183">
        <v>53234.3</v>
      </c>
      <c r="S5" s="1184">
        <v>53234.3</v>
      </c>
      <c r="T5" s="1184">
        <v>0</v>
      </c>
      <c r="U5" s="1184">
        <v>0</v>
      </c>
      <c r="V5" s="1184">
        <v>0</v>
      </c>
      <c r="W5" s="1186">
        <f t="shared" ref="W5:W36" si="2">SUM(R5:V5)</f>
        <v>106468.6</v>
      </c>
      <c r="X5" s="1560">
        <f>U5+V5</f>
        <v>0</v>
      </c>
      <c r="Y5" s="1560">
        <f>T5+X5</f>
        <v>0</v>
      </c>
      <c r="Z5" s="1183"/>
      <c r="AA5" s="1184"/>
      <c r="AB5" s="1184"/>
      <c r="AC5" s="1184"/>
      <c r="AD5" s="1184"/>
      <c r="AE5" s="1186">
        <f t="shared" ref="AE5:AE36" si="3">SUM(Z5:AD5)</f>
        <v>0</v>
      </c>
      <c r="AF5" s="1560">
        <f>AC5+AD5</f>
        <v>0</v>
      </c>
      <c r="AG5" s="1560">
        <f>AB5+AF5</f>
        <v>0</v>
      </c>
      <c r="AH5" s="1187">
        <v>0</v>
      </c>
      <c r="AI5" s="1188">
        <v>24442.400000000001</v>
      </c>
      <c r="AJ5" s="1188">
        <v>0</v>
      </c>
      <c r="AK5" s="1188">
        <v>0</v>
      </c>
      <c r="AL5" s="1188">
        <v>0</v>
      </c>
      <c r="AM5" s="1189">
        <f t="shared" ref="AM5:AM36" si="4">SUM(AH5:AL5)</f>
        <v>24442.400000000001</v>
      </c>
      <c r="AN5" s="1189">
        <f>AK5+AL5</f>
        <v>0</v>
      </c>
      <c r="AO5" s="1189">
        <f>AJ5+AN5</f>
        <v>0</v>
      </c>
    </row>
    <row r="6" spans="1:41" s="237" customFormat="1">
      <c r="A6" s="1179" t="s">
        <v>12</v>
      </c>
      <c r="B6" s="1180" t="s">
        <v>13</v>
      </c>
      <c r="C6" s="103" t="s">
        <v>265</v>
      </c>
      <c r="D6" s="1181">
        <f t="shared" ref="D6:D69" si="5">J6+R6+Z6+AH6</f>
        <v>965861.88000000012</v>
      </c>
      <c r="E6" s="1181">
        <f t="shared" ref="E6:E69" si="6">K6+S6+AA6+AI6</f>
        <v>1332197.58</v>
      </c>
      <c r="F6" s="1181">
        <f t="shared" ref="F6:F69" si="7">L6+T6+AB6+AJ6</f>
        <v>0</v>
      </c>
      <c r="G6" s="1182">
        <f t="shared" ref="G6:G69" si="8">P6+X6+AF6+AN6</f>
        <v>-0.27</v>
      </c>
      <c r="H6" s="1182">
        <f t="shared" ref="H6:H69" si="9">Q6+Y6+AG6+AO6</f>
        <v>-0.27</v>
      </c>
      <c r="I6" s="1561">
        <f t="shared" ref="I6:I69" si="10">SUM(D6:G6)</f>
        <v>2298059.19</v>
      </c>
      <c r="J6" s="1183">
        <v>486152.34</v>
      </c>
      <c r="K6" s="1184">
        <v>486152.34</v>
      </c>
      <c r="L6" s="1184">
        <v>0</v>
      </c>
      <c r="M6" s="1184">
        <v>-0.27</v>
      </c>
      <c r="N6" s="1184">
        <v>0</v>
      </c>
      <c r="O6" s="1185">
        <f t="shared" ref="O6:O69" si="11">SUM(J6:N6)</f>
        <v>972304.41</v>
      </c>
      <c r="P6" s="1560">
        <f t="shared" ref="P6:P69" si="12">M6+N6</f>
        <v>-0.27</v>
      </c>
      <c r="Q6" s="1560">
        <f t="shared" ref="Q6:Q69" si="13">L6+P6</f>
        <v>-0.27</v>
      </c>
      <c r="R6" s="1183">
        <v>445682.26</v>
      </c>
      <c r="S6" s="1184">
        <v>445682.26</v>
      </c>
      <c r="T6" s="1184">
        <v>0</v>
      </c>
      <c r="U6" s="1184">
        <v>0</v>
      </c>
      <c r="V6" s="1184">
        <v>0</v>
      </c>
      <c r="W6" s="1186">
        <f t="shared" si="2"/>
        <v>891364.52</v>
      </c>
      <c r="X6" s="1560">
        <f t="shared" ref="X6:X69" si="14">U6+V6</f>
        <v>0</v>
      </c>
      <c r="Y6" s="1560">
        <f t="shared" ref="Y6:Y69" si="15">T6+X6</f>
        <v>0</v>
      </c>
      <c r="Z6" s="1183"/>
      <c r="AA6" s="1184"/>
      <c r="AB6" s="1184"/>
      <c r="AC6" s="1184"/>
      <c r="AD6" s="1184"/>
      <c r="AE6" s="1186">
        <f t="shared" si="3"/>
        <v>0</v>
      </c>
      <c r="AF6" s="1560">
        <f t="shared" ref="AF6:AF69" si="16">AC6+AD6</f>
        <v>0</v>
      </c>
      <c r="AG6" s="1560">
        <f t="shared" ref="AG6:AG69" si="17">AB6+AF6</f>
        <v>0</v>
      </c>
      <c r="AH6" s="1187">
        <v>34027.279999999999</v>
      </c>
      <c r="AI6" s="1188">
        <v>400362.98</v>
      </c>
      <c r="AJ6" s="1188">
        <v>0</v>
      </c>
      <c r="AK6" s="1188">
        <v>0</v>
      </c>
      <c r="AL6" s="1188">
        <v>0</v>
      </c>
      <c r="AM6" s="1189">
        <f t="shared" si="4"/>
        <v>434390.26</v>
      </c>
      <c r="AN6" s="1189">
        <f t="shared" ref="AN6:AN69" si="18">AK6+AL6</f>
        <v>0</v>
      </c>
      <c r="AO6" s="1189">
        <f t="shared" ref="AO6:AO69" si="19">AJ6+AN6</f>
        <v>0</v>
      </c>
    </row>
    <row r="7" spans="1:41" s="237" customFormat="1">
      <c r="A7" s="1179" t="s">
        <v>16</v>
      </c>
      <c r="B7" s="1180" t="s">
        <v>297</v>
      </c>
      <c r="C7" s="103" t="s">
        <v>265</v>
      </c>
      <c r="D7" s="1181">
        <f t="shared" si="5"/>
        <v>83184.669999999984</v>
      </c>
      <c r="E7" s="1181">
        <f t="shared" si="6"/>
        <v>111689.34999999999</v>
      </c>
      <c r="F7" s="1181">
        <f t="shared" si="7"/>
        <v>0</v>
      </c>
      <c r="G7" s="1182">
        <f t="shared" si="8"/>
        <v>-0.06</v>
      </c>
      <c r="H7" s="1182">
        <f t="shared" si="9"/>
        <v>-0.06</v>
      </c>
      <c r="I7" s="1561">
        <f t="shared" si="10"/>
        <v>194873.95999999996</v>
      </c>
      <c r="J7" s="1183">
        <v>16275.779999999999</v>
      </c>
      <c r="K7" s="1184">
        <v>16275.779999999999</v>
      </c>
      <c r="L7" s="1184">
        <v>0</v>
      </c>
      <c r="M7" s="1184">
        <v>-0.04</v>
      </c>
      <c r="N7" s="1184">
        <v>0</v>
      </c>
      <c r="O7" s="1185">
        <f t="shared" si="11"/>
        <v>32551.519999999997</v>
      </c>
      <c r="P7" s="1560">
        <f t="shared" si="12"/>
        <v>-0.04</v>
      </c>
      <c r="Q7" s="1560">
        <f t="shared" si="13"/>
        <v>-0.04</v>
      </c>
      <c r="R7" s="1183">
        <v>63968.49</v>
      </c>
      <c r="S7" s="1184">
        <v>63968.49</v>
      </c>
      <c r="T7" s="1184">
        <v>0</v>
      </c>
      <c r="U7" s="1184">
        <v>-0.02</v>
      </c>
      <c r="V7" s="1184">
        <v>0</v>
      </c>
      <c r="W7" s="1186">
        <f t="shared" si="2"/>
        <v>127936.95999999999</v>
      </c>
      <c r="X7" s="1560">
        <f t="shared" si="14"/>
        <v>-0.02</v>
      </c>
      <c r="Y7" s="1560">
        <f t="shared" si="15"/>
        <v>-0.02</v>
      </c>
      <c r="Z7" s="1183"/>
      <c r="AA7" s="1184"/>
      <c r="AB7" s="1184"/>
      <c r="AC7" s="1184"/>
      <c r="AD7" s="1184"/>
      <c r="AE7" s="1186">
        <f t="shared" si="3"/>
        <v>0</v>
      </c>
      <c r="AF7" s="1560">
        <f t="shared" si="16"/>
        <v>0</v>
      </c>
      <c r="AG7" s="1560">
        <f t="shared" si="17"/>
        <v>0</v>
      </c>
      <c r="AH7" s="1187">
        <v>2940.4</v>
      </c>
      <c r="AI7" s="1188">
        <v>31445.08</v>
      </c>
      <c r="AJ7" s="1188">
        <v>0</v>
      </c>
      <c r="AK7" s="1188">
        <v>0</v>
      </c>
      <c r="AL7" s="1188">
        <v>0</v>
      </c>
      <c r="AM7" s="1189">
        <f t="shared" si="4"/>
        <v>34385.480000000003</v>
      </c>
      <c r="AN7" s="1189">
        <f t="shared" si="18"/>
        <v>0</v>
      </c>
      <c r="AO7" s="1189">
        <f t="shared" si="19"/>
        <v>0</v>
      </c>
    </row>
    <row r="8" spans="1:41" s="237" customFormat="1">
      <c r="A8" s="1179" t="s">
        <v>18</v>
      </c>
      <c r="B8" s="1180" t="s">
        <v>19</v>
      </c>
      <c r="C8" s="103" t="s">
        <v>266</v>
      </c>
      <c r="D8" s="1181">
        <f t="shared" si="5"/>
        <v>15483.89</v>
      </c>
      <c r="E8" s="1181">
        <f t="shared" si="6"/>
        <v>48606.49</v>
      </c>
      <c r="F8" s="1181">
        <f t="shared" si="7"/>
        <v>0</v>
      </c>
      <c r="G8" s="1182">
        <f t="shared" si="8"/>
        <v>0</v>
      </c>
      <c r="H8" s="1182">
        <f t="shared" si="9"/>
        <v>0</v>
      </c>
      <c r="I8" s="1561">
        <f t="shared" si="10"/>
        <v>64090.38</v>
      </c>
      <c r="J8" s="1183"/>
      <c r="K8" s="1184"/>
      <c r="L8" s="1184"/>
      <c r="M8" s="1184"/>
      <c r="N8" s="1184"/>
      <c r="O8" s="1185">
        <f t="shared" si="11"/>
        <v>0</v>
      </c>
      <c r="P8" s="1560">
        <f t="shared" si="12"/>
        <v>0</v>
      </c>
      <c r="Q8" s="1560">
        <f t="shared" si="13"/>
        <v>0</v>
      </c>
      <c r="R8" s="1183">
        <v>12843</v>
      </c>
      <c r="S8" s="1184">
        <v>12843</v>
      </c>
      <c r="T8" s="1184">
        <v>0</v>
      </c>
      <c r="U8" s="1184">
        <v>0</v>
      </c>
      <c r="V8" s="1184">
        <v>0</v>
      </c>
      <c r="W8" s="1186">
        <f t="shared" si="2"/>
        <v>25686</v>
      </c>
      <c r="X8" s="1560">
        <f t="shared" si="14"/>
        <v>0</v>
      </c>
      <c r="Y8" s="1560">
        <f t="shared" si="15"/>
        <v>0</v>
      </c>
      <c r="Z8" s="1183"/>
      <c r="AA8" s="1184"/>
      <c r="AB8" s="1184"/>
      <c r="AC8" s="1184"/>
      <c r="AD8" s="1184"/>
      <c r="AE8" s="1186">
        <f t="shared" si="3"/>
        <v>0</v>
      </c>
      <c r="AF8" s="1560">
        <f t="shared" si="16"/>
        <v>0</v>
      </c>
      <c r="AG8" s="1560">
        <f t="shared" si="17"/>
        <v>0</v>
      </c>
      <c r="AH8" s="1187">
        <v>2640.89</v>
      </c>
      <c r="AI8" s="1188">
        <v>35763.49</v>
      </c>
      <c r="AJ8" s="1188">
        <v>0</v>
      </c>
      <c r="AK8" s="1188">
        <v>0</v>
      </c>
      <c r="AL8" s="1188">
        <v>0</v>
      </c>
      <c r="AM8" s="1189">
        <f t="shared" si="4"/>
        <v>38404.379999999997</v>
      </c>
      <c r="AN8" s="1189">
        <f t="shared" si="18"/>
        <v>0</v>
      </c>
      <c r="AO8" s="1189">
        <f t="shared" si="19"/>
        <v>0</v>
      </c>
    </row>
    <row r="9" spans="1:41" s="237" customFormat="1">
      <c r="A9" s="1179" t="s">
        <v>20</v>
      </c>
      <c r="B9" s="1180" t="s">
        <v>21</v>
      </c>
      <c r="C9" s="103" t="s">
        <v>265</v>
      </c>
      <c r="D9" s="1181">
        <f t="shared" si="5"/>
        <v>109098.14</v>
      </c>
      <c r="E9" s="1181">
        <f t="shared" si="6"/>
        <v>169640.26</v>
      </c>
      <c r="F9" s="1181">
        <f t="shared" si="7"/>
        <v>0</v>
      </c>
      <c r="G9" s="1182">
        <f t="shared" si="8"/>
        <v>-0.03</v>
      </c>
      <c r="H9" s="1182">
        <f t="shared" si="9"/>
        <v>-0.03</v>
      </c>
      <c r="I9" s="1561">
        <f t="shared" si="10"/>
        <v>278738.37</v>
      </c>
      <c r="J9" s="1183">
        <v>87194.880000000005</v>
      </c>
      <c r="K9" s="1184">
        <v>87194.880000000005</v>
      </c>
      <c r="L9" s="1184">
        <v>0</v>
      </c>
      <c r="M9" s="1184">
        <v>-0.03</v>
      </c>
      <c r="N9" s="1184">
        <v>0</v>
      </c>
      <c r="O9" s="1185">
        <f t="shared" si="11"/>
        <v>174389.73</v>
      </c>
      <c r="P9" s="1560">
        <f t="shared" si="12"/>
        <v>-0.03</v>
      </c>
      <c r="Q9" s="1560">
        <f t="shared" si="13"/>
        <v>-0.03</v>
      </c>
      <c r="R9" s="1183">
        <v>15138</v>
      </c>
      <c r="S9" s="1184">
        <v>15138</v>
      </c>
      <c r="T9" s="1184">
        <v>0</v>
      </c>
      <c r="U9" s="1184">
        <v>0</v>
      </c>
      <c r="V9" s="1184">
        <v>0</v>
      </c>
      <c r="W9" s="1186">
        <f t="shared" si="2"/>
        <v>30276</v>
      </c>
      <c r="X9" s="1560">
        <f t="shared" si="14"/>
        <v>0</v>
      </c>
      <c r="Y9" s="1560">
        <f t="shared" si="15"/>
        <v>0</v>
      </c>
      <c r="Z9" s="1183"/>
      <c r="AA9" s="1184"/>
      <c r="AB9" s="1184"/>
      <c r="AC9" s="1184"/>
      <c r="AD9" s="1184"/>
      <c r="AE9" s="1186">
        <f t="shared" si="3"/>
        <v>0</v>
      </c>
      <c r="AF9" s="1560">
        <f t="shared" si="16"/>
        <v>0</v>
      </c>
      <c r="AG9" s="1560">
        <f t="shared" si="17"/>
        <v>0</v>
      </c>
      <c r="AH9" s="1187">
        <v>6765.26</v>
      </c>
      <c r="AI9" s="1188">
        <v>67307.38</v>
      </c>
      <c r="AJ9" s="1188">
        <v>0</v>
      </c>
      <c r="AK9" s="1188">
        <v>0</v>
      </c>
      <c r="AL9" s="1188">
        <v>0</v>
      </c>
      <c r="AM9" s="1189">
        <f t="shared" si="4"/>
        <v>74072.639999999999</v>
      </c>
      <c r="AN9" s="1189">
        <f t="shared" si="18"/>
        <v>0</v>
      </c>
      <c r="AO9" s="1189">
        <f t="shared" si="19"/>
        <v>0</v>
      </c>
    </row>
    <row r="10" spans="1:41" s="237" customFormat="1">
      <c r="A10" s="1179" t="s">
        <v>22</v>
      </c>
      <c r="B10" s="1180" t="s">
        <v>23</v>
      </c>
      <c r="C10" s="103" t="s">
        <v>265</v>
      </c>
      <c r="D10" s="1181">
        <f t="shared" si="5"/>
        <v>61712.27</v>
      </c>
      <c r="E10" s="1181">
        <f t="shared" si="6"/>
        <v>68012.26999999999</v>
      </c>
      <c r="F10" s="1181">
        <f t="shared" si="7"/>
        <v>0</v>
      </c>
      <c r="G10" s="1182">
        <f t="shared" si="8"/>
        <v>-0.04</v>
      </c>
      <c r="H10" s="1182">
        <f t="shared" si="9"/>
        <v>-0.04</v>
      </c>
      <c r="I10" s="1561">
        <f t="shared" si="10"/>
        <v>129724.49999999999</v>
      </c>
      <c r="J10" s="1183">
        <v>61712.27</v>
      </c>
      <c r="K10" s="1184">
        <v>61712.27</v>
      </c>
      <c r="L10" s="1184">
        <v>0</v>
      </c>
      <c r="M10" s="1184">
        <v>-0.04</v>
      </c>
      <c r="N10" s="1184">
        <v>0</v>
      </c>
      <c r="O10" s="1185">
        <f t="shared" si="11"/>
        <v>123424.5</v>
      </c>
      <c r="P10" s="1560">
        <f t="shared" si="12"/>
        <v>-0.04</v>
      </c>
      <c r="Q10" s="1560">
        <f t="shared" si="13"/>
        <v>-0.04</v>
      </c>
      <c r="R10" s="1187"/>
      <c r="S10" s="1188"/>
      <c r="T10" s="1188"/>
      <c r="U10" s="1188"/>
      <c r="V10" s="1188"/>
      <c r="W10" s="1186">
        <f t="shared" si="2"/>
        <v>0</v>
      </c>
      <c r="X10" s="1560">
        <f t="shared" si="14"/>
        <v>0</v>
      </c>
      <c r="Y10" s="1560">
        <f t="shared" si="15"/>
        <v>0</v>
      </c>
      <c r="Z10" s="1183"/>
      <c r="AA10" s="1184"/>
      <c r="AB10" s="1184"/>
      <c r="AC10" s="1184"/>
      <c r="AD10" s="1184"/>
      <c r="AE10" s="1186">
        <f t="shared" si="3"/>
        <v>0</v>
      </c>
      <c r="AF10" s="1560">
        <f t="shared" si="16"/>
        <v>0</v>
      </c>
      <c r="AG10" s="1560">
        <f t="shared" si="17"/>
        <v>0</v>
      </c>
      <c r="AH10" s="1187">
        <v>0</v>
      </c>
      <c r="AI10" s="1188">
        <v>6300</v>
      </c>
      <c r="AJ10" s="1188">
        <v>0</v>
      </c>
      <c r="AK10" s="1188">
        <v>0</v>
      </c>
      <c r="AL10" s="1188">
        <v>0</v>
      </c>
      <c r="AM10" s="1189">
        <f t="shared" si="4"/>
        <v>6300</v>
      </c>
      <c r="AN10" s="1189">
        <f t="shared" si="18"/>
        <v>0</v>
      </c>
      <c r="AO10" s="1189">
        <f t="shared" si="19"/>
        <v>0</v>
      </c>
    </row>
    <row r="11" spans="1:41" s="237" customFormat="1">
      <c r="A11" s="1179" t="s">
        <v>24</v>
      </c>
      <c r="B11" s="1180" t="s">
        <v>25</v>
      </c>
      <c r="C11" s="103" t="s">
        <v>267</v>
      </c>
      <c r="D11" s="1181">
        <f t="shared" si="5"/>
        <v>718301.80999999994</v>
      </c>
      <c r="E11" s="1181">
        <f t="shared" si="6"/>
        <v>1134601.1399999999</v>
      </c>
      <c r="F11" s="1181">
        <f t="shared" si="7"/>
        <v>0</v>
      </c>
      <c r="G11" s="1182">
        <f t="shared" si="8"/>
        <v>139.17000000000002</v>
      </c>
      <c r="H11" s="1182">
        <f t="shared" si="9"/>
        <v>139.17000000000002</v>
      </c>
      <c r="I11" s="1561">
        <f t="shared" si="10"/>
        <v>1853042.1199999996</v>
      </c>
      <c r="J11" s="1183">
        <v>175754.66</v>
      </c>
      <c r="K11" s="1184">
        <v>175754.66</v>
      </c>
      <c r="L11" s="1184">
        <v>0</v>
      </c>
      <c r="M11" s="1184">
        <v>-0.26</v>
      </c>
      <c r="N11" s="1184">
        <v>0</v>
      </c>
      <c r="O11" s="1185">
        <f t="shared" si="11"/>
        <v>351509.06</v>
      </c>
      <c r="P11" s="1560">
        <f t="shared" si="12"/>
        <v>-0.26</v>
      </c>
      <c r="Q11" s="1560">
        <f t="shared" si="13"/>
        <v>-0.26</v>
      </c>
      <c r="R11" s="1183">
        <v>498757.54</v>
      </c>
      <c r="S11" s="1184">
        <v>498757.54</v>
      </c>
      <c r="T11" s="1184">
        <v>0</v>
      </c>
      <c r="U11" s="1184">
        <v>139.43</v>
      </c>
      <c r="V11" s="1184">
        <v>0</v>
      </c>
      <c r="W11" s="1186">
        <f t="shared" si="2"/>
        <v>997654.51</v>
      </c>
      <c r="X11" s="1560">
        <f t="shared" si="14"/>
        <v>139.43</v>
      </c>
      <c r="Y11" s="1560">
        <f t="shared" si="15"/>
        <v>139.43</v>
      </c>
      <c r="Z11" s="1183"/>
      <c r="AA11" s="1184"/>
      <c r="AB11" s="1184"/>
      <c r="AC11" s="1184"/>
      <c r="AD11" s="1184"/>
      <c r="AE11" s="1186">
        <f t="shared" si="3"/>
        <v>0</v>
      </c>
      <c r="AF11" s="1560">
        <f t="shared" si="16"/>
        <v>0</v>
      </c>
      <c r="AG11" s="1560">
        <f t="shared" si="17"/>
        <v>0</v>
      </c>
      <c r="AH11" s="1187">
        <v>43789.61</v>
      </c>
      <c r="AI11" s="1188">
        <v>460088.94</v>
      </c>
      <c r="AJ11" s="1188">
        <v>0</v>
      </c>
      <c r="AK11" s="1188">
        <v>0</v>
      </c>
      <c r="AL11" s="1188">
        <v>0</v>
      </c>
      <c r="AM11" s="1189">
        <f t="shared" si="4"/>
        <v>503878.55</v>
      </c>
      <c r="AN11" s="1189">
        <f t="shared" si="18"/>
        <v>0</v>
      </c>
      <c r="AO11" s="1189">
        <f t="shared" si="19"/>
        <v>0</v>
      </c>
    </row>
    <row r="12" spans="1:41" s="237" customFormat="1">
      <c r="A12" s="1179" t="s">
        <v>26</v>
      </c>
      <c r="B12" s="1180" t="s">
        <v>706</v>
      </c>
      <c r="C12" s="103" t="s">
        <v>265</v>
      </c>
      <c r="D12" s="1181">
        <f t="shared" si="5"/>
        <v>2242194.1</v>
      </c>
      <c r="E12" s="1181">
        <f t="shared" si="6"/>
        <v>3181951.26</v>
      </c>
      <c r="F12" s="1181">
        <f t="shared" si="7"/>
        <v>0</v>
      </c>
      <c r="G12" s="1182">
        <f t="shared" si="8"/>
        <v>-0.65</v>
      </c>
      <c r="H12" s="1182">
        <f t="shared" si="9"/>
        <v>-0.65</v>
      </c>
      <c r="I12" s="1561">
        <f t="shared" si="10"/>
        <v>5424144.709999999</v>
      </c>
      <c r="J12" s="1183">
        <v>985745.76</v>
      </c>
      <c r="K12" s="1184">
        <v>985745.76</v>
      </c>
      <c r="L12" s="1184">
        <v>0</v>
      </c>
      <c r="M12" s="1184">
        <v>-0.59</v>
      </c>
      <c r="N12" s="1184">
        <v>0</v>
      </c>
      <c r="O12" s="1185">
        <f t="shared" si="11"/>
        <v>1971490.93</v>
      </c>
      <c r="P12" s="1560">
        <f t="shared" si="12"/>
        <v>-0.59</v>
      </c>
      <c r="Q12" s="1560">
        <f t="shared" si="13"/>
        <v>-0.59</v>
      </c>
      <c r="R12" s="1183">
        <v>1079619.79</v>
      </c>
      <c r="S12" s="1184">
        <v>1079619.79</v>
      </c>
      <c r="T12" s="1184">
        <v>0</v>
      </c>
      <c r="U12" s="1184">
        <v>-6.0000000000000005E-2</v>
      </c>
      <c r="V12" s="1184">
        <v>0</v>
      </c>
      <c r="W12" s="1186">
        <f t="shared" si="2"/>
        <v>2159239.52</v>
      </c>
      <c r="X12" s="1560">
        <f t="shared" si="14"/>
        <v>-6.0000000000000005E-2</v>
      </c>
      <c r="Y12" s="1560">
        <f t="shared" si="15"/>
        <v>-6.0000000000000005E-2</v>
      </c>
      <c r="Z12" s="1183"/>
      <c r="AA12" s="1184"/>
      <c r="AB12" s="1184"/>
      <c r="AC12" s="1184"/>
      <c r="AD12" s="1184"/>
      <c r="AE12" s="1186">
        <f t="shared" si="3"/>
        <v>0</v>
      </c>
      <c r="AF12" s="1560">
        <f t="shared" si="16"/>
        <v>0</v>
      </c>
      <c r="AG12" s="1560">
        <f t="shared" si="17"/>
        <v>0</v>
      </c>
      <c r="AH12" s="1187">
        <v>176828.55</v>
      </c>
      <c r="AI12" s="1188">
        <v>1116585.71</v>
      </c>
      <c r="AJ12" s="1188">
        <v>0</v>
      </c>
      <c r="AK12" s="1188">
        <v>0</v>
      </c>
      <c r="AL12" s="1188">
        <v>0</v>
      </c>
      <c r="AM12" s="1189">
        <f t="shared" si="4"/>
        <v>1293414.26</v>
      </c>
      <c r="AN12" s="1189">
        <f t="shared" si="18"/>
        <v>0</v>
      </c>
      <c r="AO12" s="1189">
        <f t="shared" si="19"/>
        <v>0</v>
      </c>
    </row>
    <row r="13" spans="1:41" s="237" customFormat="1">
      <c r="A13" s="1179" t="s">
        <v>27</v>
      </c>
      <c r="B13" s="1180" t="s">
        <v>28</v>
      </c>
      <c r="C13" s="103" t="s">
        <v>265</v>
      </c>
      <c r="D13" s="1181">
        <f t="shared" si="5"/>
        <v>27404.880000000001</v>
      </c>
      <c r="E13" s="1181">
        <f t="shared" si="6"/>
        <v>35396.880000000005</v>
      </c>
      <c r="F13" s="1181">
        <f t="shared" si="7"/>
        <v>0</v>
      </c>
      <c r="G13" s="1182">
        <f t="shared" si="8"/>
        <v>71.52</v>
      </c>
      <c r="H13" s="1182">
        <f t="shared" si="9"/>
        <v>71.52</v>
      </c>
      <c r="I13" s="1561">
        <f t="shared" si="10"/>
        <v>62873.280000000006</v>
      </c>
      <c r="J13" s="1183">
        <v>27404.880000000001</v>
      </c>
      <c r="K13" s="1184">
        <v>27404.880000000001</v>
      </c>
      <c r="L13" s="1184">
        <v>0</v>
      </c>
      <c r="M13" s="1184">
        <v>71.52</v>
      </c>
      <c r="N13" s="1184">
        <v>0</v>
      </c>
      <c r="O13" s="1185">
        <f t="shared" si="11"/>
        <v>54881.279999999999</v>
      </c>
      <c r="P13" s="1560">
        <f t="shared" si="12"/>
        <v>71.52</v>
      </c>
      <c r="Q13" s="1560">
        <f t="shared" si="13"/>
        <v>71.52</v>
      </c>
      <c r="R13" s="1183"/>
      <c r="S13" s="1184"/>
      <c r="T13" s="1184"/>
      <c r="U13" s="1184"/>
      <c r="V13" s="1184"/>
      <c r="W13" s="1186">
        <f t="shared" si="2"/>
        <v>0</v>
      </c>
      <c r="X13" s="1560">
        <f t="shared" si="14"/>
        <v>0</v>
      </c>
      <c r="Y13" s="1560">
        <f t="shared" si="15"/>
        <v>0</v>
      </c>
      <c r="Z13" s="1183"/>
      <c r="AA13" s="1184"/>
      <c r="AB13" s="1184"/>
      <c r="AC13" s="1184"/>
      <c r="AD13" s="1184"/>
      <c r="AE13" s="1186">
        <f t="shared" si="3"/>
        <v>0</v>
      </c>
      <c r="AF13" s="1560">
        <f t="shared" si="16"/>
        <v>0</v>
      </c>
      <c r="AG13" s="1560">
        <f t="shared" si="17"/>
        <v>0</v>
      </c>
      <c r="AH13" s="1187">
        <v>0</v>
      </c>
      <c r="AI13" s="1188">
        <v>7992</v>
      </c>
      <c r="AJ13" s="1188">
        <v>0</v>
      </c>
      <c r="AK13" s="1188">
        <v>0</v>
      </c>
      <c r="AL13" s="1188">
        <v>0</v>
      </c>
      <c r="AM13" s="1189">
        <f t="shared" si="4"/>
        <v>7992</v>
      </c>
      <c r="AN13" s="1189">
        <f t="shared" si="18"/>
        <v>0</v>
      </c>
      <c r="AO13" s="1189">
        <f t="shared" si="19"/>
        <v>0</v>
      </c>
    </row>
    <row r="14" spans="1:41" s="237" customFormat="1">
      <c r="A14" s="1179" t="s">
        <v>29</v>
      </c>
      <c r="B14" s="1180" t="s">
        <v>1012</v>
      </c>
      <c r="C14" s="103" t="s">
        <v>265</v>
      </c>
      <c r="D14" s="1181">
        <f t="shared" si="5"/>
        <v>678835.40000000014</v>
      </c>
      <c r="E14" s="1181">
        <f t="shared" si="6"/>
        <v>1239757.75</v>
      </c>
      <c r="F14" s="1181">
        <f t="shared" si="7"/>
        <v>0</v>
      </c>
      <c r="G14" s="1182">
        <f t="shared" si="8"/>
        <v>-0.17</v>
      </c>
      <c r="H14" s="1182">
        <f t="shared" si="9"/>
        <v>-0.17</v>
      </c>
      <c r="I14" s="1561">
        <f t="shared" si="10"/>
        <v>1918592.9800000002</v>
      </c>
      <c r="J14" s="1183">
        <v>113498.19</v>
      </c>
      <c r="K14" s="1184">
        <v>113498.19</v>
      </c>
      <c r="L14" s="1184">
        <v>0</v>
      </c>
      <c r="M14" s="1184">
        <v>-0.14000000000000001</v>
      </c>
      <c r="N14" s="1184">
        <v>0</v>
      </c>
      <c r="O14" s="1185">
        <f t="shared" si="11"/>
        <v>226996.24</v>
      </c>
      <c r="P14" s="1560">
        <f t="shared" si="12"/>
        <v>-0.14000000000000001</v>
      </c>
      <c r="Q14" s="1560">
        <f t="shared" si="13"/>
        <v>-0.14000000000000001</v>
      </c>
      <c r="R14" s="1183">
        <v>546112.15</v>
      </c>
      <c r="S14" s="1184">
        <v>546112.15</v>
      </c>
      <c r="T14" s="1184">
        <v>0</v>
      </c>
      <c r="U14" s="1184">
        <v>-0.03</v>
      </c>
      <c r="V14" s="1184">
        <v>0</v>
      </c>
      <c r="W14" s="1186">
        <f t="shared" si="2"/>
        <v>1092224.27</v>
      </c>
      <c r="X14" s="1560">
        <f t="shared" si="14"/>
        <v>-0.03</v>
      </c>
      <c r="Y14" s="1560">
        <f t="shared" si="15"/>
        <v>-0.03</v>
      </c>
      <c r="Z14" s="1183"/>
      <c r="AA14" s="1184"/>
      <c r="AB14" s="1184"/>
      <c r="AC14" s="1184"/>
      <c r="AD14" s="1184"/>
      <c r="AE14" s="1186">
        <f t="shared" si="3"/>
        <v>0</v>
      </c>
      <c r="AF14" s="1560">
        <f t="shared" si="16"/>
        <v>0</v>
      </c>
      <c r="AG14" s="1560">
        <f t="shared" si="17"/>
        <v>0</v>
      </c>
      <c r="AH14" s="1187">
        <v>19225.060000000001</v>
      </c>
      <c r="AI14" s="1188">
        <v>580147.41</v>
      </c>
      <c r="AJ14" s="1188">
        <v>0</v>
      </c>
      <c r="AK14" s="1188">
        <v>0</v>
      </c>
      <c r="AL14" s="1188">
        <v>0</v>
      </c>
      <c r="AM14" s="1189">
        <f t="shared" si="4"/>
        <v>599372.47000000009</v>
      </c>
      <c r="AN14" s="1189">
        <f t="shared" si="18"/>
        <v>0</v>
      </c>
      <c r="AO14" s="1189">
        <f t="shared" si="19"/>
        <v>0</v>
      </c>
    </row>
    <row r="15" spans="1:41" s="237" customFormat="1">
      <c r="A15" s="1179" t="s">
        <v>30</v>
      </c>
      <c r="B15" s="1180" t="s">
        <v>31</v>
      </c>
      <c r="C15" s="103" t="s">
        <v>268</v>
      </c>
      <c r="D15" s="1181">
        <f t="shared" si="5"/>
        <v>115256.32000000001</v>
      </c>
      <c r="E15" s="1181">
        <f t="shared" si="6"/>
        <v>159426.98000000001</v>
      </c>
      <c r="F15" s="1181">
        <f t="shared" si="7"/>
        <v>0</v>
      </c>
      <c r="G15" s="1182">
        <f t="shared" si="8"/>
        <v>-0.08</v>
      </c>
      <c r="H15" s="1182">
        <f t="shared" si="9"/>
        <v>-0.08</v>
      </c>
      <c r="I15" s="1561">
        <f t="shared" si="10"/>
        <v>274683.22000000003</v>
      </c>
      <c r="J15" s="1183">
        <v>38134.879999999997</v>
      </c>
      <c r="K15" s="1184">
        <v>38134.879999999997</v>
      </c>
      <c r="L15" s="1184">
        <v>0</v>
      </c>
      <c r="M15" s="1184">
        <v>-0.05</v>
      </c>
      <c r="N15" s="1184">
        <v>0</v>
      </c>
      <c r="O15" s="1185">
        <f t="shared" si="11"/>
        <v>76269.709999999992</v>
      </c>
      <c r="P15" s="1560">
        <f t="shared" si="12"/>
        <v>-0.05</v>
      </c>
      <c r="Q15" s="1560">
        <f t="shared" si="13"/>
        <v>-0.05</v>
      </c>
      <c r="R15" s="1183">
        <v>67391.850000000006</v>
      </c>
      <c r="S15" s="1184">
        <v>67391.850000000006</v>
      </c>
      <c r="T15" s="1184">
        <v>0</v>
      </c>
      <c r="U15" s="1184">
        <v>-0.03</v>
      </c>
      <c r="V15" s="1184">
        <v>0</v>
      </c>
      <c r="W15" s="1186">
        <f t="shared" si="2"/>
        <v>134783.67000000001</v>
      </c>
      <c r="X15" s="1560">
        <f t="shared" si="14"/>
        <v>-0.03</v>
      </c>
      <c r="Y15" s="1560">
        <f t="shared" si="15"/>
        <v>-0.03</v>
      </c>
      <c r="Z15" s="1183"/>
      <c r="AA15" s="1184"/>
      <c r="AB15" s="1184"/>
      <c r="AC15" s="1184"/>
      <c r="AD15" s="1184"/>
      <c r="AE15" s="1186">
        <f t="shared" si="3"/>
        <v>0</v>
      </c>
      <c r="AF15" s="1560">
        <f t="shared" si="16"/>
        <v>0</v>
      </c>
      <c r="AG15" s="1560">
        <f t="shared" si="17"/>
        <v>0</v>
      </c>
      <c r="AH15" s="1187">
        <v>9729.59</v>
      </c>
      <c r="AI15" s="1188">
        <v>53900.25</v>
      </c>
      <c r="AJ15" s="1188">
        <v>0</v>
      </c>
      <c r="AK15" s="1188">
        <v>0</v>
      </c>
      <c r="AL15" s="1188">
        <v>0</v>
      </c>
      <c r="AM15" s="1189">
        <f t="shared" si="4"/>
        <v>63629.84</v>
      </c>
      <c r="AN15" s="1189">
        <f t="shared" si="18"/>
        <v>0</v>
      </c>
      <c r="AO15" s="1189">
        <f t="shared" si="19"/>
        <v>0</v>
      </c>
    </row>
    <row r="16" spans="1:41" s="237" customFormat="1">
      <c r="A16" s="1179" t="s">
        <v>32</v>
      </c>
      <c r="B16" s="1180" t="s">
        <v>33</v>
      </c>
      <c r="C16" s="103" t="s">
        <v>265</v>
      </c>
      <c r="D16" s="1181">
        <f t="shared" si="5"/>
        <v>111308.34</v>
      </c>
      <c r="E16" s="1181">
        <f t="shared" si="6"/>
        <v>120284.98999999999</v>
      </c>
      <c r="F16" s="1181">
        <f t="shared" si="7"/>
        <v>0</v>
      </c>
      <c r="G16" s="1182">
        <f t="shared" si="8"/>
        <v>-0.04</v>
      </c>
      <c r="H16" s="1182">
        <f t="shared" si="9"/>
        <v>-0.04</v>
      </c>
      <c r="I16" s="1561">
        <f t="shared" si="10"/>
        <v>231593.28999999998</v>
      </c>
      <c r="J16" s="1183">
        <v>49958.06</v>
      </c>
      <c r="K16" s="1184">
        <v>49958.06</v>
      </c>
      <c r="L16" s="1184">
        <v>0</v>
      </c>
      <c r="M16" s="1184">
        <v>-0.03</v>
      </c>
      <c r="N16" s="1184">
        <v>0</v>
      </c>
      <c r="O16" s="1185">
        <f t="shared" si="11"/>
        <v>99916.09</v>
      </c>
      <c r="P16" s="1560">
        <f t="shared" si="12"/>
        <v>-0.03</v>
      </c>
      <c r="Q16" s="1560">
        <f t="shared" si="13"/>
        <v>-0.03</v>
      </c>
      <c r="R16" s="1183">
        <v>61190.28</v>
      </c>
      <c r="S16" s="1184">
        <v>61190.28</v>
      </c>
      <c r="T16" s="1184">
        <v>0</v>
      </c>
      <c r="U16" s="1184">
        <v>-0.01</v>
      </c>
      <c r="V16" s="1184">
        <v>0</v>
      </c>
      <c r="W16" s="1186">
        <f t="shared" si="2"/>
        <v>122380.55</v>
      </c>
      <c r="X16" s="1560">
        <f t="shared" si="14"/>
        <v>-0.01</v>
      </c>
      <c r="Y16" s="1560">
        <f t="shared" si="15"/>
        <v>-0.01</v>
      </c>
      <c r="Z16" s="1183"/>
      <c r="AA16" s="1184"/>
      <c r="AB16" s="1184"/>
      <c r="AC16" s="1184"/>
      <c r="AD16" s="1184"/>
      <c r="AE16" s="1186">
        <f t="shared" si="3"/>
        <v>0</v>
      </c>
      <c r="AF16" s="1560">
        <f t="shared" si="16"/>
        <v>0</v>
      </c>
      <c r="AG16" s="1560">
        <f t="shared" si="17"/>
        <v>0</v>
      </c>
      <c r="AH16" s="1187">
        <v>160</v>
      </c>
      <c r="AI16" s="1188">
        <v>9136.65</v>
      </c>
      <c r="AJ16" s="1188">
        <v>0</v>
      </c>
      <c r="AK16" s="1188">
        <v>0</v>
      </c>
      <c r="AL16" s="1188">
        <v>0</v>
      </c>
      <c r="AM16" s="1189">
        <f t="shared" si="4"/>
        <v>9296.65</v>
      </c>
      <c r="AN16" s="1189">
        <f t="shared" si="18"/>
        <v>0</v>
      </c>
      <c r="AO16" s="1189">
        <f t="shared" si="19"/>
        <v>0</v>
      </c>
    </row>
    <row r="17" spans="1:41" s="237" customFormat="1">
      <c r="A17" s="1179" t="s">
        <v>36</v>
      </c>
      <c r="B17" s="1180" t="s">
        <v>37</v>
      </c>
      <c r="C17" s="103" t="s">
        <v>264</v>
      </c>
      <c r="D17" s="1181">
        <f t="shared" si="5"/>
        <v>41392.39</v>
      </c>
      <c r="E17" s="1181">
        <f t="shared" si="6"/>
        <v>41752.39</v>
      </c>
      <c r="F17" s="1181">
        <f t="shared" si="7"/>
        <v>0</v>
      </c>
      <c r="G17" s="1182">
        <f t="shared" si="8"/>
        <v>0</v>
      </c>
      <c r="H17" s="1182">
        <f t="shared" si="9"/>
        <v>0</v>
      </c>
      <c r="I17" s="1561">
        <f t="shared" si="10"/>
        <v>83144.78</v>
      </c>
      <c r="J17" s="1183">
        <v>11932.39</v>
      </c>
      <c r="K17" s="1184">
        <v>11932.39</v>
      </c>
      <c r="L17" s="1184">
        <v>0</v>
      </c>
      <c r="M17" s="1184">
        <v>0</v>
      </c>
      <c r="N17" s="1184">
        <v>0</v>
      </c>
      <c r="O17" s="1185">
        <f t="shared" si="11"/>
        <v>23864.78</v>
      </c>
      <c r="P17" s="1560">
        <f t="shared" si="12"/>
        <v>0</v>
      </c>
      <c r="Q17" s="1560">
        <f t="shared" si="13"/>
        <v>0</v>
      </c>
      <c r="R17" s="1183">
        <v>29340</v>
      </c>
      <c r="S17" s="1184">
        <v>29340</v>
      </c>
      <c r="T17" s="1184">
        <v>0</v>
      </c>
      <c r="U17" s="1184">
        <v>0</v>
      </c>
      <c r="V17" s="1184">
        <v>0</v>
      </c>
      <c r="W17" s="1186">
        <f t="shared" si="2"/>
        <v>58680</v>
      </c>
      <c r="X17" s="1560">
        <f t="shared" si="14"/>
        <v>0</v>
      </c>
      <c r="Y17" s="1560">
        <f t="shared" si="15"/>
        <v>0</v>
      </c>
      <c r="Z17" s="1183"/>
      <c r="AA17" s="1184"/>
      <c r="AB17" s="1184"/>
      <c r="AC17" s="1184"/>
      <c r="AD17" s="1184"/>
      <c r="AE17" s="1186">
        <f t="shared" si="3"/>
        <v>0</v>
      </c>
      <c r="AF17" s="1560">
        <f t="shared" si="16"/>
        <v>0</v>
      </c>
      <c r="AG17" s="1560">
        <f t="shared" si="17"/>
        <v>0</v>
      </c>
      <c r="AH17" s="1187">
        <v>120</v>
      </c>
      <c r="AI17" s="1188">
        <v>480</v>
      </c>
      <c r="AJ17" s="1188">
        <v>0</v>
      </c>
      <c r="AK17" s="1188">
        <v>0</v>
      </c>
      <c r="AL17" s="1188">
        <v>0</v>
      </c>
      <c r="AM17" s="1189">
        <f t="shared" si="4"/>
        <v>600</v>
      </c>
      <c r="AN17" s="1189">
        <f t="shared" si="18"/>
        <v>0</v>
      </c>
      <c r="AO17" s="1189">
        <f t="shared" si="19"/>
        <v>0</v>
      </c>
    </row>
    <row r="18" spans="1:41" s="237" customFormat="1">
      <c r="A18" s="1179" t="s">
        <v>38</v>
      </c>
      <c r="B18" s="1180" t="s">
        <v>39</v>
      </c>
      <c r="C18" s="103" t="s">
        <v>268</v>
      </c>
      <c r="D18" s="1181">
        <f t="shared" si="5"/>
        <v>755931.13</v>
      </c>
      <c r="E18" s="1181">
        <f t="shared" si="6"/>
        <v>988085.93</v>
      </c>
      <c r="F18" s="1181">
        <f t="shared" si="7"/>
        <v>0</v>
      </c>
      <c r="G18" s="1182">
        <f t="shared" si="8"/>
        <v>-0.13</v>
      </c>
      <c r="H18" s="1182">
        <f t="shared" si="9"/>
        <v>-0.13</v>
      </c>
      <c r="I18" s="1561">
        <f t="shared" si="10"/>
        <v>1744016.9300000002</v>
      </c>
      <c r="J18" s="1183">
        <v>307939.32</v>
      </c>
      <c r="K18" s="1184">
        <v>307939.32</v>
      </c>
      <c r="L18" s="1184">
        <v>0</v>
      </c>
      <c r="M18" s="1184">
        <v>-0.13</v>
      </c>
      <c r="N18" s="1184">
        <v>0</v>
      </c>
      <c r="O18" s="1185">
        <f t="shared" si="11"/>
        <v>615878.51</v>
      </c>
      <c r="P18" s="1560">
        <f t="shared" si="12"/>
        <v>-0.13</v>
      </c>
      <c r="Q18" s="1560">
        <f t="shared" si="13"/>
        <v>-0.13</v>
      </c>
      <c r="R18" s="1183">
        <v>426345.21</v>
      </c>
      <c r="S18" s="1184">
        <v>426345.21</v>
      </c>
      <c r="T18" s="1184">
        <v>0</v>
      </c>
      <c r="U18" s="1184">
        <v>0</v>
      </c>
      <c r="V18" s="1184">
        <v>0</v>
      </c>
      <c r="W18" s="1186">
        <f t="shared" si="2"/>
        <v>852690.42</v>
      </c>
      <c r="X18" s="1560">
        <f t="shared" si="14"/>
        <v>0</v>
      </c>
      <c r="Y18" s="1560">
        <f t="shared" si="15"/>
        <v>0</v>
      </c>
      <c r="Z18" s="1183"/>
      <c r="AA18" s="1184"/>
      <c r="AB18" s="1184"/>
      <c r="AC18" s="1184"/>
      <c r="AD18" s="1184"/>
      <c r="AE18" s="1186">
        <f t="shared" si="3"/>
        <v>0</v>
      </c>
      <c r="AF18" s="1560">
        <f t="shared" si="16"/>
        <v>0</v>
      </c>
      <c r="AG18" s="1560">
        <f t="shared" si="17"/>
        <v>0</v>
      </c>
      <c r="AH18" s="1187">
        <v>21646.6</v>
      </c>
      <c r="AI18" s="1188">
        <v>253801.4</v>
      </c>
      <c r="AJ18" s="1188">
        <v>0</v>
      </c>
      <c r="AK18" s="1188">
        <v>0</v>
      </c>
      <c r="AL18" s="1188">
        <v>0</v>
      </c>
      <c r="AM18" s="1189">
        <f t="shared" si="4"/>
        <v>275448</v>
      </c>
      <c r="AN18" s="1189">
        <f t="shared" si="18"/>
        <v>0</v>
      </c>
      <c r="AO18" s="1189">
        <f t="shared" si="19"/>
        <v>0</v>
      </c>
    </row>
    <row r="19" spans="1:41" s="237" customFormat="1">
      <c r="A19" s="1179" t="s">
        <v>40</v>
      </c>
      <c r="B19" s="1180" t="s">
        <v>41</v>
      </c>
      <c r="C19" s="103" t="s">
        <v>266</v>
      </c>
      <c r="D19" s="1181">
        <f t="shared" si="5"/>
        <v>67472.600000000006</v>
      </c>
      <c r="E19" s="1181">
        <f t="shared" si="6"/>
        <v>111506.16</v>
      </c>
      <c r="F19" s="1181">
        <f t="shared" si="7"/>
        <v>0</v>
      </c>
      <c r="G19" s="1182">
        <f t="shared" si="8"/>
        <v>-0.05</v>
      </c>
      <c r="H19" s="1182">
        <f t="shared" si="9"/>
        <v>-0.05</v>
      </c>
      <c r="I19" s="1561">
        <f t="shared" si="10"/>
        <v>178978.71000000002</v>
      </c>
      <c r="J19" s="1183">
        <v>19145.060000000001</v>
      </c>
      <c r="K19" s="1184">
        <v>19145.060000000001</v>
      </c>
      <c r="L19" s="1184">
        <v>0</v>
      </c>
      <c r="M19" s="1184">
        <v>-0.05</v>
      </c>
      <c r="N19" s="1184">
        <v>0</v>
      </c>
      <c r="O19" s="1185">
        <f t="shared" si="11"/>
        <v>38290.07</v>
      </c>
      <c r="P19" s="1560">
        <f t="shared" si="12"/>
        <v>-0.05</v>
      </c>
      <c r="Q19" s="1560">
        <f t="shared" si="13"/>
        <v>-0.05</v>
      </c>
      <c r="R19" s="1183">
        <v>48327.54</v>
      </c>
      <c r="S19" s="1184">
        <v>48327.54</v>
      </c>
      <c r="T19" s="1184">
        <v>0</v>
      </c>
      <c r="U19" s="1184">
        <v>0</v>
      </c>
      <c r="V19" s="1184">
        <v>0</v>
      </c>
      <c r="W19" s="1186">
        <f t="shared" si="2"/>
        <v>96655.08</v>
      </c>
      <c r="X19" s="1560">
        <f t="shared" si="14"/>
        <v>0</v>
      </c>
      <c r="Y19" s="1560">
        <f t="shared" si="15"/>
        <v>0</v>
      </c>
      <c r="Z19" s="1183"/>
      <c r="AA19" s="1184"/>
      <c r="AB19" s="1184"/>
      <c r="AC19" s="1184"/>
      <c r="AD19" s="1184"/>
      <c r="AE19" s="1186">
        <f t="shared" si="3"/>
        <v>0</v>
      </c>
      <c r="AF19" s="1560">
        <f t="shared" si="16"/>
        <v>0</v>
      </c>
      <c r="AG19" s="1560">
        <f t="shared" si="17"/>
        <v>0</v>
      </c>
      <c r="AH19" s="1187">
        <v>0</v>
      </c>
      <c r="AI19" s="1188">
        <v>44033.56</v>
      </c>
      <c r="AJ19" s="1188">
        <v>0</v>
      </c>
      <c r="AK19" s="1188">
        <v>0</v>
      </c>
      <c r="AL19" s="1188">
        <v>0</v>
      </c>
      <c r="AM19" s="1189">
        <f t="shared" si="4"/>
        <v>44033.56</v>
      </c>
      <c r="AN19" s="1189">
        <f t="shared" si="18"/>
        <v>0</v>
      </c>
      <c r="AO19" s="1189">
        <f t="shared" si="19"/>
        <v>0</v>
      </c>
    </row>
    <row r="20" spans="1:41" s="237" customFormat="1">
      <c r="A20" s="1179" t="s">
        <v>42</v>
      </c>
      <c r="B20" s="1180" t="s">
        <v>43</v>
      </c>
      <c r="C20" s="103" t="s">
        <v>265</v>
      </c>
      <c r="D20" s="1181">
        <f t="shared" si="5"/>
        <v>610769.25</v>
      </c>
      <c r="E20" s="1181">
        <f t="shared" si="6"/>
        <v>1118772.23</v>
      </c>
      <c r="F20" s="1181">
        <f t="shared" si="7"/>
        <v>0</v>
      </c>
      <c r="G20" s="1182">
        <f t="shared" si="8"/>
        <v>-0.32</v>
      </c>
      <c r="H20" s="1182">
        <f t="shared" si="9"/>
        <v>-0.32</v>
      </c>
      <c r="I20" s="1561">
        <f t="shared" si="10"/>
        <v>1729541.16</v>
      </c>
      <c r="J20" s="1183">
        <v>110986.53</v>
      </c>
      <c r="K20" s="1184">
        <v>110986.53</v>
      </c>
      <c r="L20" s="1184">
        <v>0</v>
      </c>
      <c r="M20" s="1184">
        <v>-0.2</v>
      </c>
      <c r="N20" s="1184">
        <v>0</v>
      </c>
      <c r="O20" s="1185">
        <f t="shared" si="11"/>
        <v>221972.86</v>
      </c>
      <c r="P20" s="1560">
        <f t="shared" si="12"/>
        <v>-0.2</v>
      </c>
      <c r="Q20" s="1560">
        <f t="shared" si="13"/>
        <v>-0.2</v>
      </c>
      <c r="R20" s="1183">
        <v>480198.8</v>
      </c>
      <c r="S20" s="1184">
        <v>480198.8</v>
      </c>
      <c r="T20" s="1184">
        <v>0</v>
      </c>
      <c r="U20" s="1184">
        <v>-0.12</v>
      </c>
      <c r="V20" s="1184">
        <v>0</v>
      </c>
      <c r="W20" s="1186">
        <f t="shared" si="2"/>
        <v>960397.48</v>
      </c>
      <c r="X20" s="1560">
        <f t="shared" si="14"/>
        <v>-0.12</v>
      </c>
      <c r="Y20" s="1560">
        <f t="shared" si="15"/>
        <v>-0.12</v>
      </c>
      <c r="Z20" s="1183"/>
      <c r="AA20" s="1184"/>
      <c r="AB20" s="1184"/>
      <c r="AC20" s="1184"/>
      <c r="AD20" s="1184"/>
      <c r="AE20" s="1186">
        <f t="shared" si="3"/>
        <v>0</v>
      </c>
      <c r="AF20" s="1560">
        <f t="shared" si="16"/>
        <v>0</v>
      </c>
      <c r="AG20" s="1560">
        <f t="shared" si="17"/>
        <v>0</v>
      </c>
      <c r="AH20" s="1187">
        <v>19583.919999999998</v>
      </c>
      <c r="AI20" s="1188">
        <v>527586.9</v>
      </c>
      <c r="AJ20" s="1188">
        <v>0</v>
      </c>
      <c r="AK20" s="1188">
        <v>0</v>
      </c>
      <c r="AL20" s="1188">
        <v>0</v>
      </c>
      <c r="AM20" s="1189">
        <f t="shared" si="4"/>
        <v>547170.82000000007</v>
      </c>
      <c r="AN20" s="1189">
        <f t="shared" si="18"/>
        <v>0</v>
      </c>
      <c r="AO20" s="1189">
        <f t="shared" si="19"/>
        <v>0</v>
      </c>
    </row>
    <row r="21" spans="1:41" s="237" customFormat="1">
      <c r="A21" s="1179" t="s">
        <v>44</v>
      </c>
      <c r="B21" s="1180" t="s">
        <v>45</v>
      </c>
      <c r="C21" s="103" t="s">
        <v>266</v>
      </c>
      <c r="D21" s="1181">
        <f t="shared" si="5"/>
        <v>165112.58000000002</v>
      </c>
      <c r="E21" s="1181">
        <f t="shared" si="6"/>
        <v>165112.58000000002</v>
      </c>
      <c r="F21" s="1181">
        <f t="shared" si="7"/>
        <v>0</v>
      </c>
      <c r="G21" s="1182">
        <f t="shared" si="8"/>
        <v>-7.0000000000000007E-2</v>
      </c>
      <c r="H21" s="1182">
        <f t="shared" si="9"/>
        <v>-7.0000000000000007E-2</v>
      </c>
      <c r="I21" s="1561">
        <f t="shared" si="10"/>
        <v>330225.09000000003</v>
      </c>
      <c r="J21" s="1183">
        <v>126505.58</v>
      </c>
      <c r="K21" s="1184">
        <v>126505.58</v>
      </c>
      <c r="L21" s="1184">
        <v>0</v>
      </c>
      <c r="M21" s="1184">
        <v>-7.0000000000000007E-2</v>
      </c>
      <c r="N21" s="1184">
        <v>0</v>
      </c>
      <c r="O21" s="1185">
        <f t="shared" si="11"/>
        <v>253011.09</v>
      </c>
      <c r="P21" s="1560">
        <f t="shared" si="12"/>
        <v>-7.0000000000000007E-2</v>
      </c>
      <c r="Q21" s="1560">
        <f t="shared" si="13"/>
        <v>-7.0000000000000007E-2</v>
      </c>
      <c r="R21" s="1183">
        <v>38607</v>
      </c>
      <c r="S21" s="1184">
        <v>38607</v>
      </c>
      <c r="T21" s="1184">
        <v>0</v>
      </c>
      <c r="U21" s="1184">
        <v>0</v>
      </c>
      <c r="V21" s="1184">
        <v>0</v>
      </c>
      <c r="W21" s="1186">
        <f t="shared" si="2"/>
        <v>77214</v>
      </c>
      <c r="X21" s="1560">
        <f t="shared" si="14"/>
        <v>0</v>
      </c>
      <c r="Y21" s="1560">
        <f t="shared" si="15"/>
        <v>0</v>
      </c>
      <c r="Z21" s="1183"/>
      <c r="AA21" s="1184"/>
      <c r="AB21" s="1184"/>
      <c r="AC21" s="1184"/>
      <c r="AD21" s="1184"/>
      <c r="AE21" s="1186">
        <f t="shared" si="3"/>
        <v>0</v>
      </c>
      <c r="AF21" s="1560">
        <f t="shared" si="16"/>
        <v>0</v>
      </c>
      <c r="AG21" s="1560">
        <f t="shared" si="17"/>
        <v>0</v>
      </c>
      <c r="AH21" s="1187"/>
      <c r="AI21" s="1188"/>
      <c r="AJ21" s="1188"/>
      <c r="AK21" s="1188"/>
      <c r="AL21" s="1188"/>
      <c r="AM21" s="1189">
        <f t="shared" si="4"/>
        <v>0</v>
      </c>
      <c r="AN21" s="1189">
        <f t="shared" si="18"/>
        <v>0</v>
      </c>
      <c r="AO21" s="1189">
        <f t="shared" si="19"/>
        <v>0</v>
      </c>
    </row>
    <row r="22" spans="1:41" s="237" customFormat="1">
      <c r="A22" s="1179" t="s">
        <v>46</v>
      </c>
      <c r="B22" s="1180" t="s">
        <v>47</v>
      </c>
      <c r="C22" s="103" t="s">
        <v>268</v>
      </c>
      <c r="D22" s="1181">
        <f t="shared" si="5"/>
        <v>276074.31</v>
      </c>
      <c r="E22" s="1181">
        <f t="shared" si="6"/>
        <v>328950.83</v>
      </c>
      <c r="F22" s="1181">
        <f t="shared" si="7"/>
        <v>0</v>
      </c>
      <c r="G22" s="1182">
        <f t="shared" si="8"/>
        <v>-0.09</v>
      </c>
      <c r="H22" s="1182">
        <f t="shared" si="9"/>
        <v>-0.09</v>
      </c>
      <c r="I22" s="1561">
        <f t="shared" si="10"/>
        <v>605025.05000000005</v>
      </c>
      <c r="J22" s="1183">
        <v>102013.78</v>
      </c>
      <c r="K22" s="1184">
        <v>102013.78</v>
      </c>
      <c r="L22" s="1184">
        <v>0</v>
      </c>
      <c r="M22" s="1184">
        <v>-0.08</v>
      </c>
      <c r="N22" s="1184">
        <v>0</v>
      </c>
      <c r="O22" s="1185">
        <f t="shared" si="11"/>
        <v>204027.48</v>
      </c>
      <c r="P22" s="1560">
        <f t="shared" si="12"/>
        <v>-0.08</v>
      </c>
      <c r="Q22" s="1560">
        <f t="shared" si="13"/>
        <v>-0.08</v>
      </c>
      <c r="R22" s="1183">
        <v>173970.28</v>
      </c>
      <c r="S22" s="1184">
        <v>173970.28</v>
      </c>
      <c r="T22" s="1184">
        <v>0</v>
      </c>
      <c r="U22" s="1184">
        <v>-0.01</v>
      </c>
      <c r="V22" s="1184">
        <v>0</v>
      </c>
      <c r="W22" s="1186">
        <f t="shared" si="2"/>
        <v>347940.55</v>
      </c>
      <c r="X22" s="1560">
        <f t="shared" si="14"/>
        <v>-0.01</v>
      </c>
      <c r="Y22" s="1560">
        <f t="shared" si="15"/>
        <v>-0.01</v>
      </c>
      <c r="Z22" s="1183"/>
      <c r="AA22" s="1184"/>
      <c r="AB22" s="1184"/>
      <c r="AC22" s="1184"/>
      <c r="AD22" s="1184"/>
      <c r="AE22" s="1186">
        <f t="shared" si="3"/>
        <v>0</v>
      </c>
      <c r="AF22" s="1560">
        <f t="shared" si="16"/>
        <v>0</v>
      </c>
      <c r="AG22" s="1560">
        <f t="shared" si="17"/>
        <v>0</v>
      </c>
      <c r="AH22" s="1187">
        <v>90.25</v>
      </c>
      <c r="AI22" s="1188">
        <v>52966.77</v>
      </c>
      <c r="AJ22" s="1188">
        <v>0</v>
      </c>
      <c r="AK22" s="1188">
        <v>0</v>
      </c>
      <c r="AL22" s="1188">
        <v>0</v>
      </c>
      <c r="AM22" s="1189">
        <f t="shared" si="4"/>
        <v>53057.02</v>
      </c>
      <c r="AN22" s="1189">
        <f t="shared" si="18"/>
        <v>0</v>
      </c>
      <c r="AO22" s="1189">
        <f t="shared" si="19"/>
        <v>0</v>
      </c>
    </row>
    <row r="23" spans="1:41" s="237" customFormat="1">
      <c r="A23" s="1179" t="s">
        <v>48</v>
      </c>
      <c r="B23" s="1180" t="s">
        <v>269</v>
      </c>
      <c r="C23" s="103" t="s">
        <v>266</v>
      </c>
      <c r="D23" s="1181">
        <f t="shared" si="5"/>
        <v>4097</v>
      </c>
      <c r="E23" s="1181">
        <f t="shared" si="6"/>
        <v>13238</v>
      </c>
      <c r="F23" s="1181">
        <f t="shared" si="7"/>
        <v>0</v>
      </c>
      <c r="G23" s="1182">
        <f t="shared" si="8"/>
        <v>0</v>
      </c>
      <c r="H23" s="1182">
        <f t="shared" si="9"/>
        <v>0</v>
      </c>
      <c r="I23" s="1561">
        <f t="shared" si="10"/>
        <v>17335</v>
      </c>
      <c r="J23" s="1187"/>
      <c r="K23" s="1188"/>
      <c r="L23" s="1188"/>
      <c r="M23" s="1188"/>
      <c r="N23" s="1188"/>
      <c r="O23" s="1185">
        <f t="shared" si="11"/>
        <v>0</v>
      </c>
      <c r="P23" s="1560">
        <f t="shared" si="12"/>
        <v>0</v>
      </c>
      <c r="Q23" s="1560">
        <f t="shared" si="13"/>
        <v>0</v>
      </c>
      <c r="R23" s="1183">
        <v>3150</v>
      </c>
      <c r="S23" s="1184">
        <v>3150</v>
      </c>
      <c r="T23" s="1184">
        <v>0</v>
      </c>
      <c r="U23" s="1184">
        <v>0</v>
      </c>
      <c r="V23" s="1184">
        <v>0</v>
      </c>
      <c r="W23" s="1186">
        <f t="shared" si="2"/>
        <v>6300</v>
      </c>
      <c r="X23" s="1560">
        <f t="shared" si="14"/>
        <v>0</v>
      </c>
      <c r="Y23" s="1560">
        <f t="shared" si="15"/>
        <v>0</v>
      </c>
      <c r="Z23" s="1183"/>
      <c r="AA23" s="1184"/>
      <c r="AB23" s="1184"/>
      <c r="AC23" s="1184"/>
      <c r="AD23" s="1184"/>
      <c r="AE23" s="1186">
        <f t="shared" si="3"/>
        <v>0</v>
      </c>
      <c r="AF23" s="1560">
        <f t="shared" si="16"/>
        <v>0</v>
      </c>
      <c r="AG23" s="1560">
        <f t="shared" si="17"/>
        <v>0</v>
      </c>
      <c r="AH23" s="1187">
        <v>947</v>
      </c>
      <c r="AI23" s="1188">
        <v>10088</v>
      </c>
      <c r="AJ23" s="1188">
        <v>0</v>
      </c>
      <c r="AK23" s="1188">
        <v>0</v>
      </c>
      <c r="AL23" s="1188">
        <v>0</v>
      </c>
      <c r="AM23" s="1189">
        <f t="shared" si="4"/>
        <v>11035</v>
      </c>
      <c r="AN23" s="1189">
        <f t="shared" si="18"/>
        <v>0</v>
      </c>
      <c r="AO23" s="1189">
        <f t="shared" si="19"/>
        <v>0</v>
      </c>
    </row>
    <row r="24" spans="1:41" s="237" customFormat="1">
      <c r="A24" s="1179" t="s">
        <v>50</v>
      </c>
      <c r="B24" s="1180" t="s">
        <v>51</v>
      </c>
      <c r="C24" s="103" t="s">
        <v>265</v>
      </c>
      <c r="D24" s="1181">
        <f t="shared" si="5"/>
        <v>138744.21</v>
      </c>
      <c r="E24" s="1181">
        <f t="shared" si="6"/>
        <v>140377.28999999998</v>
      </c>
      <c r="F24" s="1181">
        <f t="shared" si="7"/>
        <v>0</v>
      </c>
      <c r="G24" s="1182">
        <f t="shared" si="8"/>
        <v>-0.08</v>
      </c>
      <c r="H24" s="1182">
        <f t="shared" si="9"/>
        <v>-0.08</v>
      </c>
      <c r="I24" s="1561">
        <f t="shared" si="10"/>
        <v>279121.42</v>
      </c>
      <c r="J24" s="1183">
        <v>62090.01</v>
      </c>
      <c r="K24" s="1184">
        <v>62090.01</v>
      </c>
      <c r="L24" s="1184">
        <v>0</v>
      </c>
      <c r="M24" s="1184">
        <v>-0.08</v>
      </c>
      <c r="N24" s="1184">
        <v>0</v>
      </c>
      <c r="O24" s="1185">
        <f t="shared" si="11"/>
        <v>124179.94</v>
      </c>
      <c r="P24" s="1560">
        <f t="shared" si="12"/>
        <v>-0.08</v>
      </c>
      <c r="Q24" s="1560">
        <f t="shared" si="13"/>
        <v>-0.08</v>
      </c>
      <c r="R24" s="1183">
        <v>76514.2</v>
      </c>
      <c r="S24" s="1184">
        <v>76514.2</v>
      </c>
      <c r="T24" s="1184">
        <v>0</v>
      </c>
      <c r="U24" s="1184">
        <v>0</v>
      </c>
      <c r="V24" s="1184">
        <v>0</v>
      </c>
      <c r="W24" s="1186">
        <f t="shared" si="2"/>
        <v>153028.4</v>
      </c>
      <c r="X24" s="1560">
        <f t="shared" si="14"/>
        <v>0</v>
      </c>
      <c r="Y24" s="1560">
        <f t="shared" si="15"/>
        <v>0</v>
      </c>
      <c r="Z24" s="1187"/>
      <c r="AA24" s="1188"/>
      <c r="AB24" s="1188"/>
      <c r="AC24" s="1188"/>
      <c r="AD24" s="1188"/>
      <c r="AE24" s="1186">
        <f t="shared" si="3"/>
        <v>0</v>
      </c>
      <c r="AF24" s="1560">
        <f t="shared" si="16"/>
        <v>0</v>
      </c>
      <c r="AG24" s="1560">
        <f t="shared" si="17"/>
        <v>0</v>
      </c>
      <c r="AH24" s="1187">
        <v>140</v>
      </c>
      <c r="AI24" s="1188">
        <v>1773.08</v>
      </c>
      <c r="AJ24" s="1188">
        <v>0</v>
      </c>
      <c r="AK24" s="1188">
        <v>0</v>
      </c>
      <c r="AL24" s="1188">
        <v>0</v>
      </c>
      <c r="AM24" s="1189">
        <f t="shared" si="4"/>
        <v>1913.08</v>
      </c>
      <c r="AN24" s="1189">
        <f t="shared" si="18"/>
        <v>0</v>
      </c>
      <c r="AO24" s="1189">
        <f t="shared" si="19"/>
        <v>0</v>
      </c>
    </row>
    <row r="25" spans="1:41" s="237" customFormat="1">
      <c r="A25" s="1179" t="s">
        <v>56</v>
      </c>
      <c r="B25" s="1180" t="s">
        <v>295</v>
      </c>
      <c r="C25" s="103" t="s">
        <v>266</v>
      </c>
      <c r="D25" s="1181">
        <f t="shared" si="5"/>
        <v>1116803.83</v>
      </c>
      <c r="E25" s="1181">
        <f t="shared" si="6"/>
        <v>1726208.51</v>
      </c>
      <c r="F25" s="1181">
        <f t="shared" si="7"/>
        <v>0</v>
      </c>
      <c r="G25" s="1182">
        <f t="shared" si="8"/>
        <v>158861.68000000002</v>
      </c>
      <c r="H25" s="1182">
        <f t="shared" si="9"/>
        <v>158861.68000000002</v>
      </c>
      <c r="I25" s="1561">
        <f t="shared" si="10"/>
        <v>3001874.02</v>
      </c>
      <c r="J25" s="1183">
        <v>298781.64</v>
      </c>
      <c r="K25" s="1184">
        <v>298781.64</v>
      </c>
      <c r="L25" s="1184">
        <v>0</v>
      </c>
      <c r="M25" s="1184">
        <v>-0.25</v>
      </c>
      <c r="N25" s="1184">
        <v>10316.66</v>
      </c>
      <c r="O25" s="1185">
        <f t="shared" si="11"/>
        <v>607879.69000000006</v>
      </c>
      <c r="P25" s="1560">
        <f t="shared" si="12"/>
        <v>10316.41</v>
      </c>
      <c r="Q25" s="1560">
        <f t="shared" si="13"/>
        <v>10316.41</v>
      </c>
      <c r="R25" s="1183">
        <v>738634.01</v>
      </c>
      <c r="S25" s="1184">
        <v>738634.01</v>
      </c>
      <c r="T25" s="1184">
        <v>0</v>
      </c>
      <c r="U25" s="1184">
        <v>-0.02</v>
      </c>
      <c r="V25" s="1184">
        <v>146439.29</v>
      </c>
      <c r="W25" s="1186">
        <f t="shared" si="2"/>
        <v>1623707.29</v>
      </c>
      <c r="X25" s="1560">
        <f t="shared" si="14"/>
        <v>146439.27000000002</v>
      </c>
      <c r="Y25" s="1560">
        <f t="shared" si="15"/>
        <v>146439.27000000002</v>
      </c>
      <c r="Z25" s="1183"/>
      <c r="AA25" s="1184"/>
      <c r="AB25" s="1184"/>
      <c r="AC25" s="1184"/>
      <c r="AD25" s="1184"/>
      <c r="AE25" s="1186">
        <f t="shared" si="3"/>
        <v>0</v>
      </c>
      <c r="AF25" s="1560">
        <f t="shared" si="16"/>
        <v>0</v>
      </c>
      <c r="AG25" s="1560">
        <f t="shared" si="17"/>
        <v>0</v>
      </c>
      <c r="AH25" s="1187">
        <v>79388.179999999993</v>
      </c>
      <c r="AI25" s="1188">
        <v>688792.86</v>
      </c>
      <c r="AJ25" s="1188">
        <v>0</v>
      </c>
      <c r="AK25" s="1188">
        <v>0</v>
      </c>
      <c r="AL25" s="1188">
        <v>2106</v>
      </c>
      <c r="AM25" s="1189">
        <f t="shared" si="4"/>
        <v>770287.04</v>
      </c>
      <c r="AN25" s="1189">
        <f t="shared" si="18"/>
        <v>2106</v>
      </c>
      <c r="AO25" s="1189">
        <f t="shared" si="19"/>
        <v>2106</v>
      </c>
    </row>
    <row r="26" spans="1:41" s="237" customFormat="1">
      <c r="A26" s="1179" t="s">
        <v>58</v>
      </c>
      <c r="B26" s="1180" t="s">
        <v>59</v>
      </c>
      <c r="C26" s="103" t="s">
        <v>267</v>
      </c>
      <c r="D26" s="1181">
        <f t="shared" si="5"/>
        <v>36394.51</v>
      </c>
      <c r="E26" s="1181">
        <f t="shared" si="6"/>
        <v>119957.31</v>
      </c>
      <c r="F26" s="1181">
        <f t="shared" si="7"/>
        <v>0</v>
      </c>
      <c r="G26" s="1182">
        <f t="shared" si="8"/>
        <v>0</v>
      </c>
      <c r="H26" s="1182">
        <f t="shared" si="9"/>
        <v>0</v>
      </c>
      <c r="I26" s="1561">
        <f t="shared" si="10"/>
        <v>156351.82</v>
      </c>
      <c r="J26" s="1183">
        <v>5958.85</v>
      </c>
      <c r="K26" s="1184">
        <v>5958.85</v>
      </c>
      <c r="L26" s="1184">
        <v>0</v>
      </c>
      <c r="M26" s="1184">
        <v>0</v>
      </c>
      <c r="N26" s="1184">
        <v>0</v>
      </c>
      <c r="O26" s="1185">
        <f t="shared" si="11"/>
        <v>11917.7</v>
      </c>
      <c r="P26" s="1560">
        <f t="shared" si="12"/>
        <v>0</v>
      </c>
      <c r="Q26" s="1560">
        <f t="shared" si="13"/>
        <v>0</v>
      </c>
      <c r="R26" s="1183">
        <v>22543.4</v>
      </c>
      <c r="S26" s="1184">
        <v>22543.4</v>
      </c>
      <c r="T26" s="1184">
        <v>0</v>
      </c>
      <c r="U26" s="1184">
        <v>0</v>
      </c>
      <c r="V26" s="1184">
        <v>0</v>
      </c>
      <c r="W26" s="1186">
        <f t="shared" si="2"/>
        <v>45086.8</v>
      </c>
      <c r="X26" s="1560">
        <f t="shared" si="14"/>
        <v>0</v>
      </c>
      <c r="Y26" s="1560">
        <f t="shared" si="15"/>
        <v>0</v>
      </c>
      <c r="Z26" s="1183"/>
      <c r="AA26" s="1184"/>
      <c r="AB26" s="1184"/>
      <c r="AC26" s="1184"/>
      <c r="AD26" s="1184"/>
      <c r="AE26" s="1186">
        <f t="shared" si="3"/>
        <v>0</v>
      </c>
      <c r="AF26" s="1560">
        <f t="shared" si="16"/>
        <v>0</v>
      </c>
      <c r="AG26" s="1560">
        <f t="shared" si="17"/>
        <v>0</v>
      </c>
      <c r="AH26" s="1187">
        <v>7892.26</v>
      </c>
      <c r="AI26" s="1188">
        <v>91455.06</v>
      </c>
      <c r="AJ26" s="1188">
        <v>0</v>
      </c>
      <c r="AK26" s="1188">
        <v>0</v>
      </c>
      <c r="AL26" s="1188">
        <v>0</v>
      </c>
      <c r="AM26" s="1189">
        <f t="shared" si="4"/>
        <v>99347.319999999992</v>
      </c>
      <c r="AN26" s="1189">
        <f t="shared" si="18"/>
        <v>0</v>
      </c>
      <c r="AO26" s="1189">
        <f t="shared" si="19"/>
        <v>0</v>
      </c>
    </row>
    <row r="27" spans="1:41" s="237" customFormat="1">
      <c r="A27" s="1179" t="s">
        <v>60</v>
      </c>
      <c r="B27" s="1180" t="s">
        <v>61</v>
      </c>
      <c r="C27" s="103" t="s">
        <v>265</v>
      </c>
      <c r="D27" s="1181">
        <f t="shared" si="5"/>
        <v>25036.69</v>
      </c>
      <c r="E27" s="1181">
        <f t="shared" si="6"/>
        <v>41448.490000000005</v>
      </c>
      <c r="F27" s="1181">
        <f t="shared" si="7"/>
        <v>0</v>
      </c>
      <c r="G27" s="1182">
        <f t="shared" si="8"/>
        <v>-0.03</v>
      </c>
      <c r="H27" s="1182">
        <f t="shared" si="9"/>
        <v>-0.03</v>
      </c>
      <c r="I27" s="1561">
        <f t="shared" si="10"/>
        <v>66485.150000000009</v>
      </c>
      <c r="J27" s="1183">
        <v>20005.09</v>
      </c>
      <c r="K27" s="1184">
        <v>20005.09</v>
      </c>
      <c r="L27" s="1184">
        <v>0</v>
      </c>
      <c r="M27" s="1184">
        <v>-0.03</v>
      </c>
      <c r="N27" s="1184">
        <v>0</v>
      </c>
      <c r="O27" s="1185">
        <f t="shared" si="11"/>
        <v>40010.15</v>
      </c>
      <c r="P27" s="1560">
        <f t="shared" si="12"/>
        <v>-0.03</v>
      </c>
      <c r="Q27" s="1560">
        <f t="shared" si="13"/>
        <v>-0.03</v>
      </c>
      <c r="R27" s="1183">
        <v>3996</v>
      </c>
      <c r="S27" s="1184">
        <v>3996</v>
      </c>
      <c r="T27" s="1184">
        <v>0</v>
      </c>
      <c r="U27" s="1184">
        <v>0</v>
      </c>
      <c r="V27" s="1184">
        <v>0</v>
      </c>
      <c r="W27" s="1186">
        <f t="shared" si="2"/>
        <v>7992</v>
      </c>
      <c r="X27" s="1560">
        <f t="shared" si="14"/>
        <v>0</v>
      </c>
      <c r="Y27" s="1560">
        <f t="shared" si="15"/>
        <v>0</v>
      </c>
      <c r="Z27" s="1183"/>
      <c r="AA27" s="1184"/>
      <c r="AB27" s="1184"/>
      <c r="AC27" s="1184"/>
      <c r="AD27" s="1184"/>
      <c r="AE27" s="1186">
        <f t="shared" si="3"/>
        <v>0</v>
      </c>
      <c r="AF27" s="1560">
        <f t="shared" si="16"/>
        <v>0</v>
      </c>
      <c r="AG27" s="1560">
        <f t="shared" si="17"/>
        <v>0</v>
      </c>
      <c r="AH27" s="1187">
        <v>1035.5999999999999</v>
      </c>
      <c r="AI27" s="1188">
        <v>17447.400000000001</v>
      </c>
      <c r="AJ27" s="1188">
        <v>0</v>
      </c>
      <c r="AK27" s="1188">
        <v>0</v>
      </c>
      <c r="AL27" s="1188">
        <v>0</v>
      </c>
      <c r="AM27" s="1189">
        <f t="shared" si="4"/>
        <v>18483</v>
      </c>
      <c r="AN27" s="1189">
        <f t="shared" si="18"/>
        <v>0</v>
      </c>
      <c r="AO27" s="1189">
        <f t="shared" si="19"/>
        <v>0</v>
      </c>
    </row>
    <row r="28" spans="1:41" s="237" customFormat="1">
      <c r="A28" s="1179" t="s">
        <v>62</v>
      </c>
      <c r="B28" s="1180" t="s">
        <v>63</v>
      </c>
      <c r="C28" s="103" t="s">
        <v>267</v>
      </c>
      <c r="D28" s="1181">
        <f t="shared" si="5"/>
        <v>713070.29</v>
      </c>
      <c r="E28" s="1181">
        <f t="shared" si="6"/>
        <v>1015885.3200000001</v>
      </c>
      <c r="F28" s="1181">
        <f t="shared" si="7"/>
        <v>0</v>
      </c>
      <c r="G28" s="1182">
        <f t="shared" si="8"/>
        <v>-0.13</v>
      </c>
      <c r="H28" s="1182">
        <f t="shared" si="9"/>
        <v>-0.13</v>
      </c>
      <c r="I28" s="1561">
        <f t="shared" si="10"/>
        <v>1728955.4800000002</v>
      </c>
      <c r="J28" s="1183">
        <v>385055.24</v>
      </c>
      <c r="K28" s="1184">
        <v>385055.24</v>
      </c>
      <c r="L28" s="1184">
        <v>0</v>
      </c>
      <c r="M28" s="1184">
        <v>-0.13</v>
      </c>
      <c r="N28" s="1184">
        <v>0</v>
      </c>
      <c r="O28" s="1185">
        <f t="shared" si="11"/>
        <v>770110.35</v>
      </c>
      <c r="P28" s="1560">
        <f t="shared" si="12"/>
        <v>-0.13</v>
      </c>
      <c r="Q28" s="1560">
        <f t="shared" si="13"/>
        <v>-0.13</v>
      </c>
      <c r="R28" s="1183">
        <v>319658.88</v>
      </c>
      <c r="S28" s="1184">
        <v>319658.88</v>
      </c>
      <c r="T28" s="1184">
        <v>0</v>
      </c>
      <c r="U28" s="1184">
        <v>0</v>
      </c>
      <c r="V28" s="1184">
        <v>0</v>
      </c>
      <c r="W28" s="1186">
        <f t="shared" si="2"/>
        <v>639317.76000000001</v>
      </c>
      <c r="X28" s="1560">
        <f t="shared" si="14"/>
        <v>0</v>
      </c>
      <c r="Y28" s="1560">
        <f t="shared" si="15"/>
        <v>0</v>
      </c>
      <c r="Z28" s="1183"/>
      <c r="AA28" s="1184"/>
      <c r="AB28" s="1184"/>
      <c r="AC28" s="1184"/>
      <c r="AD28" s="1184"/>
      <c r="AE28" s="1186">
        <f t="shared" si="3"/>
        <v>0</v>
      </c>
      <c r="AF28" s="1560">
        <f t="shared" si="16"/>
        <v>0</v>
      </c>
      <c r="AG28" s="1560">
        <f t="shared" si="17"/>
        <v>0</v>
      </c>
      <c r="AH28" s="1187">
        <v>8356.17</v>
      </c>
      <c r="AI28" s="1188">
        <v>311171.20000000001</v>
      </c>
      <c r="AJ28" s="1188">
        <v>0</v>
      </c>
      <c r="AK28" s="1188">
        <v>0</v>
      </c>
      <c r="AL28" s="1188">
        <v>0</v>
      </c>
      <c r="AM28" s="1189">
        <f t="shared" si="4"/>
        <v>319527.37</v>
      </c>
      <c r="AN28" s="1189">
        <f t="shared" si="18"/>
        <v>0</v>
      </c>
      <c r="AO28" s="1189">
        <f t="shared" si="19"/>
        <v>0</v>
      </c>
    </row>
    <row r="29" spans="1:41" s="237" customFormat="1">
      <c r="A29" s="1179" t="s">
        <v>64</v>
      </c>
      <c r="B29" s="1180" t="s">
        <v>65</v>
      </c>
      <c r="C29" s="103" t="s">
        <v>266</v>
      </c>
      <c r="D29" s="1181">
        <f t="shared" si="5"/>
        <v>39427.54</v>
      </c>
      <c r="E29" s="1181">
        <f t="shared" si="6"/>
        <v>75893.34</v>
      </c>
      <c r="F29" s="1181">
        <f t="shared" si="7"/>
        <v>0</v>
      </c>
      <c r="G29" s="1182">
        <f t="shared" si="8"/>
        <v>-0.02</v>
      </c>
      <c r="H29" s="1182">
        <f t="shared" si="9"/>
        <v>-0.02</v>
      </c>
      <c r="I29" s="1561">
        <f t="shared" si="10"/>
        <v>115320.86</v>
      </c>
      <c r="J29" s="1183">
        <v>27638.44</v>
      </c>
      <c r="K29" s="1184">
        <v>27638.44</v>
      </c>
      <c r="L29" s="1184">
        <v>0</v>
      </c>
      <c r="M29" s="1184">
        <v>-0.02</v>
      </c>
      <c r="N29" s="1184">
        <v>0</v>
      </c>
      <c r="O29" s="1185">
        <f t="shared" si="11"/>
        <v>55276.86</v>
      </c>
      <c r="P29" s="1560">
        <f t="shared" si="12"/>
        <v>-0.02</v>
      </c>
      <c r="Q29" s="1560">
        <f t="shared" si="13"/>
        <v>-0.02</v>
      </c>
      <c r="R29" s="1183">
        <v>9949.5</v>
      </c>
      <c r="S29" s="1184">
        <v>9949.5</v>
      </c>
      <c r="T29" s="1184">
        <v>0</v>
      </c>
      <c r="U29" s="1184">
        <v>0</v>
      </c>
      <c r="V29" s="1184">
        <v>0</v>
      </c>
      <c r="W29" s="1186">
        <f t="shared" si="2"/>
        <v>19899</v>
      </c>
      <c r="X29" s="1560">
        <f t="shared" si="14"/>
        <v>0</v>
      </c>
      <c r="Y29" s="1560">
        <f t="shared" si="15"/>
        <v>0</v>
      </c>
      <c r="Z29" s="1187"/>
      <c r="AA29" s="1188"/>
      <c r="AB29" s="1188"/>
      <c r="AC29" s="1188"/>
      <c r="AD29" s="1188"/>
      <c r="AE29" s="1186">
        <f t="shared" si="3"/>
        <v>0</v>
      </c>
      <c r="AF29" s="1560">
        <f t="shared" si="16"/>
        <v>0</v>
      </c>
      <c r="AG29" s="1560">
        <f t="shared" si="17"/>
        <v>0</v>
      </c>
      <c r="AH29" s="1187">
        <v>1839.6</v>
      </c>
      <c r="AI29" s="1188">
        <v>38305.4</v>
      </c>
      <c r="AJ29" s="1188">
        <v>0</v>
      </c>
      <c r="AK29" s="1188">
        <v>0</v>
      </c>
      <c r="AL29" s="1188">
        <v>0</v>
      </c>
      <c r="AM29" s="1189">
        <f t="shared" si="4"/>
        <v>40145</v>
      </c>
      <c r="AN29" s="1189">
        <f t="shared" si="18"/>
        <v>0</v>
      </c>
      <c r="AO29" s="1189">
        <f t="shared" si="19"/>
        <v>0</v>
      </c>
    </row>
    <row r="30" spans="1:41" s="237" customFormat="1">
      <c r="A30" s="1179" t="s">
        <v>68</v>
      </c>
      <c r="B30" s="1180" t="s">
        <v>69</v>
      </c>
      <c r="C30" s="103" t="s">
        <v>268</v>
      </c>
      <c r="D30" s="1181">
        <f t="shared" si="5"/>
        <v>754687.2</v>
      </c>
      <c r="E30" s="1181">
        <f t="shared" si="6"/>
        <v>1282912.5699999998</v>
      </c>
      <c r="F30" s="1181">
        <f t="shared" si="7"/>
        <v>0</v>
      </c>
      <c r="G30" s="1182">
        <f t="shared" si="8"/>
        <v>1083.55</v>
      </c>
      <c r="H30" s="1182">
        <f t="shared" si="9"/>
        <v>1083.55</v>
      </c>
      <c r="I30" s="1561">
        <f t="shared" si="10"/>
        <v>2038683.3199999998</v>
      </c>
      <c r="J30" s="1183">
        <v>297992.63</v>
      </c>
      <c r="K30" s="1184">
        <v>297992.63</v>
      </c>
      <c r="L30" s="1184">
        <v>0</v>
      </c>
      <c r="M30" s="1184">
        <v>1083.55</v>
      </c>
      <c r="N30" s="1184">
        <v>0</v>
      </c>
      <c r="O30" s="1185">
        <f t="shared" si="11"/>
        <v>597068.81000000006</v>
      </c>
      <c r="P30" s="1560">
        <f t="shared" si="12"/>
        <v>1083.55</v>
      </c>
      <c r="Q30" s="1560">
        <f t="shared" si="13"/>
        <v>1083.55</v>
      </c>
      <c r="R30" s="1183">
        <v>389676.55</v>
      </c>
      <c r="S30" s="1184">
        <v>389676.55</v>
      </c>
      <c r="T30" s="1184">
        <v>0</v>
      </c>
      <c r="U30" s="1184">
        <v>0</v>
      </c>
      <c r="V30" s="1184">
        <v>0</v>
      </c>
      <c r="W30" s="1186">
        <f t="shared" si="2"/>
        <v>779353.1</v>
      </c>
      <c r="X30" s="1560">
        <f t="shared" si="14"/>
        <v>0</v>
      </c>
      <c r="Y30" s="1560">
        <f t="shared" si="15"/>
        <v>0</v>
      </c>
      <c r="Z30" s="1183"/>
      <c r="AA30" s="1184"/>
      <c r="AB30" s="1184"/>
      <c r="AC30" s="1184"/>
      <c r="AD30" s="1184"/>
      <c r="AE30" s="1186">
        <f t="shared" si="3"/>
        <v>0</v>
      </c>
      <c r="AF30" s="1560">
        <f t="shared" si="16"/>
        <v>0</v>
      </c>
      <c r="AG30" s="1560">
        <f t="shared" si="17"/>
        <v>0</v>
      </c>
      <c r="AH30" s="1187">
        <v>67018.02</v>
      </c>
      <c r="AI30" s="1188">
        <v>595243.39</v>
      </c>
      <c r="AJ30" s="1188">
        <v>0</v>
      </c>
      <c r="AK30" s="1188">
        <v>0</v>
      </c>
      <c r="AL30" s="1188">
        <v>0</v>
      </c>
      <c r="AM30" s="1189">
        <f t="shared" si="4"/>
        <v>662261.41</v>
      </c>
      <c r="AN30" s="1189">
        <f t="shared" si="18"/>
        <v>0</v>
      </c>
      <c r="AO30" s="1189">
        <f t="shared" si="19"/>
        <v>0</v>
      </c>
    </row>
    <row r="31" spans="1:41" s="237" customFormat="1">
      <c r="A31" s="1179" t="s">
        <v>70</v>
      </c>
      <c r="B31" s="1180" t="s">
        <v>71</v>
      </c>
      <c r="C31" s="103" t="s">
        <v>264</v>
      </c>
      <c r="D31" s="1181">
        <f t="shared" si="5"/>
        <v>194654.55</v>
      </c>
      <c r="E31" s="1181">
        <f t="shared" si="6"/>
        <v>216103.95</v>
      </c>
      <c r="F31" s="1181">
        <f t="shared" si="7"/>
        <v>0</v>
      </c>
      <c r="G31" s="1182">
        <f t="shared" si="8"/>
        <v>1402.8700000000001</v>
      </c>
      <c r="H31" s="1182">
        <f t="shared" si="9"/>
        <v>1402.8700000000001</v>
      </c>
      <c r="I31" s="1561">
        <f t="shared" si="10"/>
        <v>412161.37</v>
      </c>
      <c r="J31" s="1183">
        <v>113267.24</v>
      </c>
      <c r="K31" s="1184">
        <v>113267.24</v>
      </c>
      <c r="L31" s="1184">
        <v>0</v>
      </c>
      <c r="M31" s="1184">
        <v>-0.06</v>
      </c>
      <c r="N31" s="1184">
        <v>0</v>
      </c>
      <c r="O31" s="1185">
        <f t="shared" si="11"/>
        <v>226534.42</v>
      </c>
      <c r="P31" s="1560">
        <f t="shared" si="12"/>
        <v>-0.06</v>
      </c>
      <c r="Q31" s="1560">
        <f t="shared" si="13"/>
        <v>-0.06</v>
      </c>
      <c r="R31" s="1183">
        <v>79565.509999999995</v>
      </c>
      <c r="S31" s="1184">
        <v>79565.509999999995</v>
      </c>
      <c r="T31" s="1184">
        <v>0</v>
      </c>
      <c r="U31" s="1184">
        <v>-0.02</v>
      </c>
      <c r="V31" s="1184">
        <v>1402.95</v>
      </c>
      <c r="W31" s="1186">
        <f t="shared" si="2"/>
        <v>160533.95000000001</v>
      </c>
      <c r="X31" s="1560">
        <f t="shared" si="14"/>
        <v>1402.93</v>
      </c>
      <c r="Y31" s="1560">
        <f t="shared" si="15"/>
        <v>1402.93</v>
      </c>
      <c r="Z31" s="1183"/>
      <c r="AA31" s="1184"/>
      <c r="AB31" s="1184"/>
      <c r="AC31" s="1184"/>
      <c r="AD31" s="1184"/>
      <c r="AE31" s="1186">
        <f t="shared" si="3"/>
        <v>0</v>
      </c>
      <c r="AF31" s="1560">
        <f t="shared" si="16"/>
        <v>0</v>
      </c>
      <c r="AG31" s="1560">
        <f t="shared" si="17"/>
        <v>0</v>
      </c>
      <c r="AH31" s="1187">
        <v>1821.8</v>
      </c>
      <c r="AI31" s="1188">
        <v>23271.200000000001</v>
      </c>
      <c r="AJ31" s="1188">
        <v>0</v>
      </c>
      <c r="AK31" s="1188">
        <v>0</v>
      </c>
      <c r="AL31" s="1188">
        <v>0</v>
      </c>
      <c r="AM31" s="1189">
        <f t="shared" si="4"/>
        <v>25093</v>
      </c>
      <c r="AN31" s="1189">
        <f t="shared" si="18"/>
        <v>0</v>
      </c>
      <c r="AO31" s="1189">
        <f t="shared" si="19"/>
        <v>0</v>
      </c>
    </row>
    <row r="32" spans="1:41" s="237" customFormat="1">
      <c r="A32" s="1179" t="s">
        <v>72</v>
      </c>
      <c r="B32" s="1180" t="s">
        <v>73</v>
      </c>
      <c r="C32" s="103" t="s">
        <v>266</v>
      </c>
      <c r="D32" s="1181">
        <f t="shared" si="5"/>
        <v>53753.29</v>
      </c>
      <c r="E32" s="1181">
        <f t="shared" si="6"/>
        <v>93180.47</v>
      </c>
      <c r="F32" s="1181">
        <f t="shared" si="7"/>
        <v>0</v>
      </c>
      <c r="G32" s="1182">
        <f t="shared" si="8"/>
        <v>-0.01</v>
      </c>
      <c r="H32" s="1182">
        <f t="shared" si="9"/>
        <v>-0.01</v>
      </c>
      <c r="I32" s="1561">
        <f t="shared" si="10"/>
        <v>146933.75</v>
      </c>
      <c r="J32" s="1183">
        <v>4412.72</v>
      </c>
      <c r="K32" s="1184">
        <v>4412.72</v>
      </c>
      <c r="L32" s="1184">
        <v>0</v>
      </c>
      <c r="M32" s="1184">
        <v>-0.01</v>
      </c>
      <c r="N32" s="1184">
        <v>0</v>
      </c>
      <c r="O32" s="1185">
        <f t="shared" si="11"/>
        <v>8825.43</v>
      </c>
      <c r="P32" s="1560">
        <f t="shared" si="12"/>
        <v>-0.01</v>
      </c>
      <c r="Q32" s="1560">
        <f t="shared" si="13"/>
        <v>-0.01</v>
      </c>
      <c r="R32" s="1183">
        <v>42863.5</v>
      </c>
      <c r="S32" s="1184">
        <v>42863.5</v>
      </c>
      <c r="T32" s="1184">
        <v>0</v>
      </c>
      <c r="U32" s="1184">
        <v>0</v>
      </c>
      <c r="V32" s="1184">
        <v>0</v>
      </c>
      <c r="W32" s="1186">
        <f t="shared" si="2"/>
        <v>85727</v>
      </c>
      <c r="X32" s="1560">
        <f t="shared" si="14"/>
        <v>0</v>
      </c>
      <c r="Y32" s="1560">
        <f t="shared" si="15"/>
        <v>0</v>
      </c>
      <c r="Z32" s="1183"/>
      <c r="AA32" s="1184"/>
      <c r="AB32" s="1184"/>
      <c r="AC32" s="1184"/>
      <c r="AD32" s="1184"/>
      <c r="AE32" s="1186">
        <f t="shared" si="3"/>
        <v>0</v>
      </c>
      <c r="AF32" s="1560">
        <f t="shared" si="16"/>
        <v>0</v>
      </c>
      <c r="AG32" s="1560">
        <f t="shared" si="17"/>
        <v>0</v>
      </c>
      <c r="AH32" s="1187">
        <v>6477.07</v>
      </c>
      <c r="AI32" s="1188">
        <v>45904.25</v>
      </c>
      <c r="AJ32" s="1188">
        <v>0</v>
      </c>
      <c r="AK32" s="1188">
        <v>0</v>
      </c>
      <c r="AL32" s="1188">
        <v>0</v>
      </c>
      <c r="AM32" s="1189">
        <f t="shared" si="4"/>
        <v>52381.32</v>
      </c>
      <c r="AN32" s="1189">
        <f t="shared" si="18"/>
        <v>0</v>
      </c>
      <c r="AO32" s="1189">
        <f t="shared" si="19"/>
        <v>0</v>
      </c>
    </row>
    <row r="33" spans="1:41" s="237" customFormat="1">
      <c r="A33" s="1179" t="s">
        <v>74</v>
      </c>
      <c r="B33" s="1180" t="s">
        <v>302</v>
      </c>
      <c r="C33" s="103" t="s">
        <v>267</v>
      </c>
      <c r="D33" s="1181">
        <f t="shared" si="5"/>
        <v>3755619.56</v>
      </c>
      <c r="E33" s="1181">
        <f t="shared" si="6"/>
        <v>6617734.7300000004</v>
      </c>
      <c r="F33" s="1181">
        <f t="shared" si="7"/>
        <v>0</v>
      </c>
      <c r="G33" s="1182">
        <f t="shared" si="8"/>
        <v>-0.51</v>
      </c>
      <c r="H33" s="1182">
        <f t="shared" si="9"/>
        <v>-0.51</v>
      </c>
      <c r="I33" s="1561">
        <f t="shared" si="10"/>
        <v>10373353.780000001</v>
      </c>
      <c r="J33" s="1183">
        <v>559137.02</v>
      </c>
      <c r="K33" s="1184">
        <v>559137.02</v>
      </c>
      <c r="L33" s="1184">
        <v>0</v>
      </c>
      <c r="M33" s="1184">
        <v>-0.37</v>
      </c>
      <c r="N33" s="1184">
        <v>0</v>
      </c>
      <c r="O33" s="1185">
        <f t="shared" si="11"/>
        <v>1118273.67</v>
      </c>
      <c r="P33" s="1560">
        <f t="shared" si="12"/>
        <v>-0.37</v>
      </c>
      <c r="Q33" s="1560">
        <f t="shared" si="13"/>
        <v>-0.37</v>
      </c>
      <c r="R33" s="1183">
        <v>2827487.23</v>
      </c>
      <c r="S33" s="1184">
        <v>2827487.23</v>
      </c>
      <c r="T33" s="1184">
        <v>0</v>
      </c>
      <c r="U33" s="1184">
        <v>-0.14000000000000001</v>
      </c>
      <c r="V33" s="1184">
        <v>0</v>
      </c>
      <c r="W33" s="1186">
        <f t="shared" si="2"/>
        <v>5654974.3200000003</v>
      </c>
      <c r="X33" s="1560">
        <f t="shared" si="14"/>
        <v>-0.14000000000000001</v>
      </c>
      <c r="Y33" s="1560">
        <f t="shared" si="15"/>
        <v>-0.14000000000000001</v>
      </c>
      <c r="Z33" s="1183"/>
      <c r="AA33" s="1184"/>
      <c r="AB33" s="1184"/>
      <c r="AC33" s="1184"/>
      <c r="AD33" s="1184"/>
      <c r="AE33" s="1186">
        <f t="shared" si="3"/>
        <v>0</v>
      </c>
      <c r="AF33" s="1560">
        <f t="shared" si="16"/>
        <v>0</v>
      </c>
      <c r="AG33" s="1560">
        <f t="shared" si="17"/>
        <v>0</v>
      </c>
      <c r="AH33" s="1187">
        <v>368995.31</v>
      </c>
      <c r="AI33" s="1188">
        <v>3231110.48</v>
      </c>
      <c r="AJ33" s="1188">
        <v>0</v>
      </c>
      <c r="AK33" s="1188">
        <v>0</v>
      </c>
      <c r="AL33" s="1188">
        <v>0</v>
      </c>
      <c r="AM33" s="1189">
        <f t="shared" si="4"/>
        <v>3600105.79</v>
      </c>
      <c r="AN33" s="1189">
        <f t="shared" si="18"/>
        <v>0</v>
      </c>
      <c r="AO33" s="1189">
        <f t="shared" si="19"/>
        <v>0</v>
      </c>
    </row>
    <row r="34" spans="1:41" s="237" customFormat="1">
      <c r="A34" s="1179" t="s">
        <v>76</v>
      </c>
      <c r="B34" s="1180" t="s">
        <v>77</v>
      </c>
      <c r="C34" s="103" t="s">
        <v>267</v>
      </c>
      <c r="D34" s="1181">
        <f t="shared" si="5"/>
        <v>584021.92000000004</v>
      </c>
      <c r="E34" s="1181">
        <f t="shared" si="6"/>
        <v>678858.10000000009</v>
      </c>
      <c r="F34" s="1181">
        <f t="shared" si="7"/>
        <v>0</v>
      </c>
      <c r="G34" s="1182">
        <f t="shared" si="8"/>
        <v>-0.17</v>
      </c>
      <c r="H34" s="1182">
        <f t="shared" si="9"/>
        <v>-0.17</v>
      </c>
      <c r="I34" s="1561">
        <f t="shared" si="10"/>
        <v>1262879.8500000001</v>
      </c>
      <c r="J34" s="1183">
        <v>413672.68</v>
      </c>
      <c r="K34" s="1184">
        <v>413672.68</v>
      </c>
      <c r="L34" s="1184">
        <v>0</v>
      </c>
      <c r="M34" s="1184">
        <v>-0.17</v>
      </c>
      <c r="N34" s="1184">
        <v>0</v>
      </c>
      <c r="O34" s="1185">
        <f t="shared" si="11"/>
        <v>827345.19</v>
      </c>
      <c r="P34" s="1560">
        <f t="shared" si="12"/>
        <v>-0.17</v>
      </c>
      <c r="Q34" s="1560">
        <f t="shared" si="13"/>
        <v>-0.17</v>
      </c>
      <c r="R34" s="1183">
        <v>165455.35999999999</v>
      </c>
      <c r="S34" s="1184">
        <v>165455.35999999999</v>
      </c>
      <c r="T34" s="1184">
        <v>0</v>
      </c>
      <c r="U34" s="1184">
        <v>0</v>
      </c>
      <c r="V34" s="1184">
        <v>0</v>
      </c>
      <c r="W34" s="1186">
        <f t="shared" si="2"/>
        <v>330910.71999999997</v>
      </c>
      <c r="X34" s="1560">
        <f t="shared" si="14"/>
        <v>0</v>
      </c>
      <c r="Y34" s="1560">
        <f t="shared" si="15"/>
        <v>0</v>
      </c>
      <c r="Z34" s="1183"/>
      <c r="AA34" s="1184"/>
      <c r="AB34" s="1184"/>
      <c r="AC34" s="1184"/>
      <c r="AD34" s="1184"/>
      <c r="AE34" s="1186">
        <f t="shared" si="3"/>
        <v>0</v>
      </c>
      <c r="AF34" s="1560">
        <f t="shared" si="16"/>
        <v>0</v>
      </c>
      <c r="AG34" s="1560">
        <f t="shared" si="17"/>
        <v>0</v>
      </c>
      <c r="AH34" s="1187">
        <v>4893.88</v>
      </c>
      <c r="AI34" s="1188">
        <v>99730.06</v>
      </c>
      <c r="AJ34" s="1188">
        <v>0</v>
      </c>
      <c r="AK34" s="1188">
        <v>0</v>
      </c>
      <c r="AL34" s="1188">
        <v>0</v>
      </c>
      <c r="AM34" s="1189">
        <f t="shared" si="4"/>
        <v>104623.94</v>
      </c>
      <c r="AN34" s="1189">
        <f t="shared" si="18"/>
        <v>0</v>
      </c>
      <c r="AO34" s="1189">
        <f t="shared" si="19"/>
        <v>0</v>
      </c>
    </row>
    <row r="35" spans="1:41" s="237" customFormat="1">
      <c r="A35" s="1179" t="s">
        <v>78</v>
      </c>
      <c r="B35" s="1180" t="s">
        <v>79</v>
      </c>
      <c r="C35" s="103" t="s">
        <v>268</v>
      </c>
      <c r="D35" s="1181">
        <f t="shared" si="5"/>
        <v>70429.25</v>
      </c>
      <c r="E35" s="1181">
        <f t="shared" si="6"/>
        <v>70429.25</v>
      </c>
      <c r="F35" s="1181">
        <f t="shared" si="7"/>
        <v>0</v>
      </c>
      <c r="G35" s="1182">
        <f t="shared" si="8"/>
        <v>-0.06</v>
      </c>
      <c r="H35" s="1182">
        <f t="shared" si="9"/>
        <v>-0.06</v>
      </c>
      <c r="I35" s="1561">
        <f t="shared" si="10"/>
        <v>140858.44</v>
      </c>
      <c r="J35" s="1183">
        <v>44639.75</v>
      </c>
      <c r="K35" s="1184">
        <v>44639.75</v>
      </c>
      <c r="L35" s="1184">
        <v>0</v>
      </c>
      <c r="M35" s="1184">
        <v>-0.06</v>
      </c>
      <c r="N35" s="1184">
        <v>0</v>
      </c>
      <c r="O35" s="1185">
        <f t="shared" si="11"/>
        <v>89279.44</v>
      </c>
      <c r="P35" s="1560">
        <f t="shared" si="12"/>
        <v>-0.06</v>
      </c>
      <c r="Q35" s="1560">
        <f t="shared" si="13"/>
        <v>-0.06</v>
      </c>
      <c r="R35" s="1183">
        <v>25789.5</v>
      </c>
      <c r="S35" s="1184">
        <v>25789.5</v>
      </c>
      <c r="T35" s="1184">
        <v>0</v>
      </c>
      <c r="U35" s="1184">
        <v>0</v>
      </c>
      <c r="V35" s="1184">
        <v>0</v>
      </c>
      <c r="W35" s="1186">
        <f t="shared" si="2"/>
        <v>51579</v>
      </c>
      <c r="X35" s="1560">
        <f t="shared" si="14"/>
        <v>0</v>
      </c>
      <c r="Y35" s="1560">
        <f t="shared" si="15"/>
        <v>0</v>
      </c>
      <c r="Z35" s="1187"/>
      <c r="AA35" s="1188"/>
      <c r="AB35" s="1188"/>
      <c r="AC35" s="1188"/>
      <c r="AD35" s="1188"/>
      <c r="AE35" s="1186">
        <f t="shared" si="3"/>
        <v>0</v>
      </c>
      <c r="AF35" s="1560">
        <f t="shared" si="16"/>
        <v>0</v>
      </c>
      <c r="AG35" s="1560">
        <f t="shared" si="17"/>
        <v>0</v>
      </c>
      <c r="AH35" s="1187"/>
      <c r="AI35" s="1188"/>
      <c r="AJ35" s="1188"/>
      <c r="AK35" s="1188"/>
      <c r="AL35" s="1188"/>
      <c r="AM35" s="1189">
        <f t="shared" si="4"/>
        <v>0</v>
      </c>
      <c r="AN35" s="1189">
        <f t="shared" si="18"/>
        <v>0</v>
      </c>
      <c r="AO35" s="1189">
        <f t="shared" si="19"/>
        <v>0</v>
      </c>
    </row>
    <row r="36" spans="1:41" s="237" customFormat="1">
      <c r="A36" s="1179" t="s">
        <v>80</v>
      </c>
      <c r="B36" s="1180" t="s">
        <v>81</v>
      </c>
      <c r="C36" s="103" t="s">
        <v>266</v>
      </c>
      <c r="D36" s="1181">
        <f t="shared" si="5"/>
        <v>155768.01</v>
      </c>
      <c r="E36" s="1181">
        <f t="shared" si="6"/>
        <v>259991.18</v>
      </c>
      <c r="F36" s="1181">
        <f t="shared" si="7"/>
        <v>0</v>
      </c>
      <c r="G36" s="1182">
        <f t="shared" si="8"/>
        <v>0</v>
      </c>
      <c r="H36" s="1182">
        <f t="shared" si="9"/>
        <v>0</v>
      </c>
      <c r="I36" s="1561">
        <f t="shared" si="10"/>
        <v>415759.19</v>
      </c>
      <c r="J36" s="1183">
        <v>8966.51</v>
      </c>
      <c r="K36" s="1184">
        <v>8966.51</v>
      </c>
      <c r="L36" s="1184">
        <v>0</v>
      </c>
      <c r="M36" s="1184">
        <v>0</v>
      </c>
      <c r="N36" s="1184">
        <v>0</v>
      </c>
      <c r="O36" s="1185">
        <f t="shared" si="11"/>
        <v>17933.02</v>
      </c>
      <c r="P36" s="1560">
        <f t="shared" si="12"/>
        <v>0</v>
      </c>
      <c r="Q36" s="1560">
        <f t="shared" si="13"/>
        <v>0</v>
      </c>
      <c r="R36" s="1183">
        <v>131873.44</v>
      </c>
      <c r="S36" s="1184">
        <v>131873.44</v>
      </c>
      <c r="T36" s="1184">
        <v>0</v>
      </c>
      <c r="U36" s="1184">
        <v>0</v>
      </c>
      <c r="V36" s="1184">
        <v>0</v>
      </c>
      <c r="W36" s="1186">
        <f t="shared" si="2"/>
        <v>263746.88</v>
      </c>
      <c r="X36" s="1560">
        <f t="shared" si="14"/>
        <v>0</v>
      </c>
      <c r="Y36" s="1560">
        <f t="shared" si="15"/>
        <v>0</v>
      </c>
      <c r="Z36" s="1183"/>
      <c r="AA36" s="1184"/>
      <c r="AB36" s="1184"/>
      <c r="AC36" s="1184"/>
      <c r="AD36" s="1184"/>
      <c r="AE36" s="1186">
        <f t="shared" si="3"/>
        <v>0</v>
      </c>
      <c r="AF36" s="1560">
        <f t="shared" si="16"/>
        <v>0</v>
      </c>
      <c r="AG36" s="1560">
        <f t="shared" si="17"/>
        <v>0</v>
      </c>
      <c r="AH36" s="1187">
        <v>14928.06</v>
      </c>
      <c r="AI36" s="1188">
        <v>119151.23</v>
      </c>
      <c r="AJ36" s="1188">
        <v>0</v>
      </c>
      <c r="AK36" s="1188">
        <v>0</v>
      </c>
      <c r="AL36" s="1188">
        <v>0</v>
      </c>
      <c r="AM36" s="1189">
        <f t="shared" si="4"/>
        <v>134079.29</v>
      </c>
      <c r="AN36" s="1189">
        <f t="shared" si="18"/>
        <v>0</v>
      </c>
      <c r="AO36" s="1189">
        <f t="shared" si="19"/>
        <v>0</v>
      </c>
    </row>
    <row r="37" spans="1:41" s="237" customFormat="1">
      <c r="A37" s="1179" t="s">
        <v>84</v>
      </c>
      <c r="B37" s="1180" t="s">
        <v>308</v>
      </c>
      <c r="C37" s="103" t="s">
        <v>265</v>
      </c>
      <c r="D37" s="1181">
        <f t="shared" si="5"/>
        <v>677140.09</v>
      </c>
      <c r="E37" s="1181">
        <f t="shared" si="6"/>
        <v>961794.19</v>
      </c>
      <c r="F37" s="1181">
        <f t="shared" si="7"/>
        <v>0</v>
      </c>
      <c r="G37" s="1182">
        <f t="shared" si="8"/>
        <v>32695.149999999998</v>
      </c>
      <c r="H37" s="1182">
        <f t="shared" si="9"/>
        <v>32695.149999999998</v>
      </c>
      <c r="I37" s="1561">
        <f t="shared" si="10"/>
        <v>1671629.4299999997</v>
      </c>
      <c r="J37" s="1183">
        <v>302688.93</v>
      </c>
      <c r="K37" s="1184">
        <v>302688.93</v>
      </c>
      <c r="L37" s="1184">
        <v>0</v>
      </c>
      <c r="M37" s="1184">
        <v>-0.13</v>
      </c>
      <c r="N37" s="1184">
        <v>0</v>
      </c>
      <c r="O37" s="1185">
        <f t="shared" si="11"/>
        <v>605377.73</v>
      </c>
      <c r="P37" s="1560">
        <f t="shared" si="12"/>
        <v>-0.13</v>
      </c>
      <c r="Q37" s="1560">
        <f t="shared" si="13"/>
        <v>-0.13</v>
      </c>
      <c r="R37" s="1183">
        <v>320762.01</v>
      </c>
      <c r="S37" s="1184">
        <v>320762.01</v>
      </c>
      <c r="T37" s="1184">
        <v>0</v>
      </c>
      <c r="U37" s="1184">
        <v>-0.02</v>
      </c>
      <c r="V37" s="1184">
        <v>32695.3</v>
      </c>
      <c r="W37" s="1186">
        <f t="shared" ref="W37:W68" si="20">SUM(R37:V37)</f>
        <v>674219.3</v>
      </c>
      <c r="X37" s="1560">
        <f t="shared" si="14"/>
        <v>32695.279999999999</v>
      </c>
      <c r="Y37" s="1560">
        <f t="shared" si="15"/>
        <v>32695.279999999999</v>
      </c>
      <c r="Z37" s="1183"/>
      <c r="AA37" s="1184"/>
      <c r="AB37" s="1184"/>
      <c r="AC37" s="1184"/>
      <c r="AD37" s="1184"/>
      <c r="AE37" s="1186">
        <f t="shared" ref="AE37:AE68" si="21">SUM(Z37:AD37)</f>
        <v>0</v>
      </c>
      <c r="AF37" s="1560">
        <f t="shared" si="16"/>
        <v>0</v>
      </c>
      <c r="AG37" s="1560">
        <f t="shared" si="17"/>
        <v>0</v>
      </c>
      <c r="AH37" s="1187">
        <v>53689.15</v>
      </c>
      <c r="AI37" s="1188">
        <v>338343.25</v>
      </c>
      <c r="AJ37" s="1188">
        <v>0</v>
      </c>
      <c r="AK37" s="1188">
        <v>0</v>
      </c>
      <c r="AL37" s="1188">
        <v>0</v>
      </c>
      <c r="AM37" s="1189">
        <f t="shared" ref="AM37:AM68" si="22">SUM(AH37:AL37)</f>
        <v>392032.4</v>
      </c>
      <c r="AN37" s="1189">
        <f t="shared" si="18"/>
        <v>0</v>
      </c>
      <c r="AO37" s="1189">
        <f t="shared" si="19"/>
        <v>0</v>
      </c>
    </row>
    <row r="38" spans="1:41" s="237" customFormat="1">
      <c r="A38" s="1179" t="s">
        <v>86</v>
      </c>
      <c r="B38" s="1180" t="s">
        <v>87</v>
      </c>
      <c r="C38" s="103" t="s">
        <v>267</v>
      </c>
      <c r="D38" s="1181">
        <f t="shared" si="5"/>
        <v>423934.15</v>
      </c>
      <c r="E38" s="1181">
        <f t="shared" si="6"/>
        <v>659940.86</v>
      </c>
      <c r="F38" s="1181">
        <f t="shared" si="7"/>
        <v>0</v>
      </c>
      <c r="G38" s="1182">
        <f t="shared" si="8"/>
        <v>-142.39000000000001</v>
      </c>
      <c r="H38" s="1182">
        <f t="shared" si="9"/>
        <v>-142.39000000000001</v>
      </c>
      <c r="I38" s="1561">
        <f t="shared" si="10"/>
        <v>1083732.6200000001</v>
      </c>
      <c r="J38" s="1183">
        <v>161597.44</v>
      </c>
      <c r="K38" s="1184">
        <v>161597.44</v>
      </c>
      <c r="L38" s="1184">
        <v>0</v>
      </c>
      <c r="M38" s="1184">
        <v>-0.28000000000000003</v>
      </c>
      <c r="N38" s="1184">
        <v>0</v>
      </c>
      <c r="O38" s="1185">
        <f t="shared" si="11"/>
        <v>323194.59999999998</v>
      </c>
      <c r="P38" s="1560">
        <f t="shared" si="12"/>
        <v>-0.28000000000000003</v>
      </c>
      <c r="Q38" s="1560">
        <f t="shared" si="13"/>
        <v>-0.28000000000000003</v>
      </c>
      <c r="R38" s="1183">
        <v>241600.51</v>
      </c>
      <c r="S38" s="1184">
        <v>241600.51</v>
      </c>
      <c r="T38" s="1184">
        <v>0</v>
      </c>
      <c r="U38" s="1184">
        <v>-0.02</v>
      </c>
      <c r="V38" s="1184">
        <v>-142.09</v>
      </c>
      <c r="W38" s="1186">
        <f t="shared" si="20"/>
        <v>483058.91</v>
      </c>
      <c r="X38" s="1560">
        <f t="shared" si="14"/>
        <v>-142.11000000000001</v>
      </c>
      <c r="Y38" s="1560">
        <f t="shared" si="15"/>
        <v>-142.11000000000001</v>
      </c>
      <c r="Z38" s="1183"/>
      <c r="AA38" s="1184"/>
      <c r="AB38" s="1184"/>
      <c r="AC38" s="1184"/>
      <c r="AD38" s="1184"/>
      <c r="AE38" s="1186">
        <f t="shared" si="21"/>
        <v>0</v>
      </c>
      <c r="AF38" s="1560">
        <f t="shared" si="16"/>
        <v>0</v>
      </c>
      <c r="AG38" s="1560">
        <f t="shared" si="17"/>
        <v>0</v>
      </c>
      <c r="AH38" s="1187">
        <v>20736.2</v>
      </c>
      <c r="AI38" s="1188">
        <v>256742.91</v>
      </c>
      <c r="AJ38" s="1188">
        <v>0</v>
      </c>
      <c r="AK38" s="1188">
        <v>0</v>
      </c>
      <c r="AL38" s="1188">
        <v>0</v>
      </c>
      <c r="AM38" s="1189">
        <f t="shared" si="22"/>
        <v>277479.11</v>
      </c>
      <c r="AN38" s="1189">
        <f t="shared" si="18"/>
        <v>0</v>
      </c>
      <c r="AO38" s="1189">
        <f t="shared" si="19"/>
        <v>0</v>
      </c>
    </row>
    <row r="39" spans="1:41" s="237" customFormat="1">
      <c r="A39" s="1179" t="s">
        <v>92</v>
      </c>
      <c r="B39" s="1180" t="s">
        <v>93</v>
      </c>
      <c r="C39" s="103" t="s">
        <v>268</v>
      </c>
      <c r="D39" s="1181">
        <f t="shared" si="5"/>
        <v>406293.27</v>
      </c>
      <c r="E39" s="1181">
        <f t="shared" si="6"/>
        <v>485237.97</v>
      </c>
      <c r="F39" s="1181">
        <f t="shared" si="7"/>
        <v>0</v>
      </c>
      <c r="G39" s="1182">
        <f t="shared" si="8"/>
        <v>524.73</v>
      </c>
      <c r="H39" s="1182">
        <f t="shared" si="9"/>
        <v>524.73</v>
      </c>
      <c r="I39" s="1561">
        <f t="shared" si="10"/>
        <v>892055.97</v>
      </c>
      <c r="J39" s="1183">
        <v>247737.31</v>
      </c>
      <c r="K39" s="1184">
        <v>247737.31</v>
      </c>
      <c r="L39" s="1184">
        <v>0</v>
      </c>
      <c r="M39" s="1184">
        <v>524.76</v>
      </c>
      <c r="N39" s="1184">
        <v>0</v>
      </c>
      <c r="O39" s="1185">
        <f t="shared" si="11"/>
        <v>495999.38</v>
      </c>
      <c r="P39" s="1560">
        <f t="shared" si="12"/>
        <v>524.76</v>
      </c>
      <c r="Q39" s="1560">
        <f t="shared" si="13"/>
        <v>524.76</v>
      </c>
      <c r="R39" s="1183">
        <v>156070.26</v>
      </c>
      <c r="S39" s="1184">
        <v>156070.26</v>
      </c>
      <c r="T39" s="1184">
        <v>0</v>
      </c>
      <c r="U39" s="1184">
        <v>-0.03</v>
      </c>
      <c r="V39" s="1184">
        <v>0</v>
      </c>
      <c r="W39" s="1186">
        <f t="shared" si="20"/>
        <v>312140.49</v>
      </c>
      <c r="X39" s="1560">
        <f t="shared" si="14"/>
        <v>-0.03</v>
      </c>
      <c r="Y39" s="1560">
        <f t="shared" si="15"/>
        <v>-0.03</v>
      </c>
      <c r="Z39" s="1183"/>
      <c r="AA39" s="1184"/>
      <c r="AB39" s="1184"/>
      <c r="AC39" s="1184"/>
      <c r="AD39" s="1184"/>
      <c r="AE39" s="1186">
        <f t="shared" si="21"/>
        <v>0</v>
      </c>
      <c r="AF39" s="1560">
        <f t="shared" si="16"/>
        <v>0</v>
      </c>
      <c r="AG39" s="1560">
        <f t="shared" si="17"/>
        <v>0</v>
      </c>
      <c r="AH39" s="1187">
        <v>2485.6999999999998</v>
      </c>
      <c r="AI39" s="1188">
        <v>81430.399999999994</v>
      </c>
      <c r="AJ39" s="1188">
        <v>0</v>
      </c>
      <c r="AK39" s="1188">
        <v>0</v>
      </c>
      <c r="AL39" s="1188">
        <v>0</v>
      </c>
      <c r="AM39" s="1189">
        <f t="shared" si="22"/>
        <v>83916.099999999991</v>
      </c>
      <c r="AN39" s="1189">
        <f t="shared" si="18"/>
        <v>0</v>
      </c>
      <c r="AO39" s="1189">
        <f t="shared" si="19"/>
        <v>0</v>
      </c>
    </row>
    <row r="40" spans="1:41" s="237" customFormat="1">
      <c r="A40" s="1179" t="s">
        <v>94</v>
      </c>
      <c r="B40" s="1180" t="s">
        <v>95</v>
      </c>
      <c r="C40" s="103" t="s">
        <v>264</v>
      </c>
      <c r="D40" s="1181">
        <f t="shared" si="5"/>
        <v>242277.82</v>
      </c>
      <c r="E40" s="1181">
        <f t="shared" si="6"/>
        <v>607492.82000000007</v>
      </c>
      <c r="F40" s="1181">
        <f t="shared" si="7"/>
        <v>0</v>
      </c>
      <c r="G40" s="1182">
        <f t="shared" si="8"/>
        <v>1226.4000000000001</v>
      </c>
      <c r="H40" s="1182">
        <f t="shared" si="9"/>
        <v>1226.4000000000001</v>
      </c>
      <c r="I40" s="1561">
        <f t="shared" si="10"/>
        <v>850997.04000000015</v>
      </c>
      <c r="J40" s="1183">
        <v>120808.54</v>
      </c>
      <c r="K40" s="1184">
        <v>120808.54</v>
      </c>
      <c r="L40" s="1184">
        <v>0</v>
      </c>
      <c r="M40" s="1184">
        <v>1226.44</v>
      </c>
      <c r="N40" s="1184">
        <v>0</v>
      </c>
      <c r="O40" s="1185">
        <f t="shared" si="11"/>
        <v>242843.51999999999</v>
      </c>
      <c r="P40" s="1560">
        <f t="shared" si="12"/>
        <v>1226.44</v>
      </c>
      <c r="Q40" s="1560">
        <f t="shared" si="13"/>
        <v>1226.44</v>
      </c>
      <c r="R40" s="1183">
        <v>116987.28</v>
      </c>
      <c r="S40" s="1184">
        <v>116987.28</v>
      </c>
      <c r="T40" s="1184">
        <v>0</v>
      </c>
      <c r="U40" s="1184">
        <v>-0.04</v>
      </c>
      <c r="V40" s="1184">
        <v>0</v>
      </c>
      <c r="W40" s="1186">
        <f t="shared" si="20"/>
        <v>233974.52</v>
      </c>
      <c r="X40" s="1560">
        <f t="shared" si="14"/>
        <v>-0.04</v>
      </c>
      <c r="Y40" s="1560">
        <f t="shared" si="15"/>
        <v>-0.04</v>
      </c>
      <c r="Z40" s="1183"/>
      <c r="AA40" s="1184"/>
      <c r="AB40" s="1184"/>
      <c r="AC40" s="1184"/>
      <c r="AD40" s="1184"/>
      <c r="AE40" s="1186">
        <f t="shared" si="21"/>
        <v>0</v>
      </c>
      <c r="AF40" s="1560">
        <f t="shared" si="16"/>
        <v>0</v>
      </c>
      <c r="AG40" s="1560">
        <f t="shared" si="17"/>
        <v>0</v>
      </c>
      <c r="AH40" s="1187">
        <v>4482</v>
      </c>
      <c r="AI40" s="1188">
        <v>369697</v>
      </c>
      <c r="AJ40" s="1188">
        <v>0</v>
      </c>
      <c r="AK40" s="1188">
        <v>0</v>
      </c>
      <c r="AL40" s="1188">
        <v>0</v>
      </c>
      <c r="AM40" s="1189">
        <f t="shared" si="22"/>
        <v>374179</v>
      </c>
      <c r="AN40" s="1189">
        <f t="shared" si="18"/>
        <v>0</v>
      </c>
      <c r="AO40" s="1189">
        <f t="shared" si="19"/>
        <v>0</v>
      </c>
    </row>
    <row r="41" spans="1:41" s="237" customFormat="1">
      <c r="A41" s="1179" t="s">
        <v>96</v>
      </c>
      <c r="B41" s="1180" t="s">
        <v>97</v>
      </c>
      <c r="C41" s="103" t="s">
        <v>266</v>
      </c>
      <c r="D41" s="1181">
        <f t="shared" si="5"/>
        <v>80106.53</v>
      </c>
      <c r="E41" s="1181">
        <f t="shared" si="6"/>
        <v>122336.87</v>
      </c>
      <c r="F41" s="1181">
        <f t="shared" si="7"/>
        <v>0</v>
      </c>
      <c r="G41" s="1182">
        <f t="shared" si="8"/>
        <v>-6.9999999999999993E-2</v>
      </c>
      <c r="H41" s="1182">
        <f t="shared" si="9"/>
        <v>-6.9999999999999993E-2</v>
      </c>
      <c r="I41" s="1561">
        <f t="shared" si="10"/>
        <v>202443.33</v>
      </c>
      <c r="J41" s="1183">
        <v>29435.95</v>
      </c>
      <c r="K41" s="1184">
        <v>29435.95</v>
      </c>
      <c r="L41" s="1184">
        <v>0</v>
      </c>
      <c r="M41" s="1184">
        <v>-0.06</v>
      </c>
      <c r="N41" s="1184">
        <v>0</v>
      </c>
      <c r="O41" s="1185">
        <f t="shared" si="11"/>
        <v>58871.840000000004</v>
      </c>
      <c r="P41" s="1560">
        <f t="shared" si="12"/>
        <v>-0.06</v>
      </c>
      <c r="Q41" s="1560">
        <f t="shared" si="13"/>
        <v>-0.06</v>
      </c>
      <c r="R41" s="1183">
        <v>46933.3</v>
      </c>
      <c r="S41" s="1184">
        <v>46933.3</v>
      </c>
      <c r="T41" s="1184">
        <v>0</v>
      </c>
      <c r="U41" s="1184">
        <v>-0.01</v>
      </c>
      <c r="V41" s="1184">
        <v>0</v>
      </c>
      <c r="W41" s="1186">
        <f t="shared" si="20"/>
        <v>93866.590000000011</v>
      </c>
      <c r="X41" s="1560">
        <f t="shared" si="14"/>
        <v>-0.01</v>
      </c>
      <c r="Y41" s="1560">
        <f t="shared" si="15"/>
        <v>-0.01</v>
      </c>
      <c r="Z41" s="1183"/>
      <c r="AA41" s="1184"/>
      <c r="AB41" s="1184"/>
      <c r="AC41" s="1184"/>
      <c r="AD41" s="1184"/>
      <c r="AE41" s="1186">
        <f t="shared" si="21"/>
        <v>0</v>
      </c>
      <c r="AF41" s="1560">
        <f t="shared" si="16"/>
        <v>0</v>
      </c>
      <c r="AG41" s="1560">
        <f t="shared" si="17"/>
        <v>0</v>
      </c>
      <c r="AH41" s="1187">
        <v>3737.28</v>
      </c>
      <c r="AI41" s="1188">
        <v>45967.62</v>
      </c>
      <c r="AJ41" s="1188">
        <v>0</v>
      </c>
      <c r="AK41" s="1188">
        <v>0</v>
      </c>
      <c r="AL41" s="1188">
        <v>0</v>
      </c>
      <c r="AM41" s="1189">
        <f t="shared" si="22"/>
        <v>49704.9</v>
      </c>
      <c r="AN41" s="1189">
        <f t="shared" si="18"/>
        <v>0</v>
      </c>
      <c r="AO41" s="1189">
        <f t="shared" si="19"/>
        <v>0</v>
      </c>
    </row>
    <row r="42" spans="1:41" s="237" customFormat="1">
      <c r="A42" s="1179" t="s">
        <v>98</v>
      </c>
      <c r="B42" s="1180" t="s">
        <v>99</v>
      </c>
      <c r="C42" s="103" t="s">
        <v>268</v>
      </c>
      <c r="D42" s="1181">
        <f t="shared" si="5"/>
        <v>266514.68</v>
      </c>
      <c r="E42" s="1181">
        <f t="shared" si="6"/>
        <v>285981.68</v>
      </c>
      <c r="F42" s="1181">
        <f t="shared" si="7"/>
        <v>0</v>
      </c>
      <c r="G42" s="1182">
        <f t="shared" si="8"/>
        <v>-0.05</v>
      </c>
      <c r="H42" s="1182">
        <f t="shared" si="9"/>
        <v>-0.05</v>
      </c>
      <c r="I42" s="1561">
        <f t="shared" si="10"/>
        <v>552496.30999999994</v>
      </c>
      <c r="J42" s="1183">
        <v>116234.46</v>
      </c>
      <c r="K42" s="1184">
        <v>116234.46</v>
      </c>
      <c r="L42" s="1184">
        <v>0</v>
      </c>
      <c r="M42" s="1184">
        <v>-0.05</v>
      </c>
      <c r="N42" s="1184">
        <v>0</v>
      </c>
      <c r="O42" s="1185">
        <f t="shared" si="11"/>
        <v>232468.87000000002</v>
      </c>
      <c r="P42" s="1560">
        <f t="shared" si="12"/>
        <v>-0.05</v>
      </c>
      <c r="Q42" s="1560">
        <f t="shared" si="13"/>
        <v>-0.05</v>
      </c>
      <c r="R42" s="1183">
        <v>150280.22</v>
      </c>
      <c r="S42" s="1184">
        <v>150280.22</v>
      </c>
      <c r="T42" s="1184">
        <v>0</v>
      </c>
      <c r="U42" s="1184">
        <v>0</v>
      </c>
      <c r="V42" s="1184">
        <v>0</v>
      </c>
      <c r="W42" s="1186">
        <f t="shared" si="20"/>
        <v>300560.44</v>
      </c>
      <c r="X42" s="1560">
        <f t="shared" si="14"/>
        <v>0</v>
      </c>
      <c r="Y42" s="1560">
        <f t="shared" si="15"/>
        <v>0</v>
      </c>
      <c r="Z42" s="1183"/>
      <c r="AA42" s="1184"/>
      <c r="AB42" s="1184"/>
      <c r="AC42" s="1184"/>
      <c r="AD42" s="1184"/>
      <c r="AE42" s="1186">
        <f t="shared" si="21"/>
        <v>0</v>
      </c>
      <c r="AF42" s="1560">
        <f t="shared" si="16"/>
        <v>0</v>
      </c>
      <c r="AG42" s="1560">
        <f t="shared" si="17"/>
        <v>0</v>
      </c>
      <c r="AH42" s="1187">
        <v>0</v>
      </c>
      <c r="AI42" s="1188">
        <v>19467</v>
      </c>
      <c r="AJ42" s="1188">
        <v>0</v>
      </c>
      <c r="AK42" s="1188">
        <v>0</v>
      </c>
      <c r="AL42" s="1188">
        <v>0</v>
      </c>
      <c r="AM42" s="1189">
        <f t="shared" si="22"/>
        <v>19467</v>
      </c>
      <c r="AN42" s="1189">
        <f t="shared" si="18"/>
        <v>0</v>
      </c>
      <c r="AO42" s="1189">
        <f t="shared" si="19"/>
        <v>0</v>
      </c>
    </row>
    <row r="43" spans="1:41" s="237" customFormat="1">
      <c r="A43" s="1179" t="s">
        <v>100</v>
      </c>
      <c r="B43" s="1180" t="s">
        <v>101</v>
      </c>
      <c r="C43" s="103" t="s">
        <v>267</v>
      </c>
      <c r="D43" s="1181">
        <f t="shared" si="5"/>
        <v>49854.149999999994</v>
      </c>
      <c r="E43" s="1181">
        <f t="shared" si="6"/>
        <v>94392.73</v>
      </c>
      <c r="F43" s="1181">
        <f t="shared" si="7"/>
        <v>0</v>
      </c>
      <c r="G43" s="1182">
        <f t="shared" si="8"/>
        <v>-0.08</v>
      </c>
      <c r="H43" s="1182">
        <f t="shared" si="9"/>
        <v>-0.08</v>
      </c>
      <c r="I43" s="1561">
        <f t="shared" si="10"/>
        <v>144246.80000000002</v>
      </c>
      <c r="J43" s="1183">
        <v>24528.14</v>
      </c>
      <c r="K43" s="1184">
        <v>24528.14</v>
      </c>
      <c r="L43" s="1184">
        <v>0</v>
      </c>
      <c r="M43" s="1184">
        <v>-0.04</v>
      </c>
      <c r="N43" s="1184">
        <v>0</v>
      </c>
      <c r="O43" s="1185">
        <f t="shared" si="11"/>
        <v>49056.24</v>
      </c>
      <c r="P43" s="1560">
        <f t="shared" si="12"/>
        <v>-0.04</v>
      </c>
      <c r="Q43" s="1560">
        <f t="shared" si="13"/>
        <v>-0.04</v>
      </c>
      <c r="R43" s="1183">
        <v>25326.01</v>
      </c>
      <c r="S43" s="1184">
        <v>25326.01</v>
      </c>
      <c r="T43" s="1184">
        <v>0</v>
      </c>
      <c r="U43" s="1184">
        <v>-0.04</v>
      </c>
      <c r="V43" s="1184">
        <v>0</v>
      </c>
      <c r="W43" s="1186">
        <f t="shared" si="20"/>
        <v>50651.979999999996</v>
      </c>
      <c r="X43" s="1560">
        <f t="shared" si="14"/>
        <v>-0.04</v>
      </c>
      <c r="Y43" s="1560">
        <f t="shared" si="15"/>
        <v>-0.04</v>
      </c>
      <c r="Z43" s="1183"/>
      <c r="AA43" s="1184"/>
      <c r="AB43" s="1184"/>
      <c r="AC43" s="1184"/>
      <c r="AD43" s="1184"/>
      <c r="AE43" s="1186">
        <f t="shared" si="21"/>
        <v>0</v>
      </c>
      <c r="AF43" s="1560">
        <f t="shared" si="16"/>
        <v>0</v>
      </c>
      <c r="AG43" s="1560">
        <f t="shared" si="17"/>
        <v>0</v>
      </c>
      <c r="AH43" s="1187">
        <v>0</v>
      </c>
      <c r="AI43" s="1188">
        <v>44538.58</v>
      </c>
      <c r="AJ43" s="1188">
        <v>0</v>
      </c>
      <c r="AK43" s="1188">
        <v>0</v>
      </c>
      <c r="AL43" s="1188">
        <v>0</v>
      </c>
      <c r="AM43" s="1189">
        <f t="shared" si="22"/>
        <v>44538.58</v>
      </c>
      <c r="AN43" s="1189">
        <f t="shared" si="18"/>
        <v>0</v>
      </c>
      <c r="AO43" s="1189">
        <f t="shared" si="19"/>
        <v>0</v>
      </c>
    </row>
    <row r="44" spans="1:41" s="237" customFormat="1">
      <c r="A44" s="1179" t="s">
        <v>102</v>
      </c>
      <c r="B44" s="1180" t="s">
        <v>103</v>
      </c>
      <c r="C44" s="103" t="s">
        <v>264</v>
      </c>
      <c r="D44" s="1181">
        <f t="shared" si="5"/>
        <v>49066.240000000005</v>
      </c>
      <c r="E44" s="1181">
        <f t="shared" si="6"/>
        <v>43842.100000000006</v>
      </c>
      <c r="F44" s="1181">
        <f t="shared" si="7"/>
        <v>0</v>
      </c>
      <c r="G44" s="1182">
        <f t="shared" si="8"/>
        <v>-0.05</v>
      </c>
      <c r="H44" s="1182">
        <f t="shared" si="9"/>
        <v>-0.05</v>
      </c>
      <c r="I44" s="1561">
        <f t="shared" si="10"/>
        <v>92908.290000000008</v>
      </c>
      <c r="J44" s="1183">
        <v>32129.43</v>
      </c>
      <c r="K44" s="1184">
        <v>32129.43</v>
      </c>
      <c r="L44" s="1184">
        <v>0</v>
      </c>
      <c r="M44" s="1184">
        <v>-0.04</v>
      </c>
      <c r="N44" s="1184">
        <v>0</v>
      </c>
      <c r="O44" s="1185">
        <f t="shared" si="11"/>
        <v>64258.82</v>
      </c>
      <c r="P44" s="1560">
        <f t="shared" si="12"/>
        <v>-0.04</v>
      </c>
      <c r="Q44" s="1560">
        <f t="shared" si="13"/>
        <v>-0.04</v>
      </c>
      <c r="R44" s="1183">
        <v>17589.830000000002</v>
      </c>
      <c r="S44" s="1184">
        <v>17589.830000000002</v>
      </c>
      <c r="T44" s="1184">
        <v>0</v>
      </c>
      <c r="U44" s="1184">
        <v>-0.01</v>
      </c>
      <c r="V44" s="1184">
        <v>0</v>
      </c>
      <c r="W44" s="1186">
        <f t="shared" si="20"/>
        <v>35179.65</v>
      </c>
      <c r="X44" s="1560">
        <f t="shared" si="14"/>
        <v>-0.01</v>
      </c>
      <c r="Y44" s="1560">
        <f t="shared" si="15"/>
        <v>-0.01</v>
      </c>
      <c r="Z44" s="1187"/>
      <c r="AA44" s="1188"/>
      <c r="AB44" s="1188"/>
      <c r="AC44" s="1188"/>
      <c r="AD44" s="1188"/>
      <c r="AE44" s="1186">
        <f t="shared" si="21"/>
        <v>0</v>
      </c>
      <c r="AF44" s="1560">
        <f t="shared" si="16"/>
        <v>0</v>
      </c>
      <c r="AG44" s="1560">
        <f t="shared" si="17"/>
        <v>0</v>
      </c>
      <c r="AH44" s="1187">
        <v>-653.02</v>
      </c>
      <c r="AI44" s="1188">
        <v>-5877.16</v>
      </c>
      <c r="AJ44" s="1188">
        <v>0</v>
      </c>
      <c r="AK44" s="1188">
        <v>0</v>
      </c>
      <c r="AL44" s="1188">
        <v>0</v>
      </c>
      <c r="AM44" s="1189">
        <f t="shared" si="22"/>
        <v>-6530.18</v>
      </c>
      <c r="AN44" s="1189">
        <f t="shared" si="18"/>
        <v>0</v>
      </c>
      <c r="AO44" s="1189">
        <f t="shared" si="19"/>
        <v>0</v>
      </c>
    </row>
    <row r="45" spans="1:41" s="237" customFormat="1">
      <c r="A45" s="1179" t="s">
        <v>104</v>
      </c>
      <c r="B45" s="1180" t="s">
        <v>309</v>
      </c>
      <c r="C45" s="103" t="s">
        <v>265</v>
      </c>
      <c r="D45" s="1181">
        <f t="shared" si="5"/>
        <v>242507.58</v>
      </c>
      <c r="E45" s="1181">
        <f t="shared" si="6"/>
        <v>386759.04</v>
      </c>
      <c r="F45" s="1181">
        <f t="shared" si="7"/>
        <v>0</v>
      </c>
      <c r="G45" s="1182">
        <f t="shared" si="8"/>
        <v>-0.11</v>
      </c>
      <c r="H45" s="1182">
        <f t="shared" si="9"/>
        <v>-0.11</v>
      </c>
      <c r="I45" s="1561">
        <f t="shared" si="10"/>
        <v>629266.51</v>
      </c>
      <c r="J45" s="1183">
        <v>69496.960000000006</v>
      </c>
      <c r="K45" s="1184">
        <v>69496.960000000006</v>
      </c>
      <c r="L45" s="1184">
        <v>0</v>
      </c>
      <c r="M45" s="1184">
        <v>-0.11</v>
      </c>
      <c r="N45" s="1184">
        <v>0</v>
      </c>
      <c r="O45" s="1185">
        <f t="shared" si="11"/>
        <v>138993.81000000003</v>
      </c>
      <c r="P45" s="1560">
        <f t="shared" si="12"/>
        <v>-0.11</v>
      </c>
      <c r="Q45" s="1560">
        <f t="shared" si="13"/>
        <v>-0.11</v>
      </c>
      <c r="R45" s="1183">
        <v>170881.02</v>
      </c>
      <c r="S45" s="1184">
        <v>170881.02</v>
      </c>
      <c r="T45" s="1184">
        <v>0</v>
      </c>
      <c r="U45" s="1184">
        <v>0</v>
      </c>
      <c r="V45" s="1184">
        <v>0</v>
      </c>
      <c r="W45" s="1186">
        <f t="shared" si="20"/>
        <v>341762.04</v>
      </c>
      <c r="X45" s="1560">
        <f t="shared" si="14"/>
        <v>0</v>
      </c>
      <c r="Y45" s="1560">
        <f t="shared" si="15"/>
        <v>0</v>
      </c>
      <c r="Z45" s="1183"/>
      <c r="AA45" s="1184"/>
      <c r="AB45" s="1184"/>
      <c r="AC45" s="1184"/>
      <c r="AD45" s="1184"/>
      <c r="AE45" s="1186">
        <f t="shared" si="21"/>
        <v>0</v>
      </c>
      <c r="AF45" s="1560">
        <f t="shared" si="16"/>
        <v>0</v>
      </c>
      <c r="AG45" s="1560">
        <f t="shared" si="17"/>
        <v>0</v>
      </c>
      <c r="AH45" s="1187">
        <v>2129.6</v>
      </c>
      <c r="AI45" s="1188">
        <v>146381.06</v>
      </c>
      <c r="AJ45" s="1188">
        <v>0</v>
      </c>
      <c r="AK45" s="1188">
        <v>0</v>
      </c>
      <c r="AL45" s="1188">
        <v>0</v>
      </c>
      <c r="AM45" s="1189">
        <f t="shared" si="22"/>
        <v>148510.66</v>
      </c>
      <c r="AN45" s="1189">
        <f t="shared" si="18"/>
        <v>0</v>
      </c>
      <c r="AO45" s="1189">
        <f t="shared" si="19"/>
        <v>0</v>
      </c>
    </row>
    <row r="46" spans="1:41" s="237" customFormat="1">
      <c r="A46" s="1179" t="s">
        <v>108</v>
      </c>
      <c r="B46" s="1180" t="s">
        <v>109</v>
      </c>
      <c r="C46" s="103" t="s">
        <v>266</v>
      </c>
      <c r="D46" s="1181">
        <f t="shared" si="5"/>
        <v>421112.23000000004</v>
      </c>
      <c r="E46" s="1181">
        <f t="shared" si="6"/>
        <v>522172.18000000005</v>
      </c>
      <c r="F46" s="1181">
        <f t="shared" si="7"/>
        <v>0</v>
      </c>
      <c r="G46" s="1182">
        <f t="shared" si="8"/>
        <v>-0.18</v>
      </c>
      <c r="H46" s="1182">
        <f t="shared" si="9"/>
        <v>-0.18</v>
      </c>
      <c r="I46" s="1561">
        <f t="shared" si="10"/>
        <v>943284.2300000001</v>
      </c>
      <c r="J46" s="1183">
        <v>164186.14000000001</v>
      </c>
      <c r="K46" s="1184">
        <v>164186.14000000001</v>
      </c>
      <c r="L46" s="1184">
        <v>0</v>
      </c>
      <c r="M46" s="1184">
        <v>-0.16</v>
      </c>
      <c r="N46" s="1184">
        <v>0</v>
      </c>
      <c r="O46" s="1185">
        <f t="shared" si="11"/>
        <v>328372.12000000005</v>
      </c>
      <c r="P46" s="1560">
        <f t="shared" si="12"/>
        <v>-0.16</v>
      </c>
      <c r="Q46" s="1560">
        <f t="shared" si="13"/>
        <v>-0.16</v>
      </c>
      <c r="R46" s="1183">
        <v>240627.44</v>
      </c>
      <c r="S46" s="1184">
        <v>240627.44</v>
      </c>
      <c r="T46" s="1184">
        <v>0</v>
      </c>
      <c r="U46" s="1184">
        <v>-0.02</v>
      </c>
      <c r="V46" s="1184">
        <v>0</v>
      </c>
      <c r="W46" s="1186">
        <f t="shared" si="20"/>
        <v>481254.86</v>
      </c>
      <c r="X46" s="1560">
        <f t="shared" si="14"/>
        <v>-0.02</v>
      </c>
      <c r="Y46" s="1560">
        <f t="shared" si="15"/>
        <v>-0.02</v>
      </c>
      <c r="Z46" s="1183"/>
      <c r="AA46" s="1184"/>
      <c r="AB46" s="1184"/>
      <c r="AC46" s="1184"/>
      <c r="AD46" s="1184"/>
      <c r="AE46" s="1186">
        <f t="shared" si="21"/>
        <v>0</v>
      </c>
      <c r="AF46" s="1560">
        <f t="shared" si="16"/>
        <v>0</v>
      </c>
      <c r="AG46" s="1560">
        <f t="shared" si="17"/>
        <v>0</v>
      </c>
      <c r="AH46" s="1187">
        <v>16298.65</v>
      </c>
      <c r="AI46" s="1188">
        <v>117358.6</v>
      </c>
      <c r="AJ46" s="1188">
        <v>0</v>
      </c>
      <c r="AK46" s="1188">
        <v>0</v>
      </c>
      <c r="AL46" s="1188">
        <v>0</v>
      </c>
      <c r="AM46" s="1189">
        <f t="shared" si="22"/>
        <v>133657.25</v>
      </c>
      <c r="AN46" s="1189">
        <f t="shared" si="18"/>
        <v>0</v>
      </c>
      <c r="AO46" s="1189">
        <f t="shared" si="19"/>
        <v>0</v>
      </c>
    </row>
    <row r="47" spans="1:41" s="237" customFormat="1">
      <c r="A47" s="1179" t="s">
        <v>110</v>
      </c>
      <c r="B47" s="1180" t="s">
        <v>111</v>
      </c>
      <c r="C47" s="103" t="s">
        <v>266</v>
      </c>
      <c r="D47" s="1181">
        <f t="shared" si="5"/>
        <v>983224.42000000016</v>
      </c>
      <c r="E47" s="1181">
        <f t="shared" si="6"/>
        <v>1533031.7400000002</v>
      </c>
      <c r="F47" s="1181">
        <f t="shared" si="7"/>
        <v>0</v>
      </c>
      <c r="G47" s="1182">
        <f t="shared" si="8"/>
        <v>-0.31</v>
      </c>
      <c r="H47" s="1182">
        <f t="shared" si="9"/>
        <v>-0.31</v>
      </c>
      <c r="I47" s="1561">
        <f t="shared" si="10"/>
        <v>2516255.85</v>
      </c>
      <c r="J47" s="1183">
        <v>406729.33</v>
      </c>
      <c r="K47" s="1184">
        <v>406729.33</v>
      </c>
      <c r="L47" s="1184">
        <v>0</v>
      </c>
      <c r="M47" s="1184">
        <v>-0.22</v>
      </c>
      <c r="N47" s="1184">
        <v>0</v>
      </c>
      <c r="O47" s="1185">
        <f t="shared" si="11"/>
        <v>813458.44000000006</v>
      </c>
      <c r="P47" s="1560">
        <f t="shared" si="12"/>
        <v>-0.22</v>
      </c>
      <c r="Q47" s="1560">
        <f t="shared" si="13"/>
        <v>-0.22</v>
      </c>
      <c r="R47" s="1183">
        <v>483444.78</v>
      </c>
      <c r="S47" s="1184">
        <v>483444.78</v>
      </c>
      <c r="T47" s="1184">
        <v>0</v>
      </c>
      <c r="U47" s="1184">
        <v>-0.09</v>
      </c>
      <c r="V47" s="1184">
        <v>0</v>
      </c>
      <c r="W47" s="1186">
        <f t="shared" si="20"/>
        <v>966889.47000000009</v>
      </c>
      <c r="X47" s="1560">
        <f t="shared" si="14"/>
        <v>-0.09</v>
      </c>
      <c r="Y47" s="1560">
        <f t="shared" si="15"/>
        <v>-0.09</v>
      </c>
      <c r="Z47" s="1183"/>
      <c r="AA47" s="1184"/>
      <c r="AB47" s="1184"/>
      <c r="AC47" s="1184"/>
      <c r="AD47" s="1184"/>
      <c r="AE47" s="1186">
        <f t="shared" si="21"/>
        <v>0</v>
      </c>
      <c r="AF47" s="1560">
        <f t="shared" si="16"/>
        <v>0</v>
      </c>
      <c r="AG47" s="1560">
        <f t="shared" si="17"/>
        <v>0</v>
      </c>
      <c r="AH47" s="1187">
        <v>93050.31</v>
      </c>
      <c r="AI47" s="1188">
        <v>642857.63</v>
      </c>
      <c r="AJ47" s="1188">
        <v>0</v>
      </c>
      <c r="AK47" s="1188">
        <v>0</v>
      </c>
      <c r="AL47" s="1188">
        <v>0</v>
      </c>
      <c r="AM47" s="1189">
        <f t="shared" si="22"/>
        <v>735907.94</v>
      </c>
      <c r="AN47" s="1189">
        <f t="shared" si="18"/>
        <v>0</v>
      </c>
      <c r="AO47" s="1189">
        <f t="shared" si="19"/>
        <v>0</v>
      </c>
    </row>
    <row r="48" spans="1:41" s="237" customFormat="1">
      <c r="A48" s="1179" t="s">
        <v>112</v>
      </c>
      <c r="B48" s="1180" t="s">
        <v>300</v>
      </c>
      <c r="C48" s="103" t="s">
        <v>265</v>
      </c>
      <c r="D48" s="1181">
        <f t="shared" si="5"/>
        <v>402370.91000000003</v>
      </c>
      <c r="E48" s="1181">
        <f t="shared" si="6"/>
        <v>497938.91000000003</v>
      </c>
      <c r="F48" s="1181">
        <f t="shared" si="7"/>
        <v>0</v>
      </c>
      <c r="G48" s="1182">
        <f t="shared" si="8"/>
        <v>-0.1</v>
      </c>
      <c r="H48" s="1182">
        <f t="shared" si="9"/>
        <v>-0.1</v>
      </c>
      <c r="I48" s="1561">
        <f t="shared" si="10"/>
        <v>900309.72000000009</v>
      </c>
      <c r="J48" s="1183">
        <v>122271.46</v>
      </c>
      <c r="K48" s="1184">
        <v>122271.46</v>
      </c>
      <c r="L48" s="1184">
        <v>0</v>
      </c>
      <c r="M48" s="1184">
        <v>-0.1</v>
      </c>
      <c r="N48" s="1184">
        <v>0</v>
      </c>
      <c r="O48" s="1185">
        <f t="shared" si="11"/>
        <v>244542.82</v>
      </c>
      <c r="P48" s="1560">
        <f t="shared" si="12"/>
        <v>-0.1</v>
      </c>
      <c r="Q48" s="1560">
        <f t="shared" si="13"/>
        <v>-0.1</v>
      </c>
      <c r="R48" s="1183">
        <v>278674.45</v>
      </c>
      <c r="S48" s="1184">
        <v>278674.45</v>
      </c>
      <c r="T48" s="1184">
        <v>0</v>
      </c>
      <c r="U48" s="1184">
        <v>0</v>
      </c>
      <c r="V48" s="1184">
        <v>0</v>
      </c>
      <c r="W48" s="1186">
        <f t="shared" si="20"/>
        <v>557348.9</v>
      </c>
      <c r="X48" s="1560">
        <f t="shared" si="14"/>
        <v>0</v>
      </c>
      <c r="Y48" s="1560">
        <f t="shared" si="15"/>
        <v>0</v>
      </c>
      <c r="Z48" s="1183">
        <v>1425</v>
      </c>
      <c r="AA48" s="1184">
        <v>1425</v>
      </c>
      <c r="AB48" s="1184">
        <v>0</v>
      </c>
      <c r="AC48" s="1184">
        <v>0</v>
      </c>
      <c r="AD48" s="1184">
        <v>0</v>
      </c>
      <c r="AE48" s="1186">
        <f t="shared" si="21"/>
        <v>2850</v>
      </c>
      <c r="AF48" s="1560">
        <f t="shared" si="16"/>
        <v>0</v>
      </c>
      <c r="AG48" s="1560">
        <f t="shared" si="17"/>
        <v>0</v>
      </c>
      <c r="AH48" s="1187">
        <v>0</v>
      </c>
      <c r="AI48" s="1188">
        <v>95568</v>
      </c>
      <c r="AJ48" s="1188">
        <v>0</v>
      </c>
      <c r="AK48" s="1188">
        <v>0</v>
      </c>
      <c r="AL48" s="1188">
        <v>0</v>
      </c>
      <c r="AM48" s="1189">
        <f t="shared" si="22"/>
        <v>95568</v>
      </c>
      <c r="AN48" s="1189">
        <f t="shared" si="18"/>
        <v>0</v>
      </c>
      <c r="AO48" s="1189">
        <f t="shared" si="19"/>
        <v>0</v>
      </c>
    </row>
    <row r="49" spans="1:41" s="237" customFormat="1">
      <c r="A49" s="1179" t="s">
        <v>114</v>
      </c>
      <c r="B49" s="1180" t="s">
        <v>115</v>
      </c>
      <c r="C49" s="103" t="s">
        <v>265</v>
      </c>
      <c r="D49" s="1181">
        <f t="shared" si="5"/>
        <v>8576.4699999999993</v>
      </c>
      <c r="E49" s="1181">
        <f t="shared" si="6"/>
        <v>8576.4699999999993</v>
      </c>
      <c r="F49" s="1181">
        <f t="shared" si="7"/>
        <v>0</v>
      </c>
      <c r="G49" s="1182">
        <f t="shared" si="8"/>
        <v>0</v>
      </c>
      <c r="H49" s="1182">
        <f t="shared" si="9"/>
        <v>0</v>
      </c>
      <c r="I49" s="1561">
        <f t="shared" si="10"/>
        <v>17152.939999999999</v>
      </c>
      <c r="J49" s="1183"/>
      <c r="K49" s="1184"/>
      <c r="L49" s="1184"/>
      <c r="M49" s="1184"/>
      <c r="N49" s="1184"/>
      <c r="O49" s="1185">
        <f t="shared" si="11"/>
        <v>0</v>
      </c>
      <c r="P49" s="1560">
        <f t="shared" si="12"/>
        <v>0</v>
      </c>
      <c r="Q49" s="1560">
        <f t="shared" si="13"/>
        <v>0</v>
      </c>
      <c r="R49" s="1183">
        <v>8576.4699999999993</v>
      </c>
      <c r="S49" s="1184">
        <v>8576.4699999999993</v>
      </c>
      <c r="T49" s="1184">
        <v>0</v>
      </c>
      <c r="U49" s="1184">
        <v>0</v>
      </c>
      <c r="V49" s="1184">
        <v>0</v>
      </c>
      <c r="W49" s="1186">
        <f t="shared" si="20"/>
        <v>17152.939999999999</v>
      </c>
      <c r="X49" s="1560">
        <f t="shared" si="14"/>
        <v>0</v>
      </c>
      <c r="Y49" s="1560">
        <f t="shared" si="15"/>
        <v>0</v>
      </c>
      <c r="Z49" s="1187"/>
      <c r="AA49" s="1188"/>
      <c r="AB49" s="1188"/>
      <c r="AC49" s="1188"/>
      <c r="AD49" s="1188"/>
      <c r="AE49" s="1186">
        <f t="shared" si="21"/>
        <v>0</v>
      </c>
      <c r="AF49" s="1560">
        <f t="shared" si="16"/>
        <v>0</v>
      </c>
      <c r="AG49" s="1560">
        <f t="shared" si="17"/>
        <v>0</v>
      </c>
      <c r="AH49" s="1187"/>
      <c r="AI49" s="1188"/>
      <c r="AJ49" s="1188"/>
      <c r="AK49" s="1188"/>
      <c r="AL49" s="1188"/>
      <c r="AM49" s="1189">
        <f t="shared" si="22"/>
        <v>0</v>
      </c>
      <c r="AN49" s="1189">
        <f t="shared" si="18"/>
        <v>0</v>
      </c>
      <c r="AO49" s="1189">
        <f t="shared" si="19"/>
        <v>0</v>
      </c>
    </row>
    <row r="50" spans="1:41" s="237" customFormat="1">
      <c r="A50" s="1179" t="s">
        <v>118</v>
      </c>
      <c r="B50" s="1180" t="s">
        <v>119</v>
      </c>
      <c r="C50" s="103" t="s">
        <v>264</v>
      </c>
      <c r="D50" s="1181">
        <f t="shared" si="5"/>
        <v>66090.98</v>
      </c>
      <c r="E50" s="1181">
        <f t="shared" si="6"/>
        <v>115469.33</v>
      </c>
      <c r="F50" s="1181">
        <f t="shared" si="7"/>
        <v>0</v>
      </c>
      <c r="G50" s="1182">
        <f t="shared" si="8"/>
        <v>1960.28</v>
      </c>
      <c r="H50" s="1182">
        <f t="shared" si="9"/>
        <v>1960.28</v>
      </c>
      <c r="I50" s="1561">
        <f t="shared" si="10"/>
        <v>183520.59</v>
      </c>
      <c r="J50" s="1183">
        <v>20725.53</v>
      </c>
      <c r="K50" s="1184">
        <v>20725.53</v>
      </c>
      <c r="L50" s="1184">
        <v>0</v>
      </c>
      <c r="M50" s="1184">
        <v>1960.28</v>
      </c>
      <c r="N50" s="1184">
        <v>0</v>
      </c>
      <c r="O50" s="1185">
        <f t="shared" si="11"/>
        <v>43411.34</v>
      </c>
      <c r="P50" s="1560">
        <f t="shared" si="12"/>
        <v>1960.28</v>
      </c>
      <c r="Q50" s="1560">
        <f t="shared" si="13"/>
        <v>1960.28</v>
      </c>
      <c r="R50" s="1183">
        <v>42714</v>
      </c>
      <c r="S50" s="1184">
        <v>42714</v>
      </c>
      <c r="T50" s="1184">
        <v>0</v>
      </c>
      <c r="U50" s="1184">
        <v>0</v>
      </c>
      <c r="V50" s="1184">
        <v>0</v>
      </c>
      <c r="W50" s="1186">
        <f t="shared" si="20"/>
        <v>85428</v>
      </c>
      <c r="X50" s="1560">
        <f t="shared" si="14"/>
        <v>0</v>
      </c>
      <c r="Y50" s="1560">
        <f t="shared" si="15"/>
        <v>0</v>
      </c>
      <c r="Z50" s="1183"/>
      <c r="AA50" s="1184"/>
      <c r="AB50" s="1184"/>
      <c r="AC50" s="1184"/>
      <c r="AD50" s="1184"/>
      <c r="AE50" s="1186">
        <f t="shared" si="21"/>
        <v>0</v>
      </c>
      <c r="AF50" s="1560">
        <f t="shared" si="16"/>
        <v>0</v>
      </c>
      <c r="AG50" s="1560">
        <f t="shared" si="17"/>
        <v>0</v>
      </c>
      <c r="AH50" s="1187">
        <v>2651.45</v>
      </c>
      <c r="AI50" s="1188">
        <v>52029.8</v>
      </c>
      <c r="AJ50" s="1188">
        <v>0</v>
      </c>
      <c r="AK50" s="1188">
        <v>0</v>
      </c>
      <c r="AL50" s="1188">
        <v>0</v>
      </c>
      <c r="AM50" s="1189">
        <f t="shared" si="22"/>
        <v>54681.25</v>
      </c>
      <c r="AN50" s="1189">
        <f t="shared" si="18"/>
        <v>0</v>
      </c>
      <c r="AO50" s="1189">
        <f t="shared" si="19"/>
        <v>0</v>
      </c>
    </row>
    <row r="51" spans="1:41" s="237" customFormat="1">
      <c r="A51" s="1179" t="s">
        <v>120</v>
      </c>
      <c r="B51" s="1180" t="s">
        <v>121</v>
      </c>
      <c r="C51" s="103" t="s">
        <v>264</v>
      </c>
      <c r="D51" s="1181">
        <f t="shared" si="5"/>
        <v>370417.07</v>
      </c>
      <c r="E51" s="1181">
        <f t="shared" si="6"/>
        <v>618207.01</v>
      </c>
      <c r="F51" s="1181">
        <f t="shared" si="7"/>
        <v>0</v>
      </c>
      <c r="G51" s="1182">
        <f t="shared" si="8"/>
        <v>263.94</v>
      </c>
      <c r="H51" s="1182">
        <f t="shared" si="9"/>
        <v>263.94</v>
      </c>
      <c r="I51" s="1561">
        <f t="shared" si="10"/>
        <v>988888.02</v>
      </c>
      <c r="J51" s="1183">
        <v>32686.48</v>
      </c>
      <c r="K51" s="1184">
        <v>32686.48</v>
      </c>
      <c r="L51" s="1184">
        <v>0</v>
      </c>
      <c r="M51" s="1184">
        <v>263.95999999999998</v>
      </c>
      <c r="N51" s="1184">
        <v>0</v>
      </c>
      <c r="O51" s="1185">
        <f t="shared" si="11"/>
        <v>65636.92</v>
      </c>
      <c r="P51" s="1560">
        <f t="shared" si="12"/>
        <v>263.95999999999998</v>
      </c>
      <c r="Q51" s="1560">
        <f t="shared" si="13"/>
        <v>263.95999999999998</v>
      </c>
      <c r="R51" s="1183">
        <v>324033.65000000002</v>
      </c>
      <c r="S51" s="1184">
        <v>324033.65000000002</v>
      </c>
      <c r="T51" s="1184">
        <v>0</v>
      </c>
      <c r="U51" s="1184">
        <v>-0.02</v>
      </c>
      <c r="V51" s="1184">
        <v>0</v>
      </c>
      <c r="W51" s="1186">
        <f t="shared" si="20"/>
        <v>648067.28</v>
      </c>
      <c r="X51" s="1560">
        <f t="shared" si="14"/>
        <v>-0.02</v>
      </c>
      <c r="Y51" s="1560">
        <f t="shared" si="15"/>
        <v>-0.02</v>
      </c>
      <c r="Z51" s="1183"/>
      <c r="AA51" s="1184"/>
      <c r="AB51" s="1184"/>
      <c r="AC51" s="1184"/>
      <c r="AD51" s="1184"/>
      <c r="AE51" s="1186">
        <f t="shared" si="21"/>
        <v>0</v>
      </c>
      <c r="AF51" s="1560">
        <f t="shared" si="16"/>
        <v>0</v>
      </c>
      <c r="AG51" s="1560">
        <f t="shared" si="17"/>
        <v>0</v>
      </c>
      <c r="AH51" s="1187">
        <v>13696.94</v>
      </c>
      <c r="AI51" s="1188">
        <v>261486.88</v>
      </c>
      <c r="AJ51" s="1188">
        <v>0</v>
      </c>
      <c r="AK51" s="1188">
        <v>0</v>
      </c>
      <c r="AL51" s="1188">
        <v>0</v>
      </c>
      <c r="AM51" s="1189">
        <f t="shared" si="22"/>
        <v>275183.82</v>
      </c>
      <c r="AN51" s="1189">
        <f t="shared" si="18"/>
        <v>0</v>
      </c>
      <c r="AO51" s="1189">
        <f t="shared" si="19"/>
        <v>0</v>
      </c>
    </row>
    <row r="52" spans="1:41" s="237" customFormat="1">
      <c r="A52" s="1179" t="s">
        <v>122</v>
      </c>
      <c r="B52" s="1180" t="s">
        <v>271</v>
      </c>
      <c r="C52" s="103" t="s">
        <v>266</v>
      </c>
      <c r="D52" s="1181">
        <f t="shared" si="5"/>
        <v>44844.539999999994</v>
      </c>
      <c r="E52" s="1181">
        <f t="shared" si="6"/>
        <v>105237.39</v>
      </c>
      <c r="F52" s="1181">
        <f t="shared" si="7"/>
        <v>0</v>
      </c>
      <c r="G52" s="1182">
        <f t="shared" si="8"/>
        <v>-0.01</v>
      </c>
      <c r="H52" s="1182">
        <f t="shared" si="9"/>
        <v>-0.01</v>
      </c>
      <c r="I52" s="1561">
        <f t="shared" si="10"/>
        <v>150081.91999999998</v>
      </c>
      <c r="J52" s="1183">
        <v>-72</v>
      </c>
      <c r="K52" s="1184">
        <v>-72</v>
      </c>
      <c r="L52" s="1184">
        <v>0</v>
      </c>
      <c r="M52" s="1184">
        <v>0</v>
      </c>
      <c r="N52" s="1184">
        <v>0</v>
      </c>
      <c r="O52" s="1185">
        <f t="shared" si="11"/>
        <v>-144</v>
      </c>
      <c r="P52" s="1560">
        <f t="shared" si="12"/>
        <v>0</v>
      </c>
      <c r="Q52" s="1560">
        <f t="shared" si="13"/>
        <v>0</v>
      </c>
      <c r="R52" s="1183">
        <v>42740.88</v>
      </c>
      <c r="S52" s="1184">
        <v>42740.88</v>
      </c>
      <c r="T52" s="1184">
        <v>0</v>
      </c>
      <c r="U52" s="1184">
        <v>-0.01</v>
      </c>
      <c r="V52" s="1184">
        <v>0</v>
      </c>
      <c r="W52" s="1186">
        <f t="shared" si="20"/>
        <v>85481.75</v>
      </c>
      <c r="X52" s="1560">
        <f t="shared" si="14"/>
        <v>-0.01</v>
      </c>
      <c r="Y52" s="1560">
        <f t="shared" si="15"/>
        <v>-0.01</v>
      </c>
      <c r="Z52" s="1183"/>
      <c r="AA52" s="1184"/>
      <c r="AB52" s="1184"/>
      <c r="AC52" s="1184"/>
      <c r="AD52" s="1184"/>
      <c r="AE52" s="1186">
        <f t="shared" si="21"/>
        <v>0</v>
      </c>
      <c r="AF52" s="1560">
        <f t="shared" si="16"/>
        <v>0</v>
      </c>
      <c r="AG52" s="1560">
        <f t="shared" si="17"/>
        <v>0</v>
      </c>
      <c r="AH52" s="1187">
        <v>2175.66</v>
      </c>
      <c r="AI52" s="1188">
        <v>62568.51</v>
      </c>
      <c r="AJ52" s="1188">
        <v>0</v>
      </c>
      <c r="AK52" s="1188">
        <v>0</v>
      </c>
      <c r="AL52" s="1188">
        <v>0</v>
      </c>
      <c r="AM52" s="1189">
        <f t="shared" si="22"/>
        <v>64744.17</v>
      </c>
      <c r="AN52" s="1189">
        <f t="shared" si="18"/>
        <v>0</v>
      </c>
      <c r="AO52" s="1189">
        <f t="shared" si="19"/>
        <v>0</v>
      </c>
    </row>
    <row r="53" spans="1:41" s="237" customFormat="1">
      <c r="A53" s="1179" t="s">
        <v>124</v>
      </c>
      <c r="B53" s="1180" t="s">
        <v>125</v>
      </c>
      <c r="C53" s="103" t="s">
        <v>267</v>
      </c>
      <c r="D53" s="1181">
        <f t="shared" si="5"/>
        <v>128800.54999999999</v>
      </c>
      <c r="E53" s="1181">
        <f t="shared" si="6"/>
        <v>170885.25</v>
      </c>
      <c r="F53" s="1181">
        <f t="shared" si="7"/>
        <v>0</v>
      </c>
      <c r="G53" s="1182">
        <f t="shared" si="8"/>
        <v>-0.04</v>
      </c>
      <c r="H53" s="1182">
        <f t="shared" si="9"/>
        <v>-0.04</v>
      </c>
      <c r="I53" s="1561">
        <f t="shared" si="10"/>
        <v>299685.76000000001</v>
      </c>
      <c r="J53" s="1183">
        <v>66496.02</v>
      </c>
      <c r="K53" s="1184">
        <v>66496.02</v>
      </c>
      <c r="L53" s="1184">
        <v>0</v>
      </c>
      <c r="M53" s="1184">
        <v>-0.03</v>
      </c>
      <c r="N53" s="1184">
        <v>0</v>
      </c>
      <c r="O53" s="1185">
        <f t="shared" si="11"/>
        <v>132992.01</v>
      </c>
      <c r="P53" s="1560">
        <f t="shared" si="12"/>
        <v>-0.03</v>
      </c>
      <c r="Q53" s="1560">
        <f t="shared" si="13"/>
        <v>-0.03</v>
      </c>
      <c r="R53" s="1183">
        <v>62007.63</v>
      </c>
      <c r="S53" s="1184">
        <v>62007.63</v>
      </c>
      <c r="T53" s="1184">
        <v>0</v>
      </c>
      <c r="U53" s="1184">
        <v>-0.01</v>
      </c>
      <c r="V53" s="1184">
        <v>0</v>
      </c>
      <c r="W53" s="1186">
        <f t="shared" si="20"/>
        <v>124015.25</v>
      </c>
      <c r="X53" s="1560">
        <f t="shared" si="14"/>
        <v>-0.01</v>
      </c>
      <c r="Y53" s="1560">
        <f t="shared" si="15"/>
        <v>-0.01</v>
      </c>
      <c r="Z53" s="1183"/>
      <c r="AA53" s="1184"/>
      <c r="AB53" s="1184"/>
      <c r="AC53" s="1184"/>
      <c r="AD53" s="1184"/>
      <c r="AE53" s="1186">
        <f t="shared" si="21"/>
        <v>0</v>
      </c>
      <c r="AF53" s="1560">
        <f t="shared" si="16"/>
        <v>0</v>
      </c>
      <c r="AG53" s="1560">
        <f t="shared" si="17"/>
        <v>0</v>
      </c>
      <c r="AH53" s="1187">
        <v>296.89999999999998</v>
      </c>
      <c r="AI53" s="1188">
        <v>42381.599999999999</v>
      </c>
      <c r="AJ53" s="1188">
        <v>0</v>
      </c>
      <c r="AK53" s="1188">
        <v>0</v>
      </c>
      <c r="AL53" s="1188">
        <v>0</v>
      </c>
      <c r="AM53" s="1189">
        <f t="shared" si="22"/>
        <v>42678.5</v>
      </c>
      <c r="AN53" s="1189">
        <f t="shared" si="18"/>
        <v>0</v>
      </c>
      <c r="AO53" s="1189">
        <f t="shared" si="19"/>
        <v>0</v>
      </c>
    </row>
    <row r="54" spans="1:41" s="237" customFormat="1">
      <c r="A54" s="1179" t="s">
        <v>126</v>
      </c>
      <c r="B54" s="1180" t="s">
        <v>127</v>
      </c>
      <c r="C54" s="103" t="s">
        <v>266</v>
      </c>
      <c r="D54" s="1181">
        <f t="shared" si="5"/>
        <v>54510.2</v>
      </c>
      <c r="E54" s="1181">
        <f t="shared" si="6"/>
        <v>58960.2</v>
      </c>
      <c r="F54" s="1181">
        <f t="shared" si="7"/>
        <v>0</v>
      </c>
      <c r="G54" s="1182">
        <f t="shared" si="8"/>
        <v>0</v>
      </c>
      <c r="H54" s="1182">
        <f t="shared" si="9"/>
        <v>0</v>
      </c>
      <c r="I54" s="1561">
        <f t="shared" si="10"/>
        <v>113470.39999999999</v>
      </c>
      <c r="J54" s="1183">
        <v>7605.7</v>
      </c>
      <c r="K54" s="1184">
        <v>7605.7</v>
      </c>
      <c r="L54" s="1184">
        <v>0</v>
      </c>
      <c r="M54" s="1184">
        <v>0</v>
      </c>
      <c r="N54" s="1184">
        <v>0</v>
      </c>
      <c r="O54" s="1185">
        <f t="shared" si="11"/>
        <v>15211.4</v>
      </c>
      <c r="P54" s="1560">
        <f t="shared" si="12"/>
        <v>0</v>
      </c>
      <c r="Q54" s="1560">
        <f t="shared" si="13"/>
        <v>0</v>
      </c>
      <c r="R54" s="1183">
        <v>46904.5</v>
      </c>
      <c r="S54" s="1184">
        <v>46904.5</v>
      </c>
      <c r="T54" s="1184">
        <v>0</v>
      </c>
      <c r="U54" s="1184">
        <v>0</v>
      </c>
      <c r="V54" s="1184">
        <v>0</v>
      </c>
      <c r="W54" s="1186">
        <f t="shared" si="20"/>
        <v>93809</v>
      </c>
      <c r="X54" s="1560">
        <f t="shared" si="14"/>
        <v>0</v>
      </c>
      <c r="Y54" s="1560">
        <f t="shared" si="15"/>
        <v>0</v>
      </c>
      <c r="Z54" s="1187"/>
      <c r="AA54" s="1188"/>
      <c r="AB54" s="1188"/>
      <c r="AC54" s="1188"/>
      <c r="AD54" s="1188"/>
      <c r="AE54" s="1186">
        <f t="shared" si="21"/>
        <v>0</v>
      </c>
      <c r="AF54" s="1560">
        <f t="shared" si="16"/>
        <v>0</v>
      </c>
      <c r="AG54" s="1560">
        <f t="shared" si="17"/>
        <v>0</v>
      </c>
      <c r="AH54" s="1187">
        <v>0</v>
      </c>
      <c r="AI54" s="1188">
        <v>4450</v>
      </c>
      <c r="AJ54" s="1188">
        <v>0</v>
      </c>
      <c r="AK54" s="1188">
        <v>0</v>
      </c>
      <c r="AL54" s="1188">
        <v>0</v>
      </c>
      <c r="AM54" s="1189">
        <f t="shared" si="22"/>
        <v>4450</v>
      </c>
      <c r="AN54" s="1189">
        <f t="shared" si="18"/>
        <v>0</v>
      </c>
      <c r="AO54" s="1189">
        <f t="shared" si="19"/>
        <v>0</v>
      </c>
    </row>
    <row r="55" spans="1:41" s="237" customFormat="1">
      <c r="A55" s="1179" t="s">
        <v>128</v>
      </c>
      <c r="B55" s="1180" t="s">
        <v>129</v>
      </c>
      <c r="C55" s="103" t="s">
        <v>266</v>
      </c>
      <c r="D55" s="1181">
        <f t="shared" si="5"/>
        <v>21078.129999999997</v>
      </c>
      <c r="E55" s="1181">
        <f t="shared" si="6"/>
        <v>81235.33</v>
      </c>
      <c r="F55" s="1181">
        <f t="shared" si="7"/>
        <v>0</v>
      </c>
      <c r="G55" s="1182">
        <f t="shared" si="8"/>
        <v>3431.9799999999996</v>
      </c>
      <c r="H55" s="1182">
        <f t="shared" si="9"/>
        <v>3431.9799999999996</v>
      </c>
      <c r="I55" s="1561">
        <f t="shared" si="10"/>
        <v>105745.43999999999</v>
      </c>
      <c r="J55" s="1183">
        <v>5099.22</v>
      </c>
      <c r="K55" s="1184">
        <v>5099.22</v>
      </c>
      <c r="L55" s="1184">
        <v>0</v>
      </c>
      <c r="M55" s="1184">
        <v>3431.99</v>
      </c>
      <c r="N55" s="1184">
        <v>0</v>
      </c>
      <c r="O55" s="1185">
        <f t="shared" si="11"/>
        <v>13630.43</v>
      </c>
      <c r="P55" s="1560">
        <f t="shared" si="12"/>
        <v>3431.99</v>
      </c>
      <c r="Q55" s="1560">
        <f t="shared" si="13"/>
        <v>3431.99</v>
      </c>
      <c r="R55" s="1183">
        <v>8562.51</v>
      </c>
      <c r="S55" s="1184">
        <v>8562.51</v>
      </c>
      <c r="T55" s="1184">
        <v>0</v>
      </c>
      <c r="U55" s="1184">
        <v>-0.01</v>
      </c>
      <c r="V55" s="1184">
        <v>0</v>
      </c>
      <c r="W55" s="1186">
        <f t="shared" si="20"/>
        <v>17125.010000000002</v>
      </c>
      <c r="X55" s="1560">
        <f t="shared" si="14"/>
        <v>-0.01</v>
      </c>
      <c r="Y55" s="1560">
        <f t="shared" si="15"/>
        <v>-0.01</v>
      </c>
      <c r="Z55" s="1183"/>
      <c r="AA55" s="1184"/>
      <c r="AB55" s="1184"/>
      <c r="AC55" s="1184"/>
      <c r="AD55" s="1184"/>
      <c r="AE55" s="1186">
        <f t="shared" si="21"/>
        <v>0</v>
      </c>
      <c r="AF55" s="1560">
        <f t="shared" si="16"/>
        <v>0</v>
      </c>
      <c r="AG55" s="1560">
        <f t="shared" si="17"/>
        <v>0</v>
      </c>
      <c r="AH55" s="1187">
        <v>7416.4</v>
      </c>
      <c r="AI55" s="1188">
        <v>67573.600000000006</v>
      </c>
      <c r="AJ55" s="1188">
        <v>0</v>
      </c>
      <c r="AK55" s="1188">
        <v>0</v>
      </c>
      <c r="AL55" s="1188">
        <v>0</v>
      </c>
      <c r="AM55" s="1189">
        <f t="shared" si="22"/>
        <v>74990</v>
      </c>
      <c r="AN55" s="1189">
        <f t="shared" si="18"/>
        <v>0</v>
      </c>
      <c r="AO55" s="1189">
        <f t="shared" si="19"/>
        <v>0</v>
      </c>
    </row>
    <row r="56" spans="1:41" s="237" customFormat="1">
      <c r="A56" s="1179" t="s">
        <v>130</v>
      </c>
      <c r="B56" s="1180" t="s">
        <v>131</v>
      </c>
      <c r="C56" s="103" t="s">
        <v>268</v>
      </c>
      <c r="D56" s="1181">
        <f t="shared" si="5"/>
        <v>687405.5</v>
      </c>
      <c r="E56" s="1181">
        <f t="shared" si="6"/>
        <v>983770.03</v>
      </c>
      <c r="F56" s="1181">
        <f t="shared" si="7"/>
        <v>0</v>
      </c>
      <c r="G56" s="1182">
        <f t="shared" si="8"/>
        <v>-0.2</v>
      </c>
      <c r="H56" s="1182">
        <f t="shared" si="9"/>
        <v>-0.2</v>
      </c>
      <c r="I56" s="1561">
        <f t="shared" si="10"/>
        <v>1671175.33</v>
      </c>
      <c r="J56" s="1183">
        <v>153448.21</v>
      </c>
      <c r="K56" s="1184">
        <v>153448.21</v>
      </c>
      <c r="L56" s="1184">
        <v>0</v>
      </c>
      <c r="M56" s="1184">
        <v>-0.17</v>
      </c>
      <c r="N56" s="1184">
        <v>0</v>
      </c>
      <c r="O56" s="1185">
        <f t="shared" si="11"/>
        <v>306896.25</v>
      </c>
      <c r="P56" s="1560">
        <f t="shared" si="12"/>
        <v>-0.17</v>
      </c>
      <c r="Q56" s="1560">
        <f t="shared" si="13"/>
        <v>-0.17</v>
      </c>
      <c r="R56" s="1183">
        <v>507096.75</v>
      </c>
      <c r="S56" s="1184">
        <v>507096.75</v>
      </c>
      <c r="T56" s="1184">
        <v>0</v>
      </c>
      <c r="U56" s="1184">
        <v>-0.03</v>
      </c>
      <c r="V56" s="1184">
        <v>0</v>
      </c>
      <c r="W56" s="1186">
        <f t="shared" si="20"/>
        <v>1014193.47</v>
      </c>
      <c r="X56" s="1560">
        <f t="shared" si="14"/>
        <v>-0.03</v>
      </c>
      <c r="Y56" s="1560">
        <f t="shared" si="15"/>
        <v>-0.03</v>
      </c>
      <c r="Z56" s="1183"/>
      <c r="AA56" s="1184"/>
      <c r="AB56" s="1184"/>
      <c r="AC56" s="1184"/>
      <c r="AD56" s="1184"/>
      <c r="AE56" s="1186">
        <f t="shared" si="21"/>
        <v>0</v>
      </c>
      <c r="AF56" s="1560">
        <f t="shared" si="16"/>
        <v>0</v>
      </c>
      <c r="AG56" s="1560">
        <f t="shared" si="17"/>
        <v>0</v>
      </c>
      <c r="AH56" s="1187">
        <v>26860.54</v>
      </c>
      <c r="AI56" s="1188">
        <v>323225.07</v>
      </c>
      <c r="AJ56" s="1188">
        <v>0</v>
      </c>
      <c r="AK56" s="1188">
        <v>0</v>
      </c>
      <c r="AL56" s="1188">
        <v>0</v>
      </c>
      <c r="AM56" s="1189">
        <f t="shared" si="22"/>
        <v>350085.61</v>
      </c>
      <c r="AN56" s="1189">
        <f t="shared" si="18"/>
        <v>0</v>
      </c>
      <c r="AO56" s="1189">
        <f t="shared" si="19"/>
        <v>0</v>
      </c>
    </row>
    <row r="57" spans="1:41" s="237" customFormat="1">
      <c r="A57" s="1179" t="s">
        <v>132</v>
      </c>
      <c r="B57" s="1180" t="s">
        <v>133</v>
      </c>
      <c r="C57" s="103" t="s">
        <v>267</v>
      </c>
      <c r="D57" s="1181">
        <f t="shared" si="5"/>
        <v>380756.95</v>
      </c>
      <c r="E57" s="1181">
        <f t="shared" si="6"/>
        <v>645747.36</v>
      </c>
      <c r="F57" s="1181">
        <f t="shared" si="7"/>
        <v>0</v>
      </c>
      <c r="G57" s="1182">
        <f t="shared" si="8"/>
        <v>-0.1</v>
      </c>
      <c r="H57" s="1182">
        <f t="shared" si="9"/>
        <v>-0.1</v>
      </c>
      <c r="I57" s="1561">
        <f t="shared" si="10"/>
        <v>1026504.2100000001</v>
      </c>
      <c r="J57" s="1183">
        <v>137356.41</v>
      </c>
      <c r="K57" s="1184">
        <v>137356.41</v>
      </c>
      <c r="L57" s="1184">
        <v>0</v>
      </c>
      <c r="M57" s="1184">
        <v>-7.0000000000000007E-2</v>
      </c>
      <c r="N57" s="1184">
        <v>0</v>
      </c>
      <c r="O57" s="1185">
        <f t="shared" si="11"/>
        <v>274712.75</v>
      </c>
      <c r="P57" s="1560">
        <f t="shared" si="12"/>
        <v>-7.0000000000000007E-2</v>
      </c>
      <c r="Q57" s="1560">
        <f t="shared" si="13"/>
        <v>-7.0000000000000007E-2</v>
      </c>
      <c r="R57" s="1183">
        <v>228561.9</v>
      </c>
      <c r="S57" s="1184">
        <v>228561.9</v>
      </c>
      <c r="T57" s="1184">
        <v>0</v>
      </c>
      <c r="U57" s="1184">
        <v>-0.03</v>
      </c>
      <c r="V57" s="1184">
        <v>0</v>
      </c>
      <c r="W57" s="1186">
        <f t="shared" si="20"/>
        <v>457123.76999999996</v>
      </c>
      <c r="X57" s="1560">
        <f t="shared" si="14"/>
        <v>-0.03</v>
      </c>
      <c r="Y57" s="1560">
        <f t="shared" si="15"/>
        <v>-0.03</v>
      </c>
      <c r="Z57" s="1183"/>
      <c r="AA57" s="1184"/>
      <c r="AB57" s="1184"/>
      <c r="AC57" s="1184"/>
      <c r="AD57" s="1184"/>
      <c r="AE57" s="1186">
        <f t="shared" si="21"/>
        <v>0</v>
      </c>
      <c r="AF57" s="1560">
        <f t="shared" si="16"/>
        <v>0</v>
      </c>
      <c r="AG57" s="1560">
        <f t="shared" si="17"/>
        <v>0</v>
      </c>
      <c r="AH57" s="1187">
        <v>14838.64</v>
      </c>
      <c r="AI57" s="1188">
        <v>279829.05</v>
      </c>
      <c r="AJ57" s="1188">
        <v>0</v>
      </c>
      <c r="AK57" s="1188">
        <v>0</v>
      </c>
      <c r="AL57" s="1188">
        <v>0</v>
      </c>
      <c r="AM57" s="1189">
        <f t="shared" si="22"/>
        <v>294667.69</v>
      </c>
      <c r="AN57" s="1189">
        <f t="shared" si="18"/>
        <v>0</v>
      </c>
      <c r="AO57" s="1189">
        <f t="shared" si="19"/>
        <v>0</v>
      </c>
    </row>
    <row r="58" spans="1:41" s="237" customFormat="1">
      <c r="A58" s="1179" t="s">
        <v>134</v>
      </c>
      <c r="B58" s="1180" t="s">
        <v>135</v>
      </c>
      <c r="C58" s="103" t="s">
        <v>267</v>
      </c>
      <c r="D58" s="1181">
        <f t="shared" si="5"/>
        <v>310981.43000000005</v>
      </c>
      <c r="E58" s="1181">
        <f t="shared" si="6"/>
        <v>1067519.33</v>
      </c>
      <c r="F58" s="1181">
        <f t="shared" si="7"/>
        <v>0</v>
      </c>
      <c r="G58" s="1182">
        <f t="shared" si="8"/>
        <v>-0.14000000000000001</v>
      </c>
      <c r="H58" s="1182">
        <f t="shared" si="9"/>
        <v>-0.14000000000000001</v>
      </c>
      <c r="I58" s="1561">
        <f t="shared" si="10"/>
        <v>1378500.6200000003</v>
      </c>
      <c r="J58" s="1183">
        <v>67534.41</v>
      </c>
      <c r="K58" s="1184">
        <v>67534.41</v>
      </c>
      <c r="L58" s="1184">
        <v>0</v>
      </c>
      <c r="M58" s="1184">
        <v>-0.1</v>
      </c>
      <c r="N58" s="1184">
        <v>0</v>
      </c>
      <c r="O58" s="1185">
        <f t="shared" si="11"/>
        <v>135068.72</v>
      </c>
      <c r="P58" s="1560">
        <f t="shared" si="12"/>
        <v>-0.1</v>
      </c>
      <c r="Q58" s="1560">
        <f t="shared" si="13"/>
        <v>-0.1</v>
      </c>
      <c r="R58" s="1183">
        <v>225932.62</v>
      </c>
      <c r="S58" s="1184">
        <v>225932.62</v>
      </c>
      <c r="T58" s="1184">
        <v>0</v>
      </c>
      <c r="U58" s="1184">
        <v>-0.04</v>
      </c>
      <c r="V58" s="1184">
        <v>0</v>
      </c>
      <c r="W58" s="1186">
        <f t="shared" si="20"/>
        <v>451865.2</v>
      </c>
      <c r="X58" s="1560">
        <f t="shared" si="14"/>
        <v>-0.04</v>
      </c>
      <c r="Y58" s="1560">
        <f t="shared" si="15"/>
        <v>-0.04</v>
      </c>
      <c r="Z58" s="1183"/>
      <c r="AA58" s="1184"/>
      <c r="AB58" s="1184"/>
      <c r="AC58" s="1184"/>
      <c r="AD58" s="1184"/>
      <c r="AE58" s="1186">
        <f t="shared" si="21"/>
        <v>0</v>
      </c>
      <c r="AF58" s="1560">
        <f t="shared" si="16"/>
        <v>0</v>
      </c>
      <c r="AG58" s="1560">
        <f t="shared" si="17"/>
        <v>0</v>
      </c>
      <c r="AH58" s="1187">
        <v>17514.400000000001</v>
      </c>
      <c r="AI58" s="1188">
        <v>774052.3</v>
      </c>
      <c r="AJ58" s="1188">
        <v>0</v>
      </c>
      <c r="AK58" s="1188">
        <v>0</v>
      </c>
      <c r="AL58" s="1188">
        <v>0</v>
      </c>
      <c r="AM58" s="1189">
        <f t="shared" si="22"/>
        <v>791566.70000000007</v>
      </c>
      <c r="AN58" s="1189">
        <f t="shared" si="18"/>
        <v>0</v>
      </c>
      <c r="AO58" s="1189">
        <f t="shared" si="19"/>
        <v>0</v>
      </c>
    </row>
    <row r="59" spans="1:41" s="237" customFormat="1">
      <c r="A59" s="1179" t="s">
        <v>136</v>
      </c>
      <c r="B59" s="1180" t="s">
        <v>137</v>
      </c>
      <c r="C59" s="103" t="s">
        <v>266</v>
      </c>
      <c r="D59" s="1181">
        <f t="shared" si="5"/>
        <v>86316.77</v>
      </c>
      <c r="E59" s="1181">
        <f t="shared" si="6"/>
        <v>104395.07</v>
      </c>
      <c r="F59" s="1181">
        <f t="shared" si="7"/>
        <v>0</v>
      </c>
      <c r="G59" s="1182">
        <f t="shared" si="8"/>
        <v>-0.08</v>
      </c>
      <c r="H59" s="1182">
        <f t="shared" si="9"/>
        <v>-0.08</v>
      </c>
      <c r="I59" s="1561">
        <f t="shared" si="10"/>
        <v>190711.76000000004</v>
      </c>
      <c r="J59" s="1183">
        <v>39416.19</v>
      </c>
      <c r="K59" s="1184">
        <v>39416.19</v>
      </c>
      <c r="L59" s="1184">
        <v>0</v>
      </c>
      <c r="M59" s="1184">
        <v>-7.0000000000000007E-2</v>
      </c>
      <c r="N59" s="1184">
        <v>0</v>
      </c>
      <c r="O59" s="1185">
        <f t="shared" si="11"/>
        <v>78832.31</v>
      </c>
      <c r="P59" s="1560">
        <f t="shared" si="12"/>
        <v>-7.0000000000000007E-2</v>
      </c>
      <c r="Q59" s="1560">
        <f t="shared" si="13"/>
        <v>-7.0000000000000007E-2</v>
      </c>
      <c r="R59" s="1183">
        <v>46343.08</v>
      </c>
      <c r="S59" s="1184">
        <v>46343.08</v>
      </c>
      <c r="T59" s="1184">
        <v>0</v>
      </c>
      <c r="U59" s="1184">
        <v>-0.01</v>
      </c>
      <c r="V59" s="1184">
        <v>0</v>
      </c>
      <c r="W59" s="1186">
        <f t="shared" si="20"/>
        <v>92686.150000000009</v>
      </c>
      <c r="X59" s="1560">
        <f t="shared" si="14"/>
        <v>-0.01</v>
      </c>
      <c r="Y59" s="1560">
        <f t="shared" si="15"/>
        <v>-0.01</v>
      </c>
      <c r="Z59" s="1183"/>
      <c r="AA59" s="1184"/>
      <c r="AB59" s="1184"/>
      <c r="AC59" s="1184"/>
      <c r="AD59" s="1184"/>
      <c r="AE59" s="1186">
        <f t="shared" si="21"/>
        <v>0</v>
      </c>
      <c r="AF59" s="1560">
        <f t="shared" si="16"/>
        <v>0</v>
      </c>
      <c r="AG59" s="1560">
        <f t="shared" si="17"/>
        <v>0</v>
      </c>
      <c r="AH59" s="1187">
        <v>557.5</v>
      </c>
      <c r="AI59" s="1188">
        <v>18635.8</v>
      </c>
      <c r="AJ59" s="1188">
        <v>0</v>
      </c>
      <c r="AK59" s="1188">
        <v>0</v>
      </c>
      <c r="AL59" s="1188">
        <v>0</v>
      </c>
      <c r="AM59" s="1189">
        <f t="shared" si="22"/>
        <v>19193.3</v>
      </c>
      <c r="AN59" s="1189">
        <f t="shared" si="18"/>
        <v>0</v>
      </c>
      <c r="AO59" s="1189">
        <f t="shared" si="19"/>
        <v>0</v>
      </c>
    </row>
    <row r="60" spans="1:41" s="237" customFormat="1">
      <c r="A60" s="1179" t="s">
        <v>140</v>
      </c>
      <c r="B60" s="1180" t="s">
        <v>141</v>
      </c>
      <c r="C60" s="103" t="s">
        <v>267</v>
      </c>
      <c r="D60" s="1181">
        <f t="shared" si="5"/>
        <v>129197.89</v>
      </c>
      <c r="E60" s="1181">
        <f t="shared" si="6"/>
        <v>338854.52</v>
      </c>
      <c r="F60" s="1181">
        <f t="shared" si="7"/>
        <v>0</v>
      </c>
      <c r="G60" s="1182">
        <f t="shared" si="8"/>
        <v>-0.14000000000000001</v>
      </c>
      <c r="H60" s="1182">
        <f t="shared" si="9"/>
        <v>-0.14000000000000001</v>
      </c>
      <c r="I60" s="1561">
        <f t="shared" si="10"/>
        <v>468052.27</v>
      </c>
      <c r="J60" s="1183">
        <v>86629.64</v>
      </c>
      <c r="K60" s="1184">
        <v>86629.64</v>
      </c>
      <c r="L60" s="1184">
        <v>0</v>
      </c>
      <c r="M60" s="1184">
        <v>-0.14000000000000001</v>
      </c>
      <c r="N60" s="1184">
        <v>0</v>
      </c>
      <c r="O60" s="1185">
        <f t="shared" si="11"/>
        <v>173259.13999999998</v>
      </c>
      <c r="P60" s="1560">
        <f t="shared" si="12"/>
        <v>-0.14000000000000001</v>
      </c>
      <c r="Q60" s="1560">
        <f t="shared" si="13"/>
        <v>-0.14000000000000001</v>
      </c>
      <c r="R60" s="1183">
        <v>39809</v>
      </c>
      <c r="S60" s="1184">
        <v>39809</v>
      </c>
      <c r="T60" s="1184">
        <v>0</v>
      </c>
      <c r="U60" s="1184">
        <v>0</v>
      </c>
      <c r="V60" s="1184">
        <v>0</v>
      </c>
      <c r="W60" s="1186">
        <f t="shared" si="20"/>
        <v>79618</v>
      </c>
      <c r="X60" s="1560">
        <f t="shared" si="14"/>
        <v>0</v>
      </c>
      <c r="Y60" s="1560">
        <f t="shared" si="15"/>
        <v>0</v>
      </c>
      <c r="Z60" s="1183"/>
      <c r="AA60" s="1184"/>
      <c r="AB60" s="1184"/>
      <c r="AC60" s="1184"/>
      <c r="AD60" s="1184"/>
      <c r="AE60" s="1186">
        <f t="shared" si="21"/>
        <v>0</v>
      </c>
      <c r="AF60" s="1560">
        <f t="shared" si="16"/>
        <v>0</v>
      </c>
      <c r="AG60" s="1560">
        <f t="shared" si="17"/>
        <v>0</v>
      </c>
      <c r="AH60" s="1187">
        <v>2759.25</v>
      </c>
      <c r="AI60" s="1188">
        <v>212415.88</v>
      </c>
      <c r="AJ60" s="1188">
        <v>0</v>
      </c>
      <c r="AK60" s="1188">
        <v>0</v>
      </c>
      <c r="AL60" s="1188">
        <v>0</v>
      </c>
      <c r="AM60" s="1189">
        <f t="shared" si="22"/>
        <v>215175.13</v>
      </c>
      <c r="AN60" s="1189">
        <f t="shared" si="18"/>
        <v>0</v>
      </c>
      <c r="AO60" s="1189">
        <f t="shared" si="19"/>
        <v>0</v>
      </c>
    </row>
    <row r="61" spans="1:41" s="237" customFormat="1">
      <c r="A61" s="1179" t="s">
        <v>146</v>
      </c>
      <c r="B61" s="1180" t="s">
        <v>147</v>
      </c>
      <c r="C61" s="103" t="s">
        <v>264</v>
      </c>
      <c r="D61" s="1181">
        <f t="shared" si="5"/>
        <v>94450.01</v>
      </c>
      <c r="E61" s="1181">
        <f t="shared" si="6"/>
        <v>125412.40999999999</v>
      </c>
      <c r="F61" s="1181">
        <f t="shared" si="7"/>
        <v>0</v>
      </c>
      <c r="G61" s="1182">
        <f t="shared" si="8"/>
        <v>2784.6</v>
      </c>
      <c r="H61" s="1182">
        <f t="shared" si="9"/>
        <v>2784.6</v>
      </c>
      <c r="I61" s="1561">
        <f t="shared" si="10"/>
        <v>222647.02</v>
      </c>
      <c r="J61" s="1183">
        <v>23357.65</v>
      </c>
      <c r="K61" s="1184">
        <v>23357.65</v>
      </c>
      <c r="L61" s="1184">
        <v>0</v>
      </c>
      <c r="M61" s="1184">
        <v>2784.61</v>
      </c>
      <c r="N61" s="1184">
        <v>0</v>
      </c>
      <c r="O61" s="1185">
        <f t="shared" si="11"/>
        <v>49499.91</v>
      </c>
      <c r="P61" s="1560">
        <f t="shared" si="12"/>
        <v>2784.61</v>
      </c>
      <c r="Q61" s="1560">
        <f t="shared" si="13"/>
        <v>2784.61</v>
      </c>
      <c r="R61" s="1183">
        <v>66455.56</v>
      </c>
      <c r="S61" s="1184">
        <v>66455.56</v>
      </c>
      <c r="T61" s="1184">
        <v>0</v>
      </c>
      <c r="U61" s="1184">
        <v>-0.01</v>
      </c>
      <c r="V61" s="1184">
        <v>0</v>
      </c>
      <c r="W61" s="1186">
        <f t="shared" si="20"/>
        <v>132911.10999999999</v>
      </c>
      <c r="X61" s="1560">
        <f t="shared" si="14"/>
        <v>-0.01</v>
      </c>
      <c r="Y61" s="1560">
        <f t="shared" si="15"/>
        <v>-0.01</v>
      </c>
      <c r="Z61" s="1183"/>
      <c r="AA61" s="1184"/>
      <c r="AB61" s="1184"/>
      <c r="AC61" s="1184"/>
      <c r="AD61" s="1184"/>
      <c r="AE61" s="1186">
        <f t="shared" si="21"/>
        <v>0</v>
      </c>
      <c r="AF61" s="1560">
        <f t="shared" si="16"/>
        <v>0</v>
      </c>
      <c r="AG61" s="1560">
        <f t="shared" si="17"/>
        <v>0</v>
      </c>
      <c r="AH61" s="1187">
        <v>4636.8</v>
      </c>
      <c r="AI61" s="1188">
        <v>35599.199999999997</v>
      </c>
      <c r="AJ61" s="1188">
        <v>0</v>
      </c>
      <c r="AK61" s="1188">
        <v>0</v>
      </c>
      <c r="AL61" s="1188">
        <v>0</v>
      </c>
      <c r="AM61" s="1189">
        <f t="shared" si="22"/>
        <v>40236</v>
      </c>
      <c r="AN61" s="1189">
        <f t="shared" si="18"/>
        <v>0</v>
      </c>
      <c r="AO61" s="1189">
        <f t="shared" si="19"/>
        <v>0</v>
      </c>
    </row>
    <row r="62" spans="1:41" s="237" customFormat="1">
      <c r="A62" s="1179" t="s">
        <v>148</v>
      </c>
      <c r="B62" s="1180" t="s">
        <v>149</v>
      </c>
      <c r="C62" s="103" t="s">
        <v>265</v>
      </c>
      <c r="D62" s="1181">
        <f t="shared" si="5"/>
        <v>148343.34</v>
      </c>
      <c r="E62" s="1181">
        <f t="shared" si="6"/>
        <v>161138.34</v>
      </c>
      <c r="F62" s="1181">
        <f t="shared" si="7"/>
        <v>0</v>
      </c>
      <c r="G62" s="1182">
        <f t="shared" si="8"/>
        <v>-0.05</v>
      </c>
      <c r="H62" s="1182">
        <f t="shared" si="9"/>
        <v>-0.05</v>
      </c>
      <c r="I62" s="1561">
        <f t="shared" si="10"/>
        <v>309481.63</v>
      </c>
      <c r="J62" s="1183">
        <v>70094.91</v>
      </c>
      <c r="K62" s="1184">
        <v>70094.91</v>
      </c>
      <c r="L62" s="1184">
        <v>0</v>
      </c>
      <c r="M62" s="1184">
        <v>-0.05</v>
      </c>
      <c r="N62" s="1184">
        <v>0</v>
      </c>
      <c r="O62" s="1185">
        <f t="shared" si="11"/>
        <v>140189.77000000002</v>
      </c>
      <c r="P62" s="1560">
        <f t="shared" si="12"/>
        <v>-0.05</v>
      </c>
      <c r="Q62" s="1560">
        <f t="shared" si="13"/>
        <v>-0.05</v>
      </c>
      <c r="R62" s="1183">
        <v>78183.429999999993</v>
      </c>
      <c r="S62" s="1184">
        <v>78183.429999999993</v>
      </c>
      <c r="T62" s="1184">
        <v>0</v>
      </c>
      <c r="U62" s="1184">
        <v>0</v>
      </c>
      <c r="V62" s="1184">
        <v>0</v>
      </c>
      <c r="W62" s="1186">
        <f t="shared" si="20"/>
        <v>156366.85999999999</v>
      </c>
      <c r="X62" s="1560">
        <f t="shared" si="14"/>
        <v>0</v>
      </c>
      <c r="Y62" s="1560">
        <f t="shared" si="15"/>
        <v>0</v>
      </c>
      <c r="Z62" s="1183"/>
      <c r="AA62" s="1184"/>
      <c r="AB62" s="1184"/>
      <c r="AC62" s="1184"/>
      <c r="AD62" s="1184"/>
      <c r="AE62" s="1186">
        <f t="shared" si="21"/>
        <v>0</v>
      </c>
      <c r="AF62" s="1560">
        <f t="shared" si="16"/>
        <v>0</v>
      </c>
      <c r="AG62" s="1560">
        <f t="shared" si="17"/>
        <v>0</v>
      </c>
      <c r="AH62" s="1187">
        <v>65</v>
      </c>
      <c r="AI62" s="1188">
        <v>12860</v>
      </c>
      <c r="AJ62" s="1188">
        <v>0</v>
      </c>
      <c r="AK62" s="1188">
        <v>0</v>
      </c>
      <c r="AL62" s="1188">
        <v>0</v>
      </c>
      <c r="AM62" s="1189">
        <f t="shared" si="22"/>
        <v>12925</v>
      </c>
      <c r="AN62" s="1189">
        <f t="shared" si="18"/>
        <v>0</v>
      </c>
      <c r="AO62" s="1189">
        <f t="shared" si="19"/>
        <v>0</v>
      </c>
    </row>
    <row r="63" spans="1:41" s="237" customFormat="1">
      <c r="A63" s="1179" t="s">
        <v>150</v>
      </c>
      <c r="B63" s="1180" t="s">
        <v>151</v>
      </c>
      <c r="C63" s="103" t="s">
        <v>266</v>
      </c>
      <c r="D63" s="1181">
        <f t="shared" si="5"/>
        <v>105354.46</v>
      </c>
      <c r="E63" s="1181">
        <f t="shared" si="6"/>
        <v>176438.09</v>
      </c>
      <c r="F63" s="1181">
        <f t="shared" si="7"/>
        <v>0</v>
      </c>
      <c r="G63" s="1182">
        <f t="shared" si="8"/>
        <v>-0.02</v>
      </c>
      <c r="H63" s="1182">
        <f t="shared" si="9"/>
        <v>-0.02</v>
      </c>
      <c r="I63" s="1561">
        <f t="shared" si="10"/>
        <v>281792.52999999997</v>
      </c>
      <c r="J63" s="1183">
        <v>5961.5</v>
      </c>
      <c r="K63" s="1184">
        <v>5961.5</v>
      </c>
      <c r="L63" s="1184">
        <v>0</v>
      </c>
      <c r="M63" s="1184">
        <v>-0.01</v>
      </c>
      <c r="N63" s="1184">
        <v>0</v>
      </c>
      <c r="O63" s="1185">
        <f t="shared" si="11"/>
        <v>11922.99</v>
      </c>
      <c r="P63" s="1560">
        <f t="shared" si="12"/>
        <v>-0.01</v>
      </c>
      <c r="Q63" s="1560">
        <f t="shared" si="13"/>
        <v>-0.01</v>
      </c>
      <c r="R63" s="1183">
        <v>88715.36</v>
      </c>
      <c r="S63" s="1184">
        <v>88715.36</v>
      </c>
      <c r="T63" s="1184">
        <v>0</v>
      </c>
      <c r="U63" s="1184">
        <v>-0.01</v>
      </c>
      <c r="V63" s="1184">
        <v>0</v>
      </c>
      <c r="W63" s="1186">
        <f t="shared" si="20"/>
        <v>177430.71</v>
      </c>
      <c r="X63" s="1560">
        <f t="shared" si="14"/>
        <v>-0.01</v>
      </c>
      <c r="Y63" s="1560">
        <f t="shared" si="15"/>
        <v>-0.01</v>
      </c>
      <c r="Z63" s="1183"/>
      <c r="AA63" s="1184"/>
      <c r="AB63" s="1184"/>
      <c r="AC63" s="1184"/>
      <c r="AD63" s="1184"/>
      <c r="AE63" s="1186">
        <f t="shared" si="21"/>
        <v>0</v>
      </c>
      <c r="AF63" s="1560">
        <f t="shared" si="16"/>
        <v>0</v>
      </c>
      <c r="AG63" s="1560">
        <f t="shared" si="17"/>
        <v>0</v>
      </c>
      <c r="AH63" s="1187">
        <v>10677.6</v>
      </c>
      <c r="AI63" s="1188">
        <v>81761.23</v>
      </c>
      <c r="AJ63" s="1188">
        <v>0</v>
      </c>
      <c r="AK63" s="1188">
        <v>0</v>
      </c>
      <c r="AL63" s="1188">
        <v>0</v>
      </c>
      <c r="AM63" s="1189">
        <f t="shared" si="22"/>
        <v>92438.83</v>
      </c>
      <c r="AN63" s="1189">
        <f t="shared" si="18"/>
        <v>0</v>
      </c>
      <c r="AO63" s="1189">
        <f t="shared" si="19"/>
        <v>0</v>
      </c>
    </row>
    <row r="64" spans="1:41" s="237" customFormat="1">
      <c r="A64" s="1179" t="s">
        <v>152</v>
      </c>
      <c r="B64" s="1180" t="s">
        <v>153</v>
      </c>
      <c r="C64" s="103" t="s">
        <v>268</v>
      </c>
      <c r="D64" s="1181">
        <f t="shared" si="5"/>
        <v>441422.92000000004</v>
      </c>
      <c r="E64" s="1181">
        <f t="shared" si="6"/>
        <v>618003.06000000006</v>
      </c>
      <c r="F64" s="1181">
        <f t="shared" si="7"/>
        <v>0</v>
      </c>
      <c r="G64" s="1182">
        <f t="shared" si="8"/>
        <v>-0.15</v>
      </c>
      <c r="H64" s="1182">
        <f t="shared" si="9"/>
        <v>-0.15</v>
      </c>
      <c r="I64" s="1561">
        <f t="shared" si="10"/>
        <v>1059425.83</v>
      </c>
      <c r="J64" s="1183">
        <v>78155.59</v>
      </c>
      <c r="K64" s="1184">
        <v>78155.59</v>
      </c>
      <c r="L64" s="1184">
        <v>0</v>
      </c>
      <c r="M64" s="1184">
        <v>-0.11</v>
      </c>
      <c r="N64" s="1184">
        <v>0</v>
      </c>
      <c r="O64" s="1185">
        <f t="shared" si="11"/>
        <v>156311.07</v>
      </c>
      <c r="P64" s="1560">
        <f t="shared" si="12"/>
        <v>-0.11</v>
      </c>
      <c r="Q64" s="1560">
        <f t="shared" si="13"/>
        <v>-0.11</v>
      </c>
      <c r="R64" s="1183">
        <v>359435.93</v>
      </c>
      <c r="S64" s="1184">
        <v>359435.93</v>
      </c>
      <c r="T64" s="1184">
        <v>0</v>
      </c>
      <c r="U64" s="1184">
        <v>-0.04</v>
      </c>
      <c r="V64" s="1184">
        <v>0</v>
      </c>
      <c r="W64" s="1186">
        <f t="shared" si="20"/>
        <v>718871.82</v>
      </c>
      <c r="X64" s="1560">
        <f t="shared" si="14"/>
        <v>-0.04</v>
      </c>
      <c r="Y64" s="1560">
        <f t="shared" si="15"/>
        <v>-0.04</v>
      </c>
      <c r="Z64" s="1183"/>
      <c r="AA64" s="1184"/>
      <c r="AB64" s="1184"/>
      <c r="AC64" s="1184"/>
      <c r="AD64" s="1184"/>
      <c r="AE64" s="1186">
        <f t="shared" si="21"/>
        <v>0</v>
      </c>
      <c r="AF64" s="1560">
        <f t="shared" si="16"/>
        <v>0</v>
      </c>
      <c r="AG64" s="1560">
        <f t="shared" si="17"/>
        <v>0</v>
      </c>
      <c r="AH64" s="1187">
        <v>3831.4</v>
      </c>
      <c r="AI64" s="1188">
        <v>180411.54</v>
      </c>
      <c r="AJ64" s="1188">
        <v>0</v>
      </c>
      <c r="AK64" s="1188">
        <v>0</v>
      </c>
      <c r="AL64" s="1188">
        <v>0</v>
      </c>
      <c r="AM64" s="1189">
        <f t="shared" si="22"/>
        <v>184242.94</v>
      </c>
      <c r="AN64" s="1189">
        <f t="shared" si="18"/>
        <v>0</v>
      </c>
      <c r="AO64" s="1189">
        <f t="shared" si="19"/>
        <v>0</v>
      </c>
    </row>
    <row r="65" spans="1:41" s="237" customFormat="1">
      <c r="A65" s="1179" t="s">
        <v>154</v>
      </c>
      <c r="B65" s="1180" t="s">
        <v>155</v>
      </c>
      <c r="C65" s="103" t="s">
        <v>265</v>
      </c>
      <c r="D65" s="1181">
        <f t="shared" si="5"/>
        <v>13046.92</v>
      </c>
      <c r="E65" s="1181">
        <f t="shared" si="6"/>
        <v>16847.669999999998</v>
      </c>
      <c r="F65" s="1181">
        <f t="shared" si="7"/>
        <v>0</v>
      </c>
      <c r="G65" s="1182">
        <f t="shared" si="8"/>
        <v>-0.02</v>
      </c>
      <c r="H65" s="1182">
        <f t="shared" si="9"/>
        <v>-0.02</v>
      </c>
      <c r="I65" s="1561">
        <f t="shared" si="10"/>
        <v>29894.569999999996</v>
      </c>
      <c r="J65" s="1183">
        <v>4599.09</v>
      </c>
      <c r="K65" s="1184">
        <v>4599.09</v>
      </c>
      <c r="L65" s="1184">
        <v>0</v>
      </c>
      <c r="M65" s="1184">
        <v>-0.01</v>
      </c>
      <c r="N65" s="1184">
        <v>0</v>
      </c>
      <c r="O65" s="1185">
        <f t="shared" si="11"/>
        <v>9198.17</v>
      </c>
      <c r="P65" s="1560">
        <f t="shared" si="12"/>
        <v>-0.01</v>
      </c>
      <c r="Q65" s="1560">
        <f t="shared" si="13"/>
        <v>-0.01</v>
      </c>
      <c r="R65" s="1187">
        <v>8447.83</v>
      </c>
      <c r="S65" s="1188">
        <v>8447.83</v>
      </c>
      <c r="T65" s="1188">
        <v>0</v>
      </c>
      <c r="U65" s="1188">
        <v>-0.01</v>
      </c>
      <c r="V65" s="1188">
        <v>0</v>
      </c>
      <c r="W65" s="1186">
        <f t="shared" si="20"/>
        <v>16895.650000000001</v>
      </c>
      <c r="X65" s="1560">
        <f t="shared" si="14"/>
        <v>-0.01</v>
      </c>
      <c r="Y65" s="1560">
        <f t="shared" si="15"/>
        <v>-0.01</v>
      </c>
      <c r="Z65" s="1187"/>
      <c r="AA65" s="1188"/>
      <c r="AB65" s="1188"/>
      <c r="AC65" s="1188"/>
      <c r="AD65" s="1188"/>
      <c r="AE65" s="1186">
        <f t="shared" si="21"/>
        <v>0</v>
      </c>
      <c r="AF65" s="1560">
        <f t="shared" si="16"/>
        <v>0</v>
      </c>
      <c r="AG65" s="1560">
        <f t="shared" si="17"/>
        <v>0</v>
      </c>
      <c r="AH65" s="1187">
        <v>0</v>
      </c>
      <c r="AI65" s="1188">
        <v>3800.75</v>
      </c>
      <c r="AJ65" s="1188">
        <v>0</v>
      </c>
      <c r="AK65" s="1188">
        <v>0</v>
      </c>
      <c r="AL65" s="1188">
        <v>0</v>
      </c>
      <c r="AM65" s="1189">
        <f t="shared" si="22"/>
        <v>3800.75</v>
      </c>
      <c r="AN65" s="1189">
        <f t="shared" si="18"/>
        <v>0</v>
      </c>
      <c r="AO65" s="1189">
        <f t="shared" si="19"/>
        <v>0</v>
      </c>
    </row>
    <row r="66" spans="1:41" s="237" customFormat="1">
      <c r="A66" s="1179" t="s">
        <v>156</v>
      </c>
      <c r="B66" s="1180" t="s">
        <v>157</v>
      </c>
      <c r="C66" s="103" t="s">
        <v>266</v>
      </c>
      <c r="D66" s="1181">
        <f t="shared" si="5"/>
        <v>35304.700000000004</v>
      </c>
      <c r="E66" s="1181">
        <f t="shared" si="6"/>
        <v>50477.100000000006</v>
      </c>
      <c r="F66" s="1181">
        <f t="shared" si="7"/>
        <v>0</v>
      </c>
      <c r="G66" s="1182">
        <f t="shared" si="8"/>
        <v>-0.01</v>
      </c>
      <c r="H66" s="1182">
        <f t="shared" si="9"/>
        <v>-0.01</v>
      </c>
      <c r="I66" s="1561">
        <f t="shared" si="10"/>
        <v>85781.790000000023</v>
      </c>
      <c r="J66" s="1183">
        <v>3397.38</v>
      </c>
      <c r="K66" s="1184">
        <v>3397.38</v>
      </c>
      <c r="L66" s="1184">
        <v>0</v>
      </c>
      <c r="M66" s="1184">
        <v>0</v>
      </c>
      <c r="N66" s="1184">
        <v>0</v>
      </c>
      <c r="O66" s="1185">
        <f t="shared" si="11"/>
        <v>6794.76</v>
      </c>
      <c r="P66" s="1560">
        <f t="shared" si="12"/>
        <v>0</v>
      </c>
      <c r="Q66" s="1560">
        <f t="shared" si="13"/>
        <v>0</v>
      </c>
      <c r="R66" s="1183">
        <v>28898.52</v>
      </c>
      <c r="S66" s="1184">
        <v>28898.52</v>
      </c>
      <c r="T66" s="1184">
        <v>0</v>
      </c>
      <c r="U66" s="1184">
        <v>-0.01</v>
      </c>
      <c r="V66" s="1184">
        <v>0</v>
      </c>
      <c r="W66" s="1186">
        <f t="shared" si="20"/>
        <v>57797.03</v>
      </c>
      <c r="X66" s="1560">
        <f t="shared" si="14"/>
        <v>-0.01</v>
      </c>
      <c r="Y66" s="1560">
        <f t="shared" si="15"/>
        <v>-0.01</v>
      </c>
      <c r="Z66" s="1183"/>
      <c r="AA66" s="1184"/>
      <c r="AB66" s="1184"/>
      <c r="AC66" s="1184"/>
      <c r="AD66" s="1184"/>
      <c r="AE66" s="1186">
        <f t="shared" si="21"/>
        <v>0</v>
      </c>
      <c r="AF66" s="1560">
        <f t="shared" si="16"/>
        <v>0</v>
      </c>
      <c r="AG66" s="1560">
        <f t="shared" si="17"/>
        <v>0</v>
      </c>
      <c r="AH66" s="1187">
        <v>3008.8</v>
      </c>
      <c r="AI66" s="1188">
        <v>18181.2</v>
      </c>
      <c r="AJ66" s="1188">
        <v>0</v>
      </c>
      <c r="AK66" s="1188">
        <v>0</v>
      </c>
      <c r="AL66" s="1188">
        <v>0</v>
      </c>
      <c r="AM66" s="1189">
        <f t="shared" si="22"/>
        <v>21190</v>
      </c>
      <c r="AN66" s="1189">
        <f t="shared" si="18"/>
        <v>0</v>
      </c>
      <c r="AO66" s="1189">
        <f t="shared" si="19"/>
        <v>0</v>
      </c>
    </row>
    <row r="67" spans="1:41" s="237" customFormat="1">
      <c r="A67" s="1179" t="s">
        <v>162</v>
      </c>
      <c r="B67" s="1180" t="s">
        <v>163</v>
      </c>
      <c r="C67" s="103" t="s">
        <v>264</v>
      </c>
      <c r="D67" s="1181">
        <f t="shared" si="5"/>
        <v>39555.78</v>
      </c>
      <c r="E67" s="1181">
        <f t="shared" si="6"/>
        <v>39555.78</v>
      </c>
      <c r="F67" s="1181">
        <f t="shared" si="7"/>
        <v>0</v>
      </c>
      <c r="G67" s="1182">
        <f t="shared" si="8"/>
        <v>-0.03</v>
      </c>
      <c r="H67" s="1182">
        <f t="shared" si="9"/>
        <v>-0.03</v>
      </c>
      <c r="I67" s="1561">
        <f t="shared" si="10"/>
        <v>79111.53</v>
      </c>
      <c r="J67" s="1183">
        <v>39435.78</v>
      </c>
      <c r="K67" s="1184">
        <v>39435.78</v>
      </c>
      <c r="L67" s="1184">
        <v>0</v>
      </c>
      <c r="M67" s="1184">
        <v>-0.03</v>
      </c>
      <c r="N67" s="1184">
        <v>0</v>
      </c>
      <c r="O67" s="1185">
        <f t="shared" si="11"/>
        <v>78871.53</v>
      </c>
      <c r="P67" s="1560">
        <f t="shared" si="12"/>
        <v>-0.03</v>
      </c>
      <c r="Q67" s="1560">
        <f t="shared" si="13"/>
        <v>-0.03</v>
      </c>
      <c r="R67" s="1183">
        <v>120</v>
      </c>
      <c r="S67" s="1184">
        <v>120</v>
      </c>
      <c r="T67" s="1184">
        <v>0</v>
      </c>
      <c r="U67" s="1184">
        <v>0</v>
      </c>
      <c r="V67" s="1184">
        <v>0</v>
      </c>
      <c r="W67" s="1186">
        <f t="shared" si="20"/>
        <v>240</v>
      </c>
      <c r="X67" s="1560">
        <f t="shared" si="14"/>
        <v>0</v>
      </c>
      <c r="Y67" s="1560">
        <f t="shared" si="15"/>
        <v>0</v>
      </c>
      <c r="Z67" s="1183"/>
      <c r="AA67" s="1184"/>
      <c r="AB67" s="1184"/>
      <c r="AC67" s="1184"/>
      <c r="AD67" s="1184"/>
      <c r="AE67" s="1186">
        <f t="shared" si="21"/>
        <v>0</v>
      </c>
      <c r="AF67" s="1560">
        <f t="shared" si="16"/>
        <v>0</v>
      </c>
      <c r="AG67" s="1560">
        <f t="shared" si="17"/>
        <v>0</v>
      </c>
      <c r="AH67" s="1187"/>
      <c r="AI67" s="1188"/>
      <c r="AJ67" s="1188"/>
      <c r="AK67" s="1188"/>
      <c r="AL67" s="1188"/>
      <c r="AM67" s="1189">
        <f t="shared" si="22"/>
        <v>0</v>
      </c>
      <c r="AN67" s="1189">
        <f t="shared" si="18"/>
        <v>0</v>
      </c>
      <c r="AO67" s="1189">
        <f t="shared" si="19"/>
        <v>0</v>
      </c>
    </row>
    <row r="68" spans="1:41" s="237" customFormat="1">
      <c r="A68" s="1179" t="s">
        <v>164</v>
      </c>
      <c r="B68" s="1180" t="s">
        <v>165</v>
      </c>
      <c r="C68" s="103" t="s">
        <v>266</v>
      </c>
      <c r="D68" s="1181">
        <f t="shared" si="5"/>
        <v>76537.570000000007</v>
      </c>
      <c r="E68" s="1181">
        <f t="shared" si="6"/>
        <v>138294.73000000001</v>
      </c>
      <c r="F68" s="1181">
        <f t="shared" si="7"/>
        <v>0</v>
      </c>
      <c r="G68" s="1182">
        <f t="shared" si="8"/>
        <v>-0.03</v>
      </c>
      <c r="H68" s="1182">
        <f t="shared" si="9"/>
        <v>-0.03</v>
      </c>
      <c r="I68" s="1561">
        <f t="shared" si="10"/>
        <v>214832.27000000002</v>
      </c>
      <c r="J68" s="1183">
        <v>16937.349999999999</v>
      </c>
      <c r="K68" s="1184">
        <v>16937.349999999999</v>
      </c>
      <c r="L68" s="1184">
        <v>0</v>
      </c>
      <c r="M68" s="1184">
        <v>-0.03</v>
      </c>
      <c r="N68" s="1184">
        <v>0</v>
      </c>
      <c r="O68" s="1185">
        <f t="shared" si="11"/>
        <v>33874.67</v>
      </c>
      <c r="P68" s="1560">
        <f t="shared" si="12"/>
        <v>-0.03</v>
      </c>
      <c r="Q68" s="1560">
        <f t="shared" si="13"/>
        <v>-0.03</v>
      </c>
      <c r="R68" s="1183">
        <v>57687.5</v>
      </c>
      <c r="S68" s="1184">
        <v>57687.5</v>
      </c>
      <c r="T68" s="1184">
        <v>0</v>
      </c>
      <c r="U68" s="1184">
        <v>0</v>
      </c>
      <c r="V68" s="1184">
        <v>0</v>
      </c>
      <c r="W68" s="1186">
        <f t="shared" si="20"/>
        <v>115375</v>
      </c>
      <c r="X68" s="1560">
        <f t="shared" si="14"/>
        <v>0</v>
      </c>
      <c r="Y68" s="1560">
        <f t="shared" si="15"/>
        <v>0</v>
      </c>
      <c r="Z68" s="1183"/>
      <c r="AA68" s="1184"/>
      <c r="AB68" s="1184"/>
      <c r="AC68" s="1184"/>
      <c r="AD68" s="1184"/>
      <c r="AE68" s="1186">
        <f t="shared" si="21"/>
        <v>0</v>
      </c>
      <c r="AF68" s="1560">
        <f t="shared" si="16"/>
        <v>0</v>
      </c>
      <c r="AG68" s="1560">
        <f t="shared" si="17"/>
        <v>0</v>
      </c>
      <c r="AH68" s="1187">
        <v>1912.72</v>
      </c>
      <c r="AI68" s="1188">
        <v>63669.88</v>
      </c>
      <c r="AJ68" s="1188">
        <v>0</v>
      </c>
      <c r="AK68" s="1188">
        <v>0</v>
      </c>
      <c r="AL68" s="1188">
        <v>0</v>
      </c>
      <c r="AM68" s="1189">
        <f t="shared" si="22"/>
        <v>65582.599999999991</v>
      </c>
      <c r="AN68" s="1189">
        <f t="shared" si="18"/>
        <v>0</v>
      </c>
      <c r="AO68" s="1189">
        <f t="shared" si="19"/>
        <v>0</v>
      </c>
    </row>
    <row r="69" spans="1:41" s="237" customFormat="1">
      <c r="A69" s="1179" t="s">
        <v>168</v>
      </c>
      <c r="B69" s="1180" t="s">
        <v>169</v>
      </c>
      <c r="C69" s="103" t="s">
        <v>266</v>
      </c>
      <c r="D69" s="1181">
        <f t="shared" si="5"/>
        <v>23654.82</v>
      </c>
      <c r="E69" s="1181">
        <f t="shared" si="6"/>
        <v>24910.620000000003</v>
      </c>
      <c r="F69" s="1181">
        <f t="shared" si="7"/>
        <v>0</v>
      </c>
      <c r="G69" s="1182">
        <f t="shared" si="8"/>
        <v>0</v>
      </c>
      <c r="H69" s="1182">
        <f t="shared" si="9"/>
        <v>0</v>
      </c>
      <c r="I69" s="1561">
        <f t="shared" si="10"/>
        <v>48565.440000000002</v>
      </c>
      <c r="J69" s="1183">
        <v>1215.22</v>
      </c>
      <c r="K69" s="1184">
        <v>1215.22</v>
      </c>
      <c r="L69" s="1184">
        <v>0</v>
      </c>
      <c r="M69" s="1184">
        <v>0</v>
      </c>
      <c r="N69" s="1184">
        <v>0</v>
      </c>
      <c r="O69" s="1185">
        <f t="shared" si="11"/>
        <v>2430.44</v>
      </c>
      <c r="P69" s="1560">
        <f t="shared" si="12"/>
        <v>0</v>
      </c>
      <c r="Q69" s="1560">
        <f t="shared" si="13"/>
        <v>0</v>
      </c>
      <c r="R69" s="1183">
        <v>22371</v>
      </c>
      <c r="S69" s="1184">
        <v>22371</v>
      </c>
      <c r="T69" s="1184">
        <v>0</v>
      </c>
      <c r="U69" s="1184">
        <v>0</v>
      </c>
      <c r="V69" s="1184">
        <v>0</v>
      </c>
      <c r="W69" s="1186">
        <f t="shared" ref="W69:W100" si="23">SUM(R69:V69)</f>
        <v>44742</v>
      </c>
      <c r="X69" s="1560">
        <f t="shared" si="14"/>
        <v>0</v>
      </c>
      <c r="Y69" s="1560">
        <f t="shared" si="15"/>
        <v>0</v>
      </c>
      <c r="Z69" s="1183"/>
      <c r="AA69" s="1184"/>
      <c r="AB69" s="1184"/>
      <c r="AC69" s="1184"/>
      <c r="AD69" s="1184"/>
      <c r="AE69" s="1186">
        <f t="shared" ref="AE69:AE100" si="24">SUM(Z69:AD69)</f>
        <v>0</v>
      </c>
      <c r="AF69" s="1560">
        <f t="shared" si="16"/>
        <v>0</v>
      </c>
      <c r="AG69" s="1560">
        <f t="shared" si="17"/>
        <v>0</v>
      </c>
      <c r="AH69" s="1187">
        <v>68.599999999999994</v>
      </c>
      <c r="AI69" s="1188">
        <v>1324.4</v>
      </c>
      <c r="AJ69" s="1188">
        <v>0</v>
      </c>
      <c r="AK69" s="1188">
        <v>0</v>
      </c>
      <c r="AL69" s="1188">
        <v>0</v>
      </c>
      <c r="AM69" s="1189">
        <f t="shared" ref="AM69:AM100" si="25">SUM(AH69:AL69)</f>
        <v>1393</v>
      </c>
      <c r="AN69" s="1189">
        <f t="shared" si="18"/>
        <v>0</v>
      </c>
      <c r="AO69" s="1189">
        <f t="shared" si="19"/>
        <v>0</v>
      </c>
    </row>
    <row r="70" spans="1:41" s="237" customFormat="1">
      <c r="A70" s="1179" t="s">
        <v>170</v>
      </c>
      <c r="B70" s="1180" t="s">
        <v>171</v>
      </c>
      <c r="C70" s="103" t="s">
        <v>267</v>
      </c>
      <c r="D70" s="1181">
        <f t="shared" ref="D70:D124" si="26">J70+R70+Z70+AH70</f>
        <v>315215</v>
      </c>
      <c r="E70" s="1181">
        <f t="shared" ref="E70:E124" si="27">K70+S70+AA70+AI70</f>
        <v>511728.04</v>
      </c>
      <c r="F70" s="1181">
        <f t="shared" ref="F70:F124" si="28">L70+T70+AB70+AJ70</f>
        <v>0</v>
      </c>
      <c r="G70" s="1182">
        <f t="shared" ref="G70:G124" si="29">P70+X70+AF70+AN70</f>
        <v>60870.349999999991</v>
      </c>
      <c r="H70" s="1182">
        <f t="shared" ref="H70:H124" si="30">Q70+Y70+AG70+AO70</f>
        <v>60870.349999999991</v>
      </c>
      <c r="I70" s="1561">
        <f t="shared" ref="I70:I124" si="31">SUM(D70:G70)</f>
        <v>887813.39</v>
      </c>
      <c r="J70" s="1183">
        <v>62158.52</v>
      </c>
      <c r="K70" s="1184">
        <v>62158.52</v>
      </c>
      <c r="L70" s="1184">
        <v>0</v>
      </c>
      <c r="M70" s="1184">
        <v>-0.04</v>
      </c>
      <c r="N70" s="1184">
        <v>39407.199999999997</v>
      </c>
      <c r="O70" s="1185">
        <f t="shared" ref="O70:O125" si="32">SUM(J70:N70)</f>
        <v>163724.20000000001</v>
      </c>
      <c r="P70" s="1560">
        <f t="shared" ref="P70:P125" si="33">M70+N70</f>
        <v>39407.159999999996</v>
      </c>
      <c r="Q70" s="1560">
        <f t="shared" ref="Q70:Q125" si="34">L70+P70</f>
        <v>39407.159999999996</v>
      </c>
      <c r="R70" s="1183">
        <v>242742.39999999999</v>
      </c>
      <c r="S70" s="1184">
        <v>242742.39999999999</v>
      </c>
      <c r="T70" s="1184">
        <v>0</v>
      </c>
      <c r="U70" s="1184">
        <v>11243.99</v>
      </c>
      <c r="V70" s="1184">
        <v>0</v>
      </c>
      <c r="W70" s="1186">
        <f t="shared" si="23"/>
        <v>496728.79</v>
      </c>
      <c r="X70" s="1560">
        <f t="shared" ref="X70:X124" si="35">U70+V70</f>
        <v>11243.99</v>
      </c>
      <c r="Y70" s="1560">
        <f t="shared" ref="Y70:Y124" si="36">T70+X70</f>
        <v>11243.99</v>
      </c>
      <c r="Z70" s="1183"/>
      <c r="AA70" s="1184"/>
      <c r="AB70" s="1184"/>
      <c r="AC70" s="1184"/>
      <c r="AD70" s="1184"/>
      <c r="AE70" s="1186">
        <f t="shared" si="24"/>
        <v>0</v>
      </c>
      <c r="AF70" s="1560">
        <f t="shared" ref="AF70:AF124" si="37">AC70+AD70</f>
        <v>0</v>
      </c>
      <c r="AG70" s="1560">
        <f t="shared" ref="AG70:AG124" si="38">AB70+AF70</f>
        <v>0</v>
      </c>
      <c r="AH70" s="1187">
        <v>10314.08</v>
      </c>
      <c r="AI70" s="1188">
        <v>206827.12</v>
      </c>
      <c r="AJ70" s="1188">
        <v>0</v>
      </c>
      <c r="AK70" s="1188">
        <v>0</v>
      </c>
      <c r="AL70" s="1188">
        <v>10219.200000000001</v>
      </c>
      <c r="AM70" s="1189">
        <f t="shared" si="25"/>
        <v>227360.4</v>
      </c>
      <c r="AN70" s="1189">
        <f t="shared" ref="AN70:AN125" si="39">AK70+AL70</f>
        <v>10219.200000000001</v>
      </c>
      <c r="AO70" s="1189">
        <f t="shared" ref="AO70:AO125" si="40">AJ70+AN70</f>
        <v>10219.200000000001</v>
      </c>
    </row>
    <row r="71" spans="1:41" s="237" customFormat="1">
      <c r="A71" s="1179" t="s">
        <v>172</v>
      </c>
      <c r="B71" s="1180" t="s">
        <v>173</v>
      </c>
      <c r="C71" s="103" t="s">
        <v>267</v>
      </c>
      <c r="D71" s="1181">
        <f t="shared" si="26"/>
        <v>130321.56999999999</v>
      </c>
      <c r="E71" s="1181">
        <f t="shared" si="27"/>
        <v>155438.76999999999</v>
      </c>
      <c r="F71" s="1181">
        <f t="shared" si="28"/>
        <v>0</v>
      </c>
      <c r="G71" s="1182">
        <f t="shared" si="29"/>
        <v>-0.02</v>
      </c>
      <c r="H71" s="1182">
        <f t="shared" si="30"/>
        <v>-0.02</v>
      </c>
      <c r="I71" s="1561">
        <f t="shared" si="31"/>
        <v>285760.31999999995</v>
      </c>
      <c r="J71" s="1183">
        <v>21921.17</v>
      </c>
      <c r="K71" s="1184">
        <v>21921.17</v>
      </c>
      <c r="L71" s="1184">
        <v>0</v>
      </c>
      <c r="M71" s="1184">
        <v>-0.02</v>
      </c>
      <c r="N71" s="1184">
        <v>0</v>
      </c>
      <c r="O71" s="1185">
        <f t="shared" si="32"/>
        <v>43842.32</v>
      </c>
      <c r="P71" s="1560">
        <f t="shared" si="33"/>
        <v>-0.02</v>
      </c>
      <c r="Q71" s="1560">
        <f t="shared" si="34"/>
        <v>-0.02</v>
      </c>
      <c r="R71" s="1183">
        <v>100028</v>
      </c>
      <c r="S71" s="1184">
        <v>100028</v>
      </c>
      <c r="T71" s="1184">
        <v>0</v>
      </c>
      <c r="U71" s="1184">
        <v>0</v>
      </c>
      <c r="V71" s="1184">
        <v>0</v>
      </c>
      <c r="W71" s="1186">
        <f t="shared" si="23"/>
        <v>200056</v>
      </c>
      <c r="X71" s="1560">
        <f t="shared" si="35"/>
        <v>0</v>
      </c>
      <c r="Y71" s="1560">
        <f t="shared" si="36"/>
        <v>0</v>
      </c>
      <c r="Z71" s="1183"/>
      <c r="AA71" s="1184"/>
      <c r="AB71" s="1184"/>
      <c r="AC71" s="1184"/>
      <c r="AD71" s="1184"/>
      <c r="AE71" s="1186">
        <f t="shared" si="24"/>
        <v>0</v>
      </c>
      <c r="AF71" s="1560">
        <f t="shared" si="37"/>
        <v>0</v>
      </c>
      <c r="AG71" s="1560">
        <f t="shared" si="38"/>
        <v>0</v>
      </c>
      <c r="AH71" s="1187">
        <v>8372.4</v>
      </c>
      <c r="AI71" s="1188">
        <v>33489.599999999999</v>
      </c>
      <c r="AJ71" s="1188">
        <v>0</v>
      </c>
      <c r="AK71" s="1188">
        <v>0</v>
      </c>
      <c r="AL71" s="1188">
        <v>0</v>
      </c>
      <c r="AM71" s="1189">
        <f t="shared" si="25"/>
        <v>41862</v>
      </c>
      <c r="AN71" s="1189">
        <f t="shared" si="39"/>
        <v>0</v>
      </c>
      <c r="AO71" s="1189">
        <f t="shared" si="40"/>
        <v>0</v>
      </c>
    </row>
    <row r="72" spans="1:41" s="237" customFormat="1">
      <c r="A72" s="1179" t="s">
        <v>174</v>
      </c>
      <c r="B72" s="1180" t="s">
        <v>175</v>
      </c>
      <c r="C72" s="103" t="s">
        <v>268</v>
      </c>
      <c r="D72" s="1181">
        <f t="shared" si="26"/>
        <v>15522.72</v>
      </c>
      <c r="E72" s="1181">
        <f t="shared" si="27"/>
        <v>15522.72</v>
      </c>
      <c r="F72" s="1181">
        <f t="shared" si="28"/>
        <v>0</v>
      </c>
      <c r="G72" s="1182">
        <f t="shared" si="29"/>
        <v>-0.05</v>
      </c>
      <c r="H72" s="1182">
        <f t="shared" si="30"/>
        <v>-0.05</v>
      </c>
      <c r="I72" s="1561">
        <f t="shared" si="31"/>
        <v>31045.39</v>
      </c>
      <c r="J72" s="1183">
        <v>12460.72</v>
      </c>
      <c r="K72" s="1184">
        <v>12460.72</v>
      </c>
      <c r="L72" s="1184">
        <v>0</v>
      </c>
      <c r="M72" s="1184">
        <v>-0.05</v>
      </c>
      <c r="N72" s="1184">
        <v>0</v>
      </c>
      <c r="O72" s="1185">
        <f t="shared" si="32"/>
        <v>24921.39</v>
      </c>
      <c r="P72" s="1560">
        <f t="shared" si="33"/>
        <v>-0.05</v>
      </c>
      <c r="Q72" s="1560">
        <f t="shared" si="34"/>
        <v>-0.05</v>
      </c>
      <c r="R72" s="1183">
        <v>3062</v>
      </c>
      <c r="S72" s="1184">
        <v>3062</v>
      </c>
      <c r="T72" s="1184">
        <v>0</v>
      </c>
      <c r="U72" s="1184">
        <v>0</v>
      </c>
      <c r="V72" s="1184">
        <v>0</v>
      </c>
      <c r="W72" s="1186">
        <f t="shared" si="23"/>
        <v>6124</v>
      </c>
      <c r="X72" s="1560">
        <f t="shared" si="35"/>
        <v>0</v>
      </c>
      <c r="Y72" s="1560">
        <f t="shared" si="36"/>
        <v>0</v>
      </c>
      <c r="Z72" s="1183"/>
      <c r="AA72" s="1184"/>
      <c r="AB72" s="1184"/>
      <c r="AC72" s="1184"/>
      <c r="AD72" s="1184"/>
      <c r="AE72" s="1186">
        <f t="shared" si="24"/>
        <v>0</v>
      </c>
      <c r="AF72" s="1560">
        <f t="shared" si="37"/>
        <v>0</v>
      </c>
      <c r="AG72" s="1560">
        <f t="shared" si="38"/>
        <v>0</v>
      </c>
      <c r="AH72" s="1187"/>
      <c r="AI72" s="1188"/>
      <c r="AJ72" s="1188"/>
      <c r="AK72" s="1188"/>
      <c r="AL72" s="1188"/>
      <c r="AM72" s="1189">
        <f t="shared" si="25"/>
        <v>0</v>
      </c>
      <c r="AN72" s="1189">
        <f t="shared" si="39"/>
        <v>0</v>
      </c>
      <c r="AO72" s="1189">
        <f t="shared" si="40"/>
        <v>0</v>
      </c>
    </row>
    <row r="73" spans="1:41" s="237" customFormat="1">
      <c r="A73" s="1179" t="s">
        <v>178</v>
      </c>
      <c r="B73" s="1180" t="s">
        <v>179</v>
      </c>
      <c r="C73" s="103" t="s">
        <v>265</v>
      </c>
      <c r="D73" s="1181">
        <f t="shared" si="26"/>
        <v>105327.82</v>
      </c>
      <c r="E73" s="1181">
        <f t="shared" si="27"/>
        <v>181276.79</v>
      </c>
      <c r="F73" s="1181">
        <f t="shared" si="28"/>
        <v>0</v>
      </c>
      <c r="G73" s="1182">
        <f t="shared" si="29"/>
        <v>-0.05</v>
      </c>
      <c r="H73" s="1182">
        <f t="shared" si="30"/>
        <v>-0.05</v>
      </c>
      <c r="I73" s="1561">
        <f t="shared" si="31"/>
        <v>286604.56</v>
      </c>
      <c r="J73" s="1183">
        <v>68673.820000000007</v>
      </c>
      <c r="K73" s="1184">
        <v>68673.820000000007</v>
      </c>
      <c r="L73" s="1184">
        <v>0</v>
      </c>
      <c r="M73" s="1184">
        <v>-0.05</v>
      </c>
      <c r="N73" s="1184">
        <v>0</v>
      </c>
      <c r="O73" s="1185">
        <f t="shared" si="32"/>
        <v>137347.59000000003</v>
      </c>
      <c r="P73" s="1560">
        <f t="shared" si="33"/>
        <v>-0.05</v>
      </c>
      <c r="Q73" s="1560">
        <f t="shared" si="34"/>
        <v>-0.05</v>
      </c>
      <c r="R73" s="1183">
        <v>33426</v>
      </c>
      <c r="S73" s="1184">
        <v>33426</v>
      </c>
      <c r="T73" s="1184">
        <v>0</v>
      </c>
      <c r="U73" s="1184">
        <v>0</v>
      </c>
      <c r="V73" s="1184">
        <v>0</v>
      </c>
      <c r="W73" s="1186">
        <f t="shared" si="23"/>
        <v>66852</v>
      </c>
      <c r="X73" s="1560">
        <f t="shared" si="35"/>
        <v>0</v>
      </c>
      <c r="Y73" s="1560">
        <f t="shared" si="36"/>
        <v>0</v>
      </c>
      <c r="Z73" s="1183"/>
      <c r="AA73" s="1184"/>
      <c r="AB73" s="1184"/>
      <c r="AC73" s="1184"/>
      <c r="AD73" s="1184"/>
      <c r="AE73" s="1186">
        <f t="shared" si="24"/>
        <v>0</v>
      </c>
      <c r="AF73" s="1560">
        <f t="shared" si="37"/>
        <v>0</v>
      </c>
      <c r="AG73" s="1560">
        <f t="shared" si="38"/>
        <v>0</v>
      </c>
      <c r="AH73" s="1187">
        <v>3228</v>
      </c>
      <c r="AI73" s="1188">
        <v>79176.97</v>
      </c>
      <c r="AJ73" s="1188">
        <v>0</v>
      </c>
      <c r="AK73" s="1188">
        <v>0</v>
      </c>
      <c r="AL73" s="1188">
        <v>0</v>
      </c>
      <c r="AM73" s="1189">
        <f t="shared" si="25"/>
        <v>82404.97</v>
      </c>
      <c r="AN73" s="1189">
        <f t="shared" si="39"/>
        <v>0</v>
      </c>
      <c r="AO73" s="1189">
        <f t="shared" si="40"/>
        <v>0</v>
      </c>
    </row>
    <row r="74" spans="1:41" s="237" customFormat="1">
      <c r="A74" s="1179" t="s">
        <v>182</v>
      </c>
      <c r="B74" s="1180" t="s">
        <v>183</v>
      </c>
      <c r="C74" s="103" t="s">
        <v>266</v>
      </c>
      <c r="D74" s="1181">
        <f t="shared" si="26"/>
        <v>114183.7</v>
      </c>
      <c r="E74" s="1181">
        <f t="shared" si="27"/>
        <v>143977.29999999999</v>
      </c>
      <c r="F74" s="1181">
        <f t="shared" si="28"/>
        <v>0</v>
      </c>
      <c r="G74" s="1182">
        <f t="shared" si="29"/>
        <v>34999.409999999996</v>
      </c>
      <c r="H74" s="1182">
        <f t="shared" si="30"/>
        <v>34999.409999999996</v>
      </c>
      <c r="I74" s="1561">
        <f t="shared" si="31"/>
        <v>293160.40999999997</v>
      </c>
      <c r="J74" s="1183">
        <v>66648.5</v>
      </c>
      <c r="K74" s="1184">
        <v>66648.5</v>
      </c>
      <c r="L74" s="1184">
        <v>0</v>
      </c>
      <c r="M74" s="1184">
        <v>-0.05</v>
      </c>
      <c r="N74" s="1184">
        <v>34999.46</v>
      </c>
      <c r="O74" s="1185">
        <f t="shared" si="32"/>
        <v>168296.41</v>
      </c>
      <c r="P74" s="1560">
        <f t="shared" si="33"/>
        <v>34999.409999999996</v>
      </c>
      <c r="Q74" s="1560">
        <f t="shared" si="34"/>
        <v>34999.409999999996</v>
      </c>
      <c r="R74" s="1183">
        <v>37604</v>
      </c>
      <c r="S74" s="1184">
        <v>37604</v>
      </c>
      <c r="T74" s="1184">
        <v>0</v>
      </c>
      <c r="U74" s="1184">
        <v>0</v>
      </c>
      <c r="V74" s="1184">
        <v>0</v>
      </c>
      <c r="W74" s="1186">
        <f t="shared" si="23"/>
        <v>75208</v>
      </c>
      <c r="X74" s="1560">
        <f t="shared" si="35"/>
        <v>0</v>
      </c>
      <c r="Y74" s="1560">
        <f t="shared" si="36"/>
        <v>0</v>
      </c>
      <c r="Z74" s="1187"/>
      <c r="AA74" s="1188"/>
      <c r="AB74" s="1188"/>
      <c r="AC74" s="1188"/>
      <c r="AD74" s="1188"/>
      <c r="AE74" s="1186">
        <f t="shared" si="24"/>
        <v>0</v>
      </c>
      <c r="AF74" s="1560">
        <f t="shared" si="37"/>
        <v>0</v>
      </c>
      <c r="AG74" s="1560">
        <f t="shared" si="38"/>
        <v>0</v>
      </c>
      <c r="AH74" s="1187">
        <v>9931.2000000000007</v>
      </c>
      <c r="AI74" s="1188">
        <v>39724.800000000003</v>
      </c>
      <c r="AJ74" s="1188">
        <v>0</v>
      </c>
      <c r="AK74" s="1188">
        <v>0</v>
      </c>
      <c r="AL74" s="1188">
        <v>0</v>
      </c>
      <c r="AM74" s="1189">
        <f t="shared" si="25"/>
        <v>49656</v>
      </c>
      <c r="AN74" s="1189">
        <f t="shared" si="39"/>
        <v>0</v>
      </c>
      <c r="AO74" s="1189">
        <f t="shared" si="40"/>
        <v>0</v>
      </c>
    </row>
    <row r="75" spans="1:41" s="237" customFormat="1">
      <c r="A75" s="1179" t="s">
        <v>184</v>
      </c>
      <c r="B75" s="1180" t="s">
        <v>185</v>
      </c>
      <c r="C75" s="103" t="s">
        <v>266</v>
      </c>
      <c r="D75" s="1181">
        <f t="shared" si="26"/>
        <v>132904.52000000002</v>
      </c>
      <c r="E75" s="1181">
        <f t="shared" si="27"/>
        <v>321655.77</v>
      </c>
      <c r="F75" s="1181">
        <f t="shared" si="28"/>
        <v>0</v>
      </c>
      <c r="G75" s="1182">
        <f t="shared" si="29"/>
        <v>-0.05</v>
      </c>
      <c r="H75" s="1182">
        <f t="shared" si="30"/>
        <v>-0.05</v>
      </c>
      <c r="I75" s="1561">
        <f t="shared" si="31"/>
        <v>454560.24000000005</v>
      </c>
      <c r="J75" s="1183">
        <v>22956.77</v>
      </c>
      <c r="K75" s="1184">
        <v>22956.77</v>
      </c>
      <c r="L75" s="1184">
        <v>0</v>
      </c>
      <c r="M75" s="1184">
        <v>-0.05</v>
      </c>
      <c r="N75" s="1184">
        <v>0</v>
      </c>
      <c r="O75" s="1185">
        <f t="shared" si="32"/>
        <v>45913.49</v>
      </c>
      <c r="P75" s="1560">
        <f t="shared" si="33"/>
        <v>-0.05</v>
      </c>
      <c r="Q75" s="1560">
        <f t="shared" si="34"/>
        <v>-0.05</v>
      </c>
      <c r="R75" s="1183">
        <v>106719</v>
      </c>
      <c r="S75" s="1184">
        <v>106719</v>
      </c>
      <c r="T75" s="1184">
        <v>0</v>
      </c>
      <c r="U75" s="1184">
        <v>0</v>
      </c>
      <c r="V75" s="1184">
        <v>0</v>
      </c>
      <c r="W75" s="1186">
        <f t="shared" si="23"/>
        <v>213438</v>
      </c>
      <c r="X75" s="1560">
        <f t="shared" si="35"/>
        <v>0</v>
      </c>
      <c r="Y75" s="1560">
        <f t="shared" si="36"/>
        <v>0</v>
      </c>
      <c r="Z75" s="1183"/>
      <c r="AA75" s="1184"/>
      <c r="AB75" s="1184"/>
      <c r="AC75" s="1184"/>
      <c r="AD75" s="1184"/>
      <c r="AE75" s="1186">
        <f t="shared" si="24"/>
        <v>0</v>
      </c>
      <c r="AF75" s="1560">
        <f t="shared" si="37"/>
        <v>0</v>
      </c>
      <c r="AG75" s="1560">
        <f t="shared" si="38"/>
        <v>0</v>
      </c>
      <c r="AH75" s="1187">
        <v>3228.75</v>
      </c>
      <c r="AI75" s="1188">
        <v>191980</v>
      </c>
      <c r="AJ75" s="1188">
        <v>0</v>
      </c>
      <c r="AK75" s="1188">
        <v>0</v>
      </c>
      <c r="AL75" s="1188">
        <v>0</v>
      </c>
      <c r="AM75" s="1189">
        <f t="shared" si="25"/>
        <v>195208.75</v>
      </c>
      <c r="AN75" s="1189">
        <f t="shared" si="39"/>
        <v>0</v>
      </c>
      <c r="AO75" s="1189">
        <f t="shared" si="40"/>
        <v>0</v>
      </c>
    </row>
    <row r="76" spans="1:41" s="237" customFormat="1">
      <c r="A76" s="1179" t="s">
        <v>186</v>
      </c>
      <c r="B76" s="1180" t="s">
        <v>187</v>
      </c>
      <c r="C76" s="103" t="s">
        <v>264</v>
      </c>
      <c r="D76" s="1181">
        <f t="shared" si="26"/>
        <v>96024.01</v>
      </c>
      <c r="E76" s="1181">
        <f t="shared" si="27"/>
        <v>116104.17</v>
      </c>
      <c r="F76" s="1181">
        <f t="shared" si="28"/>
        <v>0</v>
      </c>
      <c r="G76" s="1182">
        <f t="shared" si="29"/>
        <v>-0.04</v>
      </c>
      <c r="H76" s="1182">
        <f t="shared" si="30"/>
        <v>-0.04</v>
      </c>
      <c r="I76" s="1561">
        <f t="shared" si="31"/>
        <v>212128.13999999998</v>
      </c>
      <c r="J76" s="1183">
        <v>37301.17</v>
      </c>
      <c r="K76" s="1184">
        <v>37301.17</v>
      </c>
      <c r="L76" s="1184">
        <v>0</v>
      </c>
      <c r="M76" s="1184">
        <v>-0.04</v>
      </c>
      <c r="N76" s="1184">
        <v>0</v>
      </c>
      <c r="O76" s="1185">
        <f t="shared" si="32"/>
        <v>74602.3</v>
      </c>
      <c r="P76" s="1560">
        <f t="shared" si="33"/>
        <v>-0.04</v>
      </c>
      <c r="Q76" s="1560">
        <f t="shared" si="34"/>
        <v>-0.04</v>
      </c>
      <c r="R76" s="1183">
        <v>58650.84</v>
      </c>
      <c r="S76" s="1184">
        <v>58650.84</v>
      </c>
      <c r="T76" s="1184">
        <v>0</v>
      </c>
      <c r="U76" s="1184">
        <v>0</v>
      </c>
      <c r="V76" s="1184">
        <v>0</v>
      </c>
      <c r="W76" s="1186">
        <f t="shared" si="23"/>
        <v>117301.68</v>
      </c>
      <c r="X76" s="1560">
        <f t="shared" si="35"/>
        <v>0</v>
      </c>
      <c r="Y76" s="1560">
        <f t="shared" si="36"/>
        <v>0</v>
      </c>
      <c r="Z76" s="1183"/>
      <c r="AA76" s="1184"/>
      <c r="AB76" s="1184"/>
      <c r="AC76" s="1184"/>
      <c r="AD76" s="1184"/>
      <c r="AE76" s="1186">
        <f t="shared" si="24"/>
        <v>0</v>
      </c>
      <c r="AF76" s="1560">
        <f t="shared" si="37"/>
        <v>0</v>
      </c>
      <c r="AG76" s="1560">
        <f t="shared" si="38"/>
        <v>0</v>
      </c>
      <c r="AH76" s="1187">
        <v>72</v>
      </c>
      <c r="AI76" s="1188">
        <v>20152.16</v>
      </c>
      <c r="AJ76" s="1188">
        <v>0</v>
      </c>
      <c r="AK76" s="1188">
        <v>0</v>
      </c>
      <c r="AL76" s="1188">
        <v>0</v>
      </c>
      <c r="AM76" s="1189">
        <f t="shared" si="25"/>
        <v>20224.16</v>
      </c>
      <c r="AN76" s="1189">
        <f t="shared" si="39"/>
        <v>0</v>
      </c>
      <c r="AO76" s="1189">
        <f t="shared" si="40"/>
        <v>0</v>
      </c>
    </row>
    <row r="77" spans="1:41" s="237" customFormat="1">
      <c r="A77" s="1179" t="s">
        <v>188</v>
      </c>
      <c r="B77" s="1180" t="s">
        <v>189</v>
      </c>
      <c r="C77" s="103" t="s">
        <v>267</v>
      </c>
      <c r="D77" s="1181">
        <f t="shared" si="26"/>
        <v>919527.41999999993</v>
      </c>
      <c r="E77" s="1181">
        <f t="shared" si="27"/>
        <v>1495447.08</v>
      </c>
      <c r="F77" s="1181">
        <f t="shared" si="28"/>
        <v>0</v>
      </c>
      <c r="G77" s="1182">
        <f t="shared" si="29"/>
        <v>-0.17</v>
      </c>
      <c r="H77" s="1182">
        <f t="shared" si="30"/>
        <v>-0.17</v>
      </c>
      <c r="I77" s="1561">
        <f t="shared" si="31"/>
        <v>2414974.33</v>
      </c>
      <c r="J77" s="1183">
        <v>355311.69</v>
      </c>
      <c r="K77" s="1184">
        <v>355311.69</v>
      </c>
      <c r="L77" s="1184">
        <v>0</v>
      </c>
      <c r="M77" s="1184">
        <v>-0.13</v>
      </c>
      <c r="N77" s="1184">
        <v>0</v>
      </c>
      <c r="O77" s="1185">
        <f t="shared" si="32"/>
        <v>710623.25</v>
      </c>
      <c r="P77" s="1560">
        <f t="shared" si="33"/>
        <v>-0.13</v>
      </c>
      <c r="Q77" s="1560">
        <f t="shared" si="34"/>
        <v>-0.13</v>
      </c>
      <c r="R77" s="1183">
        <v>507770.79</v>
      </c>
      <c r="S77" s="1184">
        <v>507770.79</v>
      </c>
      <c r="T77" s="1184">
        <v>0</v>
      </c>
      <c r="U77" s="1184">
        <v>-0.04</v>
      </c>
      <c r="V77" s="1184">
        <v>0</v>
      </c>
      <c r="W77" s="1186">
        <f t="shared" si="23"/>
        <v>1015541.5399999999</v>
      </c>
      <c r="X77" s="1560">
        <f t="shared" si="35"/>
        <v>-0.04</v>
      </c>
      <c r="Y77" s="1560">
        <f t="shared" si="36"/>
        <v>-0.04</v>
      </c>
      <c r="Z77" s="1183"/>
      <c r="AA77" s="1184"/>
      <c r="AB77" s="1184"/>
      <c r="AC77" s="1184"/>
      <c r="AD77" s="1184"/>
      <c r="AE77" s="1186">
        <f t="shared" si="24"/>
        <v>0</v>
      </c>
      <c r="AF77" s="1560">
        <f t="shared" si="37"/>
        <v>0</v>
      </c>
      <c r="AG77" s="1560">
        <f t="shared" si="38"/>
        <v>0</v>
      </c>
      <c r="AH77" s="1187">
        <v>56444.94</v>
      </c>
      <c r="AI77" s="1188">
        <v>632364.6</v>
      </c>
      <c r="AJ77" s="1188">
        <v>0</v>
      </c>
      <c r="AK77" s="1188">
        <v>0</v>
      </c>
      <c r="AL77" s="1188">
        <v>0</v>
      </c>
      <c r="AM77" s="1189">
        <f t="shared" si="25"/>
        <v>688809.54</v>
      </c>
      <c r="AN77" s="1189">
        <f t="shared" si="39"/>
        <v>0</v>
      </c>
      <c r="AO77" s="1189">
        <f t="shared" si="40"/>
        <v>0</v>
      </c>
    </row>
    <row r="78" spans="1:41" s="237" customFormat="1">
      <c r="A78" s="1179" t="s">
        <v>190</v>
      </c>
      <c r="B78" s="1180" t="s">
        <v>191</v>
      </c>
      <c r="C78" s="103" t="s">
        <v>268</v>
      </c>
      <c r="D78" s="1181">
        <f t="shared" si="26"/>
        <v>1037070.9600000001</v>
      </c>
      <c r="E78" s="1181">
        <f t="shared" si="27"/>
        <v>1113118.3800000001</v>
      </c>
      <c r="F78" s="1181">
        <f t="shared" si="28"/>
        <v>0</v>
      </c>
      <c r="G78" s="1182">
        <f t="shared" si="29"/>
        <v>2359.7399999999998</v>
      </c>
      <c r="H78" s="1182">
        <f t="shared" si="30"/>
        <v>2359.7399999999998</v>
      </c>
      <c r="I78" s="1561">
        <f t="shared" si="31"/>
        <v>2152549.0800000005</v>
      </c>
      <c r="J78" s="1183">
        <v>646781.79</v>
      </c>
      <c r="K78" s="1184">
        <v>646781.79</v>
      </c>
      <c r="L78" s="1184">
        <v>0</v>
      </c>
      <c r="M78" s="1184">
        <v>2359.77</v>
      </c>
      <c r="N78" s="1184">
        <v>0</v>
      </c>
      <c r="O78" s="1185">
        <f t="shared" si="32"/>
        <v>1295923.3500000001</v>
      </c>
      <c r="P78" s="1560">
        <f t="shared" si="33"/>
        <v>2359.77</v>
      </c>
      <c r="Q78" s="1560">
        <f t="shared" si="34"/>
        <v>2359.77</v>
      </c>
      <c r="R78" s="1183">
        <v>389494.77</v>
      </c>
      <c r="S78" s="1184">
        <v>389494.77</v>
      </c>
      <c r="T78" s="1184">
        <v>0</v>
      </c>
      <c r="U78" s="1184">
        <v>-0.03</v>
      </c>
      <c r="V78" s="1184">
        <v>0</v>
      </c>
      <c r="W78" s="1186">
        <f t="shared" si="23"/>
        <v>778989.51</v>
      </c>
      <c r="X78" s="1560">
        <f t="shared" si="35"/>
        <v>-0.03</v>
      </c>
      <c r="Y78" s="1560">
        <f t="shared" si="36"/>
        <v>-0.03</v>
      </c>
      <c r="Z78" s="1183"/>
      <c r="AA78" s="1184"/>
      <c r="AB78" s="1184"/>
      <c r="AC78" s="1184"/>
      <c r="AD78" s="1184"/>
      <c r="AE78" s="1186">
        <f t="shared" si="24"/>
        <v>0</v>
      </c>
      <c r="AF78" s="1560">
        <f t="shared" si="37"/>
        <v>0</v>
      </c>
      <c r="AG78" s="1560">
        <f t="shared" si="38"/>
        <v>0</v>
      </c>
      <c r="AH78" s="1187">
        <v>794.4</v>
      </c>
      <c r="AI78" s="1188">
        <v>76841.820000000007</v>
      </c>
      <c r="AJ78" s="1188">
        <v>0</v>
      </c>
      <c r="AK78" s="1188">
        <v>0</v>
      </c>
      <c r="AL78" s="1188">
        <v>0</v>
      </c>
      <c r="AM78" s="1189">
        <f t="shared" si="25"/>
        <v>77636.22</v>
      </c>
      <c r="AN78" s="1189">
        <f t="shared" si="39"/>
        <v>0</v>
      </c>
      <c r="AO78" s="1189">
        <f t="shared" si="40"/>
        <v>0</v>
      </c>
    </row>
    <row r="79" spans="1:41" s="237" customFormat="1">
      <c r="A79" s="1179" t="s">
        <v>194</v>
      </c>
      <c r="B79" s="1180" t="s">
        <v>195</v>
      </c>
      <c r="C79" s="103" t="s">
        <v>267</v>
      </c>
      <c r="D79" s="1181">
        <f t="shared" si="26"/>
        <v>48925.599999999999</v>
      </c>
      <c r="E79" s="1181">
        <f t="shared" si="27"/>
        <v>60163.6</v>
      </c>
      <c r="F79" s="1181">
        <f t="shared" si="28"/>
        <v>0</v>
      </c>
      <c r="G79" s="1182">
        <f t="shared" si="29"/>
        <v>578.58999999999992</v>
      </c>
      <c r="H79" s="1182">
        <f t="shared" si="30"/>
        <v>578.58999999999992</v>
      </c>
      <c r="I79" s="1561">
        <f t="shared" si="31"/>
        <v>109667.79</v>
      </c>
      <c r="J79" s="1183">
        <v>38209.1</v>
      </c>
      <c r="K79" s="1184">
        <v>38209.1</v>
      </c>
      <c r="L79" s="1184">
        <v>0</v>
      </c>
      <c r="M79" s="1184">
        <v>-0.11</v>
      </c>
      <c r="N79" s="1184">
        <v>242.7</v>
      </c>
      <c r="O79" s="1185">
        <f t="shared" si="32"/>
        <v>76660.789999999994</v>
      </c>
      <c r="P79" s="1560">
        <f t="shared" si="33"/>
        <v>242.58999999999997</v>
      </c>
      <c r="Q79" s="1560">
        <f t="shared" si="34"/>
        <v>242.58999999999997</v>
      </c>
      <c r="R79" s="1183">
        <v>9634.5</v>
      </c>
      <c r="S79" s="1184">
        <v>9634.5</v>
      </c>
      <c r="T79" s="1184">
        <v>0</v>
      </c>
      <c r="U79" s="1184">
        <v>0</v>
      </c>
      <c r="V79" s="1184">
        <v>336</v>
      </c>
      <c r="W79" s="1186">
        <f t="shared" si="23"/>
        <v>19605</v>
      </c>
      <c r="X79" s="1560">
        <f t="shared" si="35"/>
        <v>336</v>
      </c>
      <c r="Y79" s="1560">
        <f t="shared" si="36"/>
        <v>336</v>
      </c>
      <c r="Z79" s="1183"/>
      <c r="AA79" s="1184"/>
      <c r="AB79" s="1184"/>
      <c r="AC79" s="1184"/>
      <c r="AD79" s="1184"/>
      <c r="AE79" s="1186">
        <f t="shared" si="24"/>
        <v>0</v>
      </c>
      <c r="AF79" s="1560">
        <f t="shared" si="37"/>
        <v>0</v>
      </c>
      <c r="AG79" s="1560">
        <f t="shared" si="38"/>
        <v>0</v>
      </c>
      <c r="AH79" s="1187">
        <v>1082</v>
      </c>
      <c r="AI79" s="1188">
        <v>12320</v>
      </c>
      <c r="AJ79" s="1188">
        <v>0</v>
      </c>
      <c r="AK79" s="1188">
        <v>0</v>
      </c>
      <c r="AL79" s="1188">
        <v>0</v>
      </c>
      <c r="AM79" s="1189">
        <f t="shared" si="25"/>
        <v>13402</v>
      </c>
      <c r="AN79" s="1189">
        <f t="shared" si="39"/>
        <v>0</v>
      </c>
      <c r="AO79" s="1189">
        <f t="shared" si="40"/>
        <v>0</v>
      </c>
    </row>
    <row r="80" spans="1:41" s="237" customFormat="1">
      <c r="A80" s="1179" t="s">
        <v>198</v>
      </c>
      <c r="B80" s="1180" t="s">
        <v>199</v>
      </c>
      <c r="C80" s="103" t="s">
        <v>266</v>
      </c>
      <c r="D80" s="1181">
        <f t="shared" si="26"/>
        <v>42937.43</v>
      </c>
      <c r="E80" s="1181">
        <f t="shared" si="27"/>
        <v>62344.57</v>
      </c>
      <c r="F80" s="1181">
        <f t="shared" si="28"/>
        <v>0</v>
      </c>
      <c r="G80" s="1182">
        <f t="shared" si="29"/>
        <v>-0.03</v>
      </c>
      <c r="H80" s="1182">
        <f t="shared" si="30"/>
        <v>-0.03</v>
      </c>
      <c r="I80" s="1561">
        <f t="shared" si="31"/>
        <v>105281.97</v>
      </c>
      <c r="J80" s="1183">
        <v>26893.25</v>
      </c>
      <c r="K80" s="1184">
        <v>26893.25</v>
      </c>
      <c r="L80" s="1184">
        <v>0</v>
      </c>
      <c r="M80" s="1184">
        <v>-0.03</v>
      </c>
      <c r="N80" s="1184">
        <v>0</v>
      </c>
      <c r="O80" s="1185">
        <f t="shared" si="32"/>
        <v>53786.47</v>
      </c>
      <c r="P80" s="1560">
        <f t="shared" si="33"/>
        <v>-0.03</v>
      </c>
      <c r="Q80" s="1560">
        <f t="shared" si="34"/>
        <v>-0.03</v>
      </c>
      <c r="R80" s="1183">
        <v>16044.18</v>
      </c>
      <c r="S80" s="1184">
        <v>16044.18</v>
      </c>
      <c r="T80" s="1184">
        <v>0</v>
      </c>
      <c r="U80" s="1184">
        <v>0</v>
      </c>
      <c r="V80" s="1184">
        <v>0</v>
      </c>
      <c r="W80" s="1186">
        <f t="shared" si="23"/>
        <v>32088.36</v>
      </c>
      <c r="X80" s="1560">
        <f t="shared" si="35"/>
        <v>0</v>
      </c>
      <c r="Y80" s="1560">
        <f t="shared" si="36"/>
        <v>0</v>
      </c>
      <c r="Z80" s="1183"/>
      <c r="AA80" s="1184"/>
      <c r="AB80" s="1184"/>
      <c r="AC80" s="1184"/>
      <c r="AD80" s="1184"/>
      <c r="AE80" s="1186">
        <f t="shared" si="24"/>
        <v>0</v>
      </c>
      <c r="AF80" s="1560">
        <f t="shared" si="37"/>
        <v>0</v>
      </c>
      <c r="AG80" s="1560">
        <f t="shared" si="38"/>
        <v>0</v>
      </c>
      <c r="AH80" s="1187">
        <v>0</v>
      </c>
      <c r="AI80" s="1188">
        <v>19407.14</v>
      </c>
      <c r="AJ80" s="1188">
        <v>0</v>
      </c>
      <c r="AK80" s="1188">
        <v>0</v>
      </c>
      <c r="AL80" s="1188">
        <v>0</v>
      </c>
      <c r="AM80" s="1189">
        <f t="shared" si="25"/>
        <v>19407.14</v>
      </c>
      <c r="AN80" s="1189">
        <f t="shared" si="39"/>
        <v>0</v>
      </c>
      <c r="AO80" s="1189">
        <f t="shared" si="40"/>
        <v>0</v>
      </c>
    </row>
    <row r="81" spans="1:41" s="237" customFormat="1">
      <c r="A81" s="1179" t="s">
        <v>202</v>
      </c>
      <c r="B81" s="1180" t="s">
        <v>203</v>
      </c>
      <c r="C81" s="103" t="s">
        <v>265</v>
      </c>
      <c r="D81" s="1181">
        <f t="shared" si="26"/>
        <v>829250.96000000008</v>
      </c>
      <c r="E81" s="1181">
        <f t="shared" si="27"/>
        <v>1703215.2400000002</v>
      </c>
      <c r="F81" s="1181">
        <f t="shared" si="28"/>
        <v>0</v>
      </c>
      <c r="G81" s="1182">
        <f t="shared" si="29"/>
        <v>28958.93</v>
      </c>
      <c r="H81" s="1182">
        <f t="shared" si="30"/>
        <v>28958.93</v>
      </c>
      <c r="I81" s="1561">
        <f t="shared" si="31"/>
        <v>2561425.1300000004</v>
      </c>
      <c r="J81" s="1183">
        <v>354248.59</v>
      </c>
      <c r="K81" s="1184">
        <v>354248.59</v>
      </c>
      <c r="L81" s="1184">
        <v>0</v>
      </c>
      <c r="M81" s="1184">
        <v>-0.26</v>
      </c>
      <c r="N81" s="1184">
        <v>0</v>
      </c>
      <c r="O81" s="1185">
        <f t="shared" si="32"/>
        <v>708496.92</v>
      </c>
      <c r="P81" s="1560">
        <f t="shared" si="33"/>
        <v>-0.26</v>
      </c>
      <c r="Q81" s="1560">
        <f t="shared" si="34"/>
        <v>-0.26</v>
      </c>
      <c r="R81" s="1183">
        <v>423325.51</v>
      </c>
      <c r="S81" s="1184">
        <v>423325.51</v>
      </c>
      <c r="T81" s="1184">
        <v>0</v>
      </c>
      <c r="U81" s="1184">
        <v>9517.42</v>
      </c>
      <c r="V81" s="1184">
        <v>4022.11</v>
      </c>
      <c r="W81" s="1186">
        <f t="shared" si="23"/>
        <v>860190.55</v>
      </c>
      <c r="X81" s="1560">
        <f t="shared" si="35"/>
        <v>13539.53</v>
      </c>
      <c r="Y81" s="1560">
        <f t="shared" si="36"/>
        <v>13539.53</v>
      </c>
      <c r="Z81" s="1183"/>
      <c r="AA81" s="1184"/>
      <c r="AB81" s="1184"/>
      <c r="AC81" s="1184"/>
      <c r="AD81" s="1184"/>
      <c r="AE81" s="1186">
        <f t="shared" si="24"/>
        <v>0</v>
      </c>
      <c r="AF81" s="1560">
        <f t="shared" si="37"/>
        <v>0</v>
      </c>
      <c r="AG81" s="1560">
        <f t="shared" si="38"/>
        <v>0</v>
      </c>
      <c r="AH81" s="1187">
        <v>51676.86</v>
      </c>
      <c r="AI81" s="1188">
        <v>925641.14</v>
      </c>
      <c r="AJ81" s="1188">
        <v>0</v>
      </c>
      <c r="AK81" s="1188">
        <v>10288.94</v>
      </c>
      <c r="AL81" s="1188">
        <v>5130.72</v>
      </c>
      <c r="AM81" s="1189">
        <f t="shared" si="25"/>
        <v>992737.65999999992</v>
      </c>
      <c r="AN81" s="1189">
        <f t="shared" si="39"/>
        <v>15419.66</v>
      </c>
      <c r="AO81" s="1189">
        <f t="shared" si="40"/>
        <v>15419.66</v>
      </c>
    </row>
    <row r="82" spans="1:41" s="237" customFormat="1">
      <c r="A82" s="1179" t="s">
        <v>204</v>
      </c>
      <c r="B82" s="1180" t="s">
        <v>205</v>
      </c>
      <c r="C82" s="103" t="s">
        <v>265</v>
      </c>
      <c r="D82" s="1181">
        <f t="shared" si="26"/>
        <v>110825.14</v>
      </c>
      <c r="E82" s="1181">
        <f t="shared" si="27"/>
        <v>191046.96000000002</v>
      </c>
      <c r="F82" s="1181">
        <f t="shared" si="28"/>
        <v>0</v>
      </c>
      <c r="G82" s="1182">
        <f t="shared" si="29"/>
        <v>-7.0000000000000007E-2</v>
      </c>
      <c r="H82" s="1182">
        <f t="shared" si="30"/>
        <v>-7.0000000000000007E-2</v>
      </c>
      <c r="I82" s="1561">
        <f t="shared" si="31"/>
        <v>301872.03000000003</v>
      </c>
      <c r="J82" s="1183">
        <v>42416.109999999993</v>
      </c>
      <c r="K82" s="1184">
        <v>42416.109999999993</v>
      </c>
      <c r="L82" s="1184">
        <v>0</v>
      </c>
      <c r="M82" s="1184">
        <v>-7.0000000000000007E-2</v>
      </c>
      <c r="N82" s="1184">
        <v>0</v>
      </c>
      <c r="O82" s="1185">
        <f t="shared" si="32"/>
        <v>84832.14999999998</v>
      </c>
      <c r="P82" s="1560">
        <f t="shared" si="33"/>
        <v>-7.0000000000000007E-2</v>
      </c>
      <c r="Q82" s="1560">
        <f t="shared" si="34"/>
        <v>-7.0000000000000007E-2</v>
      </c>
      <c r="R82" s="1183">
        <v>61123.33</v>
      </c>
      <c r="S82" s="1184">
        <v>61123.33</v>
      </c>
      <c r="T82" s="1184">
        <v>0</v>
      </c>
      <c r="U82" s="1184">
        <v>0</v>
      </c>
      <c r="V82" s="1184">
        <v>0</v>
      </c>
      <c r="W82" s="1186">
        <f t="shared" si="23"/>
        <v>122246.66</v>
      </c>
      <c r="X82" s="1560">
        <f t="shared" si="35"/>
        <v>0</v>
      </c>
      <c r="Y82" s="1560">
        <f t="shared" si="36"/>
        <v>0</v>
      </c>
      <c r="Z82" s="1183"/>
      <c r="AA82" s="1184"/>
      <c r="AB82" s="1184"/>
      <c r="AC82" s="1184"/>
      <c r="AD82" s="1184"/>
      <c r="AE82" s="1186">
        <f t="shared" si="24"/>
        <v>0</v>
      </c>
      <c r="AF82" s="1560">
        <f t="shared" si="37"/>
        <v>0</v>
      </c>
      <c r="AG82" s="1560">
        <f t="shared" si="38"/>
        <v>0</v>
      </c>
      <c r="AH82" s="1187">
        <v>7285.7</v>
      </c>
      <c r="AI82" s="1188">
        <v>87507.520000000004</v>
      </c>
      <c r="AJ82" s="1188">
        <v>0</v>
      </c>
      <c r="AK82" s="1188">
        <v>0</v>
      </c>
      <c r="AL82" s="1188">
        <v>0</v>
      </c>
      <c r="AM82" s="1189">
        <f t="shared" si="25"/>
        <v>94793.22</v>
      </c>
      <c r="AN82" s="1189">
        <f t="shared" si="39"/>
        <v>0</v>
      </c>
      <c r="AO82" s="1189">
        <f t="shared" si="40"/>
        <v>0</v>
      </c>
    </row>
    <row r="83" spans="1:41" s="237" customFormat="1">
      <c r="A83" s="1179" t="s">
        <v>206</v>
      </c>
      <c r="B83" s="1180" t="s">
        <v>207</v>
      </c>
      <c r="C83" s="103" t="s">
        <v>267</v>
      </c>
      <c r="D83" s="1181">
        <f t="shared" si="26"/>
        <v>2014707.7000000002</v>
      </c>
      <c r="E83" s="1181">
        <f t="shared" si="27"/>
        <v>3800822.1</v>
      </c>
      <c r="F83" s="1181">
        <f t="shared" si="28"/>
        <v>0</v>
      </c>
      <c r="G83" s="1182">
        <f t="shared" si="29"/>
        <v>-0.21000000000000002</v>
      </c>
      <c r="H83" s="1182">
        <f t="shared" si="30"/>
        <v>-0.21000000000000002</v>
      </c>
      <c r="I83" s="1561">
        <f t="shared" si="31"/>
        <v>5815529.5900000008</v>
      </c>
      <c r="J83" s="1183">
        <v>670218.58000000007</v>
      </c>
      <c r="K83" s="1184">
        <v>670218.58000000007</v>
      </c>
      <c r="L83" s="1184">
        <v>0</v>
      </c>
      <c r="M83" s="1184">
        <v>-0.2</v>
      </c>
      <c r="N83" s="1184">
        <v>0</v>
      </c>
      <c r="O83" s="1185">
        <f t="shared" si="32"/>
        <v>1340436.9600000002</v>
      </c>
      <c r="P83" s="1560">
        <f t="shared" si="33"/>
        <v>-0.2</v>
      </c>
      <c r="Q83" s="1560">
        <f t="shared" si="34"/>
        <v>-0.2</v>
      </c>
      <c r="R83" s="1183">
        <v>1096237.26</v>
      </c>
      <c r="S83" s="1184">
        <v>1096237.26</v>
      </c>
      <c r="T83" s="1184">
        <v>0</v>
      </c>
      <c r="U83" s="1184">
        <v>-0.01</v>
      </c>
      <c r="V83" s="1184">
        <v>0</v>
      </c>
      <c r="W83" s="1186">
        <f t="shared" si="23"/>
        <v>2192474.5100000002</v>
      </c>
      <c r="X83" s="1560">
        <f t="shared" si="35"/>
        <v>-0.01</v>
      </c>
      <c r="Y83" s="1560">
        <f t="shared" si="36"/>
        <v>-0.01</v>
      </c>
      <c r="Z83" s="1183"/>
      <c r="AA83" s="1184"/>
      <c r="AB83" s="1184"/>
      <c r="AC83" s="1184"/>
      <c r="AD83" s="1184"/>
      <c r="AE83" s="1186">
        <f t="shared" si="24"/>
        <v>0</v>
      </c>
      <c r="AF83" s="1560">
        <f t="shared" si="37"/>
        <v>0</v>
      </c>
      <c r="AG83" s="1560">
        <f t="shared" si="38"/>
        <v>0</v>
      </c>
      <c r="AH83" s="1187">
        <v>248251.86</v>
      </c>
      <c r="AI83" s="1188">
        <v>2034366.26</v>
      </c>
      <c r="AJ83" s="1188">
        <v>0</v>
      </c>
      <c r="AK83" s="1188">
        <v>0</v>
      </c>
      <c r="AL83" s="1188">
        <v>0</v>
      </c>
      <c r="AM83" s="1189">
        <f t="shared" si="25"/>
        <v>2282618.12</v>
      </c>
      <c r="AN83" s="1189">
        <f t="shared" si="39"/>
        <v>0</v>
      </c>
      <c r="AO83" s="1189">
        <f t="shared" si="40"/>
        <v>0</v>
      </c>
    </row>
    <row r="84" spans="1:41" s="237" customFormat="1">
      <c r="A84" s="1179" t="s">
        <v>208</v>
      </c>
      <c r="B84" s="1180" t="s">
        <v>209</v>
      </c>
      <c r="C84" s="103" t="s">
        <v>268</v>
      </c>
      <c r="D84" s="1181">
        <f t="shared" si="26"/>
        <v>541033.28999999992</v>
      </c>
      <c r="E84" s="1181">
        <f t="shared" si="27"/>
        <v>884273.8899999999</v>
      </c>
      <c r="F84" s="1181">
        <f t="shared" si="28"/>
        <v>0</v>
      </c>
      <c r="G84" s="1182">
        <f t="shared" si="29"/>
        <v>-0.13</v>
      </c>
      <c r="H84" s="1182">
        <f t="shared" si="30"/>
        <v>-0.13</v>
      </c>
      <c r="I84" s="1561">
        <f t="shared" si="31"/>
        <v>1425307.0499999998</v>
      </c>
      <c r="J84" s="1183">
        <v>151355.41</v>
      </c>
      <c r="K84" s="1184">
        <v>151355.41</v>
      </c>
      <c r="L84" s="1184">
        <v>0</v>
      </c>
      <c r="M84" s="1184">
        <v>-0.12</v>
      </c>
      <c r="N84" s="1184">
        <v>0</v>
      </c>
      <c r="O84" s="1185">
        <f t="shared" si="32"/>
        <v>302710.7</v>
      </c>
      <c r="P84" s="1560">
        <f t="shared" si="33"/>
        <v>-0.12</v>
      </c>
      <c r="Q84" s="1560">
        <f t="shared" si="34"/>
        <v>-0.12</v>
      </c>
      <c r="R84" s="1183">
        <v>381426.68</v>
      </c>
      <c r="S84" s="1184">
        <v>381426.68</v>
      </c>
      <c r="T84" s="1184">
        <v>0</v>
      </c>
      <c r="U84" s="1184">
        <v>-0.01</v>
      </c>
      <c r="V84" s="1184">
        <v>0</v>
      </c>
      <c r="W84" s="1186">
        <f t="shared" si="23"/>
        <v>762853.35</v>
      </c>
      <c r="X84" s="1560">
        <f t="shared" si="35"/>
        <v>-0.01</v>
      </c>
      <c r="Y84" s="1560">
        <f t="shared" si="36"/>
        <v>-0.01</v>
      </c>
      <c r="Z84" s="1183"/>
      <c r="AA84" s="1184"/>
      <c r="AB84" s="1184"/>
      <c r="AC84" s="1184"/>
      <c r="AD84" s="1184"/>
      <c r="AE84" s="1186">
        <f t="shared" si="24"/>
        <v>0</v>
      </c>
      <c r="AF84" s="1560">
        <f t="shared" si="37"/>
        <v>0</v>
      </c>
      <c r="AG84" s="1560">
        <f t="shared" si="38"/>
        <v>0</v>
      </c>
      <c r="AH84" s="1187">
        <v>8251.2000000000007</v>
      </c>
      <c r="AI84" s="1188">
        <v>351491.8</v>
      </c>
      <c r="AJ84" s="1188">
        <v>0</v>
      </c>
      <c r="AK84" s="1188">
        <v>0</v>
      </c>
      <c r="AL84" s="1188">
        <v>0</v>
      </c>
      <c r="AM84" s="1189">
        <f t="shared" si="25"/>
        <v>359743</v>
      </c>
      <c r="AN84" s="1189">
        <f t="shared" si="39"/>
        <v>0</v>
      </c>
      <c r="AO84" s="1189">
        <f t="shared" si="40"/>
        <v>0</v>
      </c>
    </row>
    <row r="85" spans="1:41" s="237" customFormat="1">
      <c r="A85" s="1179" t="s">
        <v>210</v>
      </c>
      <c r="B85" s="1180" t="s">
        <v>211</v>
      </c>
      <c r="C85" s="103" t="s">
        <v>268</v>
      </c>
      <c r="D85" s="1181">
        <f t="shared" si="26"/>
        <v>374499.49</v>
      </c>
      <c r="E85" s="1181">
        <f t="shared" si="27"/>
        <v>457670.89</v>
      </c>
      <c r="F85" s="1181">
        <f t="shared" si="28"/>
        <v>0</v>
      </c>
      <c r="G85" s="1182">
        <f t="shared" si="29"/>
        <v>-0.12</v>
      </c>
      <c r="H85" s="1182">
        <f t="shared" si="30"/>
        <v>-0.12</v>
      </c>
      <c r="I85" s="1561">
        <f t="shared" si="31"/>
        <v>832170.26</v>
      </c>
      <c r="J85" s="1183">
        <v>142442.91</v>
      </c>
      <c r="K85" s="1184">
        <v>142442.91</v>
      </c>
      <c r="L85" s="1184">
        <v>0</v>
      </c>
      <c r="M85" s="1184">
        <v>-0.12</v>
      </c>
      <c r="N85" s="1184">
        <v>0</v>
      </c>
      <c r="O85" s="1185">
        <f t="shared" si="32"/>
        <v>284885.7</v>
      </c>
      <c r="P85" s="1560">
        <f t="shared" si="33"/>
        <v>-0.12</v>
      </c>
      <c r="Q85" s="1560">
        <f t="shared" si="34"/>
        <v>-0.12</v>
      </c>
      <c r="R85" s="1183">
        <v>230710.78</v>
      </c>
      <c r="S85" s="1184">
        <v>230710.78</v>
      </c>
      <c r="T85" s="1184">
        <v>0</v>
      </c>
      <c r="U85" s="1184">
        <v>0</v>
      </c>
      <c r="V85" s="1184">
        <v>0</v>
      </c>
      <c r="W85" s="1186">
        <f t="shared" si="23"/>
        <v>461421.56</v>
      </c>
      <c r="X85" s="1560">
        <f t="shared" si="35"/>
        <v>0</v>
      </c>
      <c r="Y85" s="1560">
        <f t="shared" si="36"/>
        <v>0</v>
      </c>
      <c r="Z85" s="1183"/>
      <c r="AA85" s="1184"/>
      <c r="AB85" s="1184"/>
      <c r="AC85" s="1184"/>
      <c r="AD85" s="1184"/>
      <c r="AE85" s="1186">
        <f t="shared" si="24"/>
        <v>0</v>
      </c>
      <c r="AF85" s="1560">
        <f t="shared" si="37"/>
        <v>0</v>
      </c>
      <c r="AG85" s="1560">
        <f t="shared" si="38"/>
        <v>0</v>
      </c>
      <c r="AH85" s="1187">
        <v>1345.8</v>
      </c>
      <c r="AI85" s="1188">
        <v>84517.2</v>
      </c>
      <c r="AJ85" s="1188">
        <v>0</v>
      </c>
      <c r="AK85" s="1188">
        <v>0</v>
      </c>
      <c r="AL85" s="1188">
        <v>0</v>
      </c>
      <c r="AM85" s="1189">
        <f t="shared" si="25"/>
        <v>85863</v>
      </c>
      <c r="AN85" s="1189">
        <f t="shared" si="39"/>
        <v>0</v>
      </c>
      <c r="AO85" s="1189">
        <f t="shared" si="40"/>
        <v>0</v>
      </c>
    </row>
    <row r="86" spans="1:41" s="237" customFormat="1">
      <c r="A86" s="1179" t="s">
        <v>212</v>
      </c>
      <c r="B86" s="1180" t="s">
        <v>213</v>
      </c>
      <c r="C86" s="103" t="s">
        <v>267</v>
      </c>
      <c r="D86" s="1181">
        <f t="shared" si="26"/>
        <v>272115.39</v>
      </c>
      <c r="E86" s="1181">
        <f t="shared" si="27"/>
        <v>595836.91999999993</v>
      </c>
      <c r="F86" s="1181">
        <f t="shared" si="28"/>
        <v>0</v>
      </c>
      <c r="G86" s="1182">
        <f t="shared" si="29"/>
        <v>-0.1</v>
      </c>
      <c r="H86" s="1182">
        <f t="shared" si="30"/>
        <v>-0.1</v>
      </c>
      <c r="I86" s="1561">
        <f t="shared" si="31"/>
        <v>867952.21</v>
      </c>
      <c r="J86" s="1183">
        <v>136465.38</v>
      </c>
      <c r="K86" s="1184">
        <v>136465.38</v>
      </c>
      <c r="L86" s="1184">
        <v>0</v>
      </c>
      <c r="M86" s="1184">
        <v>-0.1</v>
      </c>
      <c r="N86" s="1184">
        <v>0</v>
      </c>
      <c r="O86" s="1185">
        <f t="shared" si="32"/>
        <v>272930.66000000003</v>
      </c>
      <c r="P86" s="1560">
        <f t="shared" si="33"/>
        <v>-0.1</v>
      </c>
      <c r="Q86" s="1560">
        <f t="shared" si="34"/>
        <v>-0.1</v>
      </c>
      <c r="R86" s="1183">
        <v>110333.5</v>
      </c>
      <c r="S86" s="1184">
        <v>110333.5</v>
      </c>
      <c r="T86" s="1184">
        <v>0</v>
      </c>
      <c r="U86" s="1184">
        <v>0</v>
      </c>
      <c r="V86" s="1184">
        <v>0</v>
      </c>
      <c r="W86" s="1186">
        <f t="shared" si="23"/>
        <v>220667</v>
      </c>
      <c r="X86" s="1560">
        <f t="shared" si="35"/>
        <v>0</v>
      </c>
      <c r="Y86" s="1560">
        <f t="shared" si="36"/>
        <v>0</v>
      </c>
      <c r="Z86" s="1183"/>
      <c r="AA86" s="1184"/>
      <c r="AB86" s="1184"/>
      <c r="AC86" s="1184"/>
      <c r="AD86" s="1184"/>
      <c r="AE86" s="1186">
        <f t="shared" si="24"/>
        <v>0</v>
      </c>
      <c r="AF86" s="1560">
        <f t="shared" si="37"/>
        <v>0</v>
      </c>
      <c r="AG86" s="1560">
        <f t="shared" si="38"/>
        <v>0</v>
      </c>
      <c r="AH86" s="1187">
        <v>25316.51</v>
      </c>
      <c r="AI86" s="1188">
        <v>349038.04</v>
      </c>
      <c r="AJ86" s="1188">
        <v>0</v>
      </c>
      <c r="AK86" s="1188">
        <v>0</v>
      </c>
      <c r="AL86" s="1188">
        <v>0</v>
      </c>
      <c r="AM86" s="1189">
        <f t="shared" si="25"/>
        <v>374354.55</v>
      </c>
      <c r="AN86" s="1189">
        <f t="shared" si="39"/>
        <v>0</v>
      </c>
      <c r="AO86" s="1189">
        <f t="shared" si="40"/>
        <v>0</v>
      </c>
    </row>
    <row r="87" spans="1:41" s="237" customFormat="1">
      <c r="A87" s="1179" t="s">
        <v>214</v>
      </c>
      <c r="B87" s="1180" t="s">
        <v>215</v>
      </c>
      <c r="C87" s="103" t="s">
        <v>268</v>
      </c>
      <c r="D87" s="1181">
        <f t="shared" si="26"/>
        <v>242609.61000000002</v>
      </c>
      <c r="E87" s="1181">
        <f t="shared" si="27"/>
        <v>288610.19</v>
      </c>
      <c r="F87" s="1181">
        <f t="shared" si="28"/>
        <v>0</v>
      </c>
      <c r="G87" s="1182">
        <f t="shared" si="29"/>
        <v>-0.17</v>
      </c>
      <c r="H87" s="1182">
        <f t="shared" si="30"/>
        <v>-0.17</v>
      </c>
      <c r="I87" s="1561">
        <f t="shared" si="31"/>
        <v>531219.63</v>
      </c>
      <c r="J87" s="1183">
        <v>111946.34</v>
      </c>
      <c r="K87" s="1184">
        <v>111946.34</v>
      </c>
      <c r="L87" s="1184">
        <v>0</v>
      </c>
      <c r="M87" s="1184">
        <v>-0.14000000000000001</v>
      </c>
      <c r="N87" s="1184">
        <v>0</v>
      </c>
      <c r="O87" s="1185">
        <f t="shared" si="32"/>
        <v>223892.53999999998</v>
      </c>
      <c r="P87" s="1560">
        <f t="shared" si="33"/>
        <v>-0.14000000000000001</v>
      </c>
      <c r="Q87" s="1560">
        <f t="shared" si="34"/>
        <v>-0.14000000000000001</v>
      </c>
      <c r="R87" s="1183">
        <v>117207.74</v>
      </c>
      <c r="S87" s="1184">
        <v>117207.74</v>
      </c>
      <c r="T87" s="1184">
        <v>0</v>
      </c>
      <c r="U87" s="1184">
        <v>-0.03</v>
      </c>
      <c r="V87" s="1184">
        <v>0</v>
      </c>
      <c r="W87" s="1186">
        <f t="shared" si="23"/>
        <v>234415.45</v>
      </c>
      <c r="X87" s="1560">
        <f t="shared" si="35"/>
        <v>-0.03</v>
      </c>
      <c r="Y87" s="1560">
        <f t="shared" si="36"/>
        <v>-0.03</v>
      </c>
      <c r="Z87" s="1183"/>
      <c r="AA87" s="1184"/>
      <c r="AB87" s="1184"/>
      <c r="AC87" s="1184"/>
      <c r="AD87" s="1184"/>
      <c r="AE87" s="1186">
        <f t="shared" si="24"/>
        <v>0</v>
      </c>
      <c r="AF87" s="1560">
        <f t="shared" si="37"/>
        <v>0</v>
      </c>
      <c r="AG87" s="1560">
        <f t="shared" si="38"/>
        <v>0</v>
      </c>
      <c r="AH87" s="1187">
        <v>13455.53</v>
      </c>
      <c r="AI87" s="1188">
        <v>59456.11</v>
      </c>
      <c r="AJ87" s="1188">
        <v>0</v>
      </c>
      <c r="AK87" s="1188">
        <v>0</v>
      </c>
      <c r="AL87" s="1188">
        <v>0</v>
      </c>
      <c r="AM87" s="1189">
        <f t="shared" si="25"/>
        <v>72911.64</v>
      </c>
      <c r="AN87" s="1189">
        <f t="shared" si="39"/>
        <v>0</v>
      </c>
      <c r="AO87" s="1189">
        <f t="shared" si="40"/>
        <v>0</v>
      </c>
    </row>
    <row r="88" spans="1:41" s="237" customFormat="1">
      <c r="A88" s="1179" t="s">
        <v>216</v>
      </c>
      <c r="B88" s="1180" t="s">
        <v>217</v>
      </c>
      <c r="C88" s="103" t="s">
        <v>264</v>
      </c>
      <c r="D88" s="1181">
        <f t="shared" si="26"/>
        <v>58598.66</v>
      </c>
      <c r="E88" s="1181">
        <f t="shared" si="27"/>
        <v>58598.66</v>
      </c>
      <c r="F88" s="1181">
        <f t="shared" si="28"/>
        <v>0</v>
      </c>
      <c r="G88" s="1182">
        <f t="shared" si="29"/>
        <v>0.04</v>
      </c>
      <c r="H88" s="1182">
        <f t="shared" si="30"/>
        <v>0.04</v>
      </c>
      <c r="I88" s="1561">
        <f t="shared" si="31"/>
        <v>117197.36</v>
      </c>
      <c r="J88" s="1183">
        <v>-886.84</v>
      </c>
      <c r="K88" s="1184">
        <v>-886.84</v>
      </c>
      <c r="L88" s="1184">
        <v>0</v>
      </c>
      <c r="M88" s="1184">
        <v>0.04</v>
      </c>
      <c r="N88" s="1184">
        <v>0</v>
      </c>
      <c r="O88" s="1185">
        <f t="shared" si="32"/>
        <v>-1773.64</v>
      </c>
      <c r="P88" s="1560">
        <f t="shared" si="33"/>
        <v>0.04</v>
      </c>
      <c r="Q88" s="1560">
        <f t="shared" si="34"/>
        <v>0.04</v>
      </c>
      <c r="R88" s="1183">
        <v>59485.5</v>
      </c>
      <c r="S88" s="1184">
        <v>59485.5</v>
      </c>
      <c r="T88" s="1184">
        <v>0</v>
      </c>
      <c r="U88" s="1184">
        <v>0</v>
      </c>
      <c r="V88" s="1184">
        <v>0</v>
      </c>
      <c r="W88" s="1186">
        <f t="shared" si="23"/>
        <v>118971</v>
      </c>
      <c r="X88" s="1560">
        <f t="shared" si="35"/>
        <v>0</v>
      </c>
      <c r="Y88" s="1560">
        <f t="shared" si="36"/>
        <v>0</v>
      </c>
      <c r="Z88" s="1187"/>
      <c r="AA88" s="1188"/>
      <c r="AB88" s="1188"/>
      <c r="AC88" s="1188"/>
      <c r="AD88" s="1188"/>
      <c r="AE88" s="1186">
        <f t="shared" si="24"/>
        <v>0</v>
      </c>
      <c r="AF88" s="1560">
        <f t="shared" si="37"/>
        <v>0</v>
      </c>
      <c r="AG88" s="1560">
        <f t="shared" si="38"/>
        <v>0</v>
      </c>
      <c r="AH88" s="1187"/>
      <c r="AI88" s="1188"/>
      <c r="AJ88" s="1188"/>
      <c r="AK88" s="1188"/>
      <c r="AL88" s="1188"/>
      <c r="AM88" s="1189">
        <f t="shared" si="25"/>
        <v>0</v>
      </c>
      <c r="AN88" s="1189">
        <f t="shared" si="39"/>
        <v>0</v>
      </c>
      <c r="AO88" s="1189">
        <f t="shared" si="40"/>
        <v>0</v>
      </c>
    </row>
    <row r="89" spans="1:41" s="237" customFormat="1">
      <c r="A89" s="1179" t="s">
        <v>218</v>
      </c>
      <c r="B89" s="1180" t="s">
        <v>219</v>
      </c>
      <c r="C89" s="103" t="s">
        <v>267</v>
      </c>
      <c r="D89" s="1181">
        <f t="shared" si="26"/>
        <v>784285.23</v>
      </c>
      <c r="E89" s="1181">
        <f t="shared" si="27"/>
        <v>1374758.42</v>
      </c>
      <c r="F89" s="1181">
        <f t="shared" si="28"/>
        <v>0</v>
      </c>
      <c r="G89" s="1182">
        <f t="shared" si="29"/>
        <v>-0.19</v>
      </c>
      <c r="H89" s="1182">
        <f t="shared" si="30"/>
        <v>-0.19</v>
      </c>
      <c r="I89" s="1561">
        <f t="shared" si="31"/>
        <v>2159043.46</v>
      </c>
      <c r="J89" s="1183">
        <v>479480.24</v>
      </c>
      <c r="K89" s="1184">
        <v>479480.24</v>
      </c>
      <c r="L89" s="1184">
        <v>0</v>
      </c>
      <c r="M89" s="1184">
        <v>-0.19</v>
      </c>
      <c r="N89" s="1184">
        <v>0</v>
      </c>
      <c r="O89" s="1185">
        <f t="shared" si="32"/>
        <v>958960.29</v>
      </c>
      <c r="P89" s="1560">
        <f t="shared" si="33"/>
        <v>-0.19</v>
      </c>
      <c r="Q89" s="1560">
        <f t="shared" si="34"/>
        <v>-0.19</v>
      </c>
      <c r="R89" s="1183">
        <v>301020.55</v>
      </c>
      <c r="S89" s="1184">
        <v>301020.55</v>
      </c>
      <c r="T89" s="1184">
        <v>0</v>
      </c>
      <c r="U89" s="1184">
        <v>0</v>
      </c>
      <c r="V89" s="1184">
        <v>0</v>
      </c>
      <c r="W89" s="1186">
        <f t="shared" si="23"/>
        <v>602041.1</v>
      </c>
      <c r="X89" s="1560">
        <f t="shared" si="35"/>
        <v>0</v>
      </c>
      <c r="Y89" s="1560">
        <f t="shared" si="36"/>
        <v>0</v>
      </c>
      <c r="Z89" s="1183"/>
      <c r="AA89" s="1184"/>
      <c r="AB89" s="1184"/>
      <c r="AC89" s="1184"/>
      <c r="AD89" s="1184"/>
      <c r="AE89" s="1186">
        <f t="shared" si="24"/>
        <v>0</v>
      </c>
      <c r="AF89" s="1560">
        <f t="shared" si="37"/>
        <v>0</v>
      </c>
      <c r="AG89" s="1560">
        <f t="shared" si="38"/>
        <v>0</v>
      </c>
      <c r="AH89" s="1187">
        <v>3784.44</v>
      </c>
      <c r="AI89" s="1188">
        <v>594257.63</v>
      </c>
      <c r="AJ89" s="1188">
        <v>0</v>
      </c>
      <c r="AK89" s="1188">
        <v>0</v>
      </c>
      <c r="AL89" s="1188">
        <v>0</v>
      </c>
      <c r="AM89" s="1189">
        <f t="shared" si="25"/>
        <v>598042.06999999995</v>
      </c>
      <c r="AN89" s="1189">
        <f t="shared" si="39"/>
        <v>0</v>
      </c>
      <c r="AO89" s="1189">
        <f t="shared" si="40"/>
        <v>0</v>
      </c>
    </row>
    <row r="90" spans="1:41" s="237" customFormat="1">
      <c r="A90" s="1179" t="s">
        <v>220</v>
      </c>
      <c r="B90" s="1180" t="s">
        <v>221</v>
      </c>
      <c r="C90" s="103" t="s">
        <v>267</v>
      </c>
      <c r="D90" s="1181">
        <f t="shared" si="26"/>
        <v>565665.32000000007</v>
      </c>
      <c r="E90" s="1181">
        <f t="shared" si="27"/>
        <v>939667.38000000012</v>
      </c>
      <c r="F90" s="1181">
        <f t="shared" si="28"/>
        <v>0</v>
      </c>
      <c r="G90" s="1182">
        <f t="shared" si="29"/>
        <v>-0.04</v>
      </c>
      <c r="H90" s="1182">
        <f t="shared" si="30"/>
        <v>-0.04</v>
      </c>
      <c r="I90" s="1561">
        <f t="shared" si="31"/>
        <v>1505332.6600000001</v>
      </c>
      <c r="J90" s="1183">
        <v>141753.79999999999</v>
      </c>
      <c r="K90" s="1184">
        <v>141753.79999999999</v>
      </c>
      <c r="L90" s="1184">
        <v>0</v>
      </c>
      <c r="M90" s="1184">
        <v>-0.04</v>
      </c>
      <c r="N90" s="1184">
        <v>0</v>
      </c>
      <c r="O90" s="1185">
        <f t="shared" si="32"/>
        <v>283507.56</v>
      </c>
      <c r="P90" s="1560">
        <f t="shared" si="33"/>
        <v>-0.04</v>
      </c>
      <c r="Q90" s="1560">
        <f t="shared" si="34"/>
        <v>-0.04</v>
      </c>
      <c r="R90" s="1183">
        <v>384607.5</v>
      </c>
      <c r="S90" s="1184">
        <v>384607.5</v>
      </c>
      <c r="T90" s="1184">
        <v>0</v>
      </c>
      <c r="U90" s="1184">
        <v>0</v>
      </c>
      <c r="V90" s="1184">
        <v>0</v>
      </c>
      <c r="W90" s="1186">
        <f t="shared" si="23"/>
        <v>769215</v>
      </c>
      <c r="X90" s="1560">
        <f t="shared" si="35"/>
        <v>0</v>
      </c>
      <c r="Y90" s="1560">
        <f t="shared" si="36"/>
        <v>0</v>
      </c>
      <c r="Z90" s="1183"/>
      <c r="AA90" s="1184"/>
      <c r="AB90" s="1184"/>
      <c r="AC90" s="1184"/>
      <c r="AD90" s="1184"/>
      <c r="AE90" s="1186">
        <f t="shared" si="24"/>
        <v>0</v>
      </c>
      <c r="AF90" s="1560">
        <f t="shared" si="37"/>
        <v>0</v>
      </c>
      <c r="AG90" s="1560">
        <f t="shared" si="38"/>
        <v>0</v>
      </c>
      <c r="AH90" s="1187">
        <v>39304.019999999997</v>
      </c>
      <c r="AI90" s="1188">
        <v>413306.08</v>
      </c>
      <c r="AJ90" s="1188">
        <v>0</v>
      </c>
      <c r="AK90" s="1188">
        <v>0</v>
      </c>
      <c r="AL90" s="1188">
        <v>0</v>
      </c>
      <c r="AM90" s="1189">
        <f t="shared" si="25"/>
        <v>452610.10000000003</v>
      </c>
      <c r="AN90" s="1189">
        <f t="shared" si="39"/>
        <v>0</v>
      </c>
      <c r="AO90" s="1189">
        <f t="shared" si="40"/>
        <v>0</v>
      </c>
    </row>
    <row r="91" spans="1:41" s="237" customFormat="1">
      <c r="A91" s="1179" t="s">
        <v>224</v>
      </c>
      <c r="B91" s="1180" t="s">
        <v>225</v>
      </c>
      <c r="C91" s="103" t="s">
        <v>264</v>
      </c>
      <c r="D91" s="1181">
        <f t="shared" si="26"/>
        <v>2980</v>
      </c>
      <c r="E91" s="1181">
        <f t="shared" si="27"/>
        <v>2980</v>
      </c>
      <c r="F91" s="1181">
        <f t="shared" si="28"/>
        <v>0</v>
      </c>
      <c r="G91" s="1182">
        <f t="shared" si="29"/>
        <v>0</v>
      </c>
      <c r="H91" s="1182">
        <f t="shared" si="30"/>
        <v>0</v>
      </c>
      <c r="I91" s="1561">
        <f t="shared" si="31"/>
        <v>5960</v>
      </c>
      <c r="J91" s="1183"/>
      <c r="K91" s="1184"/>
      <c r="L91" s="1184"/>
      <c r="M91" s="1184"/>
      <c r="N91" s="1184"/>
      <c r="O91" s="1185">
        <f t="shared" si="32"/>
        <v>0</v>
      </c>
      <c r="P91" s="1560">
        <f t="shared" si="33"/>
        <v>0</v>
      </c>
      <c r="Q91" s="1560">
        <f t="shared" si="34"/>
        <v>0</v>
      </c>
      <c r="R91" s="1183">
        <v>2980</v>
      </c>
      <c r="S91" s="1184">
        <v>2980</v>
      </c>
      <c r="T91" s="1184">
        <v>0</v>
      </c>
      <c r="U91" s="1184">
        <v>0</v>
      </c>
      <c r="V91" s="1184">
        <v>0</v>
      </c>
      <c r="W91" s="1186">
        <f t="shared" si="23"/>
        <v>5960</v>
      </c>
      <c r="X91" s="1560">
        <f t="shared" si="35"/>
        <v>0</v>
      </c>
      <c r="Y91" s="1560">
        <f t="shared" si="36"/>
        <v>0</v>
      </c>
      <c r="Z91" s="1187"/>
      <c r="AA91" s="1188"/>
      <c r="AB91" s="1188"/>
      <c r="AC91" s="1188"/>
      <c r="AD91" s="1188"/>
      <c r="AE91" s="1186">
        <f t="shared" si="24"/>
        <v>0</v>
      </c>
      <c r="AF91" s="1560">
        <f t="shared" si="37"/>
        <v>0</v>
      </c>
      <c r="AG91" s="1560">
        <f t="shared" si="38"/>
        <v>0</v>
      </c>
      <c r="AH91" s="1187"/>
      <c r="AI91" s="1188"/>
      <c r="AJ91" s="1188"/>
      <c r="AK91" s="1188"/>
      <c r="AL91" s="1188"/>
      <c r="AM91" s="1189">
        <f t="shared" si="25"/>
        <v>0</v>
      </c>
      <c r="AN91" s="1189">
        <f t="shared" si="39"/>
        <v>0</v>
      </c>
      <c r="AO91" s="1189">
        <f t="shared" si="40"/>
        <v>0</v>
      </c>
    </row>
    <row r="92" spans="1:41" s="237" customFormat="1">
      <c r="A92" s="1179" t="s">
        <v>226</v>
      </c>
      <c r="B92" s="1180" t="s">
        <v>227</v>
      </c>
      <c r="C92" s="103" t="s">
        <v>264</v>
      </c>
      <c r="D92" s="1181">
        <f t="shared" si="26"/>
        <v>61236.369999999995</v>
      </c>
      <c r="E92" s="1181">
        <f t="shared" si="27"/>
        <v>92034.37</v>
      </c>
      <c r="F92" s="1181">
        <f t="shared" si="28"/>
        <v>0</v>
      </c>
      <c r="G92" s="1182">
        <f t="shared" si="29"/>
        <v>0.01</v>
      </c>
      <c r="H92" s="1182">
        <f t="shared" si="30"/>
        <v>0.01</v>
      </c>
      <c r="I92" s="1561">
        <f t="shared" si="31"/>
        <v>153270.75</v>
      </c>
      <c r="J92" s="1183">
        <v>20227.87</v>
      </c>
      <c r="K92" s="1184">
        <v>20227.87</v>
      </c>
      <c r="L92" s="1184">
        <v>0</v>
      </c>
      <c r="M92" s="1184">
        <v>0.01</v>
      </c>
      <c r="N92" s="1184">
        <v>0</v>
      </c>
      <c r="O92" s="1185">
        <f t="shared" si="32"/>
        <v>40455.75</v>
      </c>
      <c r="P92" s="1560">
        <f t="shared" si="33"/>
        <v>0.01</v>
      </c>
      <c r="Q92" s="1560">
        <f t="shared" si="34"/>
        <v>0.01</v>
      </c>
      <c r="R92" s="1183">
        <v>40312.5</v>
      </c>
      <c r="S92" s="1184">
        <v>40312.5</v>
      </c>
      <c r="T92" s="1184">
        <v>0</v>
      </c>
      <c r="U92" s="1184">
        <v>0</v>
      </c>
      <c r="V92" s="1184">
        <v>0</v>
      </c>
      <c r="W92" s="1186">
        <f t="shared" si="23"/>
        <v>80625</v>
      </c>
      <c r="X92" s="1560">
        <f t="shared" si="35"/>
        <v>0</v>
      </c>
      <c r="Y92" s="1560">
        <f t="shared" si="36"/>
        <v>0</v>
      </c>
      <c r="Z92" s="1183"/>
      <c r="AA92" s="1184"/>
      <c r="AB92" s="1184"/>
      <c r="AC92" s="1184"/>
      <c r="AD92" s="1184"/>
      <c r="AE92" s="1186">
        <f t="shared" si="24"/>
        <v>0</v>
      </c>
      <c r="AF92" s="1560">
        <f t="shared" si="37"/>
        <v>0</v>
      </c>
      <c r="AG92" s="1560">
        <f t="shared" si="38"/>
        <v>0</v>
      </c>
      <c r="AH92" s="1187">
        <v>696</v>
      </c>
      <c r="AI92" s="1188">
        <v>31494</v>
      </c>
      <c r="AJ92" s="1188">
        <v>0</v>
      </c>
      <c r="AK92" s="1188">
        <v>0</v>
      </c>
      <c r="AL92" s="1188">
        <v>0</v>
      </c>
      <c r="AM92" s="1189">
        <f t="shared" si="25"/>
        <v>32190</v>
      </c>
      <c r="AN92" s="1189">
        <f t="shared" si="39"/>
        <v>0</v>
      </c>
      <c r="AO92" s="1189">
        <f t="shared" si="40"/>
        <v>0</v>
      </c>
    </row>
    <row r="93" spans="1:41" s="237" customFormat="1">
      <c r="A93" s="1179" t="s">
        <v>228</v>
      </c>
      <c r="B93" s="1180" t="s">
        <v>229</v>
      </c>
      <c r="C93" s="103" t="s">
        <v>268</v>
      </c>
      <c r="D93" s="1181">
        <f t="shared" si="26"/>
        <v>685522.03</v>
      </c>
      <c r="E93" s="1181">
        <f t="shared" si="27"/>
        <v>1139567.08</v>
      </c>
      <c r="F93" s="1181">
        <f t="shared" si="28"/>
        <v>0</v>
      </c>
      <c r="G93" s="1182">
        <f t="shared" si="29"/>
        <v>-0.19</v>
      </c>
      <c r="H93" s="1182">
        <f t="shared" si="30"/>
        <v>-0.19</v>
      </c>
      <c r="I93" s="1561">
        <f t="shared" si="31"/>
        <v>1825088.9200000002</v>
      </c>
      <c r="J93" s="1183">
        <v>157740.98000000001</v>
      </c>
      <c r="K93" s="1184">
        <v>157740.98000000001</v>
      </c>
      <c r="L93" s="1184">
        <v>0</v>
      </c>
      <c r="M93" s="1184">
        <v>-0.15</v>
      </c>
      <c r="N93" s="1184">
        <v>0</v>
      </c>
      <c r="O93" s="1185">
        <f t="shared" si="32"/>
        <v>315481.81</v>
      </c>
      <c r="P93" s="1560">
        <f t="shared" si="33"/>
        <v>-0.15</v>
      </c>
      <c r="Q93" s="1560">
        <f t="shared" si="34"/>
        <v>-0.15</v>
      </c>
      <c r="R93" s="1183">
        <v>504705.56</v>
      </c>
      <c r="S93" s="1184">
        <v>504705.56</v>
      </c>
      <c r="T93" s="1184">
        <v>0</v>
      </c>
      <c r="U93" s="1184">
        <v>-0.04</v>
      </c>
      <c r="V93" s="1184">
        <v>0</v>
      </c>
      <c r="W93" s="1186">
        <f t="shared" si="23"/>
        <v>1009411.08</v>
      </c>
      <c r="X93" s="1560">
        <f t="shared" si="35"/>
        <v>-0.04</v>
      </c>
      <c r="Y93" s="1560">
        <f t="shared" si="36"/>
        <v>-0.04</v>
      </c>
      <c r="Z93" s="1183"/>
      <c r="AA93" s="1184"/>
      <c r="AB93" s="1184"/>
      <c r="AC93" s="1184"/>
      <c r="AD93" s="1184"/>
      <c r="AE93" s="1186">
        <f t="shared" si="24"/>
        <v>0</v>
      </c>
      <c r="AF93" s="1560">
        <f t="shared" si="37"/>
        <v>0</v>
      </c>
      <c r="AG93" s="1560">
        <f t="shared" si="38"/>
        <v>0</v>
      </c>
      <c r="AH93" s="1187">
        <v>23075.49</v>
      </c>
      <c r="AI93" s="1188">
        <v>477120.54</v>
      </c>
      <c r="AJ93" s="1188">
        <v>0</v>
      </c>
      <c r="AK93" s="1188">
        <v>0</v>
      </c>
      <c r="AL93" s="1188">
        <v>0</v>
      </c>
      <c r="AM93" s="1189">
        <f t="shared" si="25"/>
        <v>500196.02999999997</v>
      </c>
      <c r="AN93" s="1189">
        <f t="shared" si="39"/>
        <v>0</v>
      </c>
      <c r="AO93" s="1189">
        <f t="shared" si="40"/>
        <v>0</v>
      </c>
    </row>
    <row r="94" spans="1:41" s="237" customFormat="1">
      <c r="A94" s="1179" t="s">
        <v>232</v>
      </c>
      <c r="B94" s="1180" t="s">
        <v>233</v>
      </c>
      <c r="C94" s="103" t="s">
        <v>267</v>
      </c>
      <c r="D94" s="1181">
        <f t="shared" si="26"/>
        <v>335207.39</v>
      </c>
      <c r="E94" s="1181">
        <f t="shared" si="27"/>
        <v>560763</v>
      </c>
      <c r="F94" s="1181">
        <f t="shared" si="28"/>
        <v>0</v>
      </c>
      <c r="G94" s="1182">
        <f t="shared" si="29"/>
        <v>-0.14000000000000001</v>
      </c>
      <c r="H94" s="1182">
        <f t="shared" si="30"/>
        <v>-0.14000000000000001</v>
      </c>
      <c r="I94" s="1561">
        <f t="shared" si="31"/>
        <v>895970.25</v>
      </c>
      <c r="J94" s="1183">
        <v>141896.10999999999</v>
      </c>
      <c r="K94" s="1184">
        <v>141896.10999999999</v>
      </c>
      <c r="L94" s="1184">
        <v>0</v>
      </c>
      <c r="M94" s="1184">
        <v>-0.13</v>
      </c>
      <c r="N94" s="1184">
        <v>0</v>
      </c>
      <c r="O94" s="1185">
        <f t="shared" si="32"/>
        <v>283792.08999999997</v>
      </c>
      <c r="P94" s="1560">
        <f t="shared" si="33"/>
        <v>-0.13</v>
      </c>
      <c r="Q94" s="1560">
        <f t="shared" si="34"/>
        <v>-0.13</v>
      </c>
      <c r="R94" s="1183">
        <v>173823.88</v>
      </c>
      <c r="S94" s="1184">
        <v>173823.88</v>
      </c>
      <c r="T94" s="1184">
        <v>0</v>
      </c>
      <c r="U94" s="1184">
        <v>-0.01</v>
      </c>
      <c r="V94" s="1184">
        <v>0</v>
      </c>
      <c r="W94" s="1186">
        <f t="shared" si="23"/>
        <v>347647.75</v>
      </c>
      <c r="X94" s="1560">
        <f t="shared" si="35"/>
        <v>-0.01</v>
      </c>
      <c r="Y94" s="1560">
        <f t="shared" si="36"/>
        <v>-0.01</v>
      </c>
      <c r="Z94" s="1183"/>
      <c r="AA94" s="1184"/>
      <c r="AB94" s="1184"/>
      <c r="AC94" s="1184"/>
      <c r="AD94" s="1184"/>
      <c r="AE94" s="1186">
        <f t="shared" si="24"/>
        <v>0</v>
      </c>
      <c r="AF94" s="1560">
        <f t="shared" si="37"/>
        <v>0</v>
      </c>
      <c r="AG94" s="1560">
        <f t="shared" si="38"/>
        <v>0</v>
      </c>
      <c r="AH94" s="1187">
        <v>19487.400000000001</v>
      </c>
      <c r="AI94" s="1188">
        <v>245043.01</v>
      </c>
      <c r="AJ94" s="1188">
        <v>0</v>
      </c>
      <c r="AK94" s="1188">
        <v>0</v>
      </c>
      <c r="AL94" s="1188">
        <v>0</v>
      </c>
      <c r="AM94" s="1189">
        <f t="shared" si="25"/>
        <v>264530.41000000003</v>
      </c>
      <c r="AN94" s="1189">
        <f t="shared" si="39"/>
        <v>0</v>
      </c>
      <c r="AO94" s="1189">
        <f t="shared" si="40"/>
        <v>0</v>
      </c>
    </row>
    <row r="95" spans="1:41" s="237" customFormat="1">
      <c r="A95" s="1179" t="s">
        <v>234</v>
      </c>
      <c r="B95" s="1180" t="s">
        <v>235</v>
      </c>
      <c r="C95" s="103" t="s">
        <v>268</v>
      </c>
      <c r="D95" s="1181">
        <f t="shared" si="26"/>
        <v>550198.07999999996</v>
      </c>
      <c r="E95" s="1181">
        <f t="shared" si="27"/>
        <v>695191.67999999993</v>
      </c>
      <c r="F95" s="1181">
        <f t="shared" si="28"/>
        <v>0</v>
      </c>
      <c r="G95" s="1182">
        <f t="shared" si="29"/>
        <v>-0.22</v>
      </c>
      <c r="H95" s="1182">
        <f t="shared" si="30"/>
        <v>-0.22</v>
      </c>
      <c r="I95" s="1561">
        <f t="shared" si="31"/>
        <v>1245389.5399999998</v>
      </c>
      <c r="J95" s="1183">
        <v>229266.15</v>
      </c>
      <c r="K95" s="1184">
        <v>229266.15</v>
      </c>
      <c r="L95" s="1184">
        <v>0</v>
      </c>
      <c r="M95" s="1184">
        <v>-0.18</v>
      </c>
      <c r="N95" s="1184">
        <v>0</v>
      </c>
      <c r="O95" s="1185">
        <f t="shared" si="32"/>
        <v>458532.12</v>
      </c>
      <c r="P95" s="1560">
        <f t="shared" si="33"/>
        <v>-0.18</v>
      </c>
      <c r="Q95" s="1560">
        <f t="shared" si="34"/>
        <v>-0.18</v>
      </c>
      <c r="R95" s="1183">
        <v>318791.73</v>
      </c>
      <c r="S95" s="1184">
        <v>318791.73</v>
      </c>
      <c r="T95" s="1184">
        <v>0</v>
      </c>
      <c r="U95" s="1184">
        <v>-0.04</v>
      </c>
      <c r="V95" s="1184">
        <v>0</v>
      </c>
      <c r="W95" s="1186">
        <f t="shared" si="23"/>
        <v>637583.41999999993</v>
      </c>
      <c r="X95" s="1560">
        <f t="shared" si="35"/>
        <v>-0.04</v>
      </c>
      <c r="Y95" s="1560">
        <f t="shared" si="36"/>
        <v>-0.04</v>
      </c>
      <c r="Z95" s="1183"/>
      <c r="AA95" s="1184"/>
      <c r="AB95" s="1184"/>
      <c r="AC95" s="1184"/>
      <c r="AD95" s="1184"/>
      <c r="AE95" s="1186">
        <f t="shared" si="24"/>
        <v>0</v>
      </c>
      <c r="AF95" s="1560">
        <f t="shared" si="37"/>
        <v>0</v>
      </c>
      <c r="AG95" s="1560">
        <f t="shared" si="38"/>
        <v>0</v>
      </c>
      <c r="AH95" s="1187">
        <v>2140.1999999999998</v>
      </c>
      <c r="AI95" s="1188">
        <v>147133.79999999999</v>
      </c>
      <c r="AJ95" s="1188">
        <v>0</v>
      </c>
      <c r="AK95" s="1188">
        <v>0</v>
      </c>
      <c r="AL95" s="1188">
        <v>0</v>
      </c>
      <c r="AM95" s="1189">
        <f t="shared" si="25"/>
        <v>149274</v>
      </c>
      <c r="AN95" s="1189">
        <f t="shared" si="39"/>
        <v>0</v>
      </c>
      <c r="AO95" s="1189">
        <f t="shared" si="40"/>
        <v>0</v>
      </c>
    </row>
    <row r="96" spans="1:41" s="237" customFormat="1">
      <c r="A96" s="1179" t="s">
        <v>236</v>
      </c>
      <c r="B96" s="1180" t="s">
        <v>237</v>
      </c>
      <c r="C96" s="103" t="s">
        <v>266</v>
      </c>
      <c r="D96" s="1181">
        <f t="shared" si="26"/>
        <v>103405.81</v>
      </c>
      <c r="E96" s="1181">
        <f t="shared" si="27"/>
        <v>132365.01</v>
      </c>
      <c r="F96" s="1181">
        <f t="shared" si="28"/>
        <v>0</v>
      </c>
      <c r="G96" s="1182">
        <f t="shared" si="29"/>
        <v>-0.05</v>
      </c>
      <c r="H96" s="1182">
        <f t="shared" si="30"/>
        <v>-0.05</v>
      </c>
      <c r="I96" s="1561">
        <f t="shared" si="31"/>
        <v>235770.77000000002</v>
      </c>
      <c r="J96" s="1183">
        <v>81132.91</v>
      </c>
      <c r="K96" s="1184">
        <v>81132.91</v>
      </c>
      <c r="L96" s="1184">
        <v>0</v>
      </c>
      <c r="M96" s="1184">
        <v>-0.05</v>
      </c>
      <c r="N96" s="1184">
        <v>0</v>
      </c>
      <c r="O96" s="1185">
        <f t="shared" si="32"/>
        <v>162265.77000000002</v>
      </c>
      <c r="P96" s="1560">
        <f t="shared" si="33"/>
        <v>-0.05</v>
      </c>
      <c r="Q96" s="1560">
        <f t="shared" si="34"/>
        <v>-0.05</v>
      </c>
      <c r="R96" s="1183">
        <v>21970.5</v>
      </c>
      <c r="S96" s="1184">
        <v>21970.5</v>
      </c>
      <c r="T96" s="1184">
        <v>0</v>
      </c>
      <c r="U96" s="1184">
        <v>0</v>
      </c>
      <c r="V96" s="1184">
        <v>0</v>
      </c>
      <c r="W96" s="1186">
        <f t="shared" si="23"/>
        <v>43941</v>
      </c>
      <c r="X96" s="1560">
        <f t="shared" si="35"/>
        <v>0</v>
      </c>
      <c r="Y96" s="1560">
        <f t="shared" si="36"/>
        <v>0</v>
      </c>
      <c r="Z96" s="1183"/>
      <c r="AA96" s="1184"/>
      <c r="AB96" s="1184"/>
      <c r="AC96" s="1184"/>
      <c r="AD96" s="1184"/>
      <c r="AE96" s="1186">
        <f t="shared" si="24"/>
        <v>0</v>
      </c>
      <c r="AF96" s="1560">
        <f t="shared" si="37"/>
        <v>0</v>
      </c>
      <c r="AG96" s="1560">
        <f t="shared" si="38"/>
        <v>0</v>
      </c>
      <c r="AH96" s="1187">
        <v>302.39999999999998</v>
      </c>
      <c r="AI96" s="1188">
        <v>29261.599999999999</v>
      </c>
      <c r="AJ96" s="1188">
        <v>0</v>
      </c>
      <c r="AK96" s="1188">
        <v>0</v>
      </c>
      <c r="AL96" s="1188">
        <v>0</v>
      </c>
      <c r="AM96" s="1189">
        <f t="shared" si="25"/>
        <v>29564</v>
      </c>
      <c r="AN96" s="1189">
        <f t="shared" si="39"/>
        <v>0</v>
      </c>
      <c r="AO96" s="1189">
        <f t="shared" si="40"/>
        <v>0</v>
      </c>
    </row>
    <row r="97" spans="1:41" s="237" customFormat="1">
      <c r="A97" s="1179" t="s">
        <v>242</v>
      </c>
      <c r="B97" s="1180" t="s">
        <v>243</v>
      </c>
      <c r="C97" s="103" t="s">
        <v>268</v>
      </c>
      <c r="D97" s="1181">
        <f t="shared" si="26"/>
        <v>720691.12</v>
      </c>
      <c r="E97" s="1181">
        <f t="shared" si="27"/>
        <v>914125.24</v>
      </c>
      <c r="F97" s="1181">
        <f t="shared" si="28"/>
        <v>0</v>
      </c>
      <c r="G97" s="1182">
        <f t="shared" si="29"/>
        <v>-0.18</v>
      </c>
      <c r="H97" s="1182">
        <f t="shared" si="30"/>
        <v>-0.18</v>
      </c>
      <c r="I97" s="1561">
        <f t="shared" si="31"/>
        <v>1634816.18</v>
      </c>
      <c r="J97" s="1183">
        <v>193054.03</v>
      </c>
      <c r="K97" s="1184">
        <v>193054.03</v>
      </c>
      <c r="L97" s="1184">
        <v>0</v>
      </c>
      <c r="M97" s="1184">
        <v>-0.15</v>
      </c>
      <c r="N97" s="1184">
        <v>0</v>
      </c>
      <c r="O97" s="1185">
        <f t="shared" si="32"/>
        <v>386107.91</v>
      </c>
      <c r="P97" s="1560">
        <f t="shared" si="33"/>
        <v>-0.15</v>
      </c>
      <c r="Q97" s="1560">
        <f t="shared" si="34"/>
        <v>-0.15</v>
      </c>
      <c r="R97" s="1183">
        <v>520172.9</v>
      </c>
      <c r="S97" s="1184">
        <v>520172.9</v>
      </c>
      <c r="T97" s="1184">
        <v>0</v>
      </c>
      <c r="U97" s="1184">
        <v>-0.03</v>
      </c>
      <c r="V97" s="1184">
        <v>0</v>
      </c>
      <c r="W97" s="1186">
        <f t="shared" si="23"/>
        <v>1040345.77</v>
      </c>
      <c r="X97" s="1560">
        <f t="shared" si="35"/>
        <v>-0.03</v>
      </c>
      <c r="Y97" s="1560">
        <f t="shared" si="36"/>
        <v>-0.03</v>
      </c>
      <c r="Z97" s="1183"/>
      <c r="AA97" s="1184"/>
      <c r="AB97" s="1184"/>
      <c r="AC97" s="1184"/>
      <c r="AD97" s="1184"/>
      <c r="AE97" s="1186">
        <f t="shared" si="24"/>
        <v>0</v>
      </c>
      <c r="AF97" s="1560">
        <f t="shared" si="37"/>
        <v>0</v>
      </c>
      <c r="AG97" s="1560">
        <f t="shared" si="38"/>
        <v>0</v>
      </c>
      <c r="AH97" s="1187">
        <v>7464.19</v>
      </c>
      <c r="AI97" s="1188">
        <v>200898.31</v>
      </c>
      <c r="AJ97" s="1188">
        <v>0</v>
      </c>
      <c r="AK97" s="1188">
        <v>0</v>
      </c>
      <c r="AL97" s="1188">
        <v>0</v>
      </c>
      <c r="AM97" s="1189">
        <f t="shared" si="25"/>
        <v>208362.5</v>
      </c>
      <c r="AN97" s="1189">
        <f t="shared" si="39"/>
        <v>0</v>
      </c>
      <c r="AO97" s="1189">
        <f t="shared" si="40"/>
        <v>0</v>
      </c>
    </row>
    <row r="98" spans="1:41" s="237" customFormat="1">
      <c r="A98" s="1179" t="s">
        <v>244</v>
      </c>
      <c r="B98" s="1180" t="s">
        <v>245</v>
      </c>
      <c r="C98" s="103" t="s">
        <v>268</v>
      </c>
      <c r="D98" s="1181">
        <f t="shared" si="26"/>
        <v>450688.29</v>
      </c>
      <c r="E98" s="1181">
        <f t="shared" si="27"/>
        <v>667895.82000000007</v>
      </c>
      <c r="F98" s="1181">
        <f t="shared" si="28"/>
        <v>0</v>
      </c>
      <c r="G98" s="1182">
        <f t="shared" si="29"/>
        <v>481.21000000000004</v>
      </c>
      <c r="H98" s="1182">
        <f t="shared" si="30"/>
        <v>481.21000000000004</v>
      </c>
      <c r="I98" s="1561">
        <f t="shared" si="31"/>
        <v>1119065.32</v>
      </c>
      <c r="J98" s="1183">
        <v>227234.64</v>
      </c>
      <c r="K98" s="1184">
        <v>227234.64</v>
      </c>
      <c r="L98" s="1184">
        <v>0</v>
      </c>
      <c r="M98" s="1184">
        <v>481.22</v>
      </c>
      <c r="N98" s="1184">
        <v>0</v>
      </c>
      <c r="O98" s="1185">
        <f t="shared" si="32"/>
        <v>454950.5</v>
      </c>
      <c r="P98" s="1560">
        <f t="shared" si="33"/>
        <v>481.22</v>
      </c>
      <c r="Q98" s="1560">
        <f t="shared" si="34"/>
        <v>481.22</v>
      </c>
      <c r="R98" s="1183">
        <v>217220.48000000001</v>
      </c>
      <c r="S98" s="1184">
        <v>217220.48000000001</v>
      </c>
      <c r="T98" s="1184">
        <v>0</v>
      </c>
      <c r="U98" s="1184">
        <v>-0.01</v>
      </c>
      <c r="V98" s="1184">
        <v>0</v>
      </c>
      <c r="W98" s="1186">
        <f t="shared" si="23"/>
        <v>434440.95</v>
      </c>
      <c r="X98" s="1560">
        <f t="shared" si="35"/>
        <v>-0.01</v>
      </c>
      <c r="Y98" s="1560">
        <f t="shared" si="36"/>
        <v>-0.01</v>
      </c>
      <c r="Z98" s="1183"/>
      <c r="AA98" s="1184"/>
      <c r="AB98" s="1184"/>
      <c r="AC98" s="1184"/>
      <c r="AD98" s="1184"/>
      <c r="AE98" s="1186">
        <f t="shared" si="24"/>
        <v>0</v>
      </c>
      <c r="AF98" s="1560">
        <f t="shared" si="37"/>
        <v>0</v>
      </c>
      <c r="AG98" s="1560">
        <f t="shared" si="38"/>
        <v>0</v>
      </c>
      <c r="AH98" s="1187">
        <v>6233.17</v>
      </c>
      <c r="AI98" s="1188">
        <v>223440.7</v>
      </c>
      <c r="AJ98" s="1188">
        <v>0</v>
      </c>
      <c r="AK98" s="1188">
        <v>0</v>
      </c>
      <c r="AL98" s="1188">
        <v>0</v>
      </c>
      <c r="AM98" s="1189">
        <f t="shared" si="25"/>
        <v>229673.87000000002</v>
      </c>
      <c r="AN98" s="1189">
        <f t="shared" si="39"/>
        <v>0</v>
      </c>
      <c r="AO98" s="1189">
        <f t="shared" si="40"/>
        <v>0</v>
      </c>
    </row>
    <row r="99" spans="1:41" s="237" customFormat="1">
      <c r="A99" s="1179" t="s">
        <v>246</v>
      </c>
      <c r="B99" s="1180" t="s">
        <v>310</v>
      </c>
      <c r="C99" s="103" t="s">
        <v>264</v>
      </c>
      <c r="D99" s="1181">
        <f t="shared" si="26"/>
        <v>179387.14</v>
      </c>
      <c r="E99" s="1181">
        <f t="shared" si="27"/>
        <v>259184.52000000002</v>
      </c>
      <c r="F99" s="1181">
        <f t="shared" si="28"/>
        <v>0</v>
      </c>
      <c r="G99" s="1182">
        <f t="shared" si="29"/>
        <v>423.94</v>
      </c>
      <c r="H99" s="1182">
        <f t="shared" si="30"/>
        <v>423.94</v>
      </c>
      <c r="I99" s="1561">
        <f t="shared" si="31"/>
        <v>438995.60000000003</v>
      </c>
      <c r="J99" s="1183">
        <v>78149.83</v>
      </c>
      <c r="K99" s="1184">
        <v>78149.83</v>
      </c>
      <c r="L99" s="1184">
        <v>0</v>
      </c>
      <c r="M99" s="1184">
        <v>0.02</v>
      </c>
      <c r="N99" s="1184">
        <v>0</v>
      </c>
      <c r="O99" s="1185">
        <f t="shared" si="32"/>
        <v>156299.68</v>
      </c>
      <c r="P99" s="1560">
        <f t="shared" si="33"/>
        <v>0.02</v>
      </c>
      <c r="Q99" s="1560">
        <f t="shared" si="34"/>
        <v>0.02</v>
      </c>
      <c r="R99" s="1183">
        <v>98791.5</v>
      </c>
      <c r="S99" s="1184">
        <v>98791.5</v>
      </c>
      <c r="T99" s="1184">
        <v>0</v>
      </c>
      <c r="U99" s="1184">
        <v>-0.01</v>
      </c>
      <c r="V99" s="1184">
        <v>0</v>
      </c>
      <c r="W99" s="1186">
        <f t="shared" si="23"/>
        <v>197582.99</v>
      </c>
      <c r="X99" s="1560">
        <f t="shared" si="35"/>
        <v>-0.01</v>
      </c>
      <c r="Y99" s="1560">
        <f t="shared" si="36"/>
        <v>-0.01</v>
      </c>
      <c r="Z99" s="1183"/>
      <c r="AA99" s="1184"/>
      <c r="AB99" s="1184"/>
      <c r="AC99" s="1184"/>
      <c r="AD99" s="1184"/>
      <c r="AE99" s="1186">
        <f t="shared" si="24"/>
        <v>0</v>
      </c>
      <c r="AF99" s="1560">
        <f t="shared" si="37"/>
        <v>0</v>
      </c>
      <c r="AG99" s="1560">
        <f t="shared" si="38"/>
        <v>0</v>
      </c>
      <c r="AH99" s="1187">
        <v>2445.81</v>
      </c>
      <c r="AI99" s="1188">
        <v>82243.19</v>
      </c>
      <c r="AJ99" s="1188">
        <v>0</v>
      </c>
      <c r="AK99" s="1188">
        <v>0</v>
      </c>
      <c r="AL99" s="1188">
        <v>423.93</v>
      </c>
      <c r="AM99" s="1189">
        <f t="shared" si="25"/>
        <v>85112.93</v>
      </c>
      <c r="AN99" s="1189">
        <f t="shared" si="39"/>
        <v>423.93</v>
      </c>
      <c r="AO99" s="1189">
        <f t="shared" si="40"/>
        <v>423.93</v>
      </c>
    </row>
    <row r="100" spans="1:41" s="237" customFormat="1">
      <c r="A100" s="1179" t="s">
        <v>14</v>
      </c>
      <c r="B100" s="1180" t="s">
        <v>15</v>
      </c>
      <c r="C100" s="103" t="s">
        <v>267</v>
      </c>
      <c r="D100" s="1181">
        <f t="shared" si="26"/>
        <v>1540157.3499999999</v>
      </c>
      <c r="E100" s="1181">
        <f t="shared" si="27"/>
        <v>2374236.59</v>
      </c>
      <c r="F100" s="1181">
        <f t="shared" si="28"/>
        <v>0</v>
      </c>
      <c r="G100" s="1182">
        <f t="shared" si="29"/>
        <v>-47441.590000000004</v>
      </c>
      <c r="H100" s="1182">
        <f t="shared" si="30"/>
        <v>-47441.590000000004</v>
      </c>
      <c r="I100" s="1561">
        <f t="shared" si="31"/>
        <v>3866952.3499999996</v>
      </c>
      <c r="J100" s="1183">
        <v>317076.94</v>
      </c>
      <c r="K100" s="1184">
        <v>317076.94</v>
      </c>
      <c r="L100" s="1184">
        <v>0</v>
      </c>
      <c r="M100" s="1184">
        <v>-0.17</v>
      </c>
      <c r="N100" s="1184">
        <v>0</v>
      </c>
      <c r="O100" s="1185">
        <f t="shared" si="32"/>
        <v>634153.71</v>
      </c>
      <c r="P100" s="1560">
        <f t="shared" si="33"/>
        <v>-0.17</v>
      </c>
      <c r="Q100" s="1560">
        <f t="shared" si="34"/>
        <v>-0.17</v>
      </c>
      <c r="R100" s="1183">
        <v>1059368.01</v>
      </c>
      <c r="S100" s="1184">
        <v>1059368.01</v>
      </c>
      <c r="T100" s="1184">
        <v>0</v>
      </c>
      <c r="U100" s="1184">
        <v>20656.509999999998</v>
      </c>
      <c r="V100" s="1184">
        <v>-17333.419999999998</v>
      </c>
      <c r="W100" s="1186">
        <f t="shared" si="23"/>
        <v>2122059.11</v>
      </c>
      <c r="X100" s="1560">
        <f t="shared" si="35"/>
        <v>3323.09</v>
      </c>
      <c r="Y100" s="1560">
        <f t="shared" si="36"/>
        <v>3323.09</v>
      </c>
      <c r="Z100" s="1183"/>
      <c r="AA100" s="1184"/>
      <c r="AB100" s="1184"/>
      <c r="AC100" s="1184"/>
      <c r="AD100" s="1184"/>
      <c r="AE100" s="1186">
        <f t="shared" si="24"/>
        <v>0</v>
      </c>
      <c r="AF100" s="1560">
        <f t="shared" si="37"/>
        <v>0</v>
      </c>
      <c r="AG100" s="1560">
        <f t="shared" si="38"/>
        <v>0</v>
      </c>
      <c r="AH100" s="1187">
        <v>163712.4</v>
      </c>
      <c r="AI100" s="1188">
        <v>997791.64</v>
      </c>
      <c r="AJ100" s="1188">
        <v>0</v>
      </c>
      <c r="AK100" s="1188">
        <v>0</v>
      </c>
      <c r="AL100" s="1188">
        <v>-50764.51</v>
      </c>
      <c r="AM100" s="1189">
        <f t="shared" si="25"/>
        <v>1110739.53</v>
      </c>
      <c r="AN100" s="1189">
        <f t="shared" si="39"/>
        <v>-50764.51</v>
      </c>
      <c r="AO100" s="1189">
        <f t="shared" si="40"/>
        <v>-50764.51</v>
      </c>
    </row>
    <row r="101" spans="1:41" s="237" customFormat="1">
      <c r="A101" s="1179" t="s">
        <v>34</v>
      </c>
      <c r="B101" s="1180" t="s">
        <v>35</v>
      </c>
      <c r="C101" s="103" t="s">
        <v>268</v>
      </c>
      <c r="D101" s="1181">
        <f t="shared" si="26"/>
        <v>678685.55999999994</v>
      </c>
      <c r="E101" s="1181">
        <f t="shared" si="27"/>
        <v>785592.24</v>
      </c>
      <c r="F101" s="1181">
        <f t="shared" si="28"/>
        <v>0</v>
      </c>
      <c r="G101" s="1182">
        <f t="shared" si="29"/>
        <v>-0.19</v>
      </c>
      <c r="H101" s="1182">
        <f t="shared" si="30"/>
        <v>-0.19</v>
      </c>
      <c r="I101" s="1561">
        <f t="shared" si="31"/>
        <v>1464277.6099999999</v>
      </c>
      <c r="J101" s="1183">
        <v>454276.02</v>
      </c>
      <c r="K101" s="1184">
        <v>454276.02</v>
      </c>
      <c r="L101" s="1184">
        <v>0</v>
      </c>
      <c r="M101" s="1184">
        <v>-0.17</v>
      </c>
      <c r="N101" s="1184">
        <v>0</v>
      </c>
      <c r="O101" s="1185">
        <f t="shared" si="32"/>
        <v>908551.87</v>
      </c>
      <c r="P101" s="1560">
        <f t="shared" si="33"/>
        <v>-0.17</v>
      </c>
      <c r="Q101" s="1560">
        <f t="shared" si="34"/>
        <v>-0.17</v>
      </c>
      <c r="R101" s="1183">
        <v>221233.94</v>
      </c>
      <c r="S101" s="1184">
        <v>221233.94</v>
      </c>
      <c r="T101" s="1184">
        <v>0</v>
      </c>
      <c r="U101" s="1184">
        <v>-0.02</v>
      </c>
      <c r="V101" s="1184">
        <v>0</v>
      </c>
      <c r="W101" s="1186">
        <f t="shared" ref="W101:W124" si="41">SUM(R101:V101)</f>
        <v>442467.86</v>
      </c>
      <c r="X101" s="1560">
        <f t="shared" si="35"/>
        <v>-0.02</v>
      </c>
      <c r="Y101" s="1560">
        <f t="shared" si="36"/>
        <v>-0.02</v>
      </c>
      <c r="Z101" s="1183"/>
      <c r="AA101" s="1184"/>
      <c r="AB101" s="1184"/>
      <c r="AC101" s="1184"/>
      <c r="AD101" s="1184"/>
      <c r="AE101" s="1186">
        <f t="shared" ref="AE101:AE124" si="42">SUM(Z101:AD101)</f>
        <v>0</v>
      </c>
      <c r="AF101" s="1560">
        <f t="shared" si="37"/>
        <v>0</v>
      </c>
      <c r="AG101" s="1560">
        <f t="shared" si="38"/>
        <v>0</v>
      </c>
      <c r="AH101" s="1187">
        <v>3175.6</v>
      </c>
      <c r="AI101" s="1188">
        <v>110082.28</v>
      </c>
      <c r="AJ101" s="1188">
        <v>0</v>
      </c>
      <c r="AK101" s="1188">
        <v>0</v>
      </c>
      <c r="AL101" s="1188">
        <v>0</v>
      </c>
      <c r="AM101" s="1189">
        <f t="shared" ref="AM101:AM124" si="43">SUM(AH101:AL101)</f>
        <v>113257.88</v>
      </c>
      <c r="AN101" s="1189">
        <f t="shared" si="39"/>
        <v>0</v>
      </c>
      <c r="AO101" s="1189">
        <f t="shared" si="40"/>
        <v>0</v>
      </c>
    </row>
    <row r="102" spans="1:41" s="237" customFormat="1">
      <c r="A102" s="1179" t="s">
        <v>52</v>
      </c>
      <c r="B102" s="1180" t="s">
        <v>53</v>
      </c>
      <c r="C102" s="103" t="s">
        <v>265</v>
      </c>
      <c r="D102" s="1181">
        <f t="shared" si="26"/>
        <v>1396652.33</v>
      </c>
      <c r="E102" s="1181">
        <f t="shared" si="27"/>
        <v>1879697.2</v>
      </c>
      <c r="F102" s="1181">
        <f t="shared" si="28"/>
        <v>0</v>
      </c>
      <c r="G102" s="1182">
        <f t="shared" si="29"/>
        <v>1356.75</v>
      </c>
      <c r="H102" s="1182">
        <f t="shared" si="30"/>
        <v>1356.75</v>
      </c>
      <c r="I102" s="1561">
        <f t="shared" si="31"/>
        <v>3277706.2800000003</v>
      </c>
      <c r="J102" s="1183">
        <v>697219.07</v>
      </c>
      <c r="K102" s="1184">
        <v>697219.07</v>
      </c>
      <c r="L102" s="1184">
        <v>0</v>
      </c>
      <c r="M102" s="1184">
        <v>1356.8</v>
      </c>
      <c r="N102" s="1184">
        <v>0</v>
      </c>
      <c r="O102" s="1185">
        <f t="shared" si="32"/>
        <v>1395794.94</v>
      </c>
      <c r="P102" s="1560">
        <f t="shared" si="33"/>
        <v>1356.8</v>
      </c>
      <c r="Q102" s="1560">
        <f t="shared" si="34"/>
        <v>1356.8</v>
      </c>
      <c r="R102" s="1183">
        <v>634179.16</v>
      </c>
      <c r="S102" s="1184">
        <v>634179.16</v>
      </c>
      <c r="T102" s="1184">
        <v>0</v>
      </c>
      <c r="U102" s="1184">
        <v>-0.05</v>
      </c>
      <c r="V102" s="1184">
        <v>0</v>
      </c>
      <c r="W102" s="1186">
        <f t="shared" si="41"/>
        <v>1268358.27</v>
      </c>
      <c r="X102" s="1560">
        <f t="shared" si="35"/>
        <v>-0.05</v>
      </c>
      <c r="Y102" s="1560">
        <f t="shared" si="36"/>
        <v>-0.05</v>
      </c>
      <c r="Z102" s="1183"/>
      <c r="AA102" s="1184"/>
      <c r="AB102" s="1184"/>
      <c r="AC102" s="1184"/>
      <c r="AD102" s="1184"/>
      <c r="AE102" s="1186">
        <f t="shared" si="42"/>
        <v>0</v>
      </c>
      <c r="AF102" s="1560">
        <f t="shared" si="37"/>
        <v>0</v>
      </c>
      <c r="AG102" s="1560">
        <f t="shared" si="38"/>
        <v>0</v>
      </c>
      <c r="AH102" s="1187">
        <v>65254.1</v>
      </c>
      <c r="AI102" s="1188">
        <v>548298.97</v>
      </c>
      <c r="AJ102" s="1188">
        <v>0</v>
      </c>
      <c r="AK102" s="1188">
        <v>0</v>
      </c>
      <c r="AL102" s="1188">
        <v>0</v>
      </c>
      <c r="AM102" s="1189">
        <f t="shared" si="43"/>
        <v>613553.06999999995</v>
      </c>
      <c r="AN102" s="1189">
        <f t="shared" si="39"/>
        <v>0</v>
      </c>
      <c r="AO102" s="1189">
        <f t="shared" si="40"/>
        <v>0</v>
      </c>
    </row>
    <row r="103" spans="1:41" s="237" customFormat="1">
      <c r="A103" s="1179" t="s">
        <v>54</v>
      </c>
      <c r="B103" s="1180" t="s">
        <v>55</v>
      </c>
      <c r="C103" s="103" t="s">
        <v>264</v>
      </c>
      <c r="D103" s="1181">
        <f t="shared" si="26"/>
        <v>978630.94000000006</v>
      </c>
      <c r="E103" s="1181">
        <f t="shared" si="27"/>
        <v>1286306.99</v>
      </c>
      <c r="F103" s="1181">
        <f t="shared" si="28"/>
        <v>0</v>
      </c>
      <c r="G103" s="1182">
        <f t="shared" si="29"/>
        <v>1212.5800000000002</v>
      </c>
      <c r="H103" s="1182">
        <f t="shared" si="30"/>
        <v>1212.5800000000002</v>
      </c>
      <c r="I103" s="1561">
        <f t="shared" si="31"/>
        <v>2266150.5100000002</v>
      </c>
      <c r="J103" s="1183">
        <v>273661.53000000003</v>
      </c>
      <c r="K103" s="1184">
        <v>273661.53000000003</v>
      </c>
      <c r="L103" s="1184">
        <v>0</v>
      </c>
      <c r="M103" s="1184">
        <v>1212.6300000000001</v>
      </c>
      <c r="N103" s="1184">
        <v>0</v>
      </c>
      <c r="O103" s="1185">
        <f t="shared" si="32"/>
        <v>548535.69000000006</v>
      </c>
      <c r="P103" s="1560">
        <f t="shared" si="33"/>
        <v>1212.6300000000001</v>
      </c>
      <c r="Q103" s="1560">
        <f t="shared" si="34"/>
        <v>1212.6300000000001</v>
      </c>
      <c r="R103" s="1183">
        <v>675421.89</v>
      </c>
      <c r="S103" s="1184">
        <v>675421.89</v>
      </c>
      <c r="T103" s="1184">
        <v>0</v>
      </c>
      <c r="U103" s="1184">
        <v>-0.05</v>
      </c>
      <c r="V103" s="1184">
        <v>0</v>
      </c>
      <c r="W103" s="1186">
        <f t="shared" si="41"/>
        <v>1350843.73</v>
      </c>
      <c r="X103" s="1560">
        <f t="shared" si="35"/>
        <v>-0.05</v>
      </c>
      <c r="Y103" s="1560">
        <f t="shared" si="36"/>
        <v>-0.05</v>
      </c>
      <c r="Z103" s="1183"/>
      <c r="AA103" s="1184"/>
      <c r="AB103" s="1184"/>
      <c r="AC103" s="1184"/>
      <c r="AD103" s="1184"/>
      <c r="AE103" s="1186">
        <f t="shared" si="42"/>
        <v>0</v>
      </c>
      <c r="AF103" s="1560">
        <f t="shared" si="37"/>
        <v>0</v>
      </c>
      <c r="AG103" s="1560">
        <f t="shared" si="38"/>
        <v>0</v>
      </c>
      <c r="AH103" s="1187">
        <v>29547.52</v>
      </c>
      <c r="AI103" s="1188">
        <v>337223.57</v>
      </c>
      <c r="AJ103" s="1188">
        <v>0</v>
      </c>
      <c r="AK103" s="1188">
        <v>0</v>
      </c>
      <c r="AL103" s="1188">
        <v>0</v>
      </c>
      <c r="AM103" s="1189">
        <f t="shared" si="43"/>
        <v>366771.09</v>
      </c>
      <c r="AN103" s="1189">
        <f t="shared" si="39"/>
        <v>0</v>
      </c>
      <c r="AO103" s="1189">
        <f t="shared" si="40"/>
        <v>0</v>
      </c>
    </row>
    <row r="104" spans="1:41" s="237" customFormat="1">
      <c r="A104" s="1179" t="s">
        <v>66</v>
      </c>
      <c r="B104" s="1180" t="s">
        <v>67</v>
      </c>
      <c r="C104" s="103" t="s">
        <v>265</v>
      </c>
      <c r="D104" s="1181">
        <f t="shared" si="26"/>
        <v>488843.07999999996</v>
      </c>
      <c r="E104" s="1181">
        <f t="shared" si="27"/>
        <v>716872.0199999999</v>
      </c>
      <c r="F104" s="1181">
        <f t="shared" si="28"/>
        <v>0</v>
      </c>
      <c r="G104" s="1182">
        <f t="shared" si="29"/>
        <v>-0.13</v>
      </c>
      <c r="H104" s="1182">
        <f t="shared" si="30"/>
        <v>-0.13</v>
      </c>
      <c r="I104" s="1561">
        <f t="shared" si="31"/>
        <v>1205714.97</v>
      </c>
      <c r="J104" s="1183">
        <v>293879.21999999997</v>
      </c>
      <c r="K104" s="1184">
        <v>293879.21999999997</v>
      </c>
      <c r="L104" s="1184">
        <v>0</v>
      </c>
      <c r="M104" s="1184">
        <v>-0.12</v>
      </c>
      <c r="N104" s="1184">
        <v>0</v>
      </c>
      <c r="O104" s="1185">
        <f t="shared" si="32"/>
        <v>587758.31999999995</v>
      </c>
      <c r="P104" s="1560">
        <f t="shared" si="33"/>
        <v>-0.12</v>
      </c>
      <c r="Q104" s="1560">
        <f t="shared" si="34"/>
        <v>-0.12</v>
      </c>
      <c r="R104" s="1183">
        <v>173303.21</v>
      </c>
      <c r="S104" s="1184">
        <v>173303.21</v>
      </c>
      <c r="T104" s="1184">
        <v>0</v>
      </c>
      <c r="U104" s="1184">
        <v>-0.01</v>
      </c>
      <c r="V104" s="1184">
        <v>0</v>
      </c>
      <c r="W104" s="1186">
        <f t="shared" si="41"/>
        <v>346606.41</v>
      </c>
      <c r="X104" s="1560">
        <f t="shared" si="35"/>
        <v>-0.01</v>
      </c>
      <c r="Y104" s="1560">
        <f t="shared" si="36"/>
        <v>-0.01</v>
      </c>
      <c r="Z104" s="1183"/>
      <c r="AA104" s="1184"/>
      <c r="AB104" s="1184"/>
      <c r="AC104" s="1184"/>
      <c r="AD104" s="1184"/>
      <c r="AE104" s="1186">
        <f t="shared" si="42"/>
        <v>0</v>
      </c>
      <c r="AF104" s="1560">
        <f t="shared" si="37"/>
        <v>0</v>
      </c>
      <c r="AG104" s="1560">
        <f t="shared" si="38"/>
        <v>0</v>
      </c>
      <c r="AH104" s="1187">
        <v>21660.65</v>
      </c>
      <c r="AI104" s="1188">
        <v>249689.59</v>
      </c>
      <c r="AJ104" s="1188">
        <v>0</v>
      </c>
      <c r="AK104" s="1188">
        <v>0</v>
      </c>
      <c r="AL104" s="1188">
        <v>0</v>
      </c>
      <c r="AM104" s="1189">
        <f t="shared" si="43"/>
        <v>271350.24</v>
      </c>
      <c r="AN104" s="1189">
        <f t="shared" si="39"/>
        <v>0</v>
      </c>
      <c r="AO104" s="1189">
        <f t="shared" si="40"/>
        <v>0</v>
      </c>
    </row>
    <row r="105" spans="1:41" s="237" customFormat="1">
      <c r="A105" s="1179" t="s">
        <v>82</v>
      </c>
      <c r="B105" s="1180" t="s">
        <v>311</v>
      </c>
      <c r="C105" s="103" t="s">
        <v>264</v>
      </c>
      <c r="D105" s="1181">
        <f t="shared" si="26"/>
        <v>15560.21</v>
      </c>
      <c r="E105" s="1181">
        <f t="shared" si="27"/>
        <v>21860.21</v>
      </c>
      <c r="F105" s="1181">
        <f t="shared" si="28"/>
        <v>0</v>
      </c>
      <c r="G105" s="1182">
        <f t="shared" si="29"/>
        <v>-0.02</v>
      </c>
      <c r="H105" s="1182">
        <f t="shared" si="30"/>
        <v>-0.02</v>
      </c>
      <c r="I105" s="1561">
        <f t="shared" si="31"/>
        <v>37420.400000000001</v>
      </c>
      <c r="J105" s="1183">
        <v>15560.21</v>
      </c>
      <c r="K105" s="1184">
        <v>15560.21</v>
      </c>
      <c r="L105" s="1184">
        <v>0</v>
      </c>
      <c r="M105" s="1184">
        <v>-0.02</v>
      </c>
      <c r="N105" s="1184">
        <v>0</v>
      </c>
      <c r="O105" s="1185">
        <f t="shared" si="32"/>
        <v>31120.399999999998</v>
      </c>
      <c r="P105" s="1560">
        <f t="shared" si="33"/>
        <v>-0.02</v>
      </c>
      <c r="Q105" s="1560">
        <f t="shared" si="34"/>
        <v>-0.02</v>
      </c>
      <c r="R105" s="1187"/>
      <c r="S105" s="1188"/>
      <c r="T105" s="1188"/>
      <c r="U105" s="1188"/>
      <c r="V105" s="1188"/>
      <c r="W105" s="1186">
        <f t="shared" si="41"/>
        <v>0</v>
      </c>
      <c r="X105" s="1560">
        <f t="shared" si="35"/>
        <v>0</v>
      </c>
      <c r="Y105" s="1560">
        <f t="shared" si="36"/>
        <v>0</v>
      </c>
      <c r="Z105" s="1183"/>
      <c r="AA105" s="1184"/>
      <c r="AB105" s="1184"/>
      <c r="AC105" s="1184"/>
      <c r="AD105" s="1184"/>
      <c r="AE105" s="1186">
        <f t="shared" si="42"/>
        <v>0</v>
      </c>
      <c r="AF105" s="1560">
        <f t="shared" si="37"/>
        <v>0</v>
      </c>
      <c r="AG105" s="1560">
        <f t="shared" si="38"/>
        <v>0</v>
      </c>
      <c r="AH105" s="1187">
        <v>0</v>
      </c>
      <c r="AI105" s="1188">
        <v>6300</v>
      </c>
      <c r="AJ105" s="1188">
        <v>0</v>
      </c>
      <c r="AK105" s="1188">
        <v>0</v>
      </c>
      <c r="AL105" s="1188">
        <v>0</v>
      </c>
      <c r="AM105" s="1189">
        <f t="shared" si="43"/>
        <v>6300</v>
      </c>
      <c r="AN105" s="1189">
        <f t="shared" si="39"/>
        <v>0</v>
      </c>
      <c r="AO105" s="1189">
        <f t="shared" si="40"/>
        <v>0</v>
      </c>
    </row>
    <row r="106" spans="1:41" s="237" customFormat="1">
      <c r="A106" s="1179" t="s">
        <v>88</v>
      </c>
      <c r="B106" s="1180" t="s">
        <v>89</v>
      </c>
      <c r="C106" s="103" t="s">
        <v>267</v>
      </c>
      <c r="D106" s="1181">
        <f t="shared" si="26"/>
        <v>524410.42999999993</v>
      </c>
      <c r="E106" s="1181">
        <f t="shared" si="27"/>
        <v>844967.28</v>
      </c>
      <c r="F106" s="1181">
        <f t="shared" si="28"/>
        <v>0</v>
      </c>
      <c r="G106" s="1182">
        <f t="shared" si="29"/>
        <v>-0.18000000000000002</v>
      </c>
      <c r="H106" s="1182">
        <f t="shared" si="30"/>
        <v>-0.18000000000000002</v>
      </c>
      <c r="I106" s="1561">
        <f t="shared" si="31"/>
        <v>1369377.53</v>
      </c>
      <c r="J106" s="1183">
        <v>194699.32</v>
      </c>
      <c r="K106" s="1184">
        <v>194699.32</v>
      </c>
      <c r="L106" s="1184">
        <v>0</v>
      </c>
      <c r="M106" s="1184">
        <v>-0.17</v>
      </c>
      <c r="N106" s="1184">
        <v>0</v>
      </c>
      <c r="O106" s="1185">
        <f t="shared" si="32"/>
        <v>389398.47000000003</v>
      </c>
      <c r="P106" s="1560">
        <f t="shared" si="33"/>
        <v>-0.17</v>
      </c>
      <c r="Q106" s="1560">
        <f t="shared" si="34"/>
        <v>-0.17</v>
      </c>
      <c r="R106" s="1183">
        <v>307973.61</v>
      </c>
      <c r="S106" s="1184">
        <v>307973.61</v>
      </c>
      <c r="T106" s="1184">
        <v>0</v>
      </c>
      <c r="U106" s="1184">
        <v>-0.01</v>
      </c>
      <c r="V106" s="1184">
        <v>0</v>
      </c>
      <c r="W106" s="1186">
        <f t="shared" si="41"/>
        <v>615947.21</v>
      </c>
      <c r="X106" s="1560">
        <f t="shared" si="35"/>
        <v>-0.01</v>
      </c>
      <c r="Y106" s="1560">
        <f t="shared" si="36"/>
        <v>-0.01</v>
      </c>
      <c r="Z106" s="1183"/>
      <c r="AA106" s="1184"/>
      <c r="AB106" s="1184"/>
      <c r="AC106" s="1184"/>
      <c r="AD106" s="1184"/>
      <c r="AE106" s="1186">
        <f t="shared" si="42"/>
        <v>0</v>
      </c>
      <c r="AF106" s="1560">
        <f t="shared" si="37"/>
        <v>0</v>
      </c>
      <c r="AG106" s="1560">
        <f t="shared" si="38"/>
        <v>0</v>
      </c>
      <c r="AH106" s="1183">
        <v>21737.5</v>
      </c>
      <c r="AI106" s="1184">
        <v>342294.35</v>
      </c>
      <c r="AJ106" s="1184">
        <v>0</v>
      </c>
      <c r="AK106" s="1184">
        <v>0</v>
      </c>
      <c r="AL106" s="1184">
        <v>0</v>
      </c>
      <c r="AM106" s="1189">
        <f t="shared" si="43"/>
        <v>364031.85</v>
      </c>
      <c r="AN106" s="1189">
        <f t="shared" si="39"/>
        <v>0</v>
      </c>
      <c r="AO106" s="1189">
        <f t="shared" si="40"/>
        <v>0</v>
      </c>
    </row>
    <row r="107" spans="1:41" s="237" customFormat="1">
      <c r="A107" s="1179" t="s">
        <v>90</v>
      </c>
      <c r="B107" s="1180" t="s">
        <v>91</v>
      </c>
      <c r="C107" s="103" t="s">
        <v>268</v>
      </c>
      <c r="D107" s="1181">
        <f t="shared" si="26"/>
        <v>46693.67</v>
      </c>
      <c r="E107" s="1181">
        <f t="shared" si="27"/>
        <v>77334.299999999988</v>
      </c>
      <c r="F107" s="1181">
        <f t="shared" si="28"/>
        <v>0</v>
      </c>
      <c r="G107" s="1182">
        <f t="shared" si="29"/>
        <v>-7.0000000000000007E-2</v>
      </c>
      <c r="H107" s="1182">
        <f t="shared" si="30"/>
        <v>-7.0000000000000007E-2</v>
      </c>
      <c r="I107" s="1561">
        <f t="shared" si="31"/>
        <v>124027.89999999998</v>
      </c>
      <c r="J107" s="1187">
        <v>12894.13</v>
      </c>
      <c r="K107" s="1188">
        <v>12894.13</v>
      </c>
      <c r="L107" s="1188">
        <v>0</v>
      </c>
      <c r="M107" s="1188">
        <v>-7.0000000000000007E-2</v>
      </c>
      <c r="N107" s="1188">
        <v>0</v>
      </c>
      <c r="O107" s="1185">
        <f t="shared" si="32"/>
        <v>25788.19</v>
      </c>
      <c r="P107" s="1560">
        <f t="shared" si="33"/>
        <v>-7.0000000000000007E-2</v>
      </c>
      <c r="Q107" s="1560">
        <f t="shared" si="34"/>
        <v>-7.0000000000000007E-2</v>
      </c>
      <c r="R107" s="1183">
        <v>33576</v>
      </c>
      <c r="S107" s="1184">
        <v>33576</v>
      </c>
      <c r="T107" s="1184">
        <v>0</v>
      </c>
      <c r="U107" s="1184">
        <v>0</v>
      </c>
      <c r="V107" s="1184">
        <v>0</v>
      </c>
      <c r="W107" s="1186">
        <f t="shared" si="41"/>
        <v>67152</v>
      </c>
      <c r="X107" s="1560">
        <f t="shared" si="35"/>
        <v>0</v>
      </c>
      <c r="Y107" s="1560">
        <f t="shared" si="36"/>
        <v>0</v>
      </c>
      <c r="Z107" s="1183"/>
      <c r="AA107" s="1184"/>
      <c r="AB107" s="1184"/>
      <c r="AC107" s="1184"/>
      <c r="AD107" s="1184"/>
      <c r="AE107" s="1186">
        <f t="shared" si="42"/>
        <v>0</v>
      </c>
      <c r="AF107" s="1560">
        <f t="shared" si="37"/>
        <v>0</v>
      </c>
      <c r="AG107" s="1560">
        <f t="shared" si="38"/>
        <v>0</v>
      </c>
      <c r="AH107" s="1187">
        <v>223.54</v>
      </c>
      <c r="AI107" s="1188">
        <v>30864.17</v>
      </c>
      <c r="AJ107" s="1188">
        <v>0</v>
      </c>
      <c r="AK107" s="1188">
        <v>0</v>
      </c>
      <c r="AL107" s="1188">
        <v>0</v>
      </c>
      <c r="AM107" s="1189">
        <f t="shared" si="43"/>
        <v>31087.71</v>
      </c>
      <c r="AN107" s="1189">
        <f t="shared" si="39"/>
        <v>0</v>
      </c>
      <c r="AO107" s="1189">
        <f t="shared" si="40"/>
        <v>0</v>
      </c>
    </row>
    <row r="108" spans="1:41" s="237" customFormat="1">
      <c r="A108" s="1179" t="s">
        <v>106</v>
      </c>
      <c r="B108" s="1180" t="s">
        <v>107</v>
      </c>
      <c r="C108" s="103" t="s">
        <v>264</v>
      </c>
      <c r="D108" s="1181">
        <f t="shared" si="26"/>
        <v>932699.8</v>
      </c>
      <c r="E108" s="1181">
        <f t="shared" si="27"/>
        <v>1893999.08</v>
      </c>
      <c r="F108" s="1181">
        <f t="shared" si="28"/>
        <v>0</v>
      </c>
      <c r="G108" s="1182">
        <f t="shared" si="29"/>
        <v>-0.05</v>
      </c>
      <c r="H108" s="1182">
        <f t="shared" si="30"/>
        <v>-0.05</v>
      </c>
      <c r="I108" s="1561">
        <f t="shared" si="31"/>
        <v>2826698.83</v>
      </c>
      <c r="J108" s="1183">
        <v>74135.72</v>
      </c>
      <c r="K108" s="1184">
        <v>74135.72</v>
      </c>
      <c r="L108" s="1184">
        <v>0</v>
      </c>
      <c r="M108" s="1184">
        <v>-0.05</v>
      </c>
      <c r="N108" s="1184">
        <v>0</v>
      </c>
      <c r="O108" s="1185">
        <f t="shared" si="32"/>
        <v>148271.39000000001</v>
      </c>
      <c r="P108" s="1560">
        <f t="shared" si="33"/>
        <v>-0.05</v>
      </c>
      <c r="Q108" s="1560">
        <f t="shared" si="34"/>
        <v>-0.05</v>
      </c>
      <c r="R108" s="1183">
        <v>638903.9</v>
      </c>
      <c r="S108" s="1184">
        <v>638903.9</v>
      </c>
      <c r="T108" s="1184">
        <v>0</v>
      </c>
      <c r="U108" s="1184">
        <v>0</v>
      </c>
      <c r="V108" s="1184">
        <v>0</v>
      </c>
      <c r="W108" s="1186">
        <f t="shared" si="41"/>
        <v>1277807.8</v>
      </c>
      <c r="X108" s="1560">
        <f t="shared" si="35"/>
        <v>0</v>
      </c>
      <c r="Y108" s="1560">
        <f t="shared" si="36"/>
        <v>0</v>
      </c>
      <c r="Z108" s="1183"/>
      <c r="AA108" s="1184"/>
      <c r="AB108" s="1184"/>
      <c r="AC108" s="1184"/>
      <c r="AD108" s="1184"/>
      <c r="AE108" s="1186">
        <f t="shared" si="42"/>
        <v>0</v>
      </c>
      <c r="AF108" s="1560">
        <f t="shared" si="37"/>
        <v>0</v>
      </c>
      <c r="AG108" s="1560">
        <f t="shared" si="38"/>
        <v>0</v>
      </c>
      <c r="AH108" s="1187">
        <v>219660.18</v>
      </c>
      <c r="AI108" s="1188">
        <v>1180959.46</v>
      </c>
      <c r="AJ108" s="1188">
        <v>0</v>
      </c>
      <c r="AK108" s="1188">
        <v>0</v>
      </c>
      <c r="AL108" s="1188">
        <v>0</v>
      </c>
      <c r="AM108" s="1189">
        <f t="shared" si="43"/>
        <v>1400619.64</v>
      </c>
      <c r="AN108" s="1189">
        <f t="shared" si="39"/>
        <v>0</v>
      </c>
      <c r="AO108" s="1189">
        <f t="shared" si="40"/>
        <v>0</v>
      </c>
    </row>
    <row r="109" spans="1:41" s="237" customFormat="1">
      <c r="A109" s="1179" t="s">
        <v>116</v>
      </c>
      <c r="B109" s="1180" t="s">
        <v>117</v>
      </c>
      <c r="C109" s="103" t="s">
        <v>266</v>
      </c>
      <c r="D109" s="1181">
        <f t="shared" si="26"/>
        <v>314217.09000000003</v>
      </c>
      <c r="E109" s="1181">
        <f t="shared" si="27"/>
        <v>325456.08</v>
      </c>
      <c r="F109" s="1181">
        <f t="shared" si="28"/>
        <v>0</v>
      </c>
      <c r="G109" s="1182">
        <f t="shared" si="29"/>
        <v>-0.11</v>
      </c>
      <c r="H109" s="1182">
        <f t="shared" si="30"/>
        <v>-0.11</v>
      </c>
      <c r="I109" s="1561">
        <f t="shared" si="31"/>
        <v>639673.06000000006</v>
      </c>
      <c r="J109" s="1183">
        <v>143587.92000000001</v>
      </c>
      <c r="K109" s="1184">
        <v>143587.92000000001</v>
      </c>
      <c r="L109" s="1184">
        <v>0</v>
      </c>
      <c r="M109" s="1184">
        <v>-0.08</v>
      </c>
      <c r="N109" s="1184">
        <v>0</v>
      </c>
      <c r="O109" s="1185">
        <f t="shared" si="32"/>
        <v>287175.76</v>
      </c>
      <c r="P109" s="1560">
        <f t="shared" si="33"/>
        <v>-0.08</v>
      </c>
      <c r="Q109" s="1560">
        <f t="shared" si="34"/>
        <v>-0.08</v>
      </c>
      <c r="R109" s="1183">
        <v>169666.17</v>
      </c>
      <c r="S109" s="1184">
        <v>169666.17</v>
      </c>
      <c r="T109" s="1184">
        <v>0</v>
      </c>
      <c r="U109" s="1184">
        <v>-0.03</v>
      </c>
      <c r="V109" s="1184">
        <v>0</v>
      </c>
      <c r="W109" s="1186">
        <f t="shared" si="41"/>
        <v>339332.31</v>
      </c>
      <c r="X109" s="1560">
        <f t="shared" si="35"/>
        <v>-0.03</v>
      </c>
      <c r="Y109" s="1560">
        <f t="shared" si="36"/>
        <v>-0.03</v>
      </c>
      <c r="Z109" s="1183"/>
      <c r="AA109" s="1184"/>
      <c r="AB109" s="1184"/>
      <c r="AC109" s="1184"/>
      <c r="AD109" s="1184"/>
      <c r="AE109" s="1186">
        <f t="shared" si="42"/>
        <v>0</v>
      </c>
      <c r="AF109" s="1560">
        <f t="shared" si="37"/>
        <v>0</v>
      </c>
      <c r="AG109" s="1560">
        <f t="shared" si="38"/>
        <v>0</v>
      </c>
      <c r="AH109" s="1187">
        <v>963</v>
      </c>
      <c r="AI109" s="1188">
        <v>12201.99</v>
      </c>
      <c r="AJ109" s="1188">
        <v>0</v>
      </c>
      <c r="AK109" s="1188">
        <v>0</v>
      </c>
      <c r="AL109" s="1188">
        <v>0</v>
      </c>
      <c r="AM109" s="1189">
        <f t="shared" si="43"/>
        <v>13164.99</v>
      </c>
      <c r="AN109" s="1189">
        <f t="shared" si="39"/>
        <v>0</v>
      </c>
      <c r="AO109" s="1189">
        <f t="shared" si="40"/>
        <v>0</v>
      </c>
    </row>
    <row r="110" spans="1:41" s="237" customFormat="1">
      <c r="A110" s="1179" t="s">
        <v>138</v>
      </c>
      <c r="B110" s="1180" t="s">
        <v>139</v>
      </c>
      <c r="C110" s="103" t="s">
        <v>265</v>
      </c>
      <c r="D110" s="1181">
        <f t="shared" si="26"/>
        <v>2776098.1</v>
      </c>
      <c r="E110" s="1181">
        <f t="shared" si="27"/>
        <v>4401632.51</v>
      </c>
      <c r="F110" s="1181">
        <f t="shared" si="28"/>
        <v>0</v>
      </c>
      <c r="G110" s="1182">
        <f t="shared" si="29"/>
        <v>-0.47</v>
      </c>
      <c r="H110" s="1182">
        <f t="shared" si="30"/>
        <v>-0.47</v>
      </c>
      <c r="I110" s="1561">
        <f t="shared" si="31"/>
        <v>7177730.1399999997</v>
      </c>
      <c r="J110" s="1183">
        <v>822171.17</v>
      </c>
      <c r="K110" s="1184">
        <v>822171.17</v>
      </c>
      <c r="L110" s="1184">
        <v>0</v>
      </c>
      <c r="M110" s="1184">
        <v>-0.42</v>
      </c>
      <c r="N110" s="1184">
        <v>0</v>
      </c>
      <c r="O110" s="1185">
        <f t="shared" si="32"/>
        <v>1644341.9200000002</v>
      </c>
      <c r="P110" s="1560">
        <f t="shared" si="33"/>
        <v>-0.42</v>
      </c>
      <c r="Q110" s="1560">
        <f t="shared" si="34"/>
        <v>-0.42</v>
      </c>
      <c r="R110" s="1183">
        <v>1633699.6</v>
      </c>
      <c r="S110" s="1184">
        <v>1633699.6</v>
      </c>
      <c r="T110" s="1184">
        <v>0</v>
      </c>
      <c r="U110" s="1184">
        <v>-0.05</v>
      </c>
      <c r="V110" s="1184">
        <v>0</v>
      </c>
      <c r="W110" s="1186">
        <f t="shared" si="41"/>
        <v>3267399.1500000004</v>
      </c>
      <c r="X110" s="1560">
        <f t="shared" si="35"/>
        <v>-0.05</v>
      </c>
      <c r="Y110" s="1560">
        <f t="shared" si="36"/>
        <v>-0.05</v>
      </c>
      <c r="Z110" s="1183"/>
      <c r="AA110" s="1184"/>
      <c r="AB110" s="1184"/>
      <c r="AC110" s="1184"/>
      <c r="AD110" s="1184"/>
      <c r="AE110" s="1186">
        <f t="shared" si="42"/>
        <v>0</v>
      </c>
      <c r="AF110" s="1560">
        <f t="shared" si="37"/>
        <v>0</v>
      </c>
      <c r="AG110" s="1560">
        <f t="shared" si="38"/>
        <v>0</v>
      </c>
      <c r="AH110" s="1187">
        <v>320227.33</v>
      </c>
      <c r="AI110" s="1188">
        <v>1945761.74</v>
      </c>
      <c r="AJ110" s="1188">
        <v>0</v>
      </c>
      <c r="AK110" s="1188">
        <v>0</v>
      </c>
      <c r="AL110" s="1188">
        <v>0</v>
      </c>
      <c r="AM110" s="1189">
        <f t="shared" si="43"/>
        <v>2265989.0699999998</v>
      </c>
      <c r="AN110" s="1189">
        <f t="shared" si="39"/>
        <v>0</v>
      </c>
      <c r="AO110" s="1189">
        <f t="shared" si="40"/>
        <v>0</v>
      </c>
    </row>
    <row r="111" spans="1:41" s="237" customFormat="1">
      <c r="A111" s="1179" t="s">
        <v>142</v>
      </c>
      <c r="B111" s="1180" t="s">
        <v>143</v>
      </c>
      <c r="C111" s="103" t="s">
        <v>267</v>
      </c>
      <c r="D111" s="1181">
        <f t="shared" si="26"/>
        <v>173225.53000000003</v>
      </c>
      <c r="E111" s="1181">
        <f t="shared" si="27"/>
        <v>248422.63</v>
      </c>
      <c r="F111" s="1181">
        <f t="shared" si="28"/>
        <v>0</v>
      </c>
      <c r="G111" s="1182">
        <f t="shared" si="29"/>
        <v>-0.1</v>
      </c>
      <c r="H111" s="1182">
        <f t="shared" si="30"/>
        <v>-0.1</v>
      </c>
      <c r="I111" s="1561">
        <f t="shared" si="31"/>
        <v>421648.06000000006</v>
      </c>
      <c r="J111" s="1183">
        <v>130048.83</v>
      </c>
      <c r="K111" s="1184">
        <v>130048.83</v>
      </c>
      <c r="L111" s="1184">
        <v>0</v>
      </c>
      <c r="M111" s="1184">
        <v>-0.1</v>
      </c>
      <c r="N111" s="1184">
        <v>0</v>
      </c>
      <c r="O111" s="1185">
        <f t="shared" si="32"/>
        <v>260097.56</v>
      </c>
      <c r="P111" s="1560">
        <f t="shared" si="33"/>
        <v>-0.1</v>
      </c>
      <c r="Q111" s="1560">
        <f t="shared" si="34"/>
        <v>-0.1</v>
      </c>
      <c r="R111" s="1183">
        <v>40051</v>
      </c>
      <c r="S111" s="1184">
        <v>40051</v>
      </c>
      <c r="T111" s="1184">
        <v>0</v>
      </c>
      <c r="U111" s="1184">
        <v>0</v>
      </c>
      <c r="V111" s="1184">
        <v>0</v>
      </c>
      <c r="W111" s="1186">
        <f t="shared" si="41"/>
        <v>80102</v>
      </c>
      <c r="X111" s="1560">
        <f t="shared" si="35"/>
        <v>0</v>
      </c>
      <c r="Y111" s="1560">
        <f t="shared" si="36"/>
        <v>0</v>
      </c>
      <c r="Z111" s="1183"/>
      <c r="AA111" s="1184"/>
      <c r="AB111" s="1184"/>
      <c r="AC111" s="1184"/>
      <c r="AD111" s="1184"/>
      <c r="AE111" s="1186">
        <f t="shared" si="42"/>
        <v>0</v>
      </c>
      <c r="AF111" s="1560">
        <f t="shared" si="37"/>
        <v>0</v>
      </c>
      <c r="AG111" s="1560">
        <f t="shared" si="38"/>
        <v>0</v>
      </c>
      <c r="AH111" s="1187">
        <v>3125.7</v>
      </c>
      <c r="AI111" s="1188">
        <v>78322.8</v>
      </c>
      <c r="AJ111" s="1188">
        <v>0</v>
      </c>
      <c r="AK111" s="1188">
        <v>0</v>
      </c>
      <c r="AL111" s="1188">
        <v>0</v>
      </c>
      <c r="AM111" s="1189">
        <f t="shared" si="43"/>
        <v>81448.5</v>
      </c>
      <c r="AN111" s="1189">
        <f t="shared" si="39"/>
        <v>0</v>
      </c>
      <c r="AO111" s="1189">
        <f t="shared" si="40"/>
        <v>0</v>
      </c>
    </row>
    <row r="112" spans="1:41" s="237" customFormat="1">
      <c r="A112" s="1179" t="s">
        <v>144</v>
      </c>
      <c r="B112" s="1180" t="s">
        <v>145</v>
      </c>
      <c r="C112" s="103" t="s">
        <v>267</v>
      </c>
      <c r="D112" s="1181">
        <f t="shared" si="26"/>
        <v>23103.34</v>
      </c>
      <c r="E112" s="1181">
        <f t="shared" si="27"/>
        <v>23223.34</v>
      </c>
      <c r="F112" s="1181">
        <f t="shared" si="28"/>
        <v>0</v>
      </c>
      <c r="G112" s="1182">
        <f t="shared" si="29"/>
        <v>-0.02</v>
      </c>
      <c r="H112" s="1182">
        <f t="shared" si="30"/>
        <v>-0.02</v>
      </c>
      <c r="I112" s="1561">
        <f t="shared" si="31"/>
        <v>46326.66</v>
      </c>
      <c r="J112" s="1183">
        <v>18186.54</v>
      </c>
      <c r="K112" s="1184">
        <v>18186.54</v>
      </c>
      <c r="L112" s="1184">
        <v>0</v>
      </c>
      <c r="M112" s="1184">
        <v>-0.02</v>
      </c>
      <c r="N112" s="1184">
        <v>0</v>
      </c>
      <c r="O112" s="1185">
        <f t="shared" si="32"/>
        <v>36373.060000000005</v>
      </c>
      <c r="P112" s="1560">
        <f t="shared" si="33"/>
        <v>-0.02</v>
      </c>
      <c r="Q112" s="1560">
        <f t="shared" si="34"/>
        <v>-0.02</v>
      </c>
      <c r="R112" s="1183">
        <v>4876.8</v>
      </c>
      <c r="S112" s="1184">
        <v>4876.8</v>
      </c>
      <c r="T112" s="1184">
        <v>0</v>
      </c>
      <c r="U112" s="1184">
        <v>0</v>
      </c>
      <c r="V112" s="1184">
        <v>0</v>
      </c>
      <c r="W112" s="1186">
        <f t="shared" si="41"/>
        <v>9753.6</v>
      </c>
      <c r="X112" s="1560">
        <f t="shared" si="35"/>
        <v>0</v>
      </c>
      <c r="Y112" s="1560">
        <f t="shared" si="36"/>
        <v>0</v>
      </c>
      <c r="Z112" s="1183"/>
      <c r="AA112" s="1184"/>
      <c r="AB112" s="1184"/>
      <c r="AC112" s="1184"/>
      <c r="AD112" s="1184"/>
      <c r="AE112" s="1186">
        <f t="shared" si="42"/>
        <v>0</v>
      </c>
      <c r="AF112" s="1560">
        <f t="shared" si="37"/>
        <v>0</v>
      </c>
      <c r="AG112" s="1560">
        <f t="shared" si="38"/>
        <v>0</v>
      </c>
      <c r="AH112" s="1187">
        <v>40</v>
      </c>
      <c r="AI112" s="1188">
        <v>160</v>
      </c>
      <c r="AJ112" s="1188">
        <v>0</v>
      </c>
      <c r="AK112" s="1188">
        <v>0</v>
      </c>
      <c r="AL112" s="1188">
        <v>0</v>
      </c>
      <c r="AM112" s="1189">
        <f t="shared" si="43"/>
        <v>200</v>
      </c>
      <c r="AN112" s="1189">
        <f t="shared" si="39"/>
        <v>0</v>
      </c>
      <c r="AO112" s="1189">
        <f t="shared" si="40"/>
        <v>0</v>
      </c>
    </row>
    <row r="113" spans="1:41" s="237" customFormat="1">
      <c r="A113" s="1179" t="s">
        <v>158</v>
      </c>
      <c r="B113" s="1180" t="s">
        <v>159</v>
      </c>
      <c r="C113" s="103" t="s">
        <v>264</v>
      </c>
      <c r="D113" s="1181">
        <f t="shared" si="26"/>
        <v>2023992.7999999998</v>
      </c>
      <c r="E113" s="1181">
        <f t="shared" si="27"/>
        <v>2896344.6599999997</v>
      </c>
      <c r="F113" s="1181">
        <f t="shared" si="28"/>
        <v>0</v>
      </c>
      <c r="G113" s="1182">
        <f t="shared" si="29"/>
        <v>-0.31</v>
      </c>
      <c r="H113" s="1182">
        <f t="shared" si="30"/>
        <v>-0.31</v>
      </c>
      <c r="I113" s="1561">
        <f t="shared" si="31"/>
        <v>4920337.1499999994</v>
      </c>
      <c r="J113" s="1183">
        <v>294314.90999999997</v>
      </c>
      <c r="K113" s="1184">
        <v>294314.90999999997</v>
      </c>
      <c r="L113" s="1184">
        <v>0</v>
      </c>
      <c r="M113" s="1184">
        <v>-0.16</v>
      </c>
      <c r="N113" s="1184">
        <v>0</v>
      </c>
      <c r="O113" s="1185">
        <f t="shared" si="32"/>
        <v>588629.65999999992</v>
      </c>
      <c r="P113" s="1560">
        <f t="shared" si="33"/>
        <v>-0.16</v>
      </c>
      <c r="Q113" s="1560">
        <f t="shared" si="34"/>
        <v>-0.16</v>
      </c>
      <c r="R113" s="1183">
        <v>1649805.13</v>
      </c>
      <c r="S113" s="1184">
        <v>1649805.13</v>
      </c>
      <c r="T113" s="1184">
        <v>0</v>
      </c>
      <c r="U113" s="1184">
        <v>-0.15</v>
      </c>
      <c r="V113" s="1184">
        <v>0</v>
      </c>
      <c r="W113" s="1186">
        <f t="shared" si="41"/>
        <v>3299610.11</v>
      </c>
      <c r="X113" s="1560">
        <f t="shared" si="35"/>
        <v>-0.15</v>
      </c>
      <c r="Y113" s="1560">
        <f t="shared" si="36"/>
        <v>-0.15</v>
      </c>
      <c r="Z113" s="1183"/>
      <c r="AA113" s="1184"/>
      <c r="AB113" s="1184"/>
      <c r="AC113" s="1184"/>
      <c r="AD113" s="1184"/>
      <c r="AE113" s="1186">
        <f t="shared" si="42"/>
        <v>0</v>
      </c>
      <c r="AF113" s="1560">
        <f t="shared" si="37"/>
        <v>0</v>
      </c>
      <c r="AG113" s="1560">
        <f t="shared" si="38"/>
        <v>0</v>
      </c>
      <c r="AH113" s="1187">
        <v>79872.759999999995</v>
      </c>
      <c r="AI113" s="1188">
        <v>952224.62</v>
      </c>
      <c r="AJ113" s="1188">
        <v>0</v>
      </c>
      <c r="AK113" s="1188">
        <v>0</v>
      </c>
      <c r="AL113" s="1188">
        <v>0</v>
      </c>
      <c r="AM113" s="1189">
        <f t="shared" si="43"/>
        <v>1032097.38</v>
      </c>
      <c r="AN113" s="1189">
        <f t="shared" si="39"/>
        <v>0</v>
      </c>
      <c r="AO113" s="1189">
        <f t="shared" si="40"/>
        <v>0</v>
      </c>
    </row>
    <row r="114" spans="1:41" s="237" customFormat="1">
      <c r="A114" s="1179" t="s">
        <v>160</v>
      </c>
      <c r="B114" s="1180" t="s">
        <v>161</v>
      </c>
      <c r="C114" s="103" t="s">
        <v>264</v>
      </c>
      <c r="D114" s="1181">
        <f t="shared" si="26"/>
        <v>2646239.2600000002</v>
      </c>
      <c r="E114" s="1181">
        <f t="shared" si="27"/>
        <v>3226506.93</v>
      </c>
      <c r="F114" s="1181">
        <f t="shared" si="28"/>
        <v>0</v>
      </c>
      <c r="G114" s="1182">
        <f t="shared" si="29"/>
        <v>-0.35</v>
      </c>
      <c r="H114" s="1182">
        <f t="shared" si="30"/>
        <v>-0.35</v>
      </c>
      <c r="I114" s="1561">
        <f t="shared" si="31"/>
        <v>5872745.8400000008</v>
      </c>
      <c r="J114" s="1183">
        <v>1077680.81</v>
      </c>
      <c r="K114" s="1184">
        <v>1077680.81</v>
      </c>
      <c r="L114" s="1184">
        <v>0</v>
      </c>
      <c r="M114" s="1184">
        <v>-0.23</v>
      </c>
      <c r="N114" s="1184">
        <v>0</v>
      </c>
      <c r="O114" s="1185">
        <f t="shared" si="32"/>
        <v>2155361.39</v>
      </c>
      <c r="P114" s="1560">
        <f t="shared" si="33"/>
        <v>-0.23</v>
      </c>
      <c r="Q114" s="1560">
        <f t="shared" si="34"/>
        <v>-0.23</v>
      </c>
      <c r="R114" s="1183">
        <v>1477668.01</v>
      </c>
      <c r="S114" s="1184">
        <v>1477668.01</v>
      </c>
      <c r="T114" s="1184">
        <v>0</v>
      </c>
      <c r="U114" s="1184">
        <v>-0.12</v>
      </c>
      <c r="V114" s="1184">
        <v>0</v>
      </c>
      <c r="W114" s="1186">
        <f t="shared" si="41"/>
        <v>2955335.9</v>
      </c>
      <c r="X114" s="1560">
        <f t="shared" si="35"/>
        <v>-0.12</v>
      </c>
      <c r="Y114" s="1560">
        <f t="shared" si="36"/>
        <v>-0.12</v>
      </c>
      <c r="Z114" s="1183"/>
      <c r="AA114" s="1184"/>
      <c r="AB114" s="1184"/>
      <c r="AC114" s="1184"/>
      <c r="AD114" s="1184"/>
      <c r="AE114" s="1186">
        <f t="shared" si="42"/>
        <v>0</v>
      </c>
      <c r="AF114" s="1560">
        <f t="shared" si="37"/>
        <v>0</v>
      </c>
      <c r="AG114" s="1560">
        <f t="shared" si="38"/>
        <v>0</v>
      </c>
      <c r="AH114" s="1187">
        <v>90890.44</v>
      </c>
      <c r="AI114" s="1188">
        <v>671158.11</v>
      </c>
      <c r="AJ114" s="1188">
        <v>0</v>
      </c>
      <c r="AK114" s="1188">
        <v>0</v>
      </c>
      <c r="AL114" s="1188">
        <v>0</v>
      </c>
      <c r="AM114" s="1189">
        <f t="shared" si="43"/>
        <v>762048.55</v>
      </c>
      <c r="AN114" s="1189">
        <f t="shared" si="39"/>
        <v>0</v>
      </c>
      <c r="AO114" s="1189">
        <f t="shared" si="40"/>
        <v>0</v>
      </c>
    </row>
    <row r="115" spans="1:41" s="237" customFormat="1">
      <c r="A115" s="1179" t="s">
        <v>166</v>
      </c>
      <c r="B115" s="1180" t="s">
        <v>167</v>
      </c>
      <c r="C115" s="103" t="s">
        <v>268</v>
      </c>
      <c r="D115" s="1181">
        <f t="shared" si="26"/>
        <v>45618.780000000006</v>
      </c>
      <c r="E115" s="1181">
        <f t="shared" si="27"/>
        <v>54639.180000000008</v>
      </c>
      <c r="F115" s="1181">
        <f t="shared" si="28"/>
        <v>0</v>
      </c>
      <c r="G115" s="1182">
        <f t="shared" si="29"/>
        <v>524.95000000000005</v>
      </c>
      <c r="H115" s="1182">
        <f t="shared" si="30"/>
        <v>524.95000000000005</v>
      </c>
      <c r="I115" s="1561">
        <f t="shared" si="31"/>
        <v>100782.91000000002</v>
      </c>
      <c r="J115" s="1183">
        <v>7615.54</v>
      </c>
      <c r="K115" s="1184">
        <v>7615.54</v>
      </c>
      <c r="L115" s="1184">
        <v>0</v>
      </c>
      <c r="M115" s="1184">
        <v>-0.04</v>
      </c>
      <c r="N115" s="1184">
        <v>0</v>
      </c>
      <c r="O115" s="1185">
        <f t="shared" si="32"/>
        <v>15231.039999999999</v>
      </c>
      <c r="P115" s="1560">
        <f t="shared" si="33"/>
        <v>-0.04</v>
      </c>
      <c r="Q115" s="1560">
        <f t="shared" si="34"/>
        <v>-0.04</v>
      </c>
      <c r="R115" s="1183">
        <v>36788.44</v>
      </c>
      <c r="S115" s="1184">
        <v>36788.44</v>
      </c>
      <c r="T115" s="1184">
        <v>0</v>
      </c>
      <c r="U115" s="1184">
        <v>-0.01</v>
      </c>
      <c r="V115" s="1184">
        <v>0</v>
      </c>
      <c r="W115" s="1186">
        <f t="shared" si="41"/>
        <v>73576.87000000001</v>
      </c>
      <c r="X115" s="1560">
        <f t="shared" si="35"/>
        <v>-0.01</v>
      </c>
      <c r="Y115" s="1560">
        <f t="shared" si="36"/>
        <v>-0.01</v>
      </c>
      <c r="Z115" s="1183"/>
      <c r="AA115" s="1184"/>
      <c r="AB115" s="1184"/>
      <c r="AC115" s="1184"/>
      <c r="AD115" s="1184"/>
      <c r="AE115" s="1186">
        <f t="shared" si="42"/>
        <v>0</v>
      </c>
      <c r="AF115" s="1560">
        <f t="shared" si="37"/>
        <v>0</v>
      </c>
      <c r="AG115" s="1560">
        <f t="shared" si="38"/>
        <v>0</v>
      </c>
      <c r="AH115" s="1187">
        <v>1214.8</v>
      </c>
      <c r="AI115" s="1188">
        <v>10235.200000000001</v>
      </c>
      <c r="AJ115" s="1188">
        <v>0</v>
      </c>
      <c r="AK115" s="1188">
        <v>525</v>
      </c>
      <c r="AL115" s="1188">
        <v>0</v>
      </c>
      <c r="AM115" s="1189">
        <f t="shared" si="43"/>
        <v>11975</v>
      </c>
      <c r="AN115" s="1189">
        <f t="shared" si="39"/>
        <v>525</v>
      </c>
      <c r="AO115" s="1189">
        <f t="shared" si="40"/>
        <v>525</v>
      </c>
    </row>
    <row r="116" spans="1:41" s="237" customFormat="1">
      <c r="A116" s="1179" t="s">
        <v>176</v>
      </c>
      <c r="B116" s="1180" t="s">
        <v>177</v>
      </c>
      <c r="C116" s="103" t="s">
        <v>266</v>
      </c>
      <c r="D116" s="1181">
        <f t="shared" si="26"/>
        <v>842508.33000000007</v>
      </c>
      <c r="E116" s="1181">
        <f t="shared" si="27"/>
        <v>1112377.98</v>
      </c>
      <c r="F116" s="1181">
        <f t="shared" si="28"/>
        <v>0</v>
      </c>
      <c r="G116" s="1182">
        <f t="shared" si="29"/>
        <v>-0.16999999999999998</v>
      </c>
      <c r="H116" s="1182">
        <f t="shared" si="30"/>
        <v>-0.16999999999999998</v>
      </c>
      <c r="I116" s="1561">
        <f t="shared" si="31"/>
        <v>1954886.1400000001</v>
      </c>
      <c r="J116" s="1183">
        <v>260358.47</v>
      </c>
      <c r="K116" s="1184">
        <v>260358.47</v>
      </c>
      <c r="L116" s="1184">
        <v>0</v>
      </c>
      <c r="M116" s="1184">
        <v>-0.15</v>
      </c>
      <c r="N116" s="1184">
        <v>0</v>
      </c>
      <c r="O116" s="1185">
        <f t="shared" si="32"/>
        <v>520716.79</v>
      </c>
      <c r="P116" s="1560">
        <f t="shared" si="33"/>
        <v>-0.15</v>
      </c>
      <c r="Q116" s="1560">
        <f t="shared" si="34"/>
        <v>-0.15</v>
      </c>
      <c r="R116" s="1183">
        <v>559226.31000000006</v>
      </c>
      <c r="S116" s="1184">
        <v>559226.31000000006</v>
      </c>
      <c r="T116" s="1184">
        <v>0</v>
      </c>
      <c r="U116" s="1184">
        <v>-0.02</v>
      </c>
      <c r="V116" s="1184">
        <v>0</v>
      </c>
      <c r="W116" s="1186">
        <f t="shared" si="41"/>
        <v>1118452.6000000001</v>
      </c>
      <c r="X116" s="1560">
        <f t="shared" si="35"/>
        <v>-0.02</v>
      </c>
      <c r="Y116" s="1560">
        <f t="shared" si="36"/>
        <v>-0.02</v>
      </c>
      <c r="Z116" s="1183"/>
      <c r="AA116" s="1184"/>
      <c r="AB116" s="1184"/>
      <c r="AC116" s="1184"/>
      <c r="AD116" s="1184"/>
      <c r="AE116" s="1186">
        <f t="shared" si="42"/>
        <v>0</v>
      </c>
      <c r="AF116" s="1560">
        <f t="shared" si="37"/>
        <v>0</v>
      </c>
      <c r="AG116" s="1560">
        <f t="shared" si="38"/>
        <v>0</v>
      </c>
      <c r="AH116" s="1187">
        <v>22923.55</v>
      </c>
      <c r="AI116" s="1188">
        <v>292793.2</v>
      </c>
      <c r="AJ116" s="1188">
        <v>0</v>
      </c>
      <c r="AK116" s="1188">
        <v>0</v>
      </c>
      <c r="AL116" s="1188">
        <v>0</v>
      </c>
      <c r="AM116" s="1189">
        <f t="shared" si="43"/>
        <v>315716.75</v>
      </c>
      <c r="AN116" s="1189">
        <f t="shared" si="39"/>
        <v>0</v>
      </c>
      <c r="AO116" s="1189">
        <f t="shared" si="40"/>
        <v>0</v>
      </c>
    </row>
    <row r="117" spans="1:41" s="237" customFormat="1">
      <c r="A117" s="1179" t="s">
        <v>180</v>
      </c>
      <c r="B117" s="1180" t="s">
        <v>181</v>
      </c>
      <c r="C117" s="103" t="s">
        <v>264</v>
      </c>
      <c r="D117" s="1181">
        <f t="shared" si="26"/>
        <v>1193970.4700000002</v>
      </c>
      <c r="E117" s="1181">
        <f t="shared" si="27"/>
        <v>1837811.56</v>
      </c>
      <c r="F117" s="1181">
        <f t="shared" si="28"/>
        <v>0</v>
      </c>
      <c r="G117" s="1182">
        <f t="shared" si="29"/>
        <v>-0.26</v>
      </c>
      <c r="H117" s="1182">
        <f t="shared" si="30"/>
        <v>-0.26</v>
      </c>
      <c r="I117" s="1561">
        <f t="shared" si="31"/>
        <v>3031781.7700000005</v>
      </c>
      <c r="J117" s="1183">
        <v>422993.39</v>
      </c>
      <c r="K117" s="1184">
        <v>422993.39</v>
      </c>
      <c r="L117" s="1184">
        <v>0</v>
      </c>
      <c r="M117" s="1184">
        <v>-0.24</v>
      </c>
      <c r="N117" s="1184">
        <v>0</v>
      </c>
      <c r="O117" s="1185">
        <f t="shared" si="32"/>
        <v>845986.54</v>
      </c>
      <c r="P117" s="1560">
        <f t="shared" si="33"/>
        <v>-0.24</v>
      </c>
      <c r="Q117" s="1560">
        <f t="shared" si="34"/>
        <v>-0.24</v>
      </c>
      <c r="R117" s="1183">
        <v>769523.48</v>
      </c>
      <c r="S117" s="1184">
        <v>769523.48</v>
      </c>
      <c r="T117" s="1184">
        <v>0</v>
      </c>
      <c r="U117" s="1184">
        <v>-0.02</v>
      </c>
      <c r="V117" s="1184">
        <v>0</v>
      </c>
      <c r="W117" s="1186">
        <f t="shared" si="41"/>
        <v>1539046.94</v>
      </c>
      <c r="X117" s="1560">
        <f t="shared" si="35"/>
        <v>-0.02</v>
      </c>
      <c r="Y117" s="1560">
        <f t="shared" si="36"/>
        <v>-0.02</v>
      </c>
      <c r="Z117" s="1183"/>
      <c r="AA117" s="1184"/>
      <c r="AB117" s="1184"/>
      <c r="AC117" s="1184"/>
      <c r="AD117" s="1184"/>
      <c r="AE117" s="1186">
        <f t="shared" si="42"/>
        <v>0</v>
      </c>
      <c r="AF117" s="1560">
        <f t="shared" si="37"/>
        <v>0</v>
      </c>
      <c r="AG117" s="1560">
        <f t="shared" si="38"/>
        <v>0</v>
      </c>
      <c r="AH117" s="1187">
        <v>1453.6</v>
      </c>
      <c r="AI117" s="1188">
        <v>645294.68999999994</v>
      </c>
      <c r="AJ117" s="1188">
        <v>0</v>
      </c>
      <c r="AK117" s="1188">
        <v>0</v>
      </c>
      <c r="AL117" s="1188">
        <v>0</v>
      </c>
      <c r="AM117" s="1189">
        <f t="shared" si="43"/>
        <v>646748.28999999992</v>
      </c>
      <c r="AN117" s="1189">
        <f t="shared" si="39"/>
        <v>0</v>
      </c>
      <c r="AO117" s="1189">
        <f t="shared" si="40"/>
        <v>0</v>
      </c>
    </row>
    <row r="118" spans="1:41" s="237" customFormat="1">
      <c r="A118" s="1179" t="s">
        <v>192</v>
      </c>
      <c r="B118" s="1180" t="s">
        <v>193</v>
      </c>
      <c r="C118" s="103" t="s">
        <v>268</v>
      </c>
      <c r="D118" s="1181">
        <f t="shared" si="26"/>
        <v>149591.95000000001</v>
      </c>
      <c r="E118" s="1181">
        <f t="shared" si="27"/>
        <v>183244.51</v>
      </c>
      <c r="F118" s="1181">
        <f t="shared" si="28"/>
        <v>0</v>
      </c>
      <c r="G118" s="1182">
        <f t="shared" si="29"/>
        <v>-0.04</v>
      </c>
      <c r="H118" s="1182">
        <f t="shared" si="30"/>
        <v>-0.04</v>
      </c>
      <c r="I118" s="1561">
        <f t="shared" si="31"/>
        <v>332836.42000000004</v>
      </c>
      <c r="J118" s="1183">
        <v>52192.19</v>
      </c>
      <c r="K118" s="1184">
        <v>52192.19</v>
      </c>
      <c r="L118" s="1184">
        <v>0</v>
      </c>
      <c r="M118" s="1184">
        <v>-0.04</v>
      </c>
      <c r="N118" s="1184">
        <v>0</v>
      </c>
      <c r="O118" s="1185">
        <f t="shared" si="32"/>
        <v>104384.34000000001</v>
      </c>
      <c r="P118" s="1560">
        <f t="shared" si="33"/>
        <v>-0.04</v>
      </c>
      <c r="Q118" s="1560">
        <f t="shared" si="34"/>
        <v>-0.04</v>
      </c>
      <c r="R118" s="1183">
        <v>91910.09</v>
      </c>
      <c r="S118" s="1184">
        <v>91910.09</v>
      </c>
      <c r="T118" s="1184">
        <v>0</v>
      </c>
      <c r="U118" s="1184">
        <v>0</v>
      </c>
      <c r="V118" s="1184">
        <v>0</v>
      </c>
      <c r="W118" s="1186">
        <f t="shared" si="41"/>
        <v>183820.18</v>
      </c>
      <c r="X118" s="1560">
        <f t="shared" si="35"/>
        <v>0</v>
      </c>
      <c r="Y118" s="1560">
        <f t="shared" si="36"/>
        <v>0</v>
      </c>
      <c r="Z118" s="1183"/>
      <c r="AA118" s="1184"/>
      <c r="AB118" s="1184"/>
      <c r="AC118" s="1184"/>
      <c r="AD118" s="1184"/>
      <c r="AE118" s="1186">
        <f t="shared" si="42"/>
        <v>0</v>
      </c>
      <c r="AF118" s="1560">
        <f t="shared" si="37"/>
        <v>0</v>
      </c>
      <c r="AG118" s="1560">
        <f t="shared" si="38"/>
        <v>0</v>
      </c>
      <c r="AH118" s="1187">
        <v>5489.67</v>
      </c>
      <c r="AI118" s="1188">
        <v>39142.230000000003</v>
      </c>
      <c r="AJ118" s="1188">
        <v>0</v>
      </c>
      <c r="AK118" s="1188">
        <v>0</v>
      </c>
      <c r="AL118" s="1188">
        <v>0</v>
      </c>
      <c r="AM118" s="1189">
        <f t="shared" si="43"/>
        <v>44631.9</v>
      </c>
      <c r="AN118" s="1189">
        <f t="shared" si="39"/>
        <v>0</v>
      </c>
      <c r="AO118" s="1189">
        <f t="shared" si="40"/>
        <v>0</v>
      </c>
    </row>
    <row r="119" spans="1:41" s="237" customFormat="1">
      <c r="A119" s="1179" t="s">
        <v>196</v>
      </c>
      <c r="B119" s="1180" t="s">
        <v>312</v>
      </c>
      <c r="C119" s="103" t="s">
        <v>266</v>
      </c>
      <c r="D119" s="1181">
        <f t="shared" si="26"/>
        <v>4210112.58</v>
      </c>
      <c r="E119" s="1181">
        <f t="shared" si="27"/>
        <v>5729051.1900000004</v>
      </c>
      <c r="F119" s="1181">
        <f t="shared" si="28"/>
        <v>0</v>
      </c>
      <c r="G119" s="1182">
        <f t="shared" si="29"/>
        <v>-0.44000000000873113</v>
      </c>
      <c r="H119" s="1182">
        <f t="shared" si="30"/>
        <v>-0.44000000000873113</v>
      </c>
      <c r="I119" s="1561">
        <f t="shared" si="31"/>
        <v>9939163.3300000001</v>
      </c>
      <c r="J119" s="1183">
        <v>1633404.9</v>
      </c>
      <c r="K119" s="1184">
        <v>1633404.9</v>
      </c>
      <c r="L119" s="1184">
        <v>0</v>
      </c>
      <c r="M119" s="1184">
        <v>-99581.94</v>
      </c>
      <c r="N119" s="1184">
        <v>99581.54</v>
      </c>
      <c r="O119" s="1185">
        <f t="shared" si="32"/>
        <v>3266809.4</v>
      </c>
      <c r="P119" s="1560">
        <f t="shared" si="33"/>
        <v>-0.40000000000873115</v>
      </c>
      <c r="Q119" s="1560">
        <f t="shared" si="34"/>
        <v>-0.40000000000873115</v>
      </c>
      <c r="R119" s="1183">
        <v>2518626.9900000002</v>
      </c>
      <c r="S119" s="1184">
        <v>2518626.9900000002</v>
      </c>
      <c r="T119" s="1184">
        <v>0</v>
      </c>
      <c r="U119" s="1184">
        <v>-0.04</v>
      </c>
      <c r="V119" s="1184">
        <v>0</v>
      </c>
      <c r="W119" s="1186">
        <f t="shared" si="41"/>
        <v>5037253.9400000004</v>
      </c>
      <c r="X119" s="1560">
        <f t="shared" si="35"/>
        <v>-0.04</v>
      </c>
      <c r="Y119" s="1560">
        <f t="shared" si="36"/>
        <v>-0.04</v>
      </c>
      <c r="Z119" s="1183"/>
      <c r="AA119" s="1184"/>
      <c r="AB119" s="1184"/>
      <c r="AC119" s="1184"/>
      <c r="AD119" s="1184"/>
      <c r="AE119" s="1186">
        <f t="shared" si="42"/>
        <v>0</v>
      </c>
      <c r="AF119" s="1560">
        <f t="shared" si="37"/>
        <v>0</v>
      </c>
      <c r="AG119" s="1560">
        <f t="shared" si="38"/>
        <v>0</v>
      </c>
      <c r="AH119" s="1187">
        <v>58080.69</v>
      </c>
      <c r="AI119" s="1188">
        <v>1577019.3</v>
      </c>
      <c r="AJ119" s="1188">
        <v>0</v>
      </c>
      <c r="AK119" s="1188">
        <v>0</v>
      </c>
      <c r="AL119" s="1188">
        <v>0</v>
      </c>
      <c r="AM119" s="1189">
        <f t="shared" si="43"/>
        <v>1635099.99</v>
      </c>
      <c r="AN119" s="1189">
        <f t="shared" si="39"/>
        <v>0</v>
      </c>
      <c r="AO119" s="1189">
        <f t="shared" si="40"/>
        <v>0</v>
      </c>
    </row>
    <row r="120" spans="1:41" s="237" customFormat="1">
      <c r="A120" s="1179" t="s">
        <v>200</v>
      </c>
      <c r="B120" s="1180" t="s">
        <v>313</v>
      </c>
      <c r="C120" s="103" t="s">
        <v>265</v>
      </c>
      <c r="D120" s="1181">
        <f t="shared" si="26"/>
        <v>3583390.05</v>
      </c>
      <c r="E120" s="1181">
        <f t="shared" si="27"/>
        <v>4754571.68</v>
      </c>
      <c r="F120" s="1181">
        <f t="shared" si="28"/>
        <v>0</v>
      </c>
      <c r="G120" s="1182">
        <f t="shared" si="29"/>
        <v>-0.44000000000000006</v>
      </c>
      <c r="H120" s="1182">
        <f t="shared" si="30"/>
        <v>-0.44000000000000006</v>
      </c>
      <c r="I120" s="1561">
        <f t="shared" si="31"/>
        <v>8337961.2899999991</v>
      </c>
      <c r="J120" s="1183">
        <v>920228.93</v>
      </c>
      <c r="K120" s="1184">
        <v>920228.93</v>
      </c>
      <c r="L120" s="1184">
        <v>0</v>
      </c>
      <c r="M120" s="1184">
        <v>-0.34</v>
      </c>
      <c r="N120" s="1184">
        <v>0</v>
      </c>
      <c r="O120" s="1185">
        <f t="shared" si="32"/>
        <v>1840457.52</v>
      </c>
      <c r="P120" s="1560">
        <f t="shared" si="33"/>
        <v>-0.34</v>
      </c>
      <c r="Q120" s="1560">
        <f t="shared" si="34"/>
        <v>-0.34</v>
      </c>
      <c r="R120" s="1183">
        <v>2588999.86</v>
      </c>
      <c r="S120" s="1184">
        <v>2588999.86</v>
      </c>
      <c r="T120" s="1184">
        <v>0</v>
      </c>
      <c r="U120" s="1184">
        <v>-0.1</v>
      </c>
      <c r="V120" s="1184">
        <v>0</v>
      </c>
      <c r="W120" s="1186">
        <f t="shared" si="41"/>
        <v>5177999.62</v>
      </c>
      <c r="X120" s="1560">
        <f t="shared" si="35"/>
        <v>-0.1</v>
      </c>
      <c r="Y120" s="1560">
        <f t="shared" si="36"/>
        <v>-0.1</v>
      </c>
      <c r="Z120" s="1183"/>
      <c r="AA120" s="1184"/>
      <c r="AB120" s="1184"/>
      <c r="AC120" s="1184"/>
      <c r="AD120" s="1184"/>
      <c r="AE120" s="1186">
        <f t="shared" si="42"/>
        <v>0</v>
      </c>
      <c r="AF120" s="1560">
        <f t="shared" si="37"/>
        <v>0</v>
      </c>
      <c r="AG120" s="1560">
        <f t="shared" si="38"/>
        <v>0</v>
      </c>
      <c r="AH120" s="1187">
        <v>74161.259999999995</v>
      </c>
      <c r="AI120" s="1188">
        <v>1245342.8899999999</v>
      </c>
      <c r="AJ120" s="1188">
        <v>0</v>
      </c>
      <c r="AK120" s="1188">
        <v>0</v>
      </c>
      <c r="AL120" s="1188">
        <v>0</v>
      </c>
      <c r="AM120" s="1189">
        <f t="shared" si="43"/>
        <v>1319504.1499999999</v>
      </c>
      <c r="AN120" s="1189">
        <f t="shared" si="39"/>
        <v>0</v>
      </c>
      <c r="AO120" s="1189">
        <f t="shared" si="40"/>
        <v>0</v>
      </c>
    </row>
    <row r="121" spans="1:41" s="237" customFormat="1">
      <c r="A121" s="1179" t="s">
        <v>222</v>
      </c>
      <c r="B121" s="1180" t="s">
        <v>223</v>
      </c>
      <c r="C121" s="103" t="s">
        <v>264</v>
      </c>
      <c r="D121" s="1181">
        <f t="shared" si="26"/>
        <v>269828.20999999996</v>
      </c>
      <c r="E121" s="1181">
        <f t="shared" si="27"/>
        <v>384412.94</v>
      </c>
      <c r="F121" s="1181">
        <f t="shared" si="28"/>
        <v>0</v>
      </c>
      <c r="G121" s="1182">
        <f t="shared" si="29"/>
        <v>-0.11</v>
      </c>
      <c r="H121" s="1182">
        <f t="shared" si="30"/>
        <v>-0.11</v>
      </c>
      <c r="I121" s="1561">
        <f t="shared" si="31"/>
        <v>654241.03999999992</v>
      </c>
      <c r="J121" s="1183">
        <v>100777.62</v>
      </c>
      <c r="K121" s="1184">
        <v>100777.62</v>
      </c>
      <c r="L121" s="1184">
        <v>0</v>
      </c>
      <c r="M121" s="1184">
        <v>-0.11</v>
      </c>
      <c r="N121" s="1184">
        <v>0</v>
      </c>
      <c r="O121" s="1185">
        <f t="shared" si="32"/>
        <v>201555.13</v>
      </c>
      <c r="P121" s="1560">
        <f t="shared" si="33"/>
        <v>-0.11</v>
      </c>
      <c r="Q121" s="1560">
        <f t="shared" si="34"/>
        <v>-0.11</v>
      </c>
      <c r="R121" s="1183">
        <v>165484.99</v>
      </c>
      <c r="S121" s="1184">
        <v>165484.99</v>
      </c>
      <c r="T121" s="1184">
        <v>0</v>
      </c>
      <c r="U121" s="1184">
        <v>0</v>
      </c>
      <c r="V121" s="1184">
        <v>0</v>
      </c>
      <c r="W121" s="1186">
        <f t="shared" si="41"/>
        <v>330969.98</v>
      </c>
      <c r="X121" s="1560">
        <f t="shared" si="35"/>
        <v>0</v>
      </c>
      <c r="Y121" s="1560">
        <f t="shared" si="36"/>
        <v>0</v>
      </c>
      <c r="Z121" s="1183"/>
      <c r="AA121" s="1184"/>
      <c r="AB121" s="1184"/>
      <c r="AC121" s="1184"/>
      <c r="AD121" s="1184"/>
      <c r="AE121" s="1186">
        <f t="shared" si="42"/>
        <v>0</v>
      </c>
      <c r="AF121" s="1560">
        <f t="shared" si="37"/>
        <v>0</v>
      </c>
      <c r="AG121" s="1560">
        <f t="shared" si="38"/>
        <v>0</v>
      </c>
      <c r="AH121" s="1187">
        <v>3565.6</v>
      </c>
      <c r="AI121" s="1188">
        <v>118150.33</v>
      </c>
      <c r="AJ121" s="1188">
        <v>0</v>
      </c>
      <c r="AK121" s="1188">
        <v>0</v>
      </c>
      <c r="AL121" s="1188">
        <v>0</v>
      </c>
      <c r="AM121" s="1189">
        <f t="shared" si="43"/>
        <v>121715.93000000001</v>
      </c>
      <c r="AN121" s="1189">
        <f t="shared" si="39"/>
        <v>0</v>
      </c>
      <c r="AO121" s="1189">
        <f t="shared" si="40"/>
        <v>0</v>
      </c>
    </row>
    <row r="122" spans="1:41" s="237" customFormat="1">
      <c r="A122" s="1179" t="s">
        <v>230</v>
      </c>
      <c r="B122" s="1180" t="s">
        <v>231</v>
      </c>
      <c r="C122" s="103" t="s">
        <v>264</v>
      </c>
      <c r="D122" s="1181">
        <f t="shared" si="26"/>
        <v>2031529.29</v>
      </c>
      <c r="E122" s="1181">
        <f t="shared" si="27"/>
        <v>3655079.5300000003</v>
      </c>
      <c r="F122" s="1181">
        <f t="shared" si="28"/>
        <v>0</v>
      </c>
      <c r="G122" s="1182">
        <f t="shared" si="29"/>
        <v>-0.35</v>
      </c>
      <c r="H122" s="1182">
        <f t="shared" si="30"/>
        <v>-0.35</v>
      </c>
      <c r="I122" s="1561">
        <f t="shared" si="31"/>
        <v>5686608.4700000007</v>
      </c>
      <c r="J122" s="1183">
        <v>717066.22</v>
      </c>
      <c r="K122" s="1184">
        <v>717066.22</v>
      </c>
      <c r="L122" s="1184">
        <v>0</v>
      </c>
      <c r="M122" s="1184">
        <v>-0.32</v>
      </c>
      <c r="N122" s="1184">
        <v>0</v>
      </c>
      <c r="O122" s="1185">
        <f t="shared" si="32"/>
        <v>1434132.1199999999</v>
      </c>
      <c r="P122" s="1560">
        <f t="shared" si="33"/>
        <v>-0.32</v>
      </c>
      <c r="Q122" s="1560">
        <f t="shared" si="34"/>
        <v>-0.32</v>
      </c>
      <c r="R122" s="1183">
        <v>1094713.51</v>
      </c>
      <c r="S122" s="1184">
        <v>1094713.51</v>
      </c>
      <c r="T122" s="1184">
        <v>0</v>
      </c>
      <c r="U122" s="1184">
        <v>-0.03</v>
      </c>
      <c r="V122" s="1184">
        <v>0</v>
      </c>
      <c r="W122" s="1186">
        <f t="shared" si="41"/>
        <v>2189426.9900000002</v>
      </c>
      <c r="X122" s="1560">
        <f t="shared" si="35"/>
        <v>-0.03</v>
      </c>
      <c r="Y122" s="1560">
        <f t="shared" si="36"/>
        <v>-0.03</v>
      </c>
      <c r="Z122" s="1183"/>
      <c r="AA122" s="1184"/>
      <c r="AB122" s="1184"/>
      <c r="AC122" s="1184"/>
      <c r="AD122" s="1184"/>
      <c r="AE122" s="1186">
        <f t="shared" si="42"/>
        <v>0</v>
      </c>
      <c r="AF122" s="1560">
        <f t="shared" si="37"/>
        <v>0</v>
      </c>
      <c r="AG122" s="1560">
        <f t="shared" si="38"/>
        <v>0</v>
      </c>
      <c r="AH122" s="1187">
        <v>219749.56</v>
      </c>
      <c r="AI122" s="1188">
        <v>1843299.8</v>
      </c>
      <c r="AJ122" s="1188">
        <v>0</v>
      </c>
      <c r="AK122" s="1188">
        <v>0</v>
      </c>
      <c r="AL122" s="1188">
        <v>0</v>
      </c>
      <c r="AM122" s="1189">
        <f t="shared" si="43"/>
        <v>2063049.36</v>
      </c>
      <c r="AN122" s="1189">
        <f t="shared" si="39"/>
        <v>0</v>
      </c>
      <c r="AO122" s="1189">
        <f t="shared" si="40"/>
        <v>0</v>
      </c>
    </row>
    <row r="123" spans="1:41" s="237" customFormat="1">
      <c r="A123" s="1179" t="s">
        <v>238</v>
      </c>
      <c r="B123" s="1180" t="s">
        <v>239</v>
      </c>
      <c r="C123" s="103" t="s">
        <v>264</v>
      </c>
      <c r="D123" s="1181">
        <f t="shared" si="26"/>
        <v>126536.94</v>
      </c>
      <c r="E123" s="1181">
        <f t="shared" si="27"/>
        <v>127100.94</v>
      </c>
      <c r="F123" s="1181">
        <f t="shared" si="28"/>
        <v>0</v>
      </c>
      <c r="G123" s="1182">
        <f t="shared" si="29"/>
        <v>9185.5400000000009</v>
      </c>
      <c r="H123" s="1182">
        <f t="shared" si="30"/>
        <v>9185.5400000000009</v>
      </c>
      <c r="I123" s="1561">
        <f t="shared" si="31"/>
        <v>262823.42</v>
      </c>
      <c r="J123" s="1183">
        <v>63566.07</v>
      </c>
      <c r="K123" s="1184">
        <v>63566.07</v>
      </c>
      <c r="L123" s="1184">
        <v>0</v>
      </c>
      <c r="M123" s="1184">
        <v>-7.0000000000000007E-2</v>
      </c>
      <c r="N123" s="1184">
        <v>9185.61</v>
      </c>
      <c r="O123" s="1185">
        <f t="shared" si="32"/>
        <v>136317.68</v>
      </c>
      <c r="P123" s="1560">
        <f t="shared" si="33"/>
        <v>9185.5400000000009</v>
      </c>
      <c r="Q123" s="1560">
        <f t="shared" si="34"/>
        <v>9185.5400000000009</v>
      </c>
      <c r="R123" s="1183">
        <v>62782.87</v>
      </c>
      <c r="S123" s="1184">
        <v>62782.87</v>
      </c>
      <c r="T123" s="1184">
        <v>0</v>
      </c>
      <c r="U123" s="1184">
        <v>0</v>
      </c>
      <c r="V123" s="1184">
        <v>0</v>
      </c>
      <c r="W123" s="1186">
        <f t="shared" si="41"/>
        <v>125565.74</v>
      </c>
      <c r="X123" s="1560">
        <f t="shared" si="35"/>
        <v>0</v>
      </c>
      <c r="Y123" s="1560">
        <f t="shared" si="36"/>
        <v>0</v>
      </c>
      <c r="Z123" s="1183"/>
      <c r="AA123" s="1184"/>
      <c r="AB123" s="1184"/>
      <c r="AC123" s="1184"/>
      <c r="AD123" s="1184"/>
      <c r="AE123" s="1186">
        <f t="shared" si="42"/>
        <v>0</v>
      </c>
      <c r="AF123" s="1560">
        <f t="shared" si="37"/>
        <v>0</v>
      </c>
      <c r="AG123" s="1560">
        <f t="shared" si="38"/>
        <v>0</v>
      </c>
      <c r="AH123" s="1187">
        <v>188</v>
      </c>
      <c r="AI123" s="1188">
        <v>752</v>
      </c>
      <c r="AJ123" s="1188">
        <v>0</v>
      </c>
      <c r="AK123" s="1188">
        <v>0</v>
      </c>
      <c r="AL123" s="1188">
        <v>0</v>
      </c>
      <c r="AM123" s="1189">
        <f t="shared" si="43"/>
        <v>940</v>
      </c>
      <c r="AN123" s="1189">
        <f t="shared" si="39"/>
        <v>0</v>
      </c>
      <c r="AO123" s="1189">
        <f t="shared" si="40"/>
        <v>0</v>
      </c>
    </row>
    <row r="124" spans="1:41" s="237" customFormat="1">
      <c r="A124" s="1179" t="s">
        <v>240</v>
      </c>
      <c r="B124" s="1180" t="s">
        <v>241</v>
      </c>
      <c r="C124" s="111" t="s">
        <v>267</v>
      </c>
      <c r="D124" s="1181">
        <f t="shared" si="26"/>
        <v>358119.79</v>
      </c>
      <c r="E124" s="1181">
        <f t="shared" si="27"/>
        <v>450511.74</v>
      </c>
      <c r="F124" s="1181">
        <f t="shared" si="28"/>
        <v>0</v>
      </c>
      <c r="G124" s="1182">
        <f t="shared" si="29"/>
        <v>45.57</v>
      </c>
      <c r="H124" s="1182">
        <f t="shared" si="30"/>
        <v>45.57</v>
      </c>
      <c r="I124" s="1561">
        <f t="shared" si="31"/>
        <v>808677.1</v>
      </c>
      <c r="J124" s="1183">
        <v>151496.01</v>
      </c>
      <c r="K124" s="1184">
        <v>151496.01</v>
      </c>
      <c r="L124" s="1184">
        <v>0</v>
      </c>
      <c r="M124" s="1184">
        <v>45.6</v>
      </c>
      <c r="N124" s="1184">
        <v>0</v>
      </c>
      <c r="O124" s="1185">
        <f t="shared" si="32"/>
        <v>303037.62</v>
      </c>
      <c r="P124" s="1560">
        <f t="shared" si="33"/>
        <v>45.6</v>
      </c>
      <c r="Q124" s="1560">
        <f t="shared" si="34"/>
        <v>45.6</v>
      </c>
      <c r="R124" s="1183">
        <v>205327.74</v>
      </c>
      <c r="S124" s="1184">
        <v>205327.74</v>
      </c>
      <c r="T124" s="1184">
        <v>0</v>
      </c>
      <c r="U124" s="1184">
        <v>-0.03</v>
      </c>
      <c r="V124" s="1184">
        <v>0</v>
      </c>
      <c r="W124" s="1186">
        <f t="shared" si="41"/>
        <v>410655.44999999995</v>
      </c>
      <c r="X124" s="1560">
        <f t="shared" si="35"/>
        <v>-0.03</v>
      </c>
      <c r="Y124" s="1560">
        <f t="shared" si="36"/>
        <v>-0.03</v>
      </c>
      <c r="Z124" s="1183"/>
      <c r="AA124" s="1184"/>
      <c r="AB124" s="1184"/>
      <c r="AC124" s="1184"/>
      <c r="AD124" s="1184"/>
      <c r="AE124" s="1186">
        <f t="shared" si="42"/>
        <v>0</v>
      </c>
      <c r="AF124" s="1560">
        <f t="shared" si="37"/>
        <v>0</v>
      </c>
      <c r="AG124" s="1560">
        <f t="shared" si="38"/>
        <v>0</v>
      </c>
      <c r="AH124" s="1187">
        <v>1296.04</v>
      </c>
      <c r="AI124" s="1188">
        <v>93687.99</v>
      </c>
      <c r="AJ124" s="1188">
        <v>0</v>
      </c>
      <c r="AK124" s="1188">
        <v>0</v>
      </c>
      <c r="AL124" s="1188">
        <v>0</v>
      </c>
      <c r="AM124" s="1189">
        <f t="shared" si="43"/>
        <v>94984.03</v>
      </c>
      <c r="AN124" s="1189">
        <f t="shared" si="39"/>
        <v>0</v>
      </c>
      <c r="AO124" s="1189">
        <f t="shared" si="40"/>
        <v>0</v>
      </c>
    </row>
    <row r="125" spans="1:41" s="237" customFormat="1">
      <c r="J125" s="1190"/>
      <c r="K125" s="1191"/>
      <c r="L125" s="1191"/>
      <c r="M125" s="1191"/>
      <c r="N125" s="1191"/>
      <c r="O125" s="1185">
        <f t="shared" si="32"/>
        <v>0</v>
      </c>
      <c r="P125" s="1560">
        <f t="shared" si="33"/>
        <v>0</v>
      </c>
      <c r="Q125" s="1560">
        <f t="shared" si="34"/>
        <v>0</v>
      </c>
      <c r="R125" s="1192"/>
      <c r="S125" s="1191"/>
      <c r="T125" s="1191"/>
      <c r="U125" s="1191"/>
      <c r="V125" s="1191"/>
      <c r="W125" s="1186"/>
      <c r="X125" s="1560"/>
      <c r="Y125" s="1560"/>
      <c r="Z125" s="1192"/>
      <c r="AA125" s="1191"/>
      <c r="AB125" s="1193"/>
      <c r="AC125" s="1194"/>
      <c r="AD125" s="1194"/>
      <c r="AE125" s="1186"/>
      <c r="AF125" s="1560"/>
      <c r="AG125" s="1560"/>
      <c r="AH125" s="1194"/>
      <c r="AI125" s="1194"/>
      <c r="AJ125" s="1194"/>
      <c r="AK125" s="1194"/>
      <c r="AL125" s="1194"/>
      <c r="AM125" s="1189">
        <f>SUM(AH125:AL125)</f>
        <v>0</v>
      </c>
      <c r="AN125" s="1189">
        <f t="shared" si="39"/>
        <v>0</v>
      </c>
      <c r="AO125" s="1189">
        <f t="shared" si="40"/>
        <v>0</v>
      </c>
    </row>
    <row r="126" spans="1:41" s="1195" customFormat="1">
      <c r="A126" s="1195" t="s">
        <v>874</v>
      </c>
      <c r="B126" s="1196"/>
      <c r="C126" s="1196"/>
      <c r="D126" s="1197"/>
    </row>
    <row r="127" spans="1:41" s="1195" customFormat="1"/>
    <row r="128" spans="1:41" s="185" customFormat="1">
      <c r="A128" s="185" t="s">
        <v>248</v>
      </c>
    </row>
    <row r="129" spans="1:3">
      <c r="A129" s="192" t="s">
        <v>249</v>
      </c>
      <c r="B129" s="170" t="s">
        <v>250</v>
      </c>
      <c r="C129" s="170"/>
    </row>
  </sheetData>
  <autoFilter ref="A3:C3"/>
  <hyperlinks>
    <hyperlink ref="B129" r:id="rId1"/>
  </hyperlinks>
  <pageMargins left="0.7" right="0.7" top="0.75" bottom="0.75" header="0.3" footer="0.3"/>
  <pageSetup orientation="portrait" r:id="rId2"/>
</worksheet>
</file>

<file path=xl/worksheets/sheet53.xml><?xml version="1.0" encoding="utf-8"?>
<worksheet xmlns="http://schemas.openxmlformats.org/spreadsheetml/2006/main" xmlns:r="http://schemas.openxmlformats.org/officeDocument/2006/relationships">
  <dimension ref="A1:I129"/>
  <sheetViews>
    <sheetView workbookViewId="0">
      <selection activeCell="H4" sqref="H4"/>
    </sheetView>
  </sheetViews>
  <sheetFormatPr defaultRowHeight="12.75"/>
  <cols>
    <col min="1" max="1" width="9" style="222"/>
    <col min="2" max="2" width="27.75" style="222" customWidth="1"/>
    <col min="3" max="3" width="14.25" style="222" customWidth="1"/>
    <col min="4" max="9" width="12.125" style="222" customWidth="1"/>
    <col min="10" max="16384" width="9" style="222"/>
  </cols>
  <sheetData>
    <row r="1" spans="1:9">
      <c r="A1" s="65" t="s">
        <v>1107</v>
      </c>
      <c r="D1" s="1164"/>
      <c r="E1" s="1164"/>
      <c r="F1" s="1164"/>
      <c r="G1" s="1164"/>
      <c r="H1" s="1164"/>
      <c r="I1" s="1164"/>
    </row>
    <row r="2" spans="1:9">
      <c r="D2" s="1165"/>
      <c r="E2" s="1165"/>
      <c r="F2" s="1165"/>
      <c r="G2" s="1165"/>
      <c r="H2" s="1165"/>
      <c r="I2" s="1165"/>
    </row>
    <row r="3" spans="1:9" ht="25.5">
      <c r="A3" s="1166" t="s">
        <v>4</v>
      </c>
      <c r="B3" s="1167" t="s">
        <v>5</v>
      </c>
      <c r="C3" s="1167" t="s">
        <v>251</v>
      </c>
      <c r="D3" s="1168" t="s">
        <v>1102</v>
      </c>
      <c r="E3" s="1169" t="s">
        <v>1103</v>
      </c>
      <c r="F3" s="1169" t="s">
        <v>1101</v>
      </c>
      <c r="G3" s="1169" t="s">
        <v>1104</v>
      </c>
      <c r="H3" s="1171" t="s">
        <v>1105</v>
      </c>
      <c r="I3" s="1171" t="s">
        <v>1106</v>
      </c>
    </row>
    <row r="4" spans="1:9">
      <c r="A4" s="1172">
        <v>999</v>
      </c>
      <c r="B4" s="1173" t="s">
        <v>9</v>
      </c>
      <c r="C4" s="1174"/>
      <c r="D4" s="1175">
        <f t="shared" ref="D4:H4" si="0">SUM(D5:D124)</f>
        <v>0</v>
      </c>
      <c r="E4" s="1176">
        <f t="shared" si="0"/>
        <v>206244481.75999996</v>
      </c>
      <c r="F4" s="1176">
        <f t="shared" si="0"/>
        <v>110635694.75999993</v>
      </c>
      <c r="G4" s="1176">
        <f t="shared" si="0"/>
        <v>0</v>
      </c>
      <c r="H4" s="1178">
        <f t="shared" si="0"/>
        <v>316880176.51999986</v>
      </c>
      <c r="I4" s="1178">
        <f t="shared" ref="I4" si="1">SUM(I5:I124)</f>
        <v>110635694.75999993</v>
      </c>
    </row>
    <row r="5" spans="1:9" s="237" customFormat="1">
      <c r="A5" s="1179" t="s">
        <v>10</v>
      </c>
      <c r="B5" s="1180" t="s">
        <v>11</v>
      </c>
      <c r="C5" s="103" t="s">
        <v>264</v>
      </c>
      <c r="D5" s="1183"/>
      <c r="E5" s="1184">
        <v>363073.65</v>
      </c>
      <c r="F5" s="1184">
        <v>114288.22</v>
      </c>
      <c r="G5" s="1188"/>
      <c r="H5" s="1186">
        <f>SUM(D5:G5)</f>
        <v>477361.87</v>
      </c>
      <c r="I5" s="1186">
        <f>F5+G5</f>
        <v>114288.22</v>
      </c>
    </row>
    <row r="6" spans="1:9" s="237" customFormat="1">
      <c r="A6" s="1179" t="s">
        <v>12</v>
      </c>
      <c r="B6" s="1180" t="s">
        <v>13</v>
      </c>
      <c r="C6" s="103" t="s">
        <v>265</v>
      </c>
      <c r="D6" s="1183"/>
      <c r="E6" s="1184">
        <v>5003140.51</v>
      </c>
      <c r="F6" s="1184">
        <v>3632950.41</v>
      </c>
      <c r="G6" s="1188"/>
      <c r="H6" s="1186">
        <f t="shared" ref="H6:H69" si="2">SUM(D6:G6)</f>
        <v>8636090.9199999999</v>
      </c>
      <c r="I6" s="1186">
        <f t="shared" ref="I6:I69" si="3">F6+G6</f>
        <v>3632950.41</v>
      </c>
    </row>
    <row r="7" spans="1:9" s="237" customFormat="1">
      <c r="A7" s="1179" t="s">
        <v>16</v>
      </c>
      <c r="B7" s="1180" t="s">
        <v>297</v>
      </c>
      <c r="C7" s="103" t="s">
        <v>265</v>
      </c>
      <c r="D7" s="1183"/>
      <c r="E7" s="1184">
        <v>1603719.99</v>
      </c>
      <c r="F7" s="1184">
        <v>459997.64</v>
      </c>
      <c r="G7" s="1188"/>
      <c r="H7" s="1186">
        <f t="shared" si="2"/>
        <v>2063717.63</v>
      </c>
      <c r="I7" s="1186">
        <f t="shared" si="3"/>
        <v>459997.64</v>
      </c>
    </row>
    <row r="8" spans="1:9" s="237" customFormat="1">
      <c r="A8" s="1179" t="s">
        <v>18</v>
      </c>
      <c r="B8" s="1180" t="s">
        <v>19</v>
      </c>
      <c r="C8" s="103" t="s">
        <v>266</v>
      </c>
      <c r="D8" s="1183"/>
      <c r="E8" s="1184">
        <v>189990.29</v>
      </c>
      <c r="F8" s="1184">
        <v>86541.25</v>
      </c>
      <c r="G8" s="1188"/>
      <c r="H8" s="1186">
        <f t="shared" si="2"/>
        <v>276531.54000000004</v>
      </c>
      <c r="I8" s="1186">
        <f t="shared" si="3"/>
        <v>86541.25</v>
      </c>
    </row>
    <row r="9" spans="1:9" s="237" customFormat="1">
      <c r="A9" s="1179" t="s">
        <v>20</v>
      </c>
      <c r="B9" s="1180" t="s">
        <v>21</v>
      </c>
      <c r="C9" s="103" t="s">
        <v>265</v>
      </c>
      <c r="D9" s="1183"/>
      <c r="E9" s="1184">
        <v>644950.04</v>
      </c>
      <c r="F9" s="1184">
        <v>244016.16</v>
      </c>
      <c r="G9" s="1188"/>
      <c r="H9" s="1186">
        <f t="shared" si="2"/>
        <v>888966.20000000007</v>
      </c>
      <c r="I9" s="1186">
        <f t="shared" si="3"/>
        <v>244016.16</v>
      </c>
    </row>
    <row r="10" spans="1:9" s="237" customFormat="1">
      <c r="A10" s="1179" t="s">
        <v>22</v>
      </c>
      <c r="B10" s="1180" t="s">
        <v>23</v>
      </c>
      <c r="C10" s="103" t="s">
        <v>265</v>
      </c>
      <c r="D10" s="1183"/>
      <c r="E10" s="1184">
        <v>860297.31</v>
      </c>
      <c r="F10" s="1184">
        <v>270256.13</v>
      </c>
      <c r="G10" s="1188"/>
      <c r="H10" s="1186">
        <f t="shared" si="2"/>
        <v>1130553.44</v>
      </c>
      <c r="I10" s="1186">
        <f t="shared" si="3"/>
        <v>270256.13</v>
      </c>
    </row>
    <row r="11" spans="1:9" s="237" customFormat="1">
      <c r="A11" s="1179" t="s">
        <v>24</v>
      </c>
      <c r="B11" s="1180" t="s">
        <v>25</v>
      </c>
      <c r="C11" s="103" t="s">
        <v>267</v>
      </c>
      <c r="D11" s="1183"/>
      <c r="E11" s="1184">
        <v>3843161.59</v>
      </c>
      <c r="F11" s="1184">
        <v>3380736.97</v>
      </c>
      <c r="G11" s="1188"/>
      <c r="H11" s="1186">
        <f t="shared" si="2"/>
        <v>7223898.5600000005</v>
      </c>
      <c r="I11" s="1186">
        <f t="shared" si="3"/>
        <v>3380736.97</v>
      </c>
    </row>
    <row r="12" spans="1:9" s="237" customFormat="1">
      <c r="A12" s="1179" t="s">
        <v>26</v>
      </c>
      <c r="B12" s="1180" t="s">
        <v>706</v>
      </c>
      <c r="C12" s="103" t="s">
        <v>265</v>
      </c>
      <c r="D12" s="1183"/>
      <c r="E12" s="1184">
        <v>5711826.7699999996</v>
      </c>
      <c r="F12" s="1184">
        <v>2547419.41</v>
      </c>
      <c r="G12" s="1188"/>
      <c r="H12" s="1186">
        <f t="shared" si="2"/>
        <v>8259246.1799999997</v>
      </c>
      <c r="I12" s="1186">
        <f t="shared" si="3"/>
        <v>2547419.41</v>
      </c>
    </row>
    <row r="13" spans="1:9" s="237" customFormat="1">
      <c r="A13" s="1179" t="s">
        <v>27</v>
      </c>
      <c r="B13" s="1180" t="s">
        <v>28</v>
      </c>
      <c r="C13" s="103" t="s">
        <v>265</v>
      </c>
      <c r="D13" s="1183"/>
      <c r="E13" s="1184">
        <v>69952.160000000003</v>
      </c>
      <c r="F13" s="1184">
        <v>49634.7</v>
      </c>
      <c r="G13" s="1188"/>
      <c r="H13" s="1186">
        <f t="shared" si="2"/>
        <v>119586.86</v>
      </c>
      <c r="I13" s="1186">
        <f t="shared" si="3"/>
        <v>49634.7</v>
      </c>
    </row>
    <row r="14" spans="1:9" s="237" customFormat="1">
      <c r="A14" s="1179" t="s">
        <v>29</v>
      </c>
      <c r="B14" s="1180" t="s">
        <v>1012</v>
      </c>
      <c r="C14" s="103" t="s">
        <v>265</v>
      </c>
      <c r="D14" s="1183"/>
      <c r="E14" s="1184">
        <v>905561.91</v>
      </c>
      <c r="F14" s="1184">
        <v>407147.81</v>
      </c>
      <c r="G14" s="1188"/>
      <c r="H14" s="1186">
        <f t="shared" si="2"/>
        <v>1312709.72</v>
      </c>
      <c r="I14" s="1186">
        <f t="shared" si="3"/>
        <v>407147.81</v>
      </c>
    </row>
    <row r="15" spans="1:9" s="237" customFormat="1">
      <c r="A15" s="1179" t="s">
        <v>30</v>
      </c>
      <c r="B15" s="1180" t="s">
        <v>31</v>
      </c>
      <c r="C15" s="103" t="s">
        <v>268</v>
      </c>
      <c r="D15" s="1183"/>
      <c r="E15" s="1184">
        <v>344863.17</v>
      </c>
      <c r="F15" s="1184">
        <v>92875.95</v>
      </c>
      <c r="G15" s="1188"/>
      <c r="H15" s="1186">
        <f t="shared" si="2"/>
        <v>437739.12</v>
      </c>
      <c r="I15" s="1186">
        <f t="shared" si="3"/>
        <v>92875.95</v>
      </c>
    </row>
    <row r="16" spans="1:9" s="237" customFormat="1">
      <c r="A16" s="1179" t="s">
        <v>32</v>
      </c>
      <c r="B16" s="1180" t="s">
        <v>33</v>
      </c>
      <c r="C16" s="103" t="s">
        <v>265</v>
      </c>
      <c r="D16" s="1183"/>
      <c r="E16" s="1184">
        <v>727680</v>
      </c>
      <c r="F16" s="1184">
        <v>415637.11</v>
      </c>
      <c r="G16" s="1188"/>
      <c r="H16" s="1186">
        <f t="shared" si="2"/>
        <v>1143317.1099999999</v>
      </c>
      <c r="I16" s="1186">
        <f t="shared" si="3"/>
        <v>415637.11</v>
      </c>
    </row>
    <row r="17" spans="1:9" s="237" customFormat="1">
      <c r="A17" s="1179" t="s">
        <v>36</v>
      </c>
      <c r="B17" s="1180" t="s">
        <v>37</v>
      </c>
      <c r="C17" s="103" t="s">
        <v>264</v>
      </c>
      <c r="D17" s="1183"/>
      <c r="E17" s="1184">
        <v>435488.74</v>
      </c>
      <c r="F17" s="1184">
        <v>141790.92000000001</v>
      </c>
      <c r="G17" s="1188"/>
      <c r="H17" s="1186">
        <f t="shared" si="2"/>
        <v>577279.66</v>
      </c>
      <c r="I17" s="1186">
        <f t="shared" si="3"/>
        <v>141790.92000000001</v>
      </c>
    </row>
    <row r="18" spans="1:9" s="237" customFormat="1">
      <c r="A18" s="1179" t="s">
        <v>38</v>
      </c>
      <c r="B18" s="1180" t="s">
        <v>39</v>
      </c>
      <c r="C18" s="103" t="s">
        <v>268</v>
      </c>
      <c r="D18" s="1183"/>
      <c r="E18" s="1184">
        <v>695528.81</v>
      </c>
      <c r="F18" s="1184">
        <v>354392.1</v>
      </c>
      <c r="G18" s="1188"/>
      <c r="H18" s="1186">
        <f t="shared" si="2"/>
        <v>1049920.9100000001</v>
      </c>
      <c r="I18" s="1186">
        <f t="shared" si="3"/>
        <v>354392.1</v>
      </c>
    </row>
    <row r="19" spans="1:9" s="237" customFormat="1">
      <c r="A19" s="1179" t="s">
        <v>40</v>
      </c>
      <c r="B19" s="1180" t="s">
        <v>41</v>
      </c>
      <c r="C19" s="103" t="s">
        <v>266</v>
      </c>
      <c r="D19" s="1183"/>
      <c r="E19" s="1184">
        <v>1192654.56</v>
      </c>
      <c r="F19" s="1184">
        <v>287672.71000000002</v>
      </c>
      <c r="G19" s="1188"/>
      <c r="H19" s="1186">
        <f t="shared" si="2"/>
        <v>1480327.27</v>
      </c>
      <c r="I19" s="1186">
        <f t="shared" si="3"/>
        <v>287672.71000000002</v>
      </c>
    </row>
    <row r="20" spans="1:9" s="237" customFormat="1">
      <c r="A20" s="1179" t="s">
        <v>42</v>
      </c>
      <c r="B20" s="1180" t="s">
        <v>43</v>
      </c>
      <c r="C20" s="103" t="s">
        <v>265</v>
      </c>
      <c r="D20" s="1183"/>
      <c r="E20" s="1184">
        <v>1312500.24</v>
      </c>
      <c r="F20" s="1184">
        <v>565668.67000000004</v>
      </c>
      <c r="G20" s="1188"/>
      <c r="H20" s="1186">
        <f t="shared" si="2"/>
        <v>1878168.9100000001</v>
      </c>
      <c r="I20" s="1186">
        <f t="shared" si="3"/>
        <v>565668.67000000004</v>
      </c>
    </row>
    <row r="21" spans="1:9" s="237" customFormat="1">
      <c r="A21" s="1179" t="s">
        <v>44</v>
      </c>
      <c r="B21" s="1180" t="s">
        <v>45</v>
      </c>
      <c r="C21" s="103" t="s">
        <v>266</v>
      </c>
      <c r="D21" s="1183"/>
      <c r="E21" s="1184">
        <v>1476125.49</v>
      </c>
      <c r="F21" s="1184">
        <v>765769.67</v>
      </c>
      <c r="G21" s="1188"/>
      <c r="H21" s="1186">
        <f t="shared" si="2"/>
        <v>2241895.16</v>
      </c>
      <c r="I21" s="1186">
        <f t="shared" si="3"/>
        <v>765769.67</v>
      </c>
    </row>
    <row r="22" spans="1:9" s="237" customFormat="1">
      <c r="A22" s="1179" t="s">
        <v>46</v>
      </c>
      <c r="B22" s="1180" t="s">
        <v>47</v>
      </c>
      <c r="C22" s="103" t="s">
        <v>268</v>
      </c>
      <c r="D22" s="1183"/>
      <c r="E22" s="1184">
        <v>1099878.4099999999</v>
      </c>
      <c r="F22" s="1184">
        <v>412680.45</v>
      </c>
      <c r="G22" s="1188"/>
      <c r="H22" s="1186">
        <f t="shared" si="2"/>
        <v>1512558.8599999999</v>
      </c>
      <c r="I22" s="1186">
        <f t="shared" si="3"/>
        <v>412680.45</v>
      </c>
    </row>
    <row r="23" spans="1:9" s="237" customFormat="1">
      <c r="A23" s="1179" t="s">
        <v>48</v>
      </c>
      <c r="B23" s="1180" t="s">
        <v>269</v>
      </c>
      <c r="C23" s="103" t="s">
        <v>266</v>
      </c>
      <c r="D23" s="1183"/>
      <c r="E23" s="1184">
        <v>94862.34</v>
      </c>
      <c r="F23" s="1184">
        <v>42846.62</v>
      </c>
      <c r="G23" s="1188"/>
      <c r="H23" s="1186">
        <f t="shared" si="2"/>
        <v>137708.96</v>
      </c>
      <c r="I23" s="1186">
        <f t="shared" si="3"/>
        <v>42846.62</v>
      </c>
    </row>
    <row r="24" spans="1:9" s="237" customFormat="1">
      <c r="A24" s="1179" t="s">
        <v>50</v>
      </c>
      <c r="B24" s="1180" t="s">
        <v>51</v>
      </c>
      <c r="C24" s="103" t="s">
        <v>265</v>
      </c>
      <c r="D24" s="1183"/>
      <c r="E24" s="1184">
        <v>750286.62</v>
      </c>
      <c r="F24" s="1184">
        <v>195777.25</v>
      </c>
      <c r="G24" s="1188"/>
      <c r="H24" s="1186">
        <f t="shared" si="2"/>
        <v>946063.87</v>
      </c>
      <c r="I24" s="1186">
        <f t="shared" si="3"/>
        <v>195777.25</v>
      </c>
    </row>
    <row r="25" spans="1:9" s="237" customFormat="1">
      <c r="A25" s="1179" t="s">
        <v>56</v>
      </c>
      <c r="B25" s="1180" t="s">
        <v>295</v>
      </c>
      <c r="C25" s="103" t="s">
        <v>266</v>
      </c>
      <c r="D25" s="1183"/>
      <c r="E25" s="1184">
        <v>5202720.0199999996</v>
      </c>
      <c r="F25" s="1184">
        <v>3207434.5900000003</v>
      </c>
      <c r="G25" s="1188"/>
      <c r="H25" s="1186">
        <f t="shared" si="2"/>
        <v>8410154.6099999994</v>
      </c>
      <c r="I25" s="1186">
        <f t="shared" si="3"/>
        <v>3207434.5900000003</v>
      </c>
    </row>
    <row r="26" spans="1:9" s="237" customFormat="1">
      <c r="A26" s="1179" t="s">
        <v>58</v>
      </c>
      <c r="B26" s="1180" t="s">
        <v>59</v>
      </c>
      <c r="C26" s="103" t="s">
        <v>267</v>
      </c>
      <c r="D26" s="1183"/>
      <c r="E26" s="1184">
        <v>296819.53000000003</v>
      </c>
      <c r="F26" s="1184">
        <v>251223.77</v>
      </c>
      <c r="G26" s="1188"/>
      <c r="H26" s="1186">
        <f t="shared" si="2"/>
        <v>548043.30000000005</v>
      </c>
      <c r="I26" s="1186">
        <f t="shared" si="3"/>
        <v>251223.77</v>
      </c>
    </row>
    <row r="27" spans="1:9" s="237" customFormat="1">
      <c r="A27" s="1179" t="s">
        <v>60</v>
      </c>
      <c r="B27" s="1180" t="s">
        <v>61</v>
      </c>
      <c r="C27" s="103" t="s">
        <v>265</v>
      </c>
      <c r="D27" s="1183"/>
      <c r="E27" s="1184">
        <v>269224.17</v>
      </c>
      <c r="F27" s="1184">
        <v>106141.54</v>
      </c>
      <c r="G27" s="1188"/>
      <c r="H27" s="1186">
        <f t="shared" si="2"/>
        <v>375365.70999999996</v>
      </c>
      <c r="I27" s="1186">
        <f t="shared" si="3"/>
        <v>106141.54</v>
      </c>
    </row>
    <row r="28" spans="1:9" s="237" customFormat="1">
      <c r="A28" s="1179" t="s">
        <v>62</v>
      </c>
      <c r="B28" s="1180" t="s">
        <v>63</v>
      </c>
      <c r="C28" s="103" t="s">
        <v>267</v>
      </c>
      <c r="D28" s="1183"/>
      <c r="E28" s="1184">
        <v>2983702.83</v>
      </c>
      <c r="F28" s="1184">
        <v>1500758.98</v>
      </c>
      <c r="G28" s="1188"/>
      <c r="H28" s="1186">
        <f t="shared" si="2"/>
        <v>4484461.8100000005</v>
      </c>
      <c r="I28" s="1186">
        <f t="shared" si="3"/>
        <v>1500758.98</v>
      </c>
    </row>
    <row r="29" spans="1:9" s="237" customFormat="1">
      <c r="A29" s="1179" t="s">
        <v>64</v>
      </c>
      <c r="B29" s="1180" t="s">
        <v>65</v>
      </c>
      <c r="C29" s="103" t="s">
        <v>266</v>
      </c>
      <c r="D29" s="1183"/>
      <c r="E29" s="1184">
        <v>348978.55</v>
      </c>
      <c r="F29" s="1184">
        <v>155695.92000000001</v>
      </c>
      <c r="G29" s="1188"/>
      <c r="H29" s="1186">
        <f t="shared" si="2"/>
        <v>504674.47</v>
      </c>
      <c r="I29" s="1186">
        <f t="shared" si="3"/>
        <v>155695.92000000001</v>
      </c>
    </row>
    <row r="30" spans="1:9" s="237" customFormat="1">
      <c r="A30" s="1179" t="s">
        <v>68</v>
      </c>
      <c r="B30" s="1180" t="s">
        <v>69</v>
      </c>
      <c r="C30" s="103" t="s">
        <v>268</v>
      </c>
      <c r="D30" s="1183"/>
      <c r="E30" s="1184">
        <v>972050.03</v>
      </c>
      <c r="F30" s="1184">
        <v>373666.24</v>
      </c>
      <c r="G30" s="1188"/>
      <c r="H30" s="1186">
        <f t="shared" si="2"/>
        <v>1345716.27</v>
      </c>
      <c r="I30" s="1186">
        <f t="shared" si="3"/>
        <v>373666.24</v>
      </c>
    </row>
    <row r="31" spans="1:9" s="237" customFormat="1">
      <c r="A31" s="1179" t="s">
        <v>70</v>
      </c>
      <c r="B31" s="1180" t="s">
        <v>71</v>
      </c>
      <c r="C31" s="103" t="s">
        <v>264</v>
      </c>
      <c r="D31" s="1183"/>
      <c r="E31" s="1184">
        <v>848136.83</v>
      </c>
      <c r="F31" s="1184">
        <v>431789.66</v>
      </c>
      <c r="G31" s="1188"/>
      <c r="H31" s="1186">
        <f t="shared" si="2"/>
        <v>1279926.49</v>
      </c>
      <c r="I31" s="1186">
        <f t="shared" si="3"/>
        <v>431789.66</v>
      </c>
    </row>
    <row r="32" spans="1:9" s="237" customFormat="1">
      <c r="A32" s="1179" t="s">
        <v>72</v>
      </c>
      <c r="B32" s="1180" t="s">
        <v>73</v>
      </c>
      <c r="C32" s="103" t="s">
        <v>266</v>
      </c>
      <c r="D32" s="1183"/>
      <c r="E32" s="1184">
        <v>309495.48</v>
      </c>
      <c r="F32" s="1184">
        <v>196758.49</v>
      </c>
      <c r="G32" s="1188"/>
      <c r="H32" s="1186">
        <f t="shared" si="2"/>
        <v>506253.97</v>
      </c>
      <c r="I32" s="1186">
        <f t="shared" si="3"/>
        <v>196758.49</v>
      </c>
    </row>
    <row r="33" spans="1:9" s="237" customFormat="1">
      <c r="A33" s="1179" t="s">
        <v>74</v>
      </c>
      <c r="B33" s="1180" t="s">
        <v>302</v>
      </c>
      <c r="C33" s="103" t="s">
        <v>267</v>
      </c>
      <c r="D33" s="1183"/>
      <c r="E33" s="1184">
        <v>20965460.190000001</v>
      </c>
      <c r="F33" s="1184">
        <v>17052238.510000002</v>
      </c>
      <c r="G33" s="1188"/>
      <c r="H33" s="1186">
        <f t="shared" si="2"/>
        <v>38017698.700000003</v>
      </c>
      <c r="I33" s="1186">
        <f t="shared" si="3"/>
        <v>17052238.510000002</v>
      </c>
    </row>
    <row r="34" spans="1:9" s="237" customFormat="1">
      <c r="A34" s="1179" t="s">
        <v>76</v>
      </c>
      <c r="B34" s="1180" t="s">
        <v>77</v>
      </c>
      <c r="C34" s="103" t="s">
        <v>267</v>
      </c>
      <c r="D34" s="1183"/>
      <c r="E34" s="1184">
        <v>2503817.6800000002</v>
      </c>
      <c r="F34" s="1184">
        <v>1850011.01</v>
      </c>
      <c r="G34" s="1188"/>
      <c r="H34" s="1186">
        <f t="shared" si="2"/>
        <v>4353828.6900000004</v>
      </c>
      <c r="I34" s="1186">
        <f t="shared" si="3"/>
        <v>1850011.01</v>
      </c>
    </row>
    <row r="35" spans="1:9" s="237" customFormat="1">
      <c r="A35" s="1179" t="s">
        <v>78</v>
      </c>
      <c r="B35" s="1180" t="s">
        <v>79</v>
      </c>
      <c r="C35" s="103" t="s">
        <v>268</v>
      </c>
      <c r="D35" s="1183"/>
      <c r="E35" s="1184">
        <v>588297.39</v>
      </c>
      <c r="F35" s="1184">
        <v>157299.34</v>
      </c>
      <c r="G35" s="1188"/>
      <c r="H35" s="1186">
        <f t="shared" si="2"/>
        <v>745596.73</v>
      </c>
      <c r="I35" s="1186">
        <f t="shared" si="3"/>
        <v>157299.34</v>
      </c>
    </row>
    <row r="36" spans="1:9" s="237" customFormat="1">
      <c r="A36" s="1179" t="s">
        <v>80</v>
      </c>
      <c r="B36" s="1180" t="s">
        <v>81</v>
      </c>
      <c r="C36" s="103" t="s">
        <v>266</v>
      </c>
      <c r="D36" s="1183"/>
      <c r="E36" s="1184">
        <v>1329053.69</v>
      </c>
      <c r="F36" s="1184">
        <v>821947.89</v>
      </c>
      <c r="G36" s="1188"/>
      <c r="H36" s="1186">
        <f t="shared" si="2"/>
        <v>2151001.58</v>
      </c>
      <c r="I36" s="1186">
        <f t="shared" si="3"/>
        <v>821947.89</v>
      </c>
    </row>
    <row r="37" spans="1:9" s="237" customFormat="1">
      <c r="A37" s="1179" t="s">
        <v>84</v>
      </c>
      <c r="B37" s="1180" t="s">
        <v>308</v>
      </c>
      <c r="C37" s="103" t="s">
        <v>265</v>
      </c>
      <c r="D37" s="1183"/>
      <c r="E37" s="1184">
        <v>3234276.38</v>
      </c>
      <c r="F37" s="1184">
        <v>1170376.01</v>
      </c>
      <c r="G37" s="1188"/>
      <c r="H37" s="1186">
        <f t="shared" si="2"/>
        <v>4404652.3899999997</v>
      </c>
      <c r="I37" s="1186">
        <f t="shared" si="3"/>
        <v>1170376.01</v>
      </c>
    </row>
    <row r="38" spans="1:9" s="237" customFormat="1">
      <c r="A38" s="1179" t="s">
        <v>86</v>
      </c>
      <c r="B38" s="1180" t="s">
        <v>87</v>
      </c>
      <c r="C38" s="103" t="s">
        <v>267</v>
      </c>
      <c r="D38" s="1183"/>
      <c r="E38" s="1184">
        <v>919940.19</v>
      </c>
      <c r="F38" s="1184">
        <v>685044.25</v>
      </c>
      <c r="G38" s="1188"/>
      <c r="H38" s="1186">
        <f t="shared" si="2"/>
        <v>1604984.44</v>
      </c>
      <c r="I38" s="1186">
        <f t="shared" si="3"/>
        <v>685044.25</v>
      </c>
    </row>
    <row r="39" spans="1:9" s="237" customFormat="1">
      <c r="A39" s="1179" t="s">
        <v>92</v>
      </c>
      <c r="B39" s="1180" t="s">
        <v>93</v>
      </c>
      <c r="C39" s="103" t="s">
        <v>268</v>
      </c>
      <c r="D39" s="1183"/>
      <c r="E39" s="1184">
        <v>1043240.48</v>
      </c>
      <c r="F39" s="1184">
        <v>394244.76</v>
      </c>
      <c r="G39" s="1188"/>
      <c r="H39" s="1186">
        <f t="shared" si="2"/>
        <v>1437485.24</v>
      </c>
      <c r="I39" s="1186">
        <f t="shared" si="3"/>
        <v>394244.76</v>
      </c>
    </row>
    <row r="40" spans="1:9" s="237" customFormat="1">
      <c r="A40" s="1179" t="s">
        <v>94</v>
      </c>
      <c r="B40" s="1180" t="s">
        <v>95</v>
      </c>
      <c r="C40" s="103" t="s">
        <v>264</v>
      </c>
      <c r="D40" s="1183"/>
      <c r="E40" s="1184">
        <v>798051.07</v>
      </c>
      <c r="F40" s="1184">
        <v>442597.61</v>
      </c>
      <c r="G40" s="1188"/>
      <c r="H40" s="1186">
        <f t="shared" si="2"/>
        <v>1240648.68</v>
      </c>
      <c r="I40" s="1186">
        <f t="shared" si="3"/>
        <v>442597.61</v>
      </c>
    </row>
    <row r="41" spans="1:9" s="237" customFormat="1">
      <c r="A41" s="1179" t="s">
        <v>96</v>
      </c>
      <c r="B41" s="1180" t="s">
        <v>97</v>
      </c>
      <c r="C41" s="103" t="s">
        <v>266</v>
      </c>
      <c r="D41" s="1183"/>
      <c r="E41" s="1184">
        <v>453683.77</v>
      </c>
      <c r="F41" s="1184">
        <v>420631.29</v>
      </c>
      <c r="G41" s="1188"/>
      <c r="H41" s="1186">
        <f t="shared" si="2"/>
        <v>874315.06</v>
      </c>
      <c r="I41" s="1186">
        <f t="shared" si="3"/>
        <v>420631.29</v>
      </c>
    </row>
    <row r="42" spans="1:9" s="237" customFormat="1">
      <c r="A42" s="1179" t="s">
        <v>98</v>
      </c>
      <c r="B42" s="1180" t="s">
        <v>99</v>
      </c>
      <c r="C42" s="103" t="s">
        <v>268</v>
      </c>
      <c r="D42" s="1183"/>
      <c r="E42" s="1184">
        <v>505585.68</v>
      </c>
      <c r="F42" s="1184">
        <v>128824.7</v>
      </c>
      <c r="G42" s="1188"/>
      <c r="H42" s="1186">
        <f t="shared" si="2"/>
        <v>634410.38</v>
      </c>
      <c r="I42" s="1186">
        <f t="shared" si="3"/>
        <v>128824.7</v>
      </c>
    </row>
    <row r="43" spans="1:9" s="237" customFormat="1">
      <c r="A43" s="1179" t="s">
        <v>100</v>
      </c>
      <c r="B43" s="1180" t="s">
        <v>101</v>
      </c>
      <c r="C43" s="103" t="s">
        <v>267</v>
      </c>
      <c r="D43" s="1183"/>
      <c r="E43" s="1184">
        <v>912290.4</v>
      </c>
      <c r="F43" s="1184">
        <v>480462.4</v>
      </c>
      <c r="G43" s="1188"/>
      <c r="H43" s="1186">
        <f t="shared" si="2"/>
        <v>1392752.8</v>
      </c>
      <c r="I43" s="1186">
        <f t="shared" si="3"/>
        <v>480462.4</v>
      </c>
    </row>
    <row r="44" spans="1:9" s="237" customFormat="1">
      <c r="A44" s="1179" t="s">
        <v>102</v>
      </c>
      <c r="B44" s="1180" t="s">
        <v>103</v>
      </c>
      <c r="C44" s="103" t="s">
        <v>264</v>
      </c>
      <c r="D44" s="1183"/>
      <c r="E44" s="1184">
        <v>601856.73</v>
      </c>
      <c r="F44" s="1184">
        <v>178607.66</v>
      </c>
      <c r="G44" s="1188"/>
      <c r="H44" s="1186">
        <f t="shared" si="2"/>
        <v>780464.39</v>
      </c>
      <c r="I44" s="1186">
        <f t="shared" si="3"/>
        <v>178607.66</v>
      </c>
    </row>
    <row r="45" spans="1:9" s="237" customFormat="1">
      <c r="A45" s="1179" t="s">
        <v>104</v>
      </c>
      <c r="B45" s="1180" t="s">
        <v>309</v>
      </c>
      <c r="C45" s="103" t="s">
        <v>265</v>
      </c>
      <c r="D45" s="1183"/>
      <c r="E45" s="1184">
        <v>1675922.33</v>
      </c>
      <c r="F45" s="1184">
        <v>496361.02</v>
      </c>
      <c r="G45" s="1188"/>
      <c r="H45" s="1186">
        <f t="shared" si="2"/>
        <v>2172283.35</v>
      </c>
      <c r="I45" s="1186">
        <f t="shared" si="3"/>
        <v>496361.02</v>
      </c>
    </row>
    <row r="46" spans="1:9" s="237" customFormat="1">
      <c r="A46" s="1179" t="s">
        <v>108</v>
      </c>
      <c r="B46" s="1180" t="s">
        <v>109</v>
      </c>
      <c r="C46" s="103" t="s">
        <v>266</v>
      </c>
      <c r="D46" s="1183"/>
      <c r="E46" s="1184">
        <v>2103123.7799999998</v>
      </c>
      <c r="F46" s="1184">
        <v>1516329.3</v>
      </c>
      <c r="G46" s="1188"/>
      <c r="H46" s="1186">
        <f t="shared" si="2"/>
        <v>3619453.08</v>
      </c>
      <c r="I46" s="1186">
        <f t="shared" si="3"/>
        <v>1516329.3</v>
      </c>
    </row>
    <row r="47" spans="1:9" s="237" customFormat="1">
      <c r="A47" s="1179" t="s">
        <v>110</v>
      </c>
      <c r="B47" s="1180" t="s">
        <v>111</v>
      </c>
      <c r="C47" s="103" t="s">
        <v>266</v>
      </c>
      <c r="D47" s="1183"/>
      <c r="E47" s="1184">
        <v>4490429.3899999997</v>
      </c>
      <c r="F47" s="1184">
        <v>2712768.25</v>
      </c>
      <c r="G47" s="1188"/>
      <c r="H47" s="1186">
        <f t="shared" si="2"/>
        <v>7203197.6399999997</v>
      </c>
      <c r="I47" s="1186">
        <f t="shared" si="3"/>
        <v>2712768.25</v>
      </c>
    </row>
    <row r="48" spans="1:9" s="237" customFormat="1">
      <c r="A48" s="1179" t="s">
        <v>112</v>
      </c>
      <c r="B48" s="1180" t="s">
        <v>300</v>
      </c>
      <c r="C48" s="103" t="s">
        <v>265</v>
      </c>
      <c r="D48" s="1183"/>
      <c r="E48" s="1184">
        <v>621933.35</v>
      </c>
      <c r="F48" s="1184">
        <v>266165.8</v>
      </c>
      <c r="G48" s="1188"/>
      <c r="H48" s="1186">
        <f t="shared" si="2"/>
        <v>888099.14999999991</v>
      </c>
      <c r="I48" s="1186">
        <f t="shared" si="3"/>
        <v>266165.8</v>
      </c>
    </row>
    <row r="49" spans="1:9" s="237" customFormat="1">
      <c r="A49" s="1179" t="s">
        <v>114</v>
      </c>
      <c r="B49" s="1180" t="s">
        <v>115</v>
      </c>
      <c r="C49" s="103" t="s">
        <v>265</v>
      </c>
      <c r="D49" s="1183"/>
      <c r="E49" s="1184">
        <v>7512.94</v>
      </c>
      <c r="F49" s="1184">
        <v>6279.47</v>
      </c>
      <c r="G49" s="1188"/>
      <c r="H49" s="1186">
        <f t="shared" si="2"/>
        <v>13792.41</v>
      </c>
      <c r="I49" s="1186">
        <f t="shared" si="3"/>
        <v>6279.47</v>
      </c>
    </row>
    <row r="50" spans="1:9" s="237" customFormat="1">
      <c r="A50" s="1179" t="s">
        <v>118</v>
      </c>
      <c r="B50" s="1180" t="s">
        <v>119</v>
      </c>
      <c r="C50" s="103" t="s">
        <v>264</v>
      </c>
      <c r="D50" s="1183"/>
      <c r="E50" s="1184">
        <v>271235.59999999998</v>
      </c>
      <c r="F50" s="1184">
        <v>158563.69</v>
      </c>
      <c r="G50" s="1188"/>
      <c r="H50" s="1186">
        <f t="shared" si="2"/>
        <v>429799.29</v>
      </c>
      <c r="I50" s="1186">
        <f t="shared" si="3"/>
        <v>158563.69</v>
      </c>
    </row>
    <row r="51" spans="1:9" s="237" customFormat="1">
      <c r="A51" s="1179" t="s">
        <v>120</v>
      </c>
      <c r="B51" s="1180" t="s">
        <v>121</v>
      </c>
      <c r="C51" s="103" t="s">
        <v>264</v>
      </c>
      <c r="D51" s="1183"/>
      <c r="E51" s="1184">
        <v>282828.23</v>
      </c>
      <c r="F51" s="1184">
        <v>219549.48</v>
      </c>
      <c r="G51" s="1188"/>
      <c r="H51" s="1186">
        <f t="shared" si="2"/>
        <v>502377.70999999996</v>
      </c>
      <c r="I51" s="1186">
        <f t="shared" si="3"/>
        <v>219549.48</v>
      </c>
    </row>
    <row r="52" spans="1:9" s="237" customFormat="1">
      <c r="A52" s="1179" t="s">
        <v>122</v>
      </c>
      <c r="B52" s="1180" t="s">
        <v>271</v>
      </c>
      <c r="C52" s="103" t="s">
        <v>266</v>
      </c>
      <c r="D52" s="1183"/>
      <c r="E52" s="1184">
        <v>272336.55</v>
      </c>
      <c r="F52" s="1184">
        <v>124822.91</v>
      </c>
      <c r="G52" s="1188"/>
      <c r="H52" s="1186">
        <f t="shared" si="2"/>
        <v>397159.45999999996</v>
      </c>
      <c r="I52" s="1186">
        <f t="shared" si="3"/>
        <v>124822.91</v>
      </c>
    </row>
    <row r="53" spans="1:9" s="237" customFormat="1">
      <c r="A53" s="1179" t="s">
        <v>124</v>
      </c>
      <c r="B53" s="1180" t="s">
        <v>125</v>
      </c>
      <c r="C53" s="103" t="s">
        <v>267</v>
      </c>
      <c r="D53" s="1183"/>
      <c r="E53" s="1184">
        <v>1208067.08</v>
      </c>
      <c r="F53" s="1184">
        <v>711815.46</v>
      </c>
      <c r="G53" s="1188"/>
      <c r="H53" s="1186">
        <f t="shared" si="2"/>
        <v>1919882.54</v>
      </c>
      <c r="I53" s="1186">
        <f t="shared" si="3"/>
        <v>711815.46</v>
      </c>
    </row>
    <row r="54" spans="1:9" s="237" customFormat="1">
      <c r="A54" s="1179" t="s">
        <v>126</v>
      </c>
      <c r="B54" s="1180" t="s">
        <v>127</v>
      </c>
      <c r="C54" s="103" t="s">
        <v>266</v>
      </c>
      <c r="D54" s="1183"/>
      <c r="E54" s="1184">
        <v>408584.05</v>
      </c>
      <c r="F54" s="1184">
        <v>253811.23</v>
      </c>
      <c r="G54" s="1188"/>
      <c r="H54" s="1186">
        <f t="shared" si="2"/>
        <v>662395.28</v>
      </c>
      <c r="I54" s="1186">
        <f t="shared" si="3"/>
        <v>253811.23</v>
      </c>
    </row>
    <row r="55" spans="1:9" s="237" customFormat="1">
      <c r="A55" s="1179" t="s">
        <v>128</v>
      </c>
      <c r="B55" s="1180" t="s">
        <v>129</v>
      </c>
      <c r="C55" s="103" t="s">
        <v>266</v>
      </c>
      <c r="D55" s="1183"/>
      <c r="E55" s="1184">
        <v>295442.86</v>
      </c>
      <c r="F55" s="1184">
        <v>288141.01</v>
      </c>
      <c r="G55" s="1188"/>
      <c r="H55" s="1186">
        <f t="shared" si="2"/>
        <v>583583.87</v>
      </c>
      <c r="I55" s="1186">
        <f t="shared" si="3"/>
        <v>288141.01</v>
      </c>
    </row>
    <row r="56" spans="1:9" s="237" customFormat="1">
      <c r="A56" s="1179" t="s">
        <v>130</v>
      </c>
      <c r="B56" s="1180" t="s">
        <v>131</v>
      </c>
      <c r="C56" s="103" t="s">
        <v>268</v>
      </c>
      <c r="D56" s="1183"/>
      <c r="E56" s="1184">
        <v>661393.02</v>
      </c>
      <c r="F56" s="1184">
        <v>189780.08</v>
      </c>
      <c r="G56" s="1188"/>
      <c r="H56" s="1186">
        <f t="shared" si="2"/>
        <v>851173.1</v>
      </c>
      <c r="I56" s="1186">
        <f t="shared" si="3"/>
        <v>189780.08</v>
      </c>
    </row>
    <row r="57" spans="1:9" s="237" customFormat="1">
      <c r="A57" s="1179" t="s">
        <v>132</v>
      </c>
      <c r="B57" s="1180" t="s">
        <v>133</v>
      </c>
      <c r="C57" s="103" t="s">
        <v>267</v>
      </c>
      <c r="D57" s="1183"/>
      <c r="E57" s="1184">
        <v>2624594.12</v>
      </c>
      <c r="F57" s="1184">
        <v>2321572.91</v>
      </c>
      <c r="G57" s="1188"/>
      <c r="H57" s="1186">
        <f t="shared" si="2"/>
        <v>4946167.03</v>
      </c>
      <c r="I57" s="1186">
        <f t="shared" si="3"/>
        <v>2321572.91</v>
      </c>
    </row>
    <row r="58" spans="1:9" s="237" customFormat="1">
      <c r="A58" s="1179" t="s">
        <v>134</v>
      </c>
      <c r="B58" s="1180" t="s">
        <v>135</v>
      </c>
      <c r="C58" s="103" t="s">
        <v>267</v>
      </c>
      <c r="D58" s="1183"/>
      <c r="E58" s="1184">
        <v>1028567.05</v>
      </c>
      <c r="F58" s="1184">
        <v>798414.68</v>
      </c>
      <c r="G58" s="1188"/>
      <c r="H58" s="1186">
        <f t="shared" si="2"/>
        <v>1826981.73</v>
      </c>
      <c r="I58" s="1186">
        <f t="shared" si="3"/>
        <v>798414.68</v>
      </c>
    </row>
    <row r="59" spans="1:9" s="237" customFormat="1">
      <c r="A59" s="1179" t="s">
        <v>136</v>
      </c>
      <c r="B59" s="1180" t="s">
        <v>137</v>
      </c>
      <c r="C59" s="103" t="s">
        <v>266</v>
      </c>
      <c r="D59" s="1183"/>
      <c r="E59" s="1184">
        <v>952401.18</v>
      </c>
      <c r="F59" s="1184">
        <v>151680.1</v>
      </c>
      <c r="G59" s="1188"/>
      <c r="H59" s="1186">
        <f t="shared" si="2"/>
        <v>1104081.28</v>
      </c>
      <c r="I59" s="1186">
        <f t="shared" si="3"/>
        <v>151680.1</v>
      </c>
    </row>
    <row r="60" spans="1:9" s="237" customFormat="1">
      <c r="A60" s="1179" t="s">
        <v>140</v>
      </c>
      <c r="B60" s="1180" t="s">
        <v>141</v>
      </c>
      <c r="C60" s="103" t="s">
        <v>267</v>
      </c>
      <c r="D60" s="1183"/>
      <c r="E60" s="1184">
        <v>1931705.4</v>
      </c>
      <c r="F60" s="1184">
        <v>855270.82</v>
      </c>
      <c r="G60" s="1188"/>
      <c r="H60" s="1186">
        <f t="shared" si="2"/>
        <v>2786976.2199999997</v>
      </c>
      <c r="I60" s="1186">
        <f t="shared" si="3"/>
        <v>855270.82</v>
      </c>
    </row>
    <row r="61" spans="1:9" s="237" customFormat="1">
      <c r="A61" s="1179" t="s">
        <v>146</v>
      </c>
      <c r="B61" s="1180" t="s">
        <v>147</v>
      </c>
      <c r="C61" s="103" t="s">
        <v>264</v>
      </c>
      <c r="D61" s="1183"/>
      <c r="E61" s="1184">
        <v>171339.09</v>
      </c>
      <c r="F61" s="1184">
        <v>119144.83</v>
      </c>
      <c r="G61" s="1188"/>
      <c r="H61" s="1186">
        <f t="shared" si="2"/>
        <v>290483.92</v>
      </c>
      <c r="I61" s="1186">
        <f t="shared" si="3"/>
        <v>119144.83</v>
      </c>
    </row>
    <row r="62" spans="1:9" s="237" customFormat="1">
      <c r="A62" s="1179" t="s">
        <v>148</v>
      </c>
      <c r="B62" s="1180" t="s">
        <v>149</v>
      </c>
      <c r="C62" s="103" t="s">
        <v>265</v>
      </c>
      <c r="D62" s="1183"/>
      <c r="E62" s="1184">
        <v>1041593.4</v>
      </c>
      <c r="F62" s="1184">
        <v>315147.65999999997</v>
      </c>
      <c r="G62" s="1188"/>
      <c r="H62" s="1186">
        <f t="shared" si="2"/>
        <v>1356741.06</v>
      </c>
      <c r="I62" s="1186">
        <f t="shared" si="3"/>
        <v>315147.65999999997</v>
      </c>
    </row>
    <row r="63" spans="1:9" s="237" customFormat="1">
      <c r="A63" s="1179" t="s">
        <v>150</v>
      </c>
      <c r="B63" s="1180" t="s">
        <v>151</v>
      </c>
      <c r="C63" s="103" t="s">
        <v>266</v>
      </c>
      <c r="D63" s="1183"/>
      <c r="E63" s="1184">
        <v>244017.86</v>
      </c>
      <c r="F63" s="1184">
        <v>170925.69</v>
      </c>
      <c r="G63" s="1188"/>
      <c r="H63" s="1186">
        <f t="shared" si="2"/>
        <v>414943.55</v>
      </c>
      <c r="I63" s="1186">
        <f t="shared" si="3"/>
        <v>170925.69</v>
      </c>
    </row>
    <row r="64" spans="1:9" s="237" customFormat="1">
      <c r="A64" s="1179" t="s">
        <v>152</v>
      </c>
      <c r="B64" s="1180" t="s">
        <v>153</v>
      </c>
      <c r="C64" s="103" t="s">
        <v>268</v>
      </c>
      <c r="D64" s="1183"/>
      <c r="E64" s="1184">
        <v>581924.68999999994</v>
      </c>
      <c r="F64" s="1184">
        <v>216828.01</v>
      </c>
      <c r="G64" s="1188"/>
      <c r="H64" s="1186">
        <f t="shared" si="2"/>
        <v>798752.7</v>
      </c>
      <c r="I64" s="1186">
        <f t="shared" si="3"/>
        <v>216828.01</v>
      </c>
    </row>
    <row r="65" spans="1:9" s="237" customFormat="1">
      <c r="A65" s="1179" t="s">
        <v>154</v>
      </c>
      <c r="B65" s="1180" t="s">
        <v>155</v>
      </c>
      <c r="C65" s="103" t="s">
        <v>265</v>
      </c>
      <c r="D65" s="1183"/>
      <c r="E65" s="1184">
        <v>419454.82</v>
      </c>
      <c r="F65" s="1184">
        <v>189041.47</v>
      </c>
      <c r="G65" s="1188"/>
      <c r="H65" s="1186">
        <f t="shared" si="2"/>
        <v>608496.29</v>
      </c>
      <c r="I65" s="1186">
        <f t="shared" si="3"/>
        <v>189041.47</v>
      </c>
    </row>
    <row r="66" spans="1:9" s="237" customFormat="1">
      <c r="A66" s="1179" t="s">
        <v>156</v>
      </c>
      <c r="B66" s="1180" t="s">
        <v>157</v>
      </c>
      <c r="C66" s="103" t="s">
        <v>266</v>
      </c>
      <c r="D66" s="1183"/>
      <c r="E66" s="1184">
        <v>494312.55</v>
      </c>
      <c r="F66" s="1184">
        <v>387165.66</v>
      </c>
      <c r="G66" s="1188"/>
      <c r="H66" s="1186">
        <f t="shared" si="2"/>
        <v>881478.21</v>
      </c>
      <c r="I66" s="1186">
        <f t="shared" si="3"/>
        <v>387165.66</v>
      </c>
    </row>
    <row r="67" spans="1:9" s="237" customFormat="1">
      <c r="A67" s="1179" t="s">
        <v>162</v>
      </c>
      <c r="B67" s="1180" t="s">
        <v>163</v>
      </c>
      <c r="C67" s="103" t="s">
        <v>264</v>
      </c>
      <c r="D67" s="1183"/>
      <c r="E67" s="1184">
        <v>397496.28</v>
      </c>
      <c r="F67" s="1184">
        <v>97879.09</v>
      </c>
      <c r="G67" s="1188"/>
      <c r="H67" s="1186">
        <f t="shared" si="2"/>
        <v>495375.37</v>
      </c>
      <c r="I67" s="1186">
        <f t="shared" si="3"/>
        <v>97879.09</v>
      </c>
    </row>
    <row r="68" spans="1:9" s="237" customFormat="1">
      <c r="A68" s="1179" t="s">
        <v>164</v>
      </c>
      <c r="B68" s="1180" t="s">
        <v>165</v>
      </c>
      <c r="C68" s="103" t="s">
        <v>266</v>
      </c>
      <c r="D68" s="1183"/>
      <c r="E68" s="1184">
        <v>58180.13</v>
      </c>
      <c r="F68" s="1184">
        <v>27065.67</v>
      </c>
      <c r="G68" s="1188"/>
      <c r="H68" s="1186">
        <f t="shared" si="2"/>
        <v>85245.799999999988</v>
      </c>
      <c r="I68" s="1186">
        <f t="shared" si="3"/>
        <v>27065.67</v>
      </c>
    </row>
    <row r="69" spans="1:9" s="237" customFormat="1">
      <c r="A69" s="1179" t="s">
        <v>168</v>
      </c>
      <c r="B69" s="1180" t="s">
        <v>169</v>
      </c>
      <c r="C69" s="103" t="s">
        <v>266</v>
      </c>
      <c r="D69" s="1183"/>
      <c r="E69" s="1184">
        <v>552157.07999999996</v>
      </c>
      <c r="F69" s="1184">
        <v>253837.82</v>
      </c>
      <c r="G69" s="1188"/>
      <c r="H69" s="1186">
        <f t="shared" si="2"/>
        <v>805994.89999999991</v>
      </c>
      <c r="I69" s="1186">
        <f t="shared" si="3"/>
        <v>253837.82</v>
      </c>
    </row>
    <row r="70" spans="1:9" s="237" customFormat="1">
      <c r="A70" s="1179" t="s">
        <v>170</v>
      </c>
      <c r="B70" s="1180" t="s">
        <v>171</v>
      </c>
      <c r="C70" s="103" t="s">
        <v>267</v>
      </c>
      <c r="D70" s="1183"/>
      <c r="E70" s="1184">
        <v>1057857.76</v>
      </c>
      <c r="F70" s="1184">
        <v>583205.18000000005</v>
      </c>
      <c r="G70" s="1188"/>
      <c r="H70" s="1186">
        <f t="shared" ref="H70:H124" si="4">SUM(D70:G70)</f>
        <v>1641062.94</v>
      </c>
      <c r="I70" s="1186">
        <f t="shared" ref="I70:I124" si="5">F70+G70</f>
        <v>583205.18000000005</v>
      </c>
    </row>
    <row r="71" spans="1:9" s="237" customFormat="1">
      <c r="A71" s="1179" t="s">
        <v>172</v>
      </c>
      <c r="B71" s="1180" t="s">
        <v>173</v>
      </c>
      <c r="C71" s="103" t="s">
        <v>267</v>
      </c>
      <c r="D71" s="1183"/>
      <c r="E71" s="1184">
        <v>469075.78</v>
      </c>
      <c r="F71" s="1184">
        <v>173627.13</v>
      </c>
      <c r="G71" s="1188"/>
      <c r="H71" s="1186">
        <f t="shared" si="4"/>
        <v>642702.91</v>
      </c>
      <c r="I71" s="1186">
        <f t="shared" si="5"/>
        <v>173627.13</v>
      </c>
    </row>
    <row r="72" spans="1:9" s="237" customFormat="1">
      <c r="A72" s="1179" t="s">
        <v>174</v>
      </c>
      <c r="B72" s="1180" t="s">
        <v>175</v>
      </c>
      <c r="C72" s="103" t="s">
        <v>268</v>
      </c>
      <c r="D72" s="1183"/>
      <c r="E72" s="1184">
        <v>39656.32</v>
      </c>
      <c r="F72" s="1184">
        <v>13416.72</v>
      </c>
      <c r="G72" s="1188"/>
      <c r="H72" s="1186">
        <f t="shared" si="4"/>
        <v>53073.04</v>
      </c>
      <c r="I72" s="1186">
        <f t="shared" si="5"/>
        <v>13416.72</v>
      </c>
    </row>
    <row r="73" spans="1:9" s="237" customFormat="1">
      <c r="A73" s="1179" t="s">
        <v>178</v>
      </c>
      <c r="B73" s="1180" t="s">
        <v>179</v>
      </c>
      <c r="C73" s="103" t="s">
        <v>265</v>
      </c>
      <c r="D73" s="1183"/>
      <c r="E73" s="1184">
        <v>2993354.9</v>
      </c>
      <c r="F73" s="1184">
        <v>915368.25</v>
      </c>
      <c r="G73" s="1188"/>
      <c r="H73" s="1186">
        <f t="shared" si="4"/>
        <v>3908723.15</v>
      </c>
      <c r="I73" s="1186">
        <f t="shared" si="5"/>
        <v>915368.25</v>
      </c>
    </row>
    <row r="74" spans="1:9" s="237" customFormat="1">
      <c r="A74" s="1179" t="s">
        <v>182</v>
      </c>
      <c r="B74" s="1180" t="s">
        <v>183</v>
      </c>
      <c r="C74" s="103" t="s">
        <v>266</v>
      </c>
      <c r="D74" s="1183"/>
      <c r="E74" s="1184">
        <v>938675.5</v>
      </c>
      <c r="F74" s="1184">
        <v>753855.91</v>
      </c>
      <c r="G74" s="1188"/>
      <c r="H74" s="1186">
        <f t="shared" si="4"/>
        <v>1692531.4100000001</v>
      </c>
      <c r="I74" s="1186">
        <f t="shared" si="5"/>
        <v>753855.91</v>
      </c>
    </row>
    <row r="75" spans="1:9" s="237" customFormat="1">
      <c r="A75" s="1179" t="s">
        <v>184</v>
      </c>
      <c r="B75" s="1180" t="s">
        <v>185</v>
      </c>
      <c r="C75" s="103" t="s">
        <v>266</v>
      </c>
      <c r="D75" s="1183"/>
      <c r="E75" s="1184">
        <v>581387.03</v>
      </c>
      <c r="F75" s="1184">
        <v>166053.63</v>
      </c>
      <c r="G75" s="1188"/>
      <c r="H75" s="1186">
        <f t="shared" si="4"/>
        <v>747440.66</v>
      </c>
      <c r="I75" s="1186">
        <f t="shared" si="5"/>
        <v>166053.63</v>
      </c>
    </row>
    <row r="76" spans="1:9" s="237" customFormat="1">
      <c r="A76" s="1179" t="s">
        <v>186</v>
      </c>
      <c r="B76" s="1180" t="s">
        <v>187</v>
      </c>
      <c r="C76" s="103" t="s">
        <v>264</v>
      </c>
      <c r="D76" s="1183"/>
      <c r="E76" s="1184">
        <v>776288.26</v>
      </c>
      <c r="F76" s="1184">
        <v>464734.73</v>
      </c>
      <c r="G76" s="1188"/>
      <c r="H76" s="1186">
        <f t="shared" si="4"/>
        <v>1241022.99</v>
      </c>
      <c r="I76" s="1186">
        <f t="shared" si="5"/>
        <v>464734.73</v>
      </c>
    </row>
    <row r="77" spans="1:9" s="237" customFormat="1">
      <c r="A77" s="1179" t="s">
        <v>188</v>
      </c>
      <c r="B77" s="1180" t="s">
        <v>189</v>
      </c>
      <c r="C77" s="103" t="s">
        <v>267</v>
      </c>
      <c r="D77" s="1183"/>
      <c r="E77" s="1184">
        <v>4333891.8600000003</v>
      </c>
      <c r="F77" s="1184">
        <v>1927106.58</v>
      </c>
      <c r="G77" s="1188"/>
      <c r="H77" s="1186">
        <f t="shared" si="4"/>
        <v>6260998.4400000004</v>
      </c>
      <c r="I77" s="1186">
        <f t="shared" si="5"/>
        <v>1927106.58</v>
      </c>
    </row>
    <row r="78" spans="1:9" s="237" customFormat="1">
      <c r="A78" s="1179" t="s">
        <v>190</v>
      </c>
      <c r="B78" s="1180" t="s">
        <v>191</v>
      </c>
      <c r="C78" s="103" t="s">
        <v>268</v>
      </c>
      <c r="D78" s="1183"/>
      <c r="E78" s="1184">
        <v>2571621.5299999998</v>
      </c>
      <c r="F78" s="1184">
        <v>1007118.49</v>
      </c>
      <c r="G78" s="1188"/>
      <c r="H78" s="1186">
        <f t="shared" si="4"/>
        <v>3578740.0199999996</v>
      </c>
      <c r="I78" s="1186">
        <f t="shared" si="5"/>
        <v>1007118.49</v>
      </c>
    </row>
    <row r="79" spans="1:9" s="237" customFormat="1">
      <c r="A79" s="1179" t="s">
        <v>194</v>
      </c>
      <c r="B79" s="1180" t="s">
        <v>195</v>
      </c>
      <c r="C79" s="103" t="s">
        <v>267</v>
      </c>
      <c r="D79" s="1183"/>
      <c r="E79" s="1184">
        <v>748417.45</v>
      </c>
      <c r="F79" s="1184">
        <v>482824.72</v>
      </c>
      <c r="G79" s="1188"/>
      <c r="H79" s="1186">
        <f t="shared" si="4"/>
        <v>1231242.17</v>
      </c>
      <c r="I79" s="1186">
        <f t="shared" si="5"/>
        <v>482824.72</v>
      </c>
    </row>
    <row r="80" spans="1:9" s="237" customFormat="1">
      <c r="A80" s="1179" t="s">
        <v>198</v>
      </c>
      <c r="B80" s="1180" t="s">
        <v>199</v>
      </c>
      <c r="C80" s="103" t="s">
        <v>266</v>
      </c>
      <c r="D80" s="1183"/>
      <c r="E80" s="1184">
        <v>224861.54</v>
      </c>
      <c r="F80" s="1184">
        <v>103913.87</v>
      </c>
      <c r="G80" s="1188"/>
      <c r="H80" s="1186">
        <f t="shared" si="4"/>
        <v>328775.41000000003</v>
      </c>
      <c r="I80" s="1186">
        <f t="shared" si="5"/>
        <v>103913.87</v>
      </c>
    </row>
    <row r="81" spans="1:9" s="237" customFormat="1">
      <c r="A81" s="1179" t="s">
        <v>202</v>
      </c>
      <c r="B81" s="1180" t="s">
        <v>203</v>
      </c>
      <c r="C81" s="103" t="s">
        <v>265</v>
      </c>
      <c r="D81" s="1183"/>
      <c r="E81" s="1184">
        <v>3408022.46</v>
      </c>
      <c r="F81" s="1184">
        <v>2457559.77</v>
      </c>
      <c r="G81" s="1188"/>
      <c r="H81" s="1186">
        <f t="shared" si="4"/>
        <v>5865582.2300000004</v>
      </c>
      <c r="I81" s="1186">
        <f t="shared" si="5"/>
        <v>2457559.77</v>
      </c>
    </row>
    <row r="82" spans="1:9" s="237" customFormat="1">
      <c r="A82" s="1179" t="s">
        <v>204</v>
      </c>
      <c r="B82" s="1180" t="s">
        <v>205</v>
      </c>
      <c r="C82" s="103" t="s">
        <v>265</v>
      </c>
      <c r="D82" s="1183"/>
      <c r="E82" s="1184">
        <v>2739583.34</v>
      </c>
      <c r="F82" s="1184">
        <v>879025.83000000007</v>
      </c>
      <c r="G82" s="1188"/>
      <c r="H82" s="1186">
        <f t="shared" si="4"/>
        <v>3618609.17</v>
      </c>
      <c r="I82" s="1186">
        <f t="shared" si="5"/>
        <v>879025.83000000007</v>
      </c>
    </row>
    <row r="83" spans="1:9" s="237" customFormat="1">
      <c r="A83" s="1179" t="s">
        <v>206</v>
      </c>
      <c r="B83" s="1180" t="s">
        <v>207</v>
      </c>
      <c r="C83" s="103" t="s">
        <v>267</v>
      </c>
      <c r="D83" s="1183"/>
      <c r="E83" s="1184">
        <v>5368680.3599999994</v>
      </c>
      <c r="F83" s="1184">
        <v>3045987.17</v>
      </c>
      <c r="G83" s="1188"/>
      <c r="H83" s="1186">
        <f t="shared" si="4"/>
        <v>8414667.5299999993</v>
      </c>
      <c r="I83" s="1186">
        <f t="shared" si="5"/>
        <v>3045987.17</v>
      </c>
    </row>
    <row r="84" spans="1:9" s="237" customFormat="1">
      <c r="A84" s="1179" t="s">
        <v>208</v>
      </c>
      <c r="B84" s="1180" t="s">
        <v>209</v>
      </c>
      <c r="C84" s="103" t="s">
        <v>268</v>
      </c>
      <c r="D84" s="1183"/>
      <c r="E84" s="1184">
        <v>683067.02</v>
      </c>
      <c r="F84" s="1184">
        <v>160167.5</v>
      </c>
      <c r="G84" s="1188"/>
      <c r="H84" s="1186">
        <f t="shared" si="4"/>
        <v>843234.52</v>
      </c>
      <c r="I84" s="1186">
        <f t="shared" si="5"/>
        <v>160167.5</v>
      </c>
    </row>
    <row r="85" spans="1:9" s="237" customFormat="1">
      <c r="A85" s="1179" t="s">
        <v>210</v>
      </c>
      <c r="B85" s="1180" t="s">
        <v>211</v>
      </c>
      <c r="C85" s="103" t="s">
        <v>268</v>
      </c>
      <c r="D85" s="1183"/>
      <c r="E85" s="1184">
        <v>486820.95</v>
      </c>
      <c r="F85" s="1184">
        <v>221920.03</v>
      </c>
      <c r="G85" s="1188"/>
      <c r="H85" s="1186">
        <f t="shared" si="4"/>
        <v>708740.98</v>
      </c>
      <c r="I85" s="1186">
        <f t="shared" si="5"/>
        <v>221920.03</v>
      </c>
    </row>
    <row r="86" spans="1:9" s="237" customFormat="1">
      <c r="A86" s="1179" t="s">
        <v>212</v>
      </c>
      <c r="B86" s="1180" t="s">
        <v>213</v>
      </c>
      <c r="C86" s="103" t="s">
        <v>267</v>
      </c>
      <c r="D86" s="1183"/>
      <c r="E86" s="1184">
        <v>1106275.47</v>
      </c>
      <c r="F86" s="1184">
        <v>541175.6</v>
      </c>
      <c r="G86" s="1188"/>
      <c r="H86" s="1186">
        <f t="shared" si="4"/>
        <v>1647451.0699999998</v>
      </c>
      <c r="I86" s="1186">
        <f t="shared" si="5"/>
        <v>541175.6</v>
      </c>
    </row>
    <row r="87" spans="1:9" s="237" customFormat="1">
      <c r="A87" s="1179" t="s">
        <v>214</v>
      </c>
      <c r="B87" s="1180" t="s">
        <v>215</v>
      </c>
      <c r="C87" s="103" t="s">
        <v>268</v>
      </c>
      <c r="D87" s="1183"/>
      <c r="E87" s="1184">
        <v>524393.6</v>
      </c>
      <c r="F87" s="1184">
        <v>137127.09</v>
      </c>
      <c r="G87" s="1188"/>
      <c r="H87" s="1186">
        <f t="shared" si="4"/>
        <v>661520.68999999994</v>
      </c>
      <c r="I87" s="1186">
        <f t="shared" si="5"/>
        <v>137127.09</v>
      </c>
    </row>
    <row r="88" spans="1:9" s="237" customFormat="1">
      <c r="A88" s="1179" t="s">
        <v>216</v>
      </c>
      <c r="B88" s="1180" t="s">
        <v>217</v>
      </c>
      <c r="C88" s="103" t="s">
        <v>264</v>
      </c>
      <c r="D88" s="1183"/>
      <c r="E88" s="1184">
        <v>281553.09000000003</v>
      </c>
      <c r="F88" s="1184">
        <v>133797.39000000001</v>
      </c>
      <c r="G88" s="1188"/>
      <c r="H88" s="1186">
        <f t="shared" si="4"/>
        <v>415350.48000000004</v>
      </c>
      <c r="I88" s="1186">
        <f t="shared" si="5"/>
        <v>133797.39000000001</v>
      </c>
    </row>
    <row r="89" spans="1:9" s="237" customFormat="1">
      <c r="A89" s="1179" t="s">
        <v>218</v>
      </c>
      <c r="B89" s="1180" t="s">
        <v>219</v>
      </c>
      <c r="C89" s="103" t="s">
        <v>267</v>
      </c>
      <c r="D89" s="1183"/>
      <c r="E89" s="1184">
        <v>3766144.07</v>
      </c>
      <c r="F89" s="1184">
        <v>3243058.83</v>
      </c>
      <c r="G89" s="1188"/>
      <c r="H89" s="1186">
        <f t="shared" si="4"/>
        <v>7009202.9000000004</v>
      </c>
      <c r="I89" s="1186">
        <f t="shared" si="5"/>
        <v>3243058.83</v>
      </c>
    </row>
    <row r="90" spans="1:9" s="237" customFormat="1">
      <c r="A90" s="1179" t="s">
        <v>220</v>
      </c>
      <c r="B90" s="1180" t="s">
        <v>221</v>
      </c>
      <c r="C90" s="103" t="s">
        <v>267</v>
      </c>
      <c r="D90" s="1183"/>
      <c r="E90" s="1184">
        <v>2155364.2999999998</v>
      </c>
      <c r="F90" s="1184">
        <v>1702127.49</v>
      </c>
      <c r="G90" s="1188"/>
      <c r="H90" s="1186">
        <f t="shared" si="4"/>
        <v>3857491.79</v>
      </c>
      <c r="I90" s="1186">
        <f t="shared" si="5"/>
        <v>1702127.49</v>
      </c>
    </row>
    <row r="91" spans="1:9" s="237" customFormat="1">
      <c r="A91" s="1179" t="s">
        <v>224</v>
      </c>
      <c r="B91" s="1180" t="s">
        <v>225</v>
      </c>
      <c r="C91" s="103" t="s">
        <v>264</v>
      </c>
      <c r="D91" s="1183"/>
      <c r="E91" s="1184">
        <v>128588.56</v>
      </c>
      <c r="F91" s="1184">
        <v>95278.19</v>
      </c>
      <c r="G91" s="1188"/>
      <c r="H91" s="1186">
        <f t="shared" si="4"/>
        <v>223866.75</v>
      </c>
      <c r="I91" s="1186">
        <f t="shared" si="5"/>
        <v>95278.19</v>
      </c>
    </row>
    <row r="92" spans="1:9" s="237" customFormat="1">
      <c r="A92" s="1179" t="s">
        <v>226</v>
      </c>
      <c r="B92" s="1180" t="s">
        <v>227</v>
      </c>
      <c r="C92" s="103" t="s">
        <v>264</v>
      </c>
      <c r="D92" s="1183"/>
      <c r="E92" s="1184">
        <v>793529.55</v>
      </c>
      <c r="F92" s="1184">
        <v>241929.92</v>
      </c>
      <c r="G92" s="1188"/>
      <c r="H92" s="1186">
        <f t="shared" si="4"/>
        <v>1035459.4700000001</v>
      </c>
      <c r="I92" s="1186">
        <f t="shared" si="5"/>
        <v>241929.92</v>
      </c>
    </row>
    <row r="93" spans="1:9" s="237" customFormat="1">
      <c r="A93" s="1179" t="s">
        <v>228</v>
      </c>
      <c r="B93" s="1180" t="s">
        <v>229</v>
      </c>
      <c r="C93" s="103" t="s">
        <v>268</v>
      </c>
      <c r="D93" s="1183"/>
      <c r="E93" s="1184">
        <v>1354892.98</v>
      </c>
      <c r="F93" s="1184">
        <v>408489.19</v>
      </c>
      <c r="G93" s="1188"/>
      <c r="H93" s="1186">
        <f t="shared" si="4"/>
        <v>1763382.17</v>
      </c>
      <c r="I93" s="1186">
        <f t="shared" si="5"/>
        <v>408489.19</v>
      </c>
    </row>
    <row r="94" spans="1:9" s="237" customFormat="1">
      <c r="A94" s="1179" t="s">
        <v>232</v>
      </c>
      <c r="B94" s="1180" t="s">
        <v>233</v>
      </c>
      <c r="C94" s="103" t="s">
        <v>267</v>
      </c>
      <c r="D94" s="1183"/>
      <c r="E94" s="1184">
        <v>949784.45</v>
      </c>
      <c r="F94" s="1184">
        <v>585637.74</v>
      </c>
      <c r="G94" s="1188"/>
      <c r="H94" s="1186">
        <f t="shared" si="4"/>
        <v>1535422.19</v>
      </c>
      <c r="I94" s="1186">
        <f t="shared" si="5"/>
        <v>585637.74</v>
      </c>
    </row>
    <row r="95" spans="1:9" s="237" customFormat="1">
      <c r="A95" s="1179" t="s">
        <v>234</v>
      </c>
      <c r="B95" s="1180" t="s">
        <v>235</v>
      </c>
      <c r="C95" s="103" t="s">
        <v>268</v>
      </c>
      <c r="D95" s="1183"/>
      <c r="E95" s="1184">
        <v>934371.25</v>
      </c>
      <c r="F95" s="1184">
        <v>346519.43</v>
      </c>
      <c r="G95" s="1188"/>
      <c r="H95" s="1186">
        <f t="shared" si="4"/>
        <v>1280890.68</v>
      </c>
      <c r="I95" s="1186">
        <f t="shared" si="5"/>
        <v>346519.43</v>
      </c>
    </row>
    <row r="96" spans="1:9" s="237" customFormat="1">
      <c r="A96" s="1179" t="s">
        <v>236</v>
      </c>
      <c r="B96" s="1180" t="s">
        <v>237</v>
      </c>
      <c r="C96" s="103" t="s">
        <v>266</v>
      </c>
      <c r="D96" s="1183"/>
      <c r="E96" s="1184">
        <v>1078767.21</v>
      </c>
      <c r="F96" s="1184">
        <v>507128.96</v>
      </c>
      <c r="G96" s="1188"/>
      <c r="H96" s="1186">
        <f t="shared" si="4"/>
        <v>1585896.17</v>
      </c>
      <c r="I96" s="1186">
        <f t="shared" si="5"/>
        <v>507128.96</v>
      </c>
    </row>
    <row r="97" spans="1:9" s="237" customFormat="1">
      <c r="A97" s="1179" t="s">
        <v>242</v>
      </c>
      <c r="B97" s="1180" t="s">
        <v>243</v>
      </c>
      <c r="C97" s="103" t="s">
        <v>268</v>
      </c>
      <c r="D97" s="1183"/>
      <c r="E97" s="1184">
        <v>1481130.16</v>
      </c>
      <c r="F97" s="1184">
        <v>535556.44999999995</v>
      </c>
      <c r="G97" s="1188"/>
      <c r="H97" s="1186">
        <f t="shared" si="4"/>
        <v>2016686.6099999999</v>
      </c>
      <c r="I97" s="1186">
        <f t="shared" si="5"/>
        <v>535556.44999999995</v>
      </c>
    </row>
    <row r="98" spans="1:9" s="237" customFormat="1">
      <c r="A98" s="1179" t="s">
        <v>244</v>
      </c>
      <c r="B98" s="1180" t="s">
        <v>245</v>
      </c>
      <c r="C98" s="103" t="s">
        <v>268</v>
      </c>
      <c r="D98" s="1183"/>
      <c r="E98" s="1184">
        <v>1341025.0900000001</v>
      </c>
      <c r="F98" s="1184">
        <v>487008.33</v>
      </c>
      <c r="G98" s="1188"/>
      <c r="H98" s="1186">
        <f t="shared" si="4"/>
        <v>1828033.4200000002</v>
      </c>
      <c r="I98" s="1186">
        <f t="shared" si="5"/>
        <v>487008.33</v>
      </c>
    </row>
    <row r="99" spans="1:9" s="237" customFormat="1">
      <c r="A99" s="1179" t="s">
        <v>246</v>
      </c>
      <c r="B99" s="1180" t="s">
        <v>310</v>
      </c>
      <c r="C99" s="103" t="s">
        <v>264</v>
      </c>
      <c r="D99" s="1183"/>
      <c r="E99" s="1184">
        <v>697615.99</v>
      </c>
      <c r="F99" s="1184">
        <v>408821.6</v>
      </c>
      <c r="G99" s="1188"/>
      <c r="H99" s="1186">
        <f t="shared" si="4"/>
        <v>1106437.5899999999</v>
      </c>
      <c r="I99" s="1186">
        <f t="shared" si="5"/>
        <v>408821.6</v>
      </c>
    </row>
    <row r="100" spans="1:9" s="237" customFormat="1">
      <c r="A100" s="1179" t="s">
        <v>14</v>
      </c>
      <c r="B100" s="1180" t="s">
        <v>15</v>
      </c>
      <c r="C100" s="103" t="s">
        <v>267</v>
      </c>
      <c r="D100" s="1183"/>
      <c r="E100" s="1184">
        <v>3593529.84</v>
      </c>
      <c r="F100" s="1184">
        <v>3524919.55</v>
      </c>
      <c r="G100" s="1188"/>
      <c r="H100" s="1186">
        <f t="shared" si="4"/>
        <v>7118449.3899999997</v>
      </c>
      <c r="I100" s="1186">
        <f t="shared" si="5"/>
        <v>3524919.55</v>
      </c>
    </row>
    <row r="101" spans="1:9" s="237" customFormat="1">
      <c r="A101" s="1179" t="s">
        <v>34</v>
      </c>
      <c r="B101" s="1180" t="s">
        <v>35</v>
      </c>
      <c r="C101" s="103" t="s">
        <v>268</v>
      </c>
      <c r="D101" s="1183"/>
      <c r="E101" s="1184">
        <v>953696.83</v>
      </c>
      <c r="F101" s="1184">
        <v>328135.82</v>
      </c>
      <c r="G101" s="1188"/>
      <c r="H101" s="1186">
        <f t="shared" si="4"/>
        <v>1281832.6499999999</v>
      </c>
      <c r="I101" s="1186">
        <f t="shared" si="5"/>
        <v>328135.82</v>
      </c>
    </row>
    <row r="102" spans="1:9" s="237" customFormat="1">
      <c r="A102" s="1179" t="s">
        <v>52</v>
      </c>
      <c r="B102" s="1180" t="s">
        <v>53</v>
      </c>
      <c r="C102" s="103" t="s">
        <v>265</v>
      </c>
      <c r="D102" s="1183"/>
      <c r="E102" s="1184">
        <v>5401193.4400000004</v>
      </c>
      <c r="F102" s="1184">
        <v>2140586.19</v>
      </c>
      <c r="G102" s="1188"/>
      <c r="H102" s="1186">
        <f t="shared" si="4"/>
        <v>7541779.6300000008</v>
      </c>
      <c r="I102" s="1186">
        <f t="shared" si="5"/>
        <v>2140586.19</v>
      </c>
    </row>
    <row r="103" spans="1:9" s="237" customFormat="1">
      <c r="A103" s="1179" t="s">
        <v>54</v>
      </c>
      <c r="B103" s="1180" t="s">
        <v>55</v>
      </c>
      <c r="C103" s="103" t="s">
        <v>264</v>
      </c>
      <c r="D103" s="1183"/>
      <c r="E103" s="1184">
        <v>1973015.85</v>
      </c>
      <c r="F103" s="1184">
        <v>1069805.82</v>
      </c>
      <c r="G103" s="1188"/>
      <c r="H103" s="1186">
        <f t="shared" si="4"/>
        <v>3042821.67</v>
      </c>
      <c r="I103" s="1186">
        <f t="shared" si="5"/>
        <v>1069805.82</v>
      </c>
    </row>
    <row r="104" spans="1:9" s="237" customFormat="1">
      <c r="A104" s="1179" t="s">
        <v>66</v>
      </c>
      <c r="B104" s="1180" t="s">
        <v>67</v>
      </c>
      <c r="C104" s="103" t="s">
        <v>265</v>
      </c>
      <c r="D104" s="1183"/>
      <c r="E104" s="1184">
        <v>2532053.48</v>
      </c>
      <c r="F104" s="1184">
        <v>750590.23</v>
      </c>
      <c r="G104" s="1188"/>
      <c r="H104" s="1186">
        <f t="shared" si="4"/>
        <v>3282643.71</v>
      </c>
      <c r="I104" s="1186">
        <f t="shared" si="5"/>
        <v>750590.23</v>
      </c>
    </row>
    <row r="105" spans="1:9" s="237" customFormat="1">
      <c r="A105" s="1179" t="s">
        <v>82</v>
      </c>
      <c r="B105" s="1180" t="s">
        <v>311</v>
      </c>
      <c r="C105" s="103" t="s">
        <v>264</v>
      </c>
      <c r="D105" s="1183"/>
      <c r="E105" s="1184">
        <v>130268.89</v>
      </c>
      <c r="F105" s="1184">
        <v>75257.039999999994</v>
      </c>
      <c r="G105" s="1188"/>
      <c r="H105" s="1186">
        <f t="shared" si="4"/>
        <v>205525.93</v>
      </c>
      <c r="I105" s="1186">
        <f t="shared" si="5"/>
        <v>75257.039999999994</v>
      </c>
    </row>
    <row r="106" spans="1:9" s="237" customFormat="1">
      <c r="A106" s="1179" t="s">
        <v>88</v>
      </c>
      <c r="B106" s="1180" t="s">
        <v>89</v>
      </c>
      <c r="C106" s="103" t="s">
        <v>267</v>
      </c>
      <c r="D106" s="1183"/>
      <c r="E106" s="1184">
        <v>984074.56</v>
      </c>
      <c r="F106" s="1184">
        <v>471102.62</v>
      </c>
      <c r="G106" s="1188"/>
      <c r="H106" s="1186">
        <f t="shared" si="4"/>
        <v>1455177.1800000002</v>
      </c>
      <c r="I106" s="1186">
        <f t="shared" si="5"/>
        <v>471102.62</v>
      </c>
    </row>
    <row r="107" spans="1:9" s="237" customFormat="1">
      <c r="A107" s="1179" t="s">
        <v>90</v>
      </c>
      <c r="B107" s="1180" t="s">
        <v>91</v>
      </c>
      <c r="C107" s="103" t="s">
        <v>268</v>
      </c>
      <c r="D107" s="1183"/>
      <c r="E107" s="1184">
        <v>141394.48000000001</v>
      </c>
      <c r="F107" s="1184">
        <v>44996.99</v>
      </c>
      <c r="G107" s="1188"/>
      <c r="H107" s="1186">
        <f t="shared" si="4"/>
        <v>186391.47</v>
      </c>
      <c r="I107" s="1186">
        <f t="shared" si="5"/>
        <v>44996.99</v>
      </c>
    </row>
    <row r="108" spans="1:9" s="237" customFormat="1">
      <c r="A108" s="1179" t="s">
        <v>106</v>
      </c>
      <c r="B108" s="1180" t="s">
        <v>107</v>
      </c>
      <c r="C108" s="103" t="s">
        <v>264</v>
      </c>
      <c r="D108" s="1183"/>
      <c r="E108" s="1184">
        <v>5898468.5800000001</v>
      </c>
      <c r="F108" s="1184">
        <v>1549361.4</v>
      </c>
      <c r="G108" s="1188"/>
      <c r="H108" s="1186">
        <f t="shared" si="4"/>
        <v>7447829.9800000004</v>
      </c>
      <c r="I108" s="1186">
        <f t="shared" si="5"/>
        <v>1549361.4</v>
      </c>
    </row>
    <row r="109" spans="1:9" s="237" customFormat="1">
      <c r="A109" s="1179" t="s">
        <v>116</v>
      </c>
      <c r="B109" s="1180" t="s">
        <v>117</v>
      </c>
      <c r="C109" s="103" t="s">
        <v>266</v>
      </c>
      <c r="D109" s="1183"/>
      <c r="E109" s="1184">
        <v>2838019.92</v>
      </c>
      <c r="F109" s="1184">
        <v>815317.11</v>
      </c>
      <c r="G109" s="1188"/>
      <c r="H109" s="1186">
        <f t="shared" si="4"/>
        <v>3653337.03</v>
      </c>
      <c r="I109" s="1186">
        <f t="shared" si="5"/>
        <v>815317.11</v>
      </c>
    </row>
    <row r="110" spans="1:9" s="237" customFormat="1">
      <c r="A110" s="1179" t="s">
        <v>138</v>
      </c>
      <c r="B110" s="1180" t="s">
        <v>139</v>
      </c>
      <c r="C110" s="103" t="s">
        <v>265</v>
      </c>
      <c r="D110" s="1183"/>
      <c r="E110" s="1184">
        <v>3199560.6</v>
      </c>
      <c r="F110" s="1184">
        <v>1198105.92</v>
      </c>
      <c r="G110" s="1188"/>
      <c r="H110" s="1186">
        <f t="shared" si="4"/>
        <v>4397666.5199999996</v>
      </c>
      <c r="I110" s="1186">
        <f t="shared" si="5"/>
        <v>1198105.92</v>
      </c>
    </row>
    <row r="111" spans="1:9" s="237" customFormat="1">
      <c r="A111" s="1179" t="s">
        <v>142</v>
      </c>
      <c r="B111" s="1180" t="s">
        <v>143</v>
      </c>
      <c r="C111" s="103" t="s">
        <v>267</v>
      </c>
      <c r="D111" s="1183"/>
      <c r="E111" s="1184">
        <v>788427.42</v>
      </c>
      <c r="F111" s="1184">
        <v>567474.61</v>
      </c>
      <c r="G111" s="1188"/>
      <c r="H111" s="1186">
        <f t="shared" si="4"/>
        <v>1355902.03</v>
      </c>
      <c r="I111" s="1186">
        <f t="shared" si="5"/>
        <v>567474.61</v>
      </c>
    </row>
    <row r="112" spans="1:9" s="237" customFormat="1">
      <c r="A112" s="1179" t="s">
        <v>144</v>
      </c>
      <c r="B112" s="1180" t="s">
        <v>145</v>
      </c>
      <c r="C112" s="103" t="s">
        <v>267</v>
      </c>
      <c r="D112" s="1183"/>
      <c r="E112" s="1184">
        <v>478981.25</v>
      </c>
      <c r="F112" s="1184">
        <v>356044.14</v>
      </c>
      <c r="G112" s="1188"/>
      <c r="H112" s="1186">
        <f t="shared" si="4"/>
        <v>835025.39</v>
      </c>
      <c r="I112" s="1186">
        <f t="shared" si="5"/>
        <v>356044.14</v>
      </c>
    </row>
    <row r="113" spans="1:9" s="237" customFormat="1">
      <c r="A113" s="1179" t="s">
        <v>158</v>
      </c>
      <c r="B113" s="1180" t="s">
        <v>159</v>
      </c>
      <c r="C113" s="103" t="s">
        <v>264</v>
      </c>
      <c r="D113" s="1183"/>
      <c r="E113" s="1184">
        <v>4289490.0599999996</v>
      </c>
      <c r="F113" s="1184">
        <v>1571777.04</v>
      </c>
      <c r="G113" s="1188"/>
      <c r="H113" s="1186">
        <f t="shared" si="4"/>
        <v>5861267.0999999996</v>
      </c>
      <c r="I113" s="1186">
        <f t="shared" si="5"/>
        <v>1571777.04</v>
      </c>
    </row>
    <row r="114" spans="1:9" s="237" customFormat="1">
      <c r="A114" s="1179" t="s">
        <v>160</v>
      </c>
      <c r="B114" s="1180" t="s">
        <v>161</v>
      </c>
      <c r="C114" s="103" t="s">
        <v>264</v>
      </c>
      <c r="D114" s="1183"/>
      <c r="E114" s="1184">
        <v>6164288</v>
      </c>
      <c r="F114" s="1184">
        <v>2017092.87</v>
      </c>
      <c r="G114" s="1188"/>
      <c r="H114" s="1186">
        <f t="shared" si="4"/>
        <v>8181380.8700000001</v>
      </c>
      <c r="I114" s="1186">
        <f t="shared" si="5"/>
        <v>2017092.87</v>
      </c>
    </row>
    <row r="115" spans="1:9" s="237" customFormat="1">
      <c r="A115" s="1179" t="s">
        <v>166</v>
      </c>
      <c r="B115" s="1180" t="s">
        <v>167</v>
      </c>
      <c r="C115" s="103" t="s">
        <v>268</v>
      </c>
      <c r="D115" s="1183"/>
      <c r="E115" s="1184">
        <v>72322.149999999994</v>
      </c>
      <c r="F115" s="1184">
        <v>41882.300000000003</v>
      </c>
      <c r="G115" s="1188"/>
      <c r="H115" s="1186">
        <f t="shared" si="4"/>
        <v>114204.45</v>
      </c>
      <c r="I115" s="1186">
        <f t="shared" si="5"/>
        <v>41882.300000000003</v>
      </c>
    </row>
    <row r="116" spans="1:9" s="237" customFormat="1">
      <c r="A116" s="1179" t="s">
        <v>176</v>
      </c>
      <c r="B116" s="1180" t="s">
        <v>177</v>
      </c>
      <c r="C116" s="103" t="s">
        <v>266</v>
      </c>
      <c r="D116" s="1183"/>
      <c r="E116" s="1184">
        <v>2335435.1</v>
      </c>
      <c r="F116" s="1184">
        <v>1255335.97</v>
      </c>
      <c r="G116" s="1188"/>
      <c r="H116" s="1186">
        <f t="shared" si="4"/>
        <v>3590771.0700000003</v>
      </c>
      <c r="I116" s="1186">
        <f t="shared" si="5"/>
        <v>1255335.97</v>
      </c>
    </row>
    <row r="117" spans="1:9" s="237" customFormat="1">
      <c r="A117" s="1179" t="s">
        <v>180</v>
      </c>
      <c r="B117" s="1180" t="s">
        <v>181</v>
      </c>
      <c r="C117" s="103" t="s">
        <v>264</v>
      </c>
      <c r="D117" s="1183"/>
      <c r="E117" s="1184">
        <v>2600236.5699999998</v>
      </c>
      <c r="F117" s="1184">
        <v>899523.27</v>
      </c>
      <c r="G117" s="1188"/>
      <c r="H117" s="1186">
        <f t="shared" si="4"/>
        <v>3499759.84</v>
      </c>
      <c r="I117" s="1186">
        <f t="shared" si="5"/>
        <v>899523.27</v>
      </c>
    </row>
    <row r="118" spans="1:9" s="237" customFormat="1">
      <c r="A118" s="1179" t="s">
        <v>192</v>
      </c>
      <c r="B118" s="1180" t="s">
        <v>193</v>
      </c>
      <c r="C118" s="103" t="s">
        <v>268</v>
      </c>
      <c r="D118" s="1183"/>
      <c r="E118" s="1184">
        <v>1018709.81</v>
      </c>
      <c r="F118" s="1184">
        <v>269393.42</v>
      </c>
      <c r="G118" s="1188"/>
      <c r="H118" s="1186">
        <f t="shared" si="4"/>
        <v>1288103.23</v>
      </c>
      <c r="I118" s="1186">
        <f t="shared" si="5"/>
        <v>269393.42</v>
      </c>
    </row>
    <row r="119" spans="1:9" s="237" customFormat="1">
      <c r="A119" s="1179" t="s">
        <v>196</v>
      </c>
      <c r="B119" s="1180" t="s">
        <v>312</v>
      </c>
      <c r="C119" s="103" t="s">
        <v>266</v>
      </c>
      <c r="D119" s="1183"/>
      <c r="E119" s="1184">
        <v>7086838.8300000001</v>
      </c>
      <c r="F119" s="1184">
        <v>4194894.45</v>
      </c>
      <c r="G119" s="1188"/>
      <c r="H119" s="1186">
        <f t="shared" si="4"/>
        <v>11281733.280000001</v>
      </c>
      <c r="I119" s="1186">
        <f t="shared" si="5"/>
        <v>4194894.45</v>
      </c>
    </row>
    <row r="120" spans="1:9" s="237" customFormat="1">
      <c r="A120" s="1179" t="s">
        <v>200</v>
      </c>
      <c r="B120" s="1180" t="s">
        <v>313</v>
      </c>
      <c r="C120" s="103" t="s">
        <v>265</v>
      </c>
      <c r="D120" s="1183"/>
      <c r="E120" s="1184">
        <v>6951972.25</v>
      </c>
      <c r="F120" s="1184">
        <v>3059341.61</v>
      </c>
      <c r="G120" s="1188"/>
      <c r="H120" s="1186">
        <f t="shared" si="4"/>
        <v>10011313.859999999</v>
      </c>
      <c r="I120" s="1186">
        <f t="shared" si="5"/>
        <v>3059341.61</v>
      </c>
    </row>
    <row r="121" spans="1:9" s="237" customFormat="1">
      <c r="A121" s="1179" t="s">
        <v>222</v>
      </c>
      <c r="B121" s="1180" t="s">
        <v>223</v>
      </c>
      <c r="C121" s="103" t="s">
        <v>264</v>
      </c>
      <c r="D121" s="1183"/>
      <c r="E121" s="1184">
        <v>837980.35</v>
      </c>
      <c r="F121" s="1184">
        <v>281293.40000000002</v>
      </c>
      <c r="G121" s="1188"/>
      <c r="H121" s="1186">
        <f t="shared" si="4"/>
        <v>1119273.75</v>
      </c>
      <c r="I121" s="1186">
        <f t="shared" si="5"/>
        <v>281293.40000000002</v>
      </c>
    </row>
    <row r="122" spans="1:9" s="237" customFormat="1">
      <c r="A122" s="1179" t="s">
        <v>230</v>
      </c>
      <c r="B122" s="1180" t="s">
        <v>231</v>
      </c>
      <c r="C122" s="103" t="s">
        <v>264</v>
      </c>
      <c r="D122" s="1183"/>
      <c r="E122" s="1184">
        <v>6012268.8600000003</v>
      </c>
      <c r="F122" s="1184">
        <v>3545082.63</v>
      </c>
      <c r="G122" s="1188"/>
      <c r="H122" s="1186">
        <f t="shared" si="4"/>
        <v>9557351.4900000002</v>
      </c>
      <c r="I122" s="1186">
        <f t="shared" si="5"/>
        <v>3545082.63</v>
      </c>
    </row>
    <row r="123" spans="1:9" s="237" customFormat="1">
      <c r="A123" s="1179" t="s">
        <v>238</v>
      </c>
      <c r="B123" s="1180" t="s">
        <v>239</v>
      </c>
      <c r="C123" s="103" t="s">
        <v>264</v>
      </c>
      <c r="D123" s="1183"/>
      <c r="E123" s="1184">
        <v>105692.17</v>
      </c>
      <c r="F123" s="1184">
        <v>73200.100000000006</v>
      </c>
      <c r="G123" s="1188"/>
      <c r="H123" s="1186">
        <f t="shared" si="4"/>
        <v>178892.27000000002</v>
      </c>
      <c r="I123" s="1186">
        <f t="shared" si="5"/>
        <v>73200.100000000006</v>
      </c>
    </row>
    <row r="124" spans="1:9" s="237" customFormat="1">
      <c r="A124" s="1179" t="s">
        <v>240</v>
      </c>
      <c r="B124" s="1180" t="s">
        <v>241</v>
      </c>
      <c r="C124" s="111" t="s">
        <v>267</v>
      </c>
      <c r="D124" s="1183"/>
      <c r="E124" s="1184">
        <v>633088.12</v>
      </c>
      <c r="F124" s="1184">
        <v>483421.66</v>
      </c>
      <c r="G124" s="1188"/>
      <c r="H124" s="1186">
        <f t="shared" si="4"/>
        <v>1116509.78</v>
      </c>
      <c r="I124" s="1186">
        <f t="shared" si="5"/>
        <v>483421.66</v>
      </c>
    </row>
    <row r="125" spans="1:9" s="237" customFormat="1">
      <c r="D125" s="1194"/>
      <c r="E125" s="1194"/>
      <c r="F125" s="1194"/>
      <c r="G125" s="1194"/>
      <c r="H125" s="1194"/>
      <c r="I125" s="1194"/>
    </row>
    <row r="126" spans="1:9" s="1195" customFormat="1">
      <c r="A126" s="1195" t="s">
        <v>874</v>
      </c>
      <c r="B126" s="1196"/>
      <c r="C126" s="1196"/>
    </row>
    <row r="127" spans="1:9" s="1195" customFormat="1"/>
    <row r="128" spans="1:9" s="185" customFormat="1">
      <c r="A128" s="185" t="s">
        <v>248</v>
      </c>
    </row>
    <row r="129" spans="1:3">
      <c r="A129" s="192" t="s">
        <v>249</v>
      </c>
      <c r="B129" s="170" t="s">
        <v>250</v>
      </c>
      <c r="C129" s="170"/>
    </row>
  </sheetData>
  <hyperlinks>
    <hyperlink ref="B129"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dimension ref="A1:K130"/>
  <sheetViews>
    <sheetView workbookViewId="0">
      <pane xSplit="2" ySplit="3" topLeftCell="E4" activePane="bottomRight" state="frozen"/>
      <selection pane="topRight" activeCell="D1" sqref="D1"/>
      <selection pane="bottomLeft" activeCell="A2" sqref="A2"/>
      <selection pane="bottomRight" activeCell="G106" sqref="G106"/>
    </sheetView>
  </sheetViews>
  <sheetFormatPr defaultRowHeight="15.75"/>
  <cols>
    <col min="1" max="1" width="9.25" style="1237" bestFit="1" customWidth="1"/>
    <col min="2" max="2" width="28.125" style="1238" customWidth="1"/>
    <col min="3" max="3" width="16.5" style="1238" customWidth="1"/>
    <col min="4" max="4" width="12.625" style="1239" bestFit="1" customWidth="1"/>
    <col min="5" max="5" width="13.5" style="1239" bestFit="1" customWidth="1"/>
    <col min="6" max="6" width="12.625" style="1239" bestFit="1" customWidth="1"/>
    <col min="7" max="7" width="13.5" style="1239" bestFit="1" customWidth="1"/>
    <col min="8" max="8" width="11.25" style="1239" customWidth="1"/>
    <col min="9" max="11" width="13.75" style="1240" customWidth="1"/>
    <col min="12" max="16384" width="9" style="1238"/>
  </cols>
  <sheetData>
    <row r="1" spans="1:11">
      <c r="A1" s="1242" t="s">
        <v>1112</v>
      </c>
    </row>
    <row r="3" spans="1:11" s="1236" customFormat="1" ht="15">
      <c r="A3" s="1235" t="s">
        <v>4</v>
      </c>
      <c r="B3" s="1236" t="s">
        <v>5</v>
      </c>
      <c r="C3" s="1236" t="s">
        <v>251</v>
      </c>
      <c r="D3" s="1245" t="s">
        <v>887</v>
      </c>
      <c r="E3" s="1245" t="s">
        <v>888</v>
      </c>
      <c r="F3" s="1245" t="s">
        <v>889</v>
      </c>
      <c r="G3" s="1245" t="s">
        <v>890</v>
      </c>
      <c r="H3" s="1245" t="s">
        <v>891</v>
      </c>
      <c r="I3" s="1246" t="s">
        <v>314</v>
      </c>
      <c r="J3" s="1246" t="s">
        <v>315</v>
      </c>
      <c r="K3" s="1247" t="s">
        <v>892</v>
      </c>
    </row>
    <row r="4" spans="1:11" s="1236" customFormat="1" ht="15">
      <c r="A4" s="1243" t="s">
        <v>8</v>
      </c>
      <c r="B4" s="1244" t="s">
        <v>893</v>
      </c>
      <c r="C4" s="1244"/>
      <c r="D4" s="1248">
        <f>SUM(D5:D124)</f>
        <v>53629017.520000003</v>
      </c>
      <c r="E4" s="1248">
        <f t="shared" ref="E4:K4" si="0">SUM(E5:E124)</f>
        <v>7131168</v>
      </c>
      <c r="F4" s="1248">
        <f t="shared" si="0"/>
        <v>6208937.9900000002</v>
      </c>
      <c r="G4" s="1248">
        <f t="shared" si="0"/>
        <v>43697919.760000005</v>
      </c>
      <c r="H4" s="1248">
        <f t="shared" si="0"/>
        <v>110667043.27000001</v>
      </c>
      <c r="I4" s="1248">
        <f t="shared" si="0"/>
        <v>80748065.515000001</v>
      </c>
      <c r="J4" s="1248">
        <f t="shared" si="0"/>
        <v>29918977.754999999</v>
      </c>
      <c r="K4" s="1248">
        <f t="shared" si="0"/>
        <v>110667043.27000001</v>
      </c>
    </row>
    <row r="5" spans="1:11" ht="15">
      <c r="A5" s="1237" t="s">
        <v>10</v>
      </c>
      <c r="B5" s="1238" t="s">
        <v>11</v>
      </c>
      <c r="C5" s="1238" t="s">
        <v>264</v>
      </c>
      <c r="D5" s="1249">
        <v>21021</v>
      </c>
      <c r="E5" s="1249">
        <v>8308</v>
      </c>
      <c r="F5" s="1249">
        <v>0</v>
      </c>
      <c r="G5" s="1249">
        <v>88642</v>
      </c>
      <c r="H5" s="1249">
        <f>SUM(D5:G5)</f>
        <v>117971</v>
      </c>
      <c r="I5" s="1250">
        <f>(D5*0.5)+(E5)+(F5*0.5)+(G5)</f>
        <v>107460.5</v>
      </c>
      <c r="J5" s="1250">
        <f>(D5*0.5)+(F5*0.5)</f>
        <v>10510.5</v>
      </c>
      <c r="K5" s="1251">
        <f>I5+J5</f>
        <v>117971</v>
      </c>
    </row>
    <row r="6" spans="1:11" ht="15">
      <c r="A6" s="1237" t="s">
        <v>12</v>
      </c>
      <c r="B6" s="1238" t="s">
        <v>13</v>
      </c>
      <c r="C6" s="1238" t="s">
        <v>265</v>
      </c>
      <c r="D6" s="1249">
        <v>226521</v>
      </c>
      <c r="E6" s="1249">
        <v>7535</v>
      </c>
      <c r="F6" s="1249">
        <v>27821</v>
      </c>
      <c r="G6" s="1249">
        <v>550438</v>
      </c>
      <c r="H6" s="1249">
        <f t="shared" ref="H6:H69" si="1">SUM(D6:G6)</f>
        <v>812315</v>
      </c>
      <c r="I6" s="1250">
        <f t="shared" ref="I6:I70" si="2">(D6*0.5)+(E6)+(F6*0.5)+(G6)</f>
        <v>685144</v>
      </c>
      <c r="J6" s="1250">
        <f t="shared" ref="J6:J70" si="3">(D6*0.5)+(F6*0.5)</f>
        <v>127171</v>
      </c>
      <c r="K6" s="1251">
        <f t="shared" ref="K6:K70" si="4">I6+J6</f>
        <v>812315</v>
      </c>
    </row>
    <row r="7" spans="1:11" ht="15">
      <c r="A7" s="1237" t="s">
        <v>16</v>
      </c>
      <c r="B7" s="1241" t="s">
        <v>297</v>
      </c>
      <c r="C7" s="1241" t="s">
        <v>265</v>
      </c>
      <c r="D7" s="1249">
        <v>49454</v>
      </c>
      <c r="E7" s="1249">
        <v>0</v>
      </c>
      <c r="F7" s="1249">
        <v>0</v>
      </c>
      <c r="G7" s="1249">
        <v>74430</v>
      </c>
      <c r="H7" s="1249">
        <f t="shared" si="1"/>
        <v>123884</v>
      </c>
      <c r="I7" s="1250">
        <f t="shared" si="2"/>
        <v>99157</v>
      </c>
      <c r="J7" s="1250">
        <f t="shared" si="3"/>
        <v>24727</v>
      </c>
      <c r="K7" s="1251">
        <f t="shared" si="4"/>
        <v>123884</v>
      </c>
    </row>
    <row r="8" spans="1:11" ht="15">
      <c r="A8" s="1237" t="s">
        <v>18</v>
      </c>
      <c r="B8" s="1238" t="s">
        <v>19</v>
      </c>
      <c r="C8" s="1238" t="s">
        <v>266</v>
      </c>
      <c r="D8" s="1249">
        <v>44439</v>
      </c>
      <c r="E8" s="1249">
        <v>5970</v>
      </c>
      <c r="F8" s="1249">
        <v>2675</v>
      </c>
      <c r="G8" s="1249">
        <v>26246</v>
      </c>
      <c r="H8" s="1249">
        <f t="shared" si="1"/>
        <v>79330</v>
      </c>
      <c r="I8" s="1250">
        <f t="shared" si="2"/>
        <v>55773</v>
      </c>
      <c r="J8" s="1250">
        <f t="shared" si="3"/>
        <v>23557</v>
      </c>
      <c r="K8" s="1251">
        <f t="shared" si="4"/>
        <v>79330</v>
      </c>
    </row>
    <row r="9" spans="1:11" ht="15">
      <c r="A9" s="1237" t="s">
        <v>20</v>
      </c>
      <c r="B9" s="1238" t="s">
        <v>21</v>
      </c>
      <c r="C9" s="1238" t="s">
        <v>265</v>
      </c>
      <c r="D9" s="1249">
        <v>77469</v>
      </c>
      <c r="E9" s="1249">
        <v>19333</v>
      </c>
      <c r="F9" s="1249">
        <v>21001</v>
      </c>
      <c r="G9" s="1249">
        <v>136362</v>
      </c>
      <c r="H9" s="1249">
        <f t="shared" si="1"/>
        <v>254165</v>
      </c>
      <c r="I9" s="1250">
        <f t="shared" si="2"/>
        <v>204930</v>
      </c>
      <c r="J9" s="1250">
        <f t="shared" si="3"/>
        <v>49235</v>
      </c>
      <c r="K9" s="1251">
        <f t="shared" si="4"/>
        <v>254165</v>
      </c>
    </row>
    <row r="10" spans="1:11" ht="15">
      <c r="A10" s="1237" t="s">
        <v>22</v>
      </c>
      <c r="B10" s="1238" t="s">
        <v>23</v>
      </c>
      <c r="C10" s="1238" t="s">
        <v>265</v>
      </c>
      <c r="D10" s="1249">
        <v>51300</v>
      </c>
      <c r="E10" s="1249">
        <v>0</v>
      </c>
      <c r="F10" s="1249">
        <v>2778</v>
      </c>
      <c r="G10" s="1249">
        <v>58963</v>
      </c>
      <c r="H10" s="1249">
        <f t="shared" si="1"/>
        <v>113041</v>
      </c>
      <c r="I10" s="1250">
        <f t="shared" si="2"/>
        <v>86002</v>
      </c>
      <c r="J10" s="1250">
        <f t="shared" si="3"/>
        <v>27039</v>
      </c>
      <c r="K10" s="1251">
        <f t="shared" si="4"/>
        <v>113041</v>
      </c>
    </row>
    <row r="11" spans="1:11" ht="15">
      <c r="A11" s="1237" t="s">
        <v>24</v>
      </c>
      <c r="B11" s="1238" t="s">
        <v>25</v>
      </c>
      <c r="C11" s="1238" t="s">
        <v>267</v>
      </c>
      <c r="D11" s="1249">
        <v>662828</v>
      </c>
      <c r="E11" s="1249">
        <v>647680</v>
      </c>
      <c r="F11" s="1249">
        <v>184800.66</v>
      </c>
      <c r="G11" s="1249">
        <v>1053076</v>
      </c>
      <c r="H11" s="1249">
        <f t="shared" si="1"/>
        <v>2548384.66</v>
      </c>
      <c r="I11" s="1250">
        <f t="shared" si="2"/>
        <v>2124570.33</v>
      </c>
      <c r="J11" s="1250">
        <f t="shared" si="3"/>
        <v>423814.33</v>
      </c>
      <c r="K11" s="1251">
        <f t="shared" si="4"/>
        <v>2548384.66</v>
      </c>
    </row>
    <row r="12" spans="1:11" ht="15">
      <c r="A12" s="1237" t="s">
        <v>26</v>
      </c>
      <c r="B12" s="1241" t="s">
        <v>706</v>
      </c>
      <c r="C12" s="1241" t="s">
        <v>265</v>
      </c>
      <c r="D12" s="1249">
        <v>484146</v>
      </c>
      <c r="E12" s="1249">
        <v>25896</v>
      </c>
      <c r="F12" s="1249">
        <v>13703</v>
      </c>
      <c r="G12" s="1249">
        <v>444715</v>
      </c>
      <c r="H12" s="1249">
        <f t="shared" si="1"/>
        <v>968460</v>
      </c>
      <c r="I12" s="1250">
        <f t="shared" si="2"/>
        <v>719535.5</v>
      </c>
      <c r="J12" s="1250">
        <f t="shared" si="3"/>
        <v>248924.5</v>
      </c>
      <c r="K12" s="1251">
        <f t="shared" si="4"/>
        <v>968460</v>
      </c>
    </row>
    <row r="13" spans="1:11" ht="15">
      <c r="A13" s="1237" t="s">
        <v>27</v>
      </c>
      <c r="B13" s="1238" t="s">
        <v>28</v>
      </c>
      <c r="C13" s="1238" t="s">
        <v>265</v>
      </c>
      <c r="D13" s="1249">
        <v>458</v>
      </c>
      <c r="E13" s="1249">
        <v>0</v>
      </c>
      <c r="F13" s="1249">
        <v>0</v>
      </c>
      <c r="G13" s="1249">
        <v>0</v>
      </c>
      <c r="H13" s="1249">
        <f t="shared" si="1"/>
        <v>458</v>
      </c>
      <c r="I13" s="1250">
        <f t="shared" si="2"/>
        <v>229</v>
      </c>
      <c r="J13" s="1250">
        <f t="shared" si="3"/>
        <v>229</v>
      </c>
      <c r="K13" s="1251">
        <f t="shared" si="4"/>
        <v>458</v>
      </c>
    </row>
    <row r="14" spans="1:11" ht="15">
      <c r="A14" s="1237" t="s">
        <v>29</v>
      </c>
      <c r="B14" s="1238" t="s">
        <v>1012</v>
      </c>
      <c r="C14" s="1238" t="s">
        <v>265</v>
      </c>
      <c r="D14" s="1249">
        <v>110376</v>
      </c>
      <c r="E14" s="1249">
        <v>5857</v>
      </c>
      <c r="F14" s="1249">
        <v>15488</v>
      </c>
      <c r="G14" s="1249">
        <v>284601.5</v>
      </c>
      <c r="H14" s="1249">
        <f t="shared" si="1"/>
        <v>416322.5</v>
      </c>
      <c r="I14" s="1250">
        <f t="shared" si="2"/>
        <v>353390.5</v>
      </c>
      <c r="J14" s="1250">
        <f t="shared" si="3"/>
        <v>62932</v>
      </c>
      <c r="K14" s="1251">
        <f t="shared" si="4"/>
        <v>416322.5</v>
      </c>
    </row>
    <row r="15" spans="1:11" ht="15">
      <c r="A15" s="1237" t="s">
        <v>30</v>
      </c>
      <c r="B15" s="1238" t="s">
        <v>31</v>
      </c>
      <c r="C15" s="1238" t="s">
        <v>268</v>
      </c>
      <c r="D15" s="1249">
        <v>730</v>
      </c>
      <c r="E15" s="1249">
        <v>513</v>
      </c>
      <c r="F15" s="1249">
        <v>0</v>
      </c>
      <c r="G15" s="1249">
        <v>10867</v>
      </c>
      <c r="H15" s="1249">
        <f t="shared" si="1"/>
        <v>12110</v>
      </c>
      <c r="I15" s="1250">
        <f t="shared" si="2"/>
        <v>11745</v>
      </c>
      <c r="J15" s="1250">
        <f t="shared" si="3"/>
        <v>365</v>
      </c>
      <c r="K15" s="1251">
        <f t="shared" si="4"/>
        <v>12110</v>
      </c>
    </row>
    <row r="16" spans="1:11" ht="15">
      <c r="A16" s="1237" t="s">
        <v>32</v>
      </c>
      <c r="B16" s="1238" t="s">
        <v>33</v>
      </c>
      <c r="C16" s="1238" t="s">
        <v>265</v>
      </c>
      <c r="D16" s="1249">
        <v>86613.2</v>
      </c>
      <c r="E16" s="1249">
        <v>30708</v>
      </c>
      <c r="F16" s="1249">
        <v>7646</v>
      </c>
      <c r="G16" s="1249">
        <v>111559</v>
      </c>
      <c r="H16" s="1249">
        <f t="shared" si="1"/>
        <v>236526.2</v>
      </c>
      <c r="I16" s="1250">
        <f t="shared" si="2"/>
        <v>189396.6</v>
      </c>
      <c r="J16" s="1250">
        <f t="shared" si="3"/>
        <v>47129.599999999999</v>
      </c>
      <c r="K16" s="1251">
        <f t="shared" si="4"/>
        <v>236526.2</v>
      </c>
    </row>
    <row r="17" spans="1:11" ht="15">
      <c r="A17" s="1237" t="s">
        <v>36</v>
      </c>
      <c r="B17" s="1238" t="s">
        <v>37</v>
      </c>
      <c r="C17" s="1238" t="s">
        <v>264</v>
      </c>
      <c r="D17" s="1249">
        <v>40538</v>
      </c>
      <c r="E17" s="1249"/>
      <c r="F17" s="1249">
        <v>45</v>
      </c>
      <c r="G17" s="1249">
        <v>43817</v>
      </c>
      <c r="H17" s="1249">
        <f t="shared" si="1"/>
        <v>84400</v>
      </c>
      <c r="I17" s="1250">
        <f t="shared" si="2"/>
        <v>64108.5</v>
      </c>
      <c r="J17" s="1250">
        <f t="shared" si="3"/>
        <v>20291.5</v>
      </c>
      <c r="K17" s="1251">
        <f t="shared" si="4"/>
        <v>84400</v>
      </c>
    </row>
    <row r="18" spans="1:11" ht="15">
      <c r="A18" s="1237" t="s">
        <v>38</v>
      </c>
      <c r="B18" s="1238" t="s">
        <v>39</v>
      </c>
      <c r="C18" s="1238" t="s">
        <v>268</v>
      </c>
      <c r="D18" s="1249">
        <v>0</v>
      </c>
      <c r="E18" s="1249"/>
      <c r="F18" s="1249">
        <v>0</v>
      </c>
      <c r="G18" s="1249">
        <v>23333</v>
      </c>
      <c r="H18" s="1249">
        <f t="shared" si="1"/>
        <v>23333</v>
      </c>
      <c r="I18" s="1250">
        <f t="shared" si="2"/>
        <v>23333</v>
      </c>
      <c r="J18" s="1250">
        <f t="shared" si="3"/>
        <v>0</v>
      </c>
      <c r="K18" s="1251">
        <f t="shared" si="4"/>
        <v>23333</v>
      </c>
    </row>
    <row r="19" spans="1:11" ht="15">
      <c r="A19" s="1237" t="s">
        <v>40</v>
      </c>
      <c r="B19" s="1238" t="s">
        <v>41</v>
      </c>
      <c r="C19" s="1238" t="s">
        <v>266</v>
      </c>
      <c r="D19" s="1249">
        <v>26030</v>
      </c>
      <c r="E19" s="1249"/>
      <c r="F19" s="1249">
        <v>4457</v>
      </c>
      <c r="G19" s="1249">
        <v>38663</v>
      </c>
      <c r="H19" s="1249">
        <f t="shared" si="1"/>
        <v>69150</v>
      </c>
      <c r="I19" s="1250">
        <f t="shared" si="2"/>
        <v>53906.5</v>
      </c>
      <c r="J19" s="1250">
        <f t="shared" si="3"/>
        <v>15243.5</v>
      </c>
      <c r="K19" s="1251">
        <f t="shared" si="4"/>
        <v>69150</v>
      </c>
    </row>
    <row r="20" spans="1:11" ht="15">
      <c r="A20" s="1237" t="s">
        <v>42</v>
      </c>
      <c r="B20" s="1238" t="s">
        <v>43</v>
      </c>
      <c r="C20" s="1238" t="s">
        <v>265</v>
      </c>
      <c r="D20" s="1249">
        <v>194597</v>
      </c>
      <c r="E20" s="1249">
        <v>2514</v>
      </c>
      <c r="F20" s="1249">
        <v>16020</v>
      </c>
      <c r="G20" s="1249">
        <v>207814</v>
      </c>
      <c r="H20" s="1249">
        <f t="shared" si="1"/>
        <v>420945</v>
      </c>
      <c r="I20" s="1250">
        <f t="shared" si="2"/>
        <v>315636.5</v>
      </c>
      <c r="J20" s="1250">
        <f t="shared" si="3"/>
        <v>105308.5</v>
      </c>
      <c r="K20" s="1251">
        <f t="shared" si="4"/>
        <v>420945</v>
      </c>
    </row>
    <row r="21" spans="1:11" ht="15">
      <c r="A21" s="1237" t="s">
        <v>44</v>
      </c>
      <c r="B21" s="1238" t="s">
        <v>45</v>
      </c>
      <c r="C21" s="1238" t="s">
        <v>266</v>
      </c>
      <c r="D21" s="1249">
        <v>172751</v>
      </c>
      <c r="E21" s="1249">
        <v>21941</v>
      </c>
      <c r="F21" s="1249">
        <v>18026</v>
      </c>
      <c r="G21" s="1249">
        <v>156189</v>
      </c>
      <c r="H21" s="1249">
        <f t="shared" si="1"/>
        <v>368907</v>
      </c>
      <c r="I21" s="1250">
        <f t="shared" si="2"/>
        <v>273518.5</v>
      </c>
      <c r="J21" s="1250">
        <f t="shared" si="3"/>
        <v>95388.5</v>
      </c>
      <c r="K21" s="1251">
        <f t="shared" si="4"/>
        <v>368907</v>
      </c>
    </row>
    <row r="22" spans="1:11" ht="15">
      <c r="A22" s="1237" t="s">
        <v>46</v>
      </c>
      <c r="B22" s="1238" t="s">
        <v>47</v>
      </c>
      <c r="C22" s="1238" t="s">
        <v>268</v>
      </c>
      <c r="D22" s="1249">
        <v>113168</v>
      </c>
      <c r="E22" s="1249">
        <v>2249</v>
      </c>
      <c r="F22" s="1249">
        <v>406</v>
      </c>
      <c r="G22" s="1249">
        <v>156610</v>
      </c>
      <c r="H22" s="1249">
        <f t="shared" si="1"/>
        <v>272433</v>
      </c>
      <c r="I22" s="1250">
        <f t="shared" si="2"/>
        <v>215646</v>
      </c>
      <c r="J22" s="1250">
        <f t="shared" si="3"/>
        <v>56787</v>
      </c>
      <c r="K22" s="1251">
        <f t="shared" si="4"/>
        <v>272433</v>
      </c>
    </row>
    <row r="23" spans="1:11" ht="15">
      <c r="A23" s="1237" t="s">
        <v>48</v>
      </c>
      <c r="B23" s="1238" t="s">
        <v>269</v>
      </c>
      <c r="C23" s="1238" t="s">
        <v>266</v>
      </c>
      <c r="D23" s="1249">
        <v>18623</v>
      </c>
      <c r="E23" s="1249">
        <v>12423</v>
      </c>
      <c r="F23" s="1249">
        <v>2160</v>
      </c>
      <c r="G23" s="1249">
        <v>31417</v>
      </c>
      <c r="H23" s="1249">
        <f t="shared" si="1"/>
        <v>64623</v>
      </c>
      <c r="I23" s="1250">
        <f t="shared" si="2"/>
        <v>54231.5</v>
      </c>
      <c r="J23" s="1250">
        <f t="shared" si="3"/>
        <v>10391.5</v>
      </c>
      <c r="K23" s="1251">
        <f t="shared" si="4"/>
        <v>64623</v>
      </c>
    </row>
    <row r="24" spans="1:11" ht="15">
      <c r="A24" s="1237" t="s">
        <v>50</v>
      </c>
      <c r="B24" s="1238" t="s">
        <v>51</v>
      </c>
      <c r="C24" s="1238" t="s">
        <v>265</v>
      </c>
      <c r="D24" s="1249">
        <v>13583</v>
      </c>
      <c r="E24" s="1249"/>
      <c r="F24" s="1249">
        <v>0</v>
      </c>
      <c r="G24" s="1249">
        <v>16190</v>
      </c>
      <c r="H24" s="1249">
        <f t="shared" si="1"/>
        <v>29773</v>
      </c>
      <c r="I24" s="1250">
        <f t="shared" si="2"/>
        <v>22981.5</v>
      </c>
      <c r="J24" s="1250">
        <f t="shared" si="3"/>
        <v>6791.5</v>
      </c>
      <c r="K24" s="1251">
        <f t="shared" si="4"/>
        <v>29773</v>
      </c>
    </row>
    <row r="25" spans="1:11" ht="15">
      <c r="A25" s="1237" t="s">
        <v>56</v>
      </c>
      <c r="B25" s="1241" t="s">
        <v>295</v>
      </c>
      <c r="C25" s="1241" t="s">
        <v>266</v>
      </c>
      <c r="D25" s="1249">
        <v>1880554</v>
      </c>
      <c r="E25" s="1249">
        <v>71931</v>
      </c>
      <c r="F25" s="1249">
        <v>9395</v>
      </c>
      <c r="G25" s="1249">
        <v>1133878</v>
      </c>
      <c r="H25" s="1249">
        <f t="shared" si="1"/>
        <v>3095758</v>
      </c>
      <c r="I25" s="1250">
        <f t="shared" si="2"/>
        <v>2150783.5</v>
      </c>
      <c r="J25" s="1250">
        <f t="shared" si="3"/>
        <v>944974.5</v>
      </c>
      <c r="K25" s="1251">
        <f t="shared" si="4"/>
        <v>3095758</v>
      </c>
    </row>
    <row r="26" spans="1:11" ht="15">
      <c r="A26" s="1237" t="s">
        <v>58</v>
      </c>
      <c r="B26" s="1238" t="s">
        <v>59</v>
      </c>
      <c r="C26" s="1238" t="s">
        <v>267</v>
      </c>
      <c r="D26" s="1249">
        <v>23158</v>
      </c>
      <c r="E26" s="1249">
        <v>10699</v>
      </c>
      <c r="F26" s="1249">
        <v>5385</v>
      </c>
      <c r="G26" s="1249">
        <v>45913</v>
      </c>
      <c r="H26" s="1249">
        <f t="shared" si="1"/>
        <v>85155</v>
      </c>
      <c r="I26" s="1250">
        <f t="shared" si="2"/>
        <v>70883.5</v>
      </c>
      <c r="J26" s="1250">
        <f t="shared" si="3"/>
        <v>14271.5</v>
      </c>
      <c r="K26" s="1251">
        <f t="shared" si="4"/>
        <v>85155</v>
      </c>
    </row>
    <row r="27" spans="1:11" ht="15">
      <c r="A27" s="1237" t="s">
        <v>60</v>
      </c>
      <c r="B27" s="1238" t="s">
        <v>61</v>
      </c>
      <c r="C27" s="1238" t="s">
        <v>265</v>
      </c>
      <c r="D27" s="1249">
        <v>12685</v>
      </c>
      <c r="E27" s="1249">
        <v>5736</v>
      </c>
      <c r="F27" s="1249">
        <v>1776</v>
      </c>
      <c r="G27" s="1249">
        <v>14814</v>
      </c>
      <c r="H27" s="1249">
        <f t="shared" si="1"/>
        <v>35011</v>
      </c>
      <c r="I27" s="1250">
        <f t="shared" si="2"/>
        <v>27780.5</v>
      </c>
      <c r="J27" s="1250">
        <f t="shared" si="3"/>
        <v>7230.5</v>
      </c>
      <c r="K27" s="1251">
        <f t="shared" si="4"/>
        <v>35011</v>
      </c>
    </row>
    <row r="28" spans="1:11" ht="15">
      <c r="A28" s="1237" t="s">
        <v>62</v>
      </c>
      <c r="B28" s="1238" t="s">
        <v>63</v>
      </c>
      <c r="C28" s="1238" t="s">
        <v>267</v>
      </c>
      <c r="D28" s="1249">
        <v>407851</v>
      </c>
      <c r="E28" s="1249">
        <v>606323</v>
      </c>
      <c r="F28" s="1249">
        <v>54124</v>
      </c>
      <c r="G28" s="1249">
        <v>372874</v>
      </c>
      <c r="H28" s="1249">
        <f t="shared" si="1"/>
        <v>1441172</v>
      </c>
      <c r="I28" s="1250">
        <f t="shared" si="2"/>
        <v>1210184.5</v>
      </c>
      <c r="J28" s="1250">
        <f t="shared" si="3"/>
        <v>230987.5</v>
      </c>
      <c r="K28" s="1251">
        <f t="shared" si="4"/>
        <v>1441172</v>
      </c>
    </row>
    <row r="29" spans="1:11" ht="15">
      <c r="A29" s="1237" t="s">
        <v>64</v>
      </c>
      <c r="B29" s="1238" t="s">
        <v>65</v>
      </c>
      <c r="C29" s="1238" t="s">
        <v>266</v>
      </c>
      <c r="D29" s="1249">
        <v>16618</v>
      </c>
      <c r="E29" s="1249"/>
      <c r="F29" s="1249">
        <v>0</v>
      </c>
      <c r="G29" s="1249">
        <v>40449</v>
      </c>
      <c r="H29" s="1249">
        <f t="shared" si="1"/>
        <v>57067</v>
      </c>
      <c r="I29" s="1250">
        <f t="shared" si="2"/>
        <v>48758</v>
      </c>
      <c r="J29" s="1250">
        <f t="shared" si="3"/>
        <v>8309</v>
      </c>
      <c r="K29" s="1251">
        <f t="shared" si="4"/>
        <v>57067</v>
      </c>
    </row>
    <row r="30" spans="1:11" ht="15">
      <c r="A30" s="1237" t="s">
        <v>68</v>
      </c>
      <c r="B30" s="1238" t="s">
        <v>69</v>
      </c>
      <c r="C30" s="1238" t="s">
        <v>268</v>
      </c>
      <c r="D30" s="1249">
        <v>10703</v>
      </c>
      <c r="E30" s="1249">
        <v>635</v>
      </c>
      <c r="F30" s="1249">
        <v>0</v>
      </c>
      <c r="G30" s="1249">
        <v>15460</v>
      </c>
      <c r="H30" s="1249">
        <f t="shared" si="1"/>
        <v>26798</v>
      </c>
      <c r="I30" s="1250">
        <f t="shared" si="2"/>
        <v>21446.5</v>
      </c>
      <c r="J30" s="1250">
        <f t="shared" si="3"/>
        <v>5351.5</v>
      </c>
      <c r="K30" s="1251">
        <f t="shared" si="4"/>
        <v>26798</v>
      </c>
    </row>
    <row r="31" spans="1:11" ht="15">
      <c r="A31" s="1237" t="s">
        <v>70</v>
      </c>
      <c r="B31" s="1238" t="s">
        <v>71</v>
      </c>
      <c r="C31" s="1238" t="s">
        <v>264</v>
      </c>
      <c r="D31" s="1249">
        <v>103957</v>
      </c>
      <c r="E31" s="1249">
        <v>8169</v>
      </c>
      <c r="F31" s="1249">
        <v>1849</v>
      </c>
      <c r="G31" s="1249">
        <v>100620</v>
      </c>
      <c r="H31" s="1249">
        <f t="shared" si="1"/>
        <v>214595</v>
      </c>
      <c r="I31" s="1250">
        <f t="shared" si="2"/>
        <v>161692</v>
      </c>
      <c r="J31" s="1250">
        <f t="shared" si="3"/>
        <v>52903</v>
      </c>
      <c r="K31" s="1251">
        <f t="shared" si="4"/>
        <v>214595</v>
      </c>
    </row>
    <row r="32" spans="1:11" ht="15">
      <c r="A32" s="1237" t="s">
        <v>72</v>
      </c>
      <c r="B32" s="1238" t="s">
        <v>73</v>
      </c>
      <c r="C32" s="1238" t="s">
        <v>266</v>
      </c>
      <c r="D32" s="1249">
        <v>162652</v>
      </c>
      <c r="E32" s="1249">
        <v>28982</v>
      </c>
      <c r="F32" s="1249">
        <v>7740</v>
      </c>
      <c r="G32" s="1249">
        <v>106984</v>
      </c>
      <c r="H32" s="1249">
        <f t="shared" si="1"/>
        <v>306358</v>
      </c>
      <c r="I32" s="1250">
        <f t="shared" si="2"/>
        <v>221162</v>
      </c>
      <c r="J32" s="1250">
        <f t="shared" si="3"/>
        <v>85196</v>
      </c>
      <c r="K32" s="1251">
        <f t="shared" si="4"/>
        <v>306358</v>
      </c>
    </row>
    <row r="33" spans="1:11" ht="15">
      <c r="A33" s="1237" t="s">
        <v>74</v>
      </c>
      <c r="B33" s="1238" t="s">
        <v>684</v>
      </c>
      <c r="C33" s="1238" t="s">
        <v>267</v>
      </c>
      <c r="D33" s="1249">
        <v>7004011.9399999995</v>
      </c>
      <c r="E33" s="1249">
        <v>1293514</v>
      </c>
      <c r="F33" s="1249">
        <v>2220965</v>
      </c>
      <c r="G33" s="1249">
        <v>9430492</v>
      </c>
      <c r="H33" s="1249">
        <f t="shared" si="1"/>
        <v>19948982.939999998</v>
      </c>
      <c r="I33" s="1250">
        <f t="shared" si="2"/>
        <v>15336494.469999999</v>
      </c>
      <c r="J33" s="1250">
        <f t="shared" si="3"/>
        <v>4612488.47</v>
      </c>
      <c r="K33" s="1251">
        <f t="shared" si="4"/>
        <v>19948982.939999998</v>
      </c>
    </row>
    <row r="34" spans="1:11" ht="15">
      <c r="A34" s="1237" t="s">
        <v>76</v>
      </c>
      <c r="B34" s="1238" t="s">
        <v>77</v>
      </c>
      <c r="C34" s="1238" t="s">
        <v>267</v>
      </c>
      <c r="D34" s="1249">
        <v>177098</v>
      </c>
      <c r="E34" s="1249">
        <v>22469</v>
      </c>
      <c r="F34" s="1249">
        <v>10607</v>
      </c>
      <c r="G34" s="1249">
        <v>409531</v>
      </c>
      <c r="H34" s="1249">
        <f t="shared" si="1"/>
        <v>619705</v>
      </c>
      <c r="I34" s="1250">
        <f t="shared" si="2"/>
        <v>525852.5</v>
      </c>
      <c r="J34" s="1250">
        <f t="shared" si="3"/>
        <v>93852.5</v>
      </c>
      <c r="K34" s="1251">
        <f t="shared" si="4"/>
        <v>619705</v>
      </c>
    </row>
    <row r="35" spans="1:11" ht="15">
      <c r="A35" s="1237" t="s">
        <v>78</v>
      </c>
      <c r="B35" s="1238" t="s">
        <v>79</v>
      </c>
      <c r="C35" s="1238" t="s">
        <v>268</v>
      </c>
      <c r="D35" s="1249">
        <v>28388</v>
      </c>
      <c r="E35" s="1249"/>
      <c r="F35" s="1249">
        <v>0</v>
      </c>
      <c r="G35" s="1249">
        <v>14061</v>
      </c>
      <c r="H35" s="1249">
        <f t="shared" si="1"/>
        <v>42449</v>
      </c>
      <c r="I35" s="1250">
        <f t="shared" si="2"/>
        <v>28255</v>
      </c>
      <c r="J35" s="1250">
        <f t="shared" si="3"/>
        <v>14194</v>
      </c>
      <c r="K35" s="1251">
        <f t="shared" si="4"/>
        <v>42449</v>
      </c>
    </row>
    <row r="36" spans="1:11" ht="15">
      <c r="A36" s="1237" t="s">
        <v>80</v>
      </c>
      <c r="B36" s="1238" t="s">
        <v>81</v>
      </c>
      <c r="C36" s="1238" t="s">
        <v>266</v>
      </c>
      <c r="D36" s="1249">
        <v>80032</v>
      </c>
      <c r="E36" s="1249">
        <v>1375</v>
      </c>
      <c r="F36" s="1249">
        <v>7069</v>
      </c>
      <c r="G36" s="1249">
        <v>81628</v>
      </c>
      <c r="H36" s="1249">
        <f t="shared" si="1"/>
        <v>170104</v>
      </c>
      <c r="I36" s="1250">
        <f t="shared" si="2"/>
        <v>126553.5</v>
      </c>
      <c r="J36" s="1250">
        <f t="shared" si="3"/>
        <v>43550.5</v>
      </c>
      <c r="K36" s="1251">
        <f t="shared" si="4"/>
        <v>170104</v>
      </c>
    </row>
    <row r="37" spans="1:11" ht="15">
      <c r="A37" s="1237" t="s">
        <v>84</v>
      </c>
      <c r="B37" s="1238" t="s">
        <v>308</v>
      </c>
      <c r="C37" s="1238" t="s">
        <v>265</v>
      </c>
      <c r="D37" s="1249">
        <v>190448</v>
      </c>
      <c r="E37" s="1249">
        <v>15995</v>
      </c>
      <c r="F37" s="1249">
        <v>13001</v>
      </c>
      <c r="G37" s="1249">
        <v>206033</v>
      </c>
      <c r="H37" s="1249">
        <f t="shared" si="1"/>
        <v>425477</v>
      </c>
      <c r="I37" s="1250">
        <f t="shared" si="2"/>
        <v>323752.5</v>
      </c>
      <c r="J37" s="1250">
        <f t="shared" si="3"/>
        <v>101724.5</v>
      </c>
      <c r="K37" s="1251">
        <f t="shared" si="4"/>
        <v>425477</v>
      </c>
    </row>
    <row r="38" spans="1:11" ht="15">
      <c r="A38" s="1237" t="s">
        <v>86</v>
      </c>
      <c r="B38" s="1238" t="s">
        <v>87</v>
      </c>
      <c r="C38" s="1238" t="s">
        <v>267</v>
      </c>
      <c r="D38" s="1249">
        <v>252683</v>
      </c>
      <c r="E38" s="1249">
        <v>34976</v>
      </c>
      <c r="F38" s="1249">
        <v>37000</v>
      </c>
      <c r="G38" s="1249">
        <v>326471</v>
      </c>
      <c r="H38" s="1249">
        <f t="shared" si="1"/>
        <v>651130</v>
      </c>
      <c r="I38" s="1250">
        <f t="shared" si="2"/>
        <v>506288.5</v>
      </c>
      <c r="J38" s="1250">
        <f t="shared" si="3"/>
        <v>144841.5</v>
      </c>
      <c r="K38" s="1251">
        <f t="shared" si="4"/>
        <v>651130</v>
      </c>
    </row>
    <row r="39" spans="1:11" ht="15">
      <c r="A39" s="1237" t="s">
        <v>92</v>
      </c>
      <c r="B39" s="1238" t="s">
        <v>93</v>
      </c>
      <c r="C39" s="1238" t="s">
        <v>268</v>
      </c>
      <c r="D39" s="1249">
        <v>48669</v>
      </c>
      <c r="E39" s="1249">
        <v>15761</v>
      </c>
      <c r="F39" s="1249">
        <v>2686</v>
      </c>
      <c r="G39" s="1249">
        <v>53267</v>
      </c>
      <c r="H39" s="1249">
        <f t="shared" si="1"/>
        <v>120383</v>
      </c>
      <c r="I39" s="1250">
        <f t="shared" si="2"/>
        <v>94705.5</v>
      </c>
      <c r="J39" s="1250">
        <f t="shared" si="3"/>
        <v>25677.5</v>
      </c>
      <c r="K39" s="1251">
        <f t="shared" si="4"/>
        <v>120383</v>
      </c>
    </row>
    <row r="40" spans="1:11" ht="15">
      <c r="A40" s="1237" t="s">
        <v>94</v>
      </c>
      <c r="B40" s="1238" t="s">
        <v>95</v>
      </c>
      <c r="C40" s="1238" t="s">
        <v>264</v>
      </c>
      <c r="D40" s="1249">
        <v>110939</v>
      </c>
      <c r="E40" s="1249">
        <v>55470</v>
      </c>
      <c r="F40" s="1249">
        <v>0</v>
      </c>
      <c r="G40" s="1249">
        <v>146027</v>
      </c>
      <c r="H40" s="1249">
        <f t="shared" si="1"/>
        <v>312436</v>
      </c>
      <c r="I40" s="1250">
        <f t="shared" si="2"/>
        <v>256966.5</v>
      </c>
      <c r="J40" s="1250">
        <f t="shared" si="3"/>
        <v>55469.5</v>
      </c>
      <c r="K40" s="1251">
        <f t="shared" si="4"/>
        <v>312436</v>
      </c>
    </row>
    <row r="41" spans="1:11" ht="15">
      <c r="A41" s="1237" t="s">
        <v>96</v>
      </c>
      <c r="B41" s="1238" t="s">
        <v>97</v>
      </c>
      <c r="C41" s="1238" t="s">
        <v>266</v>
      </c>
      <c r="D41" s="1249">
        <v>48426</v>
      </c>
      <c r="E41" s="1249">
        <v>24214</v>
      </c>
      <c r="F41" s="1249">
        <v>0</v>
      </c>
      <c r="G41" s="1249">
        <v>119710</v>
      </c>
      <c r="H41" s="1249">
        <f t="shared" si="1"/>
        <v>192350</v>
      </c>
      <c r="I41" s="1250">
        <f t="shared" si="2"/>
        <v>168137</v>
      </c>
      <c r="J41" s="1250">
        <f t="shared" si="3"/>
        <v>24213</v>
      </c>
      <c r="K41" s="1251">
        <f t="shared" si="4"/>
        <v>192350</v>
      </c>
    </row>
    <row r="42" spans="1:11" ht="15">
      <c r="A42" s="1237" t="s">
        <v>98</v>
      </c>
      <c r="B42" s="1238" t="s">
        <v>99</v>
      </c>
      <c r="C42" s="1238" t="s">
        <v>268</v>
      </c>
      <c r="D42" s="1249">
        <v>15469</v>
      </c>
      <c r="E42" s="1249"/>
      <c r="F42" s="1249">
        <v>0</v>
      </c>
      <c r="G42" s="1249">
        <v>38232</v>
      </c>
      <c r="H42" s="1249">
        <f t="shared" si="1"/>
        <v>53701</v>
      </c>
      <c r="I42" s="1250">
        <f t="shared" si="2"/>
        <v>45966.5</v>
      </c>
      <c r="J42" s="1250">
        <f t="shared" si="3"/>
        <v>7734.5</v>
      </c>
      <c r="K42" s="1251">
        <f t="shared" si="4"/>
        <v>53701</v>
      </c>
    </row>
    <row r="43" spans="1:11" ht="15">
      <c r="A43" s="1237" t="s">
        <v>100</v>
      </c>
      <c r="B43" s="1238" t="s">
        <v>101</v>
      </c>
      <c r="C43" s="1238" t="s">
        <v>267</v>
      </c>
      <c r="D43" s="1249">
        <v>24892</v>
      </c>
      <c r="E43" s="1249">
        <v>3519</v>
      </c>
      <c r="F43" s="1249">
        <v>4250</v>
      </c>
      <c r="G43" s="1249">
        <v>45706</v>
      </c>
      <c r="H43" s="1249">
        <f t="shared" si="1"/>
        <v>78367</v>
      </c>
      <c r="I43" s="1250">
        <f t="shared" si="2"/>
        <v>63796</v>
      </c>
      <c r="J43" s="1250">
        <f t="shared" si="3"/>
        <v>14571</v>
      </c>
      <c r="K43" s="1251">
        <f t="shared" si="4"/>
        <v>78367</v>
      </c>
    </row>
    <row r="44" spans="1:11" ht="15">
      <c r="A44" s="1237" t="s">
        <v>102</v>
      </c>
      <c r="B44" s="1238" t="s">
        <v>103</v>
      </c>
      <c r="C44" s="1238" t="s">
        <v>264</v>
      </c>
      <c r="D44" s="1249">
        <v>173146</v>
      </c>
      <c r="E44" s="1249"/>
      <c r="F44" s="1249">
        <v>2212</v>
      </c>
      <c r="G44" s="1249">
        <v>153425</v>
      </c>
      <c r="H44" s="1249">
        <f t="shared" si="1"/>
        <v>328783</v>
      </c>
      <c r="I44" s="1250">
        <f t="shared" si="2"/>
        <v>241104</v>
      </c>
      <c r="J44" s="1250">
        <f t="shared" si="3"/>
        <v>87679</v>
      </c>
      <c r="K44" s="1251">
        <f t="shared" si="4"/>
        <v>328783</v>
      </c>
    </row>
    <row r="45" spans="1:11" ht="15">
      <c r="A45" s="1237" t="s">
        <v>104</v>
      </c>
      <c r="B45" s="1238" t="s">
        <v>309</v>
      </c>
      <c r="C45" s="1238" t="s">
        <v>265</v>
      </c>
      <c r="D45" s="1249">
        <v>30109</v>
      </c>
      <c r="E45" s="1249">
        <v>2544</v>
      </c>
      <c r="F45" s="1249">
        <v>0</v>
      </c>
      <c r="G45" s="1249">
        <v>49037</v>
      </c>
      <c r="H45" s="1249">
        <f t="shared" si="1"/>
        <v>81690</v>
      </c>
      <c r="I45" s="1250">
        <f t="shared" si="2"/>
        <v>66635.5</v>
      </c>
      <c r="J45" s="1250">
        <f t="shared" si="3"/>
        <v>15054.5</v>
      </c>
      <c r="K45" s="1251">
        <f t="shared" si="4"/>
        <v>81690</v>
      </c>
    </row>
    <row r="46" spans="1:11" ht="15">
      <c r="A46" s="1237" t="s">
        <v>108</v>
      </c>
      <c r="B46" s="1238" t="s">
        <v>109</v>
      </c>
      <c r="C46" s="1238" t="s">
        <v>266</v>
      </c>
      <c r="D46" s="1249">
        <v>282853</v>
      </c>
      <c r="E46" s="1249">
        <v>67451</v>
      </c>
      <c r="F46" s="1249">
        <v>921</v>
      </c>
      <c r="G46" s="1249">
        <v>418656</v>
      </c>
      <c r="H46" s="1249">
        <f t="shared" si="1"/>
        <v>769881</v>
      </c>
      <c r="I46" s="1250">
        <f t="shared" si="2"/>
        <v>627994</v>
      </c>
      <c r="J46" s="1250">
        <f t="shared" si="3"/>
        <v>141887</v>
      </c>
      <c r="K46" s="1251">
        <f t="shared" si="4"/>
        <v>769881</v>
      </c>
    </row>
    <row r="47" spans="1:11" ht="15">
      <c r="A47" s="1237" t="s">
        <v>110</v>
      </c>
      <c r="B47" s="1241" t="s">
        <v>111</v>
      </c>
      <c r="C47" s="1241" t="s">
        <v>266</v>
      </c>
      <c r="D47" s="1249">
        <v>3306555</v>
      </c>
      <c r="E47" s="1249">
        <v>100211</v>
      </c>
      <c r="F47" s="1249">
        <v>546726</v>
      </c>
      <c r="G47" s="1249">
        <v>1174320</v>
      </c>
      <c r="H47" s="1249">
        <f t="shared" si="1"/>
        <v>5127812</v>
      </c>
      <c r="I47" s="1250">
        <f t="shared" si="2"/>
        <v>3201171.5</v>
      </c>
      <c r="J47" s="1250">
        <f t="shared" si="3"/>
        <v>1926640.5</v>
      </c>
      <c r="K47" s="1251">
        <f t="shared" si="4"/>
        <v>5127812</v>
      </c>
    </row>
    <row r="48" spans="1:11" ht="15">
      <c r="A48" s="1237" t="s">
        <v>112</v>
      </c>
      <c r="B48" s="1241" t="s">
        <v>300</v>
      </c>
      <c r="C48" s="1241" t="s">
        <v>265</v>
      </c>
      <c r="D48" s="1249">
        <v>322929</v>
      </c>
      <c r="E48" s="1249">
        <v>70</v>
      </c>
      <c r="F48" s="1249">
        <v>20</v>
      </c>
      <c r="G48" s="1249">
        <v>302245</v>
      </c>
      <c r="H48" s="1249">
        <f t="shared" si="1"/>
        <v>625264</v>
      </c>
      <c r="I48" s="1250">
        <f t="shared" si="2"/>
        <v>463789.5</v>
      </c>
      <c r="J48" s="1250">
        <f t="shared" si="3"/>
        <v>161474.5</v>
      </c>
      <c r="K48" s="1251">
        <f t="shared" si="4"/>
        <v>625264</v>
      </c>
    </row>
    <row r="49" spans="1:11" ht="15">
      <c r="A49" s="1237" t="s">
        <v>114</v>
      </c>
      <c r="B49" s="1241" t="s">
        <v>115</v>
      </c>
      <c r="C49" s="1241" t="s">
        <v>265</v>
      </c>
      <c r="D49" s="1249"/>
      <c r="E49" s="1249"/>
      <c r="F49" s="1249"/>
      <c r="G49" s="1249"/>
      <c r="H49" s="1249">
        <f t="shared" si="1"/>
        <v>0</v>
      </c>
      <c r="I49" s="1250"/>
      <c r="J49" s="1250"/>
      <c r="K49" s="1251"/>
    </row>
    <row r="50" spans="1:11" ht="15">
      <c r="A50" s="1237" t="s">
        <v>118</v>
      </c>
      <c r="B50" s="1238" t="s">
        <v>119</v>
      </c>
      <c r="C50" s="1238" t="s">
        <v>264</v>
      </c>
      <c r="D50" s="1249">
        <v>53385</v>
      </c>
      <c r="E50" s="1249">
        <v>1020</v>
      </c>
      <c r="F50" s="1249">
        <v>5872</v>
      </c>
      <c r="G50" s="1249">
        <v>138892</v>
      </c>
      <c r="H50" s="1249">
        <f t="shared" si="1"/>
        <v>199169</v>
      </c>
      <c r="I50" s="1250">
        <f t="shared" si="2"/>
        <v>169540.5</v>
      </c>
      <c r="J50" s="1250">
        <f t="shared" si="3"/>
        <v>29628.5</v>
      </c>
      <c r="K50" s="1251">
        <f t="shared" si="4"/>
        <v>199169</v>
      </c>
    </row>
    <row r="51" spans="1:11" ht="15">
      <c r="A51" s="1237" t="s">
        <v>120</v>
      </c>
      <c r="B51" s="1238" t="s">
        <v>121</v>
      </c>
      <c r="C51" s="1238" t="s">
        <v>264</v>
      </c>
      <c r="D51" s="1249">
        <v>344682</v>
      </c>
      <c r="E51" s="1249">
        <v>209494</v>
      </c>
      <c r="F51" s="1249">
        <v>46257</v>
      </c>
      <c r="G51" s="1249">
        <v>293673</v>
      </c>
      <c r="H51" s="1249">
        <f t="shared" si="1"/>
        <v>894106</v>
      </c>
      <c r="I51" s="1250">
        <f t="shared" si="2"/>
        <v>698636.5</v>
      </c>
      <c r="J51" s="1250">
        <f t="shared" si="3"/>
        <v>195469.5</v>
      </c>
      <c r="K51" s="1251">
        <f t="shared" si="4"/>
        <v>894106</v>
      </c>
    </row>
    <row r="52" spans="1:11" ht="15">
      <c r="A52" s="1237" t="s">
        <v>122</v>
      </c>
      <c r="B52" s="1238" t="s">
        <v>271</v>
      </c>
      <c r="C52" s="1238" t="s">
        <v>266</v>
      </c>
      <c r="D52" s="1249">
        <v>0</v>
      </c>
      <c r="E52" s="1249">
        <v>23768</v>
      </c>
      <c r="F52" s="1249">
        <v>8260</v>
      </c>
      <c r="G52" s="1249">
        <v>18528</v>
      </c>
      <c r="H52" s="1249">
        <f t="shared" si="1"/>
        <v>50556</v>
      </c>
      <c r="I52" s="1250">
        <f t="shared" si="2"/>
        <v>46426</v>
      </c>
      <c r="J52" s="1250">
        <f t="shared" si="3"/>
        <v>4130</v>
      </c>
      <c r="K52" s="1251">
        <f t="shared" si="4"/>
        <v>50556</v>
      </c>
    </row>
    <row r="53" spans="1:11" ht="15">
      <c r="A53" s="1237" t="s">
        <v>124</v>
      </c>
      <c r="B53" s="1238" t="s">
        <v>125</v>
      </c>
      <c r="C53" s="1238" t="s">
        <v>267</v>
      </c>
      <c r="D53" s="1249">
        <v>213991</v>
      </c>
      <c r="E53" s="1249">
        <v>77737</v>
      </c>
      <c r="F53" s="1249">
        <v>8450</v>
      </c>
      <c r="G53" s="1249">
        <v>242561</v>
      </c>
      <c r="H53" s="1249">
        <f t="shared" si="1"/>
        <v>542739</v>
      </c>
      <c r="I53" s="1250">
        <f t="shared" si="2"/>
        <v>431518.5</v>
      </c>
      <c r="J53" s="1250">
        <f t="shared" si="3"/>
        <v>111220.5</v>
      </c>
      <c r="K53" s="1251">
        <f t="shared" si="4"/>
        <v>542739</v>
      </c>
    </row>
    <row r="54" spans="1:11" ht="15">
      <c r="A54" s="1237" t="s">
        <v>126</v>
      </c>
      <c r="B54" s="1238" t="s">
        <v>127</v>
      </c>
      <c r="C54" s="1238" t="s">
        <v>266</v>
      </c>
      <c r="D54" s="1249">
        <v>47296</v>
      </c>
      <c r="E54" s="1249">
        <v>74256</v>
      </c>
      <c r="F54" s="1249">
        <v>1890</v>
      </c>
      <c r="G54" s="1249">
        <v>107152</v>
      </c>
      <c r="H54" s="1249">
        <f t="shared" si="1"/>
        <v>230594</v>
      </c>
      <c r="I54" s="1250">
        <f t="shared" si="2"/>
        <v>206001</v>
      </c>
      <c r="J54" s="1250">
        <f t="shared" si="3"/>
        <v>24593</v>
      </c>
      <c r="K54" s="1251">
        <f t="shared" si="4"/>
        <v>230594</v>
      </c>
    </row>
    <row r="55" spans="1:11" ht="15">
      <c r="A55" s="1237" t="s">
        <v>128</v>
      </c>
      <c r="B55" s="1238" t="s">
        <v>129</v>
      </c>
      <c r="C55" s="1238" t="s">
        <v>266</v>
      </c>
      <c r="D55" s="1249">
        <v>30217</v>
      </c>
      <c r="E55" s="1249"/>
      <c r="F55" s="1249">
        <v>0</v>
      </c>
      <c r="G55" s="1249">
        <v>37335</v>
      </c>
      <c r="H55" s="1249">
        <f t="shared" si="1"/>
        <v>67552</v>
      </c>
      <c r="I55" s="1250">
        <f t="shared" si="2"/>
        <v>52443.5</v>
      </c>
      <c r="J55" s="1250">
        <f t="shared" si="3"/>
        <v>15108.5</v>
      </c>
      <c r="K55" s="1251">
        <f t="shared" si="4"/>
        <v>67552</v>
      </c>
    </row>
    <row r="56" spans="1:11" ht="15">
      <c r="A56" s="1237" t="s">
        <v>130</v>
      </c>
      <c r="B56" s="1238" t="s">
        <v>131</v>
      </c>
      <c r="C56" s="1238" t="s">
        <v>268</v>
      </c>
      <c r="D56" s="1249">
        <v>33382</v>
      </c>
      <c r="E56" s="1249"/>
      <c r="F56" s="1249">
        <v>8627</v>
      </c>
      <c r="G56" s="1249">
        <v>38649</v>
      </c>
      <c r="H56" s="1249">
        <f t="shared" si="1"/>
        <v>80658</v>
      </c>
      <c r="I56" s="1250">
        <f t="shared" si="2"/>
        <v>59653.5</v>
      </c>
      <c r="J56" s="1250">
        <f t="shared" si="3"/>
        <v>21004.5</v>
      </c>
      <c r="K56" s="1251">
        <f t="shared" si="4"/>
        <v>80658</v>
      </c>
    </row>
    <row r="57" spans="1:11" ht="15">
      <c r="A57" s="1237" t="s">
        <v>132</v>
      </c>
      <c r="B57" s="1238" t="s">
        <v>133</v>
      </c>
      <c r="C57" s="1238" t="s">
        <v>267</v>
      </c>
      <c r="D57" s="1249">
        <v>1580769</v>
      </c>
      <c r="E57" s="1249">
        <v>575330</v>
      </c>
      <c r="F57" s="1249">
        <v>219768</v>
      </c>
      <c r="G57" s="1249">
        <v>822582</v>
      </c>
      <c r="H57" s="1249">
        <f t="shared" si="1"/>
        <v>3198449</v>
      </c>
      <c r="I57" s="1250">
        <f t="shared" si="2"/>
        <v>2298180.5</v>
      </c>
      <c r="J57" s="1250">
        <f t="shared" si="3"/>
        <v>900268.5</v>
      </c>
      <c r="K57" s="1251">
        <f t="shared" si="4"/>
        <v>3198449</v>
      </c>
    </row>
    <row r="58" spans="1:11" ht="15">
      <c r="A58" s="1237" t="s">
        <v>134</v>
      </c>
      <c r="B58" s="1238" t="s">
        <v>135</v>
      </c>
      <c r="C58" s="1238" t="s">
        <v>267</v>
      </c>
      <c r="D58" s="1249">
        <v>142861</v>
      </c>
      <c r="E58" s="1249"/>
      <c r="F58" s="1249">
        <v>105</v>
      </c>
      <c r="G58" s="1249">
        <v>31605</v>
      </c>
      <c r="H58" s="1249">
        <f t="shared" si="1"/>
        <v>174571</v>
      </c>
      <c r="I58" s="1250">
        <f t="shared" si="2"/>
        <v>103088</v>
      </c>
      <c r="J58" s="1250">
        <f t="shared" si="3"/>
        <v>71483</v>
      </c>
      <c r="K58" s="1251">
        <f t="shared" si="4"/>
        <v>174571</v>
      </c>
    </row>
    <row r="59" spans="1:11" ht="15">
      <c r="A59" s="1237" t="s">
        <v>136</v>
      </c>
      <c r="B59" s="1238" t="s">
        <v>137</v>
      </c>
      <c r="C59" s="1238" t="s">
        <v>266</v>
      </c>
      <c r="D59" s="1249">
        <v>1628</v>
      </c>
      <c r="E59" s="1249"/>
      <c r="F59" s="1249">
        <v>0</v>
      </c>
      <c r="G59" s="1249">
        <v>11141</v>
      </c>
      <c r="H59" s="1249">
        <f t="shared" si="1"/>
        <v>12769</v>
      </c>
      <c r="I59" s="1250">
        <f t="shared" si="2"/>
        <v>11955</v>
      </c>
      <c r="J59" s="1250">
        <f t="shared" si="3"/>
        <v>814</v>
      </c>
      <c r="K59" s="1251">
        <f t="shared" si="4"/>
        <v>12769</v>
      </c>
    </row>
    <row r="60" spans="1:11" ht="15">
      <c r="A60" s="1237" t="s">
        <v>140</v>
      </c>
      <c r="B60" s="1238" t="s">
        <v>141</v>
      </c>
      <c r="C60" s="1238" t="s">
        <v>267</v>
      </c>
      <c r="D60" s="1249">
        <v>0</v>
      </c>
      <c r="E60" s="1249"/>
      <c r="F60" s="1249">
        <v>215</v>
      </c>
      <c r="G60" s="1249">
        <v>15958</v>
      </c>
      <c r="H60" s="1249">
        <f t="shared" si="1"/>
        <v>16173</v>
      </c>
      <c r="I60" s="1250">
        <f t="shared" si="2"/>
        <v>16065.5</v>
      </c>
      <c r="J60" s="1250">
        <f t="shared" si="3"/>
        <v>107.5</v>
      </c>
      <c r="K60" s="1251">
        <f t="shared" si="4"/>
        <v>16173</v>
      </c>
    </row>
    <row r="61" spans="1:11" ht="15">
      <c r="A61" s="1237" t="s">
        <v>146</v>
      </c>
      <c r="B61" s="1238" t="s">
        <v>147</v>
      </c>
      <c r="C61" s="1238" t="s">
        <v>264</v>
      </c>
      <c r="D61" s="1249">
        <v>14247</v>
      </c>
      <c r="E61" s="1249"/>
      <c r="F61" s="1249">
        <v>827</v>
      </c>
      <c r="G61" s="1249">
        <v>39349</v>
      </c>
      <c r="H61" s="1249">
        <f t="shared" si="1"/>
        <v>54423</v>
      </c>
      <c r="I61" s="1250">
        <f t="shared" si="2"/>
        <v>46886</v>
      </c>
      <c r="J61" s="1250">
        <f t="shared" si="3"/>
        <v>7537</v>
      </c>
      <c r="K61" s="1251">
        <f t="shared" si="4"/>
        <v>54423</v>
      </c>
    </row>
    <row r="62" spans="1:11" ht="15">
      <c r="A62" s="1237" t="s">
        <v>148</v>
      </c>
      <c r="B62" s="1238" t="s">
        <v>149</v>
      </c>
      <c r="C62" s="1238" t="s">
        <v>265</v>
      </c>
      <c r="D62" s="1249">
        <v>51553</v>
      </c>
      <c r="E62" s="1249"/>
      <c r="F62" s="1249">
        <v>0</v>
      </c>
      <c r="G62" s="1249">
        <v>58346</v>
      </c>
      <c r="H62" s="1249">
        <f t="shared" si="1"/>
        <v>109899</v>
      </c>
      <c r="I62" s="1250">
        <f t="shared" si="2"/>
        <v>84122.5</v>
      </c>
      <c r="J62" s="1250">
        <f t="shared" si="3"/>
        <v>25776.5</v>
      </c>
      <c r="K62" s="1251">
        <f t="shared" si="4"/>
        <v>109899</v>
      </c>
    </row>
    <row r="63" spans="1:11" ht="15">
      <c r="A63" s="1237" t="s">
        <v>150</v>
      </c>
      <c r="B63" s="1238" t="s">
        <v>151</v>
      </c>
      <c r="C63" s="1238" t="s">
        <v>266</v>
      </c>
      <c r="D63" s="1249">
        <v>118912</v>
      </c>
      <c r="E63" s="1249">
        <v>26309</v>
      </c>
      <c r="F63" s="1249">
        <v>4086</v>
      </c>
      <c r="G63" s="1249">
        <v>26629</v>
      </c>
      <c r="H63" s="1249">
        <f t="shared" si="1"/>
        <v>175936</v>
      </c>
      <c r="I63" s="1250">
        <f t="shared" si="2"/>
        <v>114437</v>
      </c>
      <c r="J63" s="1250">
        <f t="shared" si="3"/>
        <v>61499</v>
      </c>
      <c r="K63" s="1251">
        <f t="shared" si="4"/>
        <v>175936</v>
      </c>
    </row>
    <row r="64" spans="1:11" ht="15">
      <c r="A64" s="1237" t="s">
        <v>152</v>
      </c>
      <c r="B64" s="1238" t="s">
        <v>153</v>
      </c>
      <c r="C64" s="1238" t="s">
        <v>268</v>
      </c>
      <c r="D64" s="1249">
        <v>337189</v>
      </c>
      <c r="E64" s="1249">
        <v>3766</v>
      </c>
      <c r="F64" s="1249">
        <v>18374</v>
      </c>
      <c r="G64" s="1249">
        <v>417559</v>
      </c>
      <c r="H64" s="1249">
        <f t="shared" si="1"/>
        <v>776888</v>
      </c>
      <c r="I64" s="1250">
        <f t="shared" si="2"/>
        <v>599106.5</v>
      </c>
      <c r="J64" s="1250">
        <f t="shared" si="3"/>
        <v>177781.5</v>
      </c>
      <c r="K64" s="1251">
        <f t="shared" si="4"/>
        <v>776888</v>
      </c>
    </row>
    <row r="65" spans="1:11" ht="15">
      <c r="A65" s="1237" t="s">
        <v>154</v>
      </c>
      <c r="B65" s="1238" t="s">
        <v>155</v>
      </c>
      <c r="C65" s="1238" t="s">
        <v>265</v>
      </c>
      <c r="D65" s="1249">
        <v>19443</v>
      </c>
      <c r="E65" s="1249">
        <v>2437</v>
      </c>
      <c r="F65" s="1249">
        <v>0</v>
      </c>
      <c r="G65" s="1249">
        <v>25868</v>
      </c>
      <c r="H65" s="1249">
        <f t="shared" si="1"/>
        <v>47748</v>
      </c>
      <c r="I65" s="1250">
        <f t="shared" si="2"/>
        <v>38026.5</v>
      </c>
      <c r="J65" s="1250">
        <f t="shared" si="3"/>
        <v>9721.5</v>
      </c>
      <c r="K65" s="1251">
        <f t="shared" si="4"/>
        <v>47748</v>
      </c>
    </row>
    <row r="66" spans="1:11" ht="15">
      <c r="A66" s="1237" t="s">
        <v>156</v>
      </c>
      <c r="B66" s="1238" t="s">
        <v>157</v>
      </c>
      <c r="C66" s="1238" t="s">
        <v>266</v>
      </c>
      <c r="D66" s="1249">
        <v>59600</v>
      </c>
      <c r="E66" s="1249">
        <v>14129</v>
      </c>
      <c r="F66" s="1249">
        <v>3962</v>
      </c>
      <c r="G66" s="1249">
        <v>44495</v>
      </c>
      <c r="H66" s="1249">
        <f t="shared" si="1"/>
        <v>122186</v>
      </c>
      <c r="I66" s="1250">
        <f t="shared" si="2"/>
        <v>90405</v>
      </c>
      <c r="J66" s="1250">
        <f t="shared" si="3"/>
        <v>31781</v>
      </c>
      <c r="K66" s="1251">
        <f t="shared" si="4"/>
        <v>122186</v>
      </c>
    </row>
    <row r="67" spans="1:11" ht="15">
      <c r="A67" s="1237" t="s">
        <v>162</v>
      </c>
      <c r="B67" s="1238" t="s">
        <v>163</v>
      </c>
      <c r="C67" s="1238" t="s">
        <v>264</v>
      </c>
      <c r="D67" s="1249">
        <v>93428</v>
      </c>
      <c r="E67" s="1249">
        <v>8434</v>
      </c>
      <c r="F67" s="1249">
        <v>4331</v>
      </c>
      <c r="G67" s="1249">
        <v>122428</v>
      </c>
      <c r="H67" s="1249">
        <f t="shared" si="1"/>
        <v>228621</v>
      </c>
      <c r="I67" s="1250">
        <f t="shared" si="2"/>
        <v>179741.5</v>
      </c>
      <c r="J67" s="1250">
        <f t="shared" si="3"/>
        <v>48879.5</v>
      </c>
      <c r="K67" s="1251">
        <f t="shared" si="4"/>
        <v>228621</v>
      </c>
    </row>
    <row r="68" spans="1:11" ht="15">
      <c r="A68" s="1237" t="s">
        <v>164</v>
      </c>
      <c r="B68" s="1238" t="s">
        <v>165</v>
      </c>
      <c r="C68" s="1238" t="s">
        <v>266</v>
      </c>
      <c r="D68" s="1249">
        <v>17766</v>
      </c>
      <c r="E68" s="1249">
        <v>1960</v>
      </c>
      <c r="F68" s="1249">
        <v>173</v>
      </c>
      <c r="G68" s="1249">
        <v>24072</v>
      </c>
      <c r="H68" s="1249">
        <f t="shared" si="1"/>
        <v>43971</v>
      </c>
      <c r="I68" s="1250">
        <f t="shared" si="2"/>
        <v>35001.5</v>
      </c>
      <c r="J68" s="1250">
        <f t="shared" si="3"/>
        <v>8969.5</v>
      </c>
      <c r="K68" s="1251">
        <f t="shared" si="4"/>
        <v>43971</v>
      </c>
    </row>
    <row r="69" spans="1:11" ht="15">
      <c r="A69" s="1237" t="s">
        <v>168</v>
      </c>
      <c r="B69" s="1238" t="s">
        <v>169</v>
      </c>
      <c r="C69" s="1238" t="s">
        <v>266</v>
      </c>
      <c r="D69" s="1249">
        <v>25539</v>
      </c>
      <c r="E69" s="1249"/>
      <c r="F69" s="1249">
        <v>3149</v>
      </c>
      <c r="G69" s="1249">
        <v>71305</v>
      </c>
      <c r="H69" s="1249">
        <f t="shared" si="1"/>
        <v>99993</v>
      </c>
      <c r="I69" s="1250">
        <f t="shared" si="2"/>
        <v>85649</v>
      </c>
      <c r="J69" s="1250">
        <f t="shared" si="3"/>
        <v>14344</v>
      </c>
      <c r="K69" s="1251">
        <f t="shared" si="4"/>
        <v>99993</v>
      </c>
    </row>
    <row r="70" spans="1:11" ht="15">
      <c r="A70" s="1237" t="s">
        <v>170</v>
      </c>
      <c r="B70" s="1238" t="s">
        <v>171</v>
      </c>
      <c r="C70" s="1238" t="s">
        <v>267</v>
      </c>
      <c r="D70" s="1249">
        <v>95579</v>
      </c>
      <c r="E70" s="1249">
        <v>21281</v>
      </c>
      <c r="F70" s="1249">
        <v>5560</v>
      </c>
      <c r="G70" s="1249">
        <v>196298</v>
      </c>
      <c r="H70" s="1249">
        <f t="shared" ref="H70:H124" si="5">SUM(D70:G70)</f>
        <v>318718</v>
      </c>
      <c r="I70" s="1250">
        <f t="shared" si="2"/>
        <v>268148.5</v>
      </c>
      <c r="J70" s="1250">
        <f t="shared" si="3"/>
        <v>50569.5</v>
      </c>
      <c r="K70" s="1251">
        <f t="shared" si="4"/>
        <v>318718</v>
      </c>
    </row>
    <row r="71" spans="1:11" ht="15">
      <c r="A71" s="1237" t="s">
        <v>172</v>
      </c>
      <c r="B71" s="1238" t="s">
        <v>173</v>
      </c>
      <c r="C71" s="1238" t="s">
        <v>267</v>
      </c>
      <c r="D71" s="1249">
        <v>3072</v>
      </c>
      <c r="E71" s="1249"/>
      <c r="F71" s="1249">
        <v>6072</v>
      </c>
      <c r="G71" s="1249">
        <v>63627</v>
      </c>
      <c r="H71" s="1249">
        <f t="shared" si="5"/>
        <v>72771</v>
      </c>
      <c r="I71" s="1250">
        <f t="shared" ref="I71:I124" si="6">(D71*0.5)+(E71)+(F71*0.5)+(G71)</f>
        <v>68199</v>
      </c>
      <c r="J71" s="1250">
        <f t="shared" ref="J71:J124" si="7">(D71*0.5)+(F71*0.5)</f>
        <v>4572</v>
      </c>
      <c r="K71" s="1251">
        <f t="shared" ref="K71:K124" si="8">I71+J71</f>
        <v>72771</v>
      </c>
    </row>
    <row r="72" spans="1:11" ht="15">
      <c r="A72" s="1237" t="s">
        <v>174</v>
      </c>
      <c r="B72" s="1238" t="s">
        <v>175</v>
      </c>
      <c r="C72" s="1238" t="s">
        <v>268</v>
      </c>
      <c r="D72" s="1249">
        <v>28719</v>
      </c>
      <c r="E72" s="1249"/>
      <c r="F72" s="1249">
        <v>291</v>
      </c>
      <c r="G72" s="1249">
        <v>62338</v>
      </c>
      <c r="H72" s="1249">
        <f t="shared" si="5"/>
        <v>91348</v>
      </c>
      <c r="I72" s="1250">
        <f t="shared" si="6"/>
        <v>76843</v>
      </c>
      <c r="J72" s="1250">
        <f t="shared" si="7"/>
        <v>14505</v>
      </c>
      <c r="K72" s="1251">
        <f t="shared" si="8"/>
        <v>91348</v>
      </c>
    </row>
    <row r="73" spans="1:11" ht="15">
      <c r="A73" s="1237" t="s">
        <v>178</v>
      </c>
      <c r="B73" s="1238" t="s">
        <v>179</v>
      </c>
      <c r="C73" s="1238" t="s">
        <v>265</v>
      </c>
      <c r="D73" s="1249">
        <v>96602</v>
      </c>
      <c r="E73" s="1249">
        <v>4003</v>
      </c>
      <c r="F73" s="1249">
        <v>176</v>
      </c>
      <c r="G73" s="1249">
        <v>206584</v>
      </c>
      <c r="H73" s="1249">
        <f t="shared" si="5"/>
        <v>307365</v>
      </c>
      <c r="I73" s="1250">
        <f t="shared" si="6"/>
        <v>258976</v>
      </c>
      <c r="J73" s="1250">
        <f t="shared" si="7"/>
        <v>48389</v>
      </c>
      <c r="K73" s="1251">
        <f t="shared" si="8"/>
        <v>307365</v>
      </c>
    </row>
    <row r="74" spans="1:11" ht="15">
      <c r="A74" s="1237" t="s">
        <v>182</v>
      </c>
      <c r="B74" s="1238" t="s">
        <v>183</v>
      </c>
      <c r="C74" s="1238" t="s">
        <v>266</v>
      </c>
      <c r="D74" s="1249">
        <v>63754</v>
      </c>
      <c r="E74" s="1249">
        <v>25965</v>
      </c>
      <c r="F74" s="1249">
        <v>16027</v>
      </c>
      <c r="G74" s="1249">
        <v>45664</v>
      </c>
      <c r="H74" s="1249">
        <f t="shared" si="5"/>
        <v>151410</v>
      </c>
      <c r="I74" s="1250">
        <f t="shared" si="6"/>
        <v>111519.5</v>
      </c>
      <c r="J74" s="1250">
        <f t="shared" si="7"/>
        <v>39890.5</v>
      </c>
      <c r="K74" s="1251">
        <f t="shared" si="8"/>
        <v>151410</v>
      </c>
    </row>
    <row r="75" spans="1:11" ht="15">
      <c r="A75" s="1237" t="s">
        <v>184</v>
      </c>
      <c r="B75" s="1238" t="s">
        <v>185</v>
      </c>
      <c r="C75" s="1238" t="s">
        <v>266</v>
      </c>
      <c r="D75" s="1249">
        <v>52264</v>
      </c>
      <c r="E75" s="1249"/>
      <c r="F75" s="1249">
        <v>0</v>
      </c>
      <c r="G75" s="1249">
        <v>56282</v>
      </c>
      <c r="H75" s="1249">
        <f t="shared" si="5"/>
        <v>108546</v>
      </c>
      <c r="I75" s="1250">
        <f t="shared" si="6"/>
        <v>82414</v>
      </c>
      <c r="J75" s="1250">
        <f t="shared" si="7"/>
        <v>26132</v>
      </c>
      <c r="K75" s="1251">
        <f t="shared" si="8"/>
        <v>108546</v>
      </c>
    </row>
    <row r="76" spans="1:11" ht="15">
      <c r="A76" s="1237" t="s">
        <v>186</v>
      </c>
      <c r="B76" s="1238" t="s">
        <v>187</v>
      </c>
      <c r="C76" s="1238" t="s">
        <v>264</v>
      </c>
      <c r="D76" s="1249">
        <v>39674</v>
      </c>
      <c r="E76" s="1249"/>
      <c r="F76" s="1249">
        <v>1875</v>
      </c>
      <c r="G76" s="1249">
        <v>57319</v>
      </c>
      <c r="H76" s="1249">
        <f t="shared" si="5"/>
        <v>98868</v>
      </c>
      <c r="I76" s="1250">
        <f t="shared" si="6"/>
        <v>78093.5</v>
      </c>
      <c r="J76" s="1250">
        <f t="shared" si="7"/>
        <v>20774.5</v>
      </c>
      <c r="K76" s="1251">
        <f t="shared" si="8"/>
        <v>98868</v>
      </c>
    </row>
    <row r="77" spans="1:11" ht="15">
      <c r="A77" s="1237" t="s">
        <v>188</v>
      </c>
      <c r="B77" s="1238" t="s">
        <v>189</v>
      </c>
      <c r="C77" s="1238" t="s">
        <v>267</v>
      </c>
      <c r="D77" s="1249">
        <v>3434501</v>
      </c>
      <c r="E77" s="1249">
        <v>420649</v>
      </c>
      <c r="F77" s="1249">
        <v>155976</v>
      </c>
      <c r="G77" s="1249">
        <v>1228958.26</v>
      </c>
      <c r="H77" s="1249">
        <f t="shared" si="5"/>
        <v>5240084.26</v>
      </c>
      <c r="I77" s="1250">
        <f t="shared" si="6"/>
        <v>3444845.76</v>
      </c>
      <c r="J77" s="1250">
        <f t="shared" si="7"/>
        <v>1795238.5</v>
      </c>
      <c r="K77" s="1251">
        <f t="shared" si="8"/>
        <v>5240084.26</v>
      </c>
    </row>
    <row r="78" spans="1:11" ht="15">
      <c r="A78" s="1237" t="s">
        <v>190</v>
      </c>
      <c r="B78" s="1238" t="s">
        <v>191</v>
      </c>
      <c r="C78" s="1238" t="s">
        <v>268</v>
      </c>
      <c r="D78" s="1249">
        <v>134459</v>
      </c>
      <c r="E78" s="1249">
        <v>15597</v>
      </c>
      <c r="F78" s="1249">
        <v>0</v>
      </c>
      <c r="G78" s="1249">
        <v>122527</v>
      </c>
      <c r="H78" s="1249">
        <f t="shared" si="5"/>
        <v>272583</v>
      </c>
      <c r="I78" s="1250">
        <f t="shared" si="6"/>
        <v>205353.5</v>
      </c>
      <c r="J78" s="1250">
        <f t="shared" si="7"/>
        <v>67229.5</v>
      </c>
      <c r="K78" s="1251">
        <f t="shared" si="8"/>
        <v>272583</v>
      </c>
    </row>
    <row r="79" spans="1:11" ht="15">
      <c r="A79" s="1237" t="s">
        <v>194</v>
      </c>
      <c r="B79" s="1238" t="s">
        <v>195</v>
      </c>
      <c r="C79" s="1238" t="s">
        <v>267</v>
      </c>
      <c r="D79" s="1249">
        <v>23640</v>
      </c>
      <c r="E79" s="1249">
        <v>6509</v>
      </c>
      <c r="F79" s="1249">
        <v>4972</v>
      </c>
      <c r="G79" s="1249">
        <v>43664</v>
      </c>
      <c r="H79" s="1249">
        <f t="shared" si="5"/>
        <v>78785</v>
      </c>
      <c r="I79" s="1250">
        <f t="shared" si="6"/>
        <v>64479</v>
      </c>
      <c r="J79" s="1250">
        <f t="shared" si="7"/>
        <v>14306</v>
      </c>
      <c r="K79" s="1251">
        <f t="shared" si="8"/>
        <v>78785</v>
      </c>
    </row>
    <row r="80" spans="1:11" ht="15">
      <c r="A80" s="1237" t="s">
        <v>198</v>
      </c>
      <c r="B80" s="1238" t="s">
        <v>199</v>
      </c>
      <c r="C80" s="1238" t="s">
        <v>266</v>
      </c>
      <c r="D80" s="1249">
        <v>40801</v>
      </c>
      <c r="E80" s="1249"/>
      <c r="F80" s="1249">
        <v>0</v>
      </c>
      <c r="G80" s="1249">
        <v>44159</v>
      </c>
      <c r="H80" s="1249">
        <f t="shared" si="5"/>
        <v>84960</v>
      </c>
      <c r="I80" s="1250">
        <f t="shared" si="6"/>
        <v>64559.5</v>
      </c>
      <c r="J80" s="1250">
        <f t="shared" si="7"/>
        <v>20400.5</v>
      </c>
      <c r="K80" s="1251">
        <f t="shared" si="8"/>
        <v>84960</v>
      </c>
    </row>
    <row r="81" spans="1:11" ht="15">
      <c r="A81" s="1237" t="s">
        <v>202</v>
      </c>
      <c r="B81" s="1238" t="s">
        <v>203</v>
      </c>
      <c r="C81" s="1238" t="s">
        <v>265</v>
      </c>
      <c r="D81" s="1249">
        <v>765033</v>
      </c>
      <c r="E81" s="1249">
        <v>71744</v>
      </c>
      <c r="F81" s="1249">
        <v>123369</v>
      </c>
      <c r="G81" s="1249">
        <v>527526</v>
      </c>
      <c r="H81" s="1249">
        <f t="shared" si="5"/>
        <v>1487672</v>
      </c>
      <c r="I81" s="1250">
        <f t="shared" si="6"/>
        <v>1043471</v>
      </c>
      <c r="J81" s="1250">
        <f t="shared" si="7"/>
        <v>444201</v>
      </c>
      <c r="K81" s="1251">
        <f t="shared" si="8"/>
        <v>1487672</v>
      </c>
    </row>
    <row r="82" spans="1:11" ht="15">
      <c r="A82" s="1237" t="s">
        <v>204</v>
      </c>
      <c r="B82" s="1241" t="s">
        <v>205</v>
      </c>
      <c r="C82" s="1241" t="s">
        <v>265</v>
      </c>
      <c r="D82" s="1249">
        <v>49365</v>
      </c>
      <c r="E82" s="1249">
        <v>582</v>
      </c>
      <c r="F82" s="1249">
        <v>0</v>
      </c>
      <c r="G82" s="1249">
        <v>66771</v>
      </c>
      <c r="H82" s="1249">
        <f t="shared" si="5"/>
        <v>116718</v>
      </c>
      <c r="I82" s="1250">
        <f t="shared" si="6"/>
        <v>92035.5</v>
      </c>
      <c r="J82" s="1250">
        <f t="shared" si="7"/>
        <v>24682.5</v>
      </c>
      <c r="K82" s="1251">
        <f t="shared" si="8"/>
        <v>116718</v>
      </c>
    </row>
    <row r="83" spans="1:11" ht="15">
      <c r="A83" s="1237" t="s">
        <v>206</v>
      </c>
      <c r="B83" s="1241" t="s">
        <v>207</v>
      </c>
      <c r="C83" s="1241" t="s">
        <v>267</v>
      </c>
      <c r="D83" s="1249">
        <v>423534</v>
      </c>
      <c r="E83" s="1249">
        <v>30464</v>
      </c>
      <c r="F83" s="1249">
        <v>12291</v>
      </c>
      <c r="G83" s="1249">
        <v>397821</v>
      </c>
      <c r="H83" s="1249">
        <f t="shared" si="5"/>
        <v>864110</v>
      </c>
      <c r="I83" s="1250">
        <f t="shared" si="6"/>
        <v>646197.5</v>
      </c>
      <c r="J83" s="1250">
        <f t="shared" si="7"/>
        <v>217912.5</v>
      </c>
      <c r="K83" s="1251">
        <f t="shared" si="8"/>
        <v>864110</v>
      </c>
    </row>
    <row r="84" spans="1:11" ht="15">
      <c r="A84" s="1237" t="s">
        <v>208</v>
      </c>
      <c r="B84" s="1238" t="s">
        <v>209</v>
      </c>
      <c r="C84" s="1238" t="s">
        <v>268</v>
      </c>
      <c r="D84" s="1249">
        <v>23942</v>
      </c>
      <c r="E84" s="1249"/>
      <c r="F84" s="1249">
        <v>0</v>
      </c>
      <c r="G84" s="1249">
        <v>38992</v>
      </c>
      <c r="H84" s="1249">
        <f t="shared" si="5"/>
        <v>62934</v>
      </c>
      <c r="I84" s="1250">
        <f t="shared" si="6"/>
        <v>50963</v>
      </c>
      <c r="J84" s="1250">
        <f t="shared" si="7"/>
        <v>11971</v>
      </c>
      <c r="K84" s="1251">
        <f t="shared" si="8"/>
        <v>62934</v>
      </c>
    </row>
    <row r="85" spans="1:11" ht="15">
      <c r="A85" s="1237" t="s">
        <v>210</v>
      </c>
      <c r="B85" s="1238" t="s">
        <v>211</v>
      </c>
      <c r="C85" s="1238" t="s">
        <v>268</v>
      </c>
      <c r="D85" s="1249">
        <v>16189</v>
      </c>
      <c r="E85" s="1249"/>
      <c r="F85" s="1249">
        <v>0</v>
      </c>
      <c r="G85" s="1249">
        <v>10206</v>
      </c>
      <c r="H85" s="1249">
        <f t="shared" si="5"/>
        <v>26395</v>
      </c>
      <c r="I85" s="1250">
        <f t="shared" si="6"/>
        <v>18300.5</v>
      </c>
      <c r="J85" s="1250">
        <f t="shared" si="7"/>
        <v>8094.5</v>
      </c>
      <c r="K85" s="1251">
        <f t="shared" si="8"/>
        <v>26395</v>
      </c>
    </row>
    <row r="86" spans="1:11" ht="15">
      <c r="A86" s="1237" t="s">
        <v>212</v>
      </c>
      <c r="B86" s="1238" t="s">
        <v>213</v>
      </c>
      <c r="C86" s="1238" t="s">
        <v>267</v>
      </c>
      <c r="D86" s="1249">
        <v>44973</v>
      </c>
      <c r="E86" s="1249"/>
      <c r="F86" s="1249">
        <v>4197</v>
      </c>
      <c r="G86" s="1249">
        <v>170280</v>
      </c>
      <c r="H86" s="1249">
        <f t="shared" si="5"/>
        <v>219450</v>
      </c>
      <c r="I86" s="1250">
        <f t="shared" si="6"/>
        <v>194865</v>
      </c>
      <c r="J86" s="1250">
        <f t="shared" si="7"/>
        <v>24585</v>
      </c>
      <c r="K86" s="1251">
        <f t="shared" si="8"/>
        <v>219450</v>
      </c>
    </row>
    <row r="87" spans="1:11" ht="15">
      <c r="A87" s="1237" t="s">
        <v>214</v>
      </c>
      <c r="B87" s="1238" t="s">
        <v>215</v>
      </c>
      <c r="C87" s="1238" t="s">
        <v>268</v>
      </c>
      <c r="D87" s="1249">
        <v>62405</v>
      </c>
      <c r="E87" s="1249">
        <v>2660</v>
      </c>
      <c r="F87" s="1249">
        <v>1764</v>
      </c>
      <c r="G87" s="1249">
        <v>74790</v>
      </c>
      <c r="H87" s="1249">
        <f t="shared" si="5"/>
        <v>141619</v>
      </c>
      <c r="I87" s="1250">
        <f t="shared" si="6"/>
        <v>109534.5</v>
      </c>
      <c r="J87" s="1250">
        <f t="shared" si="7"/>
        <v>32084.5</v>
      </c>
      <c r="K87" s="1251">
        <f t="shared" si="8"/>
        <v>141619</v>
      </c>
    </row>
    <row r="88" spans="1:11" ht="15">
      <c r="A88" s="1237" t="s">
        <v>216</v>
      </c>
      <c r="B88" s="1238" t="s">
        <v>217</v>
      </c>
      <c r="C88" s="1238" t="s">
        <v>264</v>
      </c>
      <c r="D88" s="1249">
        <v>24135</v>
      </c>
      <c r="E88" s="1249">
        <v>692</v>
      </c>
      <c r="F88" s="1249">
        <v>0</v>
      </c>
      <c r="G88" s="1249">
        <v>27874</v>
      </c>
      <c r="H88" s="1249">
        <f t="shared" si="5"/>
        <v>52701</v>
      </c>
      <c r="I88" s="1250">
        <f t="shared" si="6"/>
        <v>40633.5</v>
      </c>
      <c r="J88" s="1250">
        <f t="shared" si="7"/>
        <v>12067.5</v>
      </c>
      <c r="K88" s="1251">
        <f t="shared" si="8"/>
        <v>52701</v>
      </c>
    </row>
    <row r="89" spans="1:11" ht="15">
      <c r="A89" s="1237" t="s">
        <v>218</v>
      </c>
      <c r="B89" s="1238" t="s">
        <v>219</v>
      </c>
      <c r="C89" s="1238" t="s">
        <v>267</v>
      </c>
      <c r="D89" s="1249">
        <v>753700</v>
      </c>
      <c r="E89" s="1249">
        <v>52717</v>
      </c>
      <c r="F89" s="1249">
        <v>0</v>
      </c>
      <c r="G89" s="1249">
        <v>165234</v>
      </c>
      <c r="H89" s="1249">
        <f t="shared" si="5"/>
        <v>971651</v>
      </c>
      <c r="I89" s="1250">
        <f t="shared" si="6"/>
        <v>594801</v>
      </c>
      <c r="J89" s="1250">
        <f t="shared" si="7"/>
        <v>376850</v>
      </c>
      <c r="K89" s="1251">
        <f t="shared" si="8"/>
        <v>971651</v>
      </c>
    </row>
    <row r="90" spans="1:11" ht="15">
      <c r="A90" s="1237" t="s">
        <v>220</v>
      </c>
      <c r="B90" s="1238" t="s">
        <v>221</v>
      </c>
      <c r="C90" s="1238" t="s">
        <v>267</v>
      </c>
      <c r="D90" s="1249">
        <v>899134</v>
      </c>
      <c r="E90" s="1249">
        <v>281521</v>
      </c>
      <c r="F90" s="1249">
        <v>38745</v>
      </c>
      <c r="G90" s="1249">
        <v>334051</v>
      </c>
      <c r="H90" s="1249">
        <f t="shared" si="5"/>
        <v>1553451</v>
      </c>
      <c r="I90" s="1250">
        <f t="shared" si="6"/>
        <v>1084511.5</v>
      </c>
      <c r="J90" s="1250">
        <f t="shared" si="7"/>
        <v>468939.5</v>
      </c>
      <c r="K90" s="1251">
        <f t="shared" si="8"/>
        <v>1553451</v>
      </c>
    </row>
    <row r="91" spans="1:11" ht="15">
      <c r="A91" s="1237" t="s">
        <v>224</v>
      </c>
      <c r="B91" s="1238" t="s">
        <v>225</v>
      </c>
      <c r="C91" s="1238" t="s">
        <v>264</v>
      </c>
      <c r="D91" s="1249">
        <v>15307</v>
      </c>
      <c r="E91" s="1249">
        <v>5707</v>
      </c>
      <c r="F91" s="1249">
        <v>0</v>
      </c>
      <c r="G91" s="1249">
        <v>70454</v>
      </c>
      <c r="H91" s="1249">
        <f t="shared" si="5"/>
        <v>91468</v>
      </c>
      <c r="I91" s="1250">
        <f t="shared" si="6"/>
        <v>83814.5</v>
      </c>
      <c r="J91" s="1250">
        <f t="shared" si="7"/>
        <v>7653.5</v>
      </c>
      <c r="K91" s="1251">
        <f t="shared" si="8"/>
        <v>91468</v>
      </c>
    </row>
    <row r="92" spans="1:11" ht="15">
      <c r="A92" s="1237" t="s">
        <v>226</v>
      </c>
      <c r="B92" s="1238" t="s">
        <v>227</v>
      </c>
      <c r="C92" s="1238" t="s">
        <v>264</v>
      </c>
      <c r="D92" s="1249">
        <v>39824</v>
      </c>
      <c r="E92" s="1249"/>
      <c r="F92" s="1249">
        <v>2384</v>
      </c>
      <c r="G92" s="1249">
        <v>78296</v>
      </c>
      <c r="H92" s="1249">
        <f t="shared" si="5"/>
        <v>120504</v>
      </c>
      <c r="I92" s="1250">
        <f t="shared" si="6"/>
        <v>99400</v>
      </c>
      <c r="J92" s="1250">
        <f t="shared" si="7"/>
        <v>21104</v>
      </c>
      <c r="K92" s="1251">
        <f t="shared" si="8"/>
        <v>120504</v>
      </c>
    </row>
    <row r="93" spans="1:11" ht="15">
      <c r="A93" s="1237" t="s">
        <v>228</v>
      </c>
      <c r="B93" s="1238" t="s">
        <v>229</v>
      </c>
      <c r="C93" s="1238" t="s">
        <v>268</v>
      </c>
      <c r="D93" s="1249">
        <v>94316</v>
      </c>
      <c r="E93" s="1249">
        <v>6335</v>
      </c>
      <c r="F93" s="1249">
        <v>0</v>
      </c>
      <c r="G93" s="1249">
        <v>96656</v>
      </c>
      <c r="H93" s="1249">
        <f t="shared" si="5"/>
        <v>197307</v>
      </c>
      <c r="I93" s="1250">
        <f t="shared" si="6"/>
        <v>150149</v>
      </c>
      <c r="J93" s="1250">
        <f t="shared" si="7"/>
        <v>47158</v>
      </c>
      <c r="K93" s="1251">
        <f t="shared" si="8"/>
        <v>197307</v>
      </c>
    </row>
    <row r="94" spans="1:11" ht="15">
      <c r="A94" s="1237" t="s">
        <v>232</v>
      </c>
      <c r="B94" s="1238" t="s">
        <v>233</v>
      </c>
      <c r="C94" s="1238" t="s">
        <v>267</v>
      </c>
      <c r="D94" s="1249">
        <v>177754</v>
      </c>
      <c r="E94" s="1249">
        <v>588</v>
      </c>
      <c r="F94" s="1249">
        <v>14478</v>
      </c>
      <c r="G94" s="1249">
        <v>239340</v>
      </c>
      <c r="H94" s="1249">
        <f t="shared" si="5"/>
        <v>432160</v>
      </c>
      <c r="I94" s="1250">
        <f t="shared" si="6"/>
        <v>336044</v>
      </c>
      <c r="J94" s="1250">
        <f t="shared" si="7"/>
        <v>96116</v>
      </c>
      <c r="K94" s="1251">
        <f t="shared" si="8"/>
        <v>432160</v>
      </c>
    </row>
    <row r="95" spans="1:11" ht="15">
      <c r="A95" s="1237" t="s">
        <v>234</v>
      </c>
      <c r="B95" s="1238" t="s">
        <v>235</v>
      </c>
      <c r="C95" s="1238" t="s">
        <v>268</v>
      </c>
      <c r="D95" s="1249">
        <v>47850</v>
      </c>
      <c r="E95" s="1249">
        <v>10661</v>
      </c>
      <c r="F95" s="1249">
        <v>7431</v>
      </c>
      <c r="G95" s="1249">
        <v>73293</v>
      </c>
      <c r="H95" s="1249">
        <f t="shared" si="5"/>
        <v>139235</v>
      </c>
      <c r="I95" s="1250">
        <f t="shared" si="6"/>
        <v>111594.5</v>
      </c>
      <c r="J95" s="1250">
        <f t="shared" si="7"/>
        <v>27640.5</v>
      </c>
      <c r="K95" s="1251">
        <f t="shared" si="8"/>
        <v>139235</v>
      </c>
    </row>
    <row r="96" spans="1:11" ht="15">
      <c r="A96" s="1237" t="s">
        <v>236</v>
      </c>
      <c r="B96" s="1238" t="s">
        <v>237</v>
      </c>
      <c r="C96" s="1238" t="s">
        <v>266</v>
      </c>
      <c r="D96" s="1249">
        <v>25297</v>
      </c>
      <c r="E96" s="1249"/>
      <c r="F96" s="1249">
        <v>0</v>
      </c>
      <c r="G96" s="1249">
        <v>75151</v>
      </c>
      <c r="H96" s="1249">
        <f t="shared" si="5"/>
        <v>100448</v>
      </c>
      <c r="I96" s="1250">
        <f t="shared" si="6"/>
        <v>87799.5</v>
      </c>
      <c r="J96" s="1250">
        <f t="shared" si="7"/>
        <v>12648.5</v>
      </c>
      <c r="K96" s="1251">
        <f t="shared" si="8"/>
        <v>100448</v>
      </c>
    </row>
    <row r="97" spans="1:11" ht="15">
      <c r="A97" s="1237" t="s">
        <v>242</v>
      </c>
      <c r="B97" s="1238" t="s">
        <v>243</v>
      </c>
      <c r="C97" s="1238" t="s">
        <v>268</v>
      </c>
      <c r="D97" s="1249">
        <v>74913</v>
      </c>
      <c r="E97" s="1249">
        <v>736</v>
      </c>
      <c r="F97" s="1249">
        <v>0</v>
      </c>
      <c r="G97" s="1249">
        <v>40959</v>
      </c>
      <c r="H97" s="1249">
        <f t="shared" si="5"/>
        <v>116608</v>
      </c>
      <c r="I97" s="1250">
        <f t="shared" si="6"/>
        <v>79151.5</v>
      </c>
      <c r="J97" s="1250">
        <f t="shared" si="7"/>
        <v>37456.5</v>
      </c>
      <c r="K97" s="1251">
        <f t="shared" si="8"/>
        <v>116608</v>
      </c>
    </row>
    <row r="98" spans="1:11" ht="15">
      <c r="A98" s="1237" t="s">
        <v>244</v>
      </c>
      <c r="B98" s="1238" t="s">
        <v>245</v>
      </c>
      <c r="C98" s="1238" t="s">
        <v>268</v>
      </c>
      <c r="D98" s="1249">
        <v>59680</v>
      </c>
      <c r="E98" s="1249">
        <v>10888</v>
      </c>
      <c r="F98" s="1249">
        <v>1872</v>
      </c>
      <c r="G98" s="1249">
        <v>137105</v>
      </c>
      <c r="H98" s="1249">
        <f t="shared" si="5"/>
        <v>209545</v>
      </c>
      <c r="I98" s="1250">
        <f t="shared" si="6"/>
        <v>178769</v>
      </c>
      <c r="J98" s="1250">
        <f t="shared" si="7"/>
        <v>30776</v>
      </c>
      <c r="K98" s="1251">
        <f t="shared" si="8"/>
        <v>209545</v>
      </c>
    </row>
    <row r="99" spans="1:11" ht="15">
      <c r="A99" s="1237" t="s">
        <v>246</v>
      </c>
      <c r="B99" s="1238" t="s">
        <v>310</v>
      </c>
      <c r="C99" s="1238" t="s">
        <v>264</v>
      </c>
      <c r="D99" s="1249">
        <v>150550</v>
      </c>
      <c r="E99" s="1249">
        <v>52160</v>
      </c>
      <c r="F99" s="1249">
        <v>0</v>
      </c>
      <c r="G99" s="1249">
        <v>198970</v>
      </c>
      <c r="H99" s="1249">
        <f t="shared" si="5"/>
        <v>401680</v>
      </c>
      <c r="I99" s="1250">
        <f t="shared" si="6"/>
        <v>326405</v>
      </c>
      <c r="J99" s="1250">
        <f t="shared" si="7"/>
        <v>75275</v>
      </c>
      <c r="K99" s="1251">
        <f t="shared" si="8"/>
        <v>401680</v>
      </c>
    </row>
    <row r="100" spans="1:11" ht="15">
      <c r="A100" s="1237" t="s">
        <v>14</v>
      </c>
      <c r="B100" s="1238" t="s">
        <v>15</v>
      </c>
      <c r="C100" s="1238" t="s">
        <v>267</v>
      </c>
      <c r="D100" s="1249">
        <v>938397</v>
      </c>
      <c r="E100" s="1249">
        <v>169113</v>
      </c>
      <c r="F100" s="1249">
        <v>649508</v>
      </c>
      <c r="G100" s="1249">
        <v>1068644</v>
      </c>
      <c r="H100" s="1249">
        <f t="shared" si="5"/>
        <v>2825662</v>
      </c>
      <c r="I100" s="1250">
        <f t="shared" si="6"/>
        <v>2031709.5</v>
      </c>
      <c r="J100" s="1250">
        <f t="shared" si="7"/>
        <v>793952.5</v>
      </c>
      <c r="K100" s="1251">
        <f t="shared" si="8"/>
        <v>2825662</v>
      </c>
    </row>
    <row r="101" spans="1:11" ht="15">
      <c r="A101" s="1237" t="s">
        <v>34</v>
      </c>
      <c r="B101" s="1238" t="s">
        <v>35</v>
      </c>
      <c r="C101" s="1238" t="s">
        <v>268</v>
      </c>
      <c r="D101" s="1249">
        <v>309782</v>
      </c>
      <c r="E101" s="1249">
        <v>31314</v>
      </c>
      <c r="F101" s="1249">
        <v>35202</v>
      </c>
      <c r="G101" s="1249">
        <v>216055</v>
      </c>
      <c r="H101" s="1249">
        <f t="shared" si="5"/>
        <v>592353</v>
      </c>
      <c r="I101" s="1250">
        <f t="shared" si="6"/>
        <v>419861</v>
      </c>
      <c r="J101" s="1250">
        <f t="shared" si="7"/>
        <v>172492</v>
      </c>
      <c r="K101" s="1251">
        <f t="shared" si="8"/>
        <v>592353</v>
      </c>
    </row>
    <row r="102" spans="1:11" ht="15">
      <c r="A102" s="1237" t="s">
        <v>52</v>
      </c>
      <c r="B102" s="1238" t="s">
        <v>53</v>
      </c>
      <c r="C102" s="1238" t="s">
        <v>265</v>
      </c>
      <c r="D102" s="1249">
        <v>758100</v>
      </c>
      <c r="E102" s="1249">
        <v>1508</v>
      </c>
      <c r="F102" s="1249">
        <v>66347</v>
      </c>
      <c r="G102" s="1249">
        <v>362107</v>
      </c>
      <c r="H102" s="1249">
        <f t="shared" si="5"/>
        <v>1188062</v>
      </c>
      <c r="I102" s="1250">
        <f t="shared" si="6"/>
        <v>775838.5</v>
      </c>
      <c r="J102" s="1250">
        <f t="shared" si="7"/>
        <v>412223.5</v>
      </c>
      <c r="K102" s="1251">
        <f t="shared" si="8"/>
        <v>1188062</v>
      </c>
    </row>
    <row r="103" spans="1:11" ht="15">
      <c r="A103" s="1237" t="s">
        <v>54</v>
      </c>
      <c r="B103" s="1238" t="s">
        <v>55</v>
      </c>
      <c r="C103" s="1238" t="s">
        <v>264</v>
      </c>
      <c r="D103" s="1249">
        <v>2093791</v>
      </c>
      <c r="E103" s="1249">
        <v>26527</v>
      </c>
      <c r="F103" s="1249">
        <v>38709</v>
      </c>
      <c r="G103" s="1249">
        <v>1211685</v>
      </c>
      <c r="H103" s="1249">
        <f t="shared" si="5"/>
        <v>3370712</v>
      </c>
      <c r="I103" s="1250">
        <f t="shared" si="6"/>
        <v>2304462</v>
      </c>
      <c r="J103" s="1250">
        <f t="shared" si="7"/>
        <v>1066250</v>
      </c>
      <c r="K103" s="1251">
        <f t="shared" si="8"/>
        <v>3370712</v>
      </c>
    </row>
    <row r="104" spans="1:11" ht="15">
      <c r="A104" s="1237" t="s">
        <v>66</v>
      </c>
      <c r="B104" s="1238" t="s">
        <v>67</v>
      </c>
      <c r="C104" s="1238" t="s">
        <v>265</v>
      </c>
      <c r="D104" s="1249">
        <v>208655</v>
      </c>
      <c r="E104" s="1249">
        <v>49273</v>
      </c>
      <c r="F104" s="1249">
        <v>18037</v>
      </c>
      <c r="G104" s="1249">
        <v>330809</v>
      </c>
      <c r="H104" s="1249">
        <f t="shared" si="5"/>
        <v>606774</v>
      </c>
      <c r="I104" s="1250">
        <f t="shared" si="6"/>
        <v>493428</v>
      </c>
      <c r="J104" s="1250">
        <f t="shared" si="7"/>
        <v>113346</v>
      </c>
      <c r="K104" s="1251">
        <f t="shared" si="8"/>
        <v>606774</v>
      </c>
    </row>
    <row r="105" spans="1:11" ht="15">
      <c r="A105" s="1237" t="s">
        <v>82</v>
      </c>
      <c r="B105" s="1238" t="s">
        <v>311</v>
      </c>
      <c r="C105" s="1238" t="s">
        <v>264</v>
      </c>
      <c r="D105" s="1249">
        <v>112303</v>
      </c>
      <c r="E105" s="1249"/>
      <c r="F105" s="1249">
        <v>11236</v>
      </c>
      <c r="G105" s="1249">
        <v>33940</v>
      </c>
      <c r="H105" s="1249">
        <f t="shared" si="5"/>
        <v>157479</v>
      </c>
      <c r="I105" s="1250">
        <f t="shared" si="6"/>
        <v>95709.5</v>
      </c>
      <c r="J105" s="1250">
        <f t="shared" si="7"/>
        <v>61769.5</v>
      </c>
      <c r="K105" s="1251">
        <f t="shared" si="8"/>
        <v>157479</v>
      </c>
    </row>
    <row r="106" spans="1:11" ht="15">
      <c r="A106" s="1237" t="s">
        <v>88</v>
      </c>
      <c r="B106" s="1238" t="s">
        <v>89</v>
      </c>
      <c r="C106" s="1238" t="s">
        <v>267</v>
      </c>
      <c r="D106" s="1249">
        <v>543650</v>
      </c>
      <c r="E106" s="1249">
        <v>283408</v>
      </c>
      <c r="F106" s="1249">
        <v>8916</v>
      </c>
      <c r="G106" s="1249">
        <v>142303</v>
      </c>
      <c r="H106" s="1249">
        <f t="shared" si="5"/>
        <v>978277</v>
      </c>
      <c r="I106" s="1250">
        <f t="shared" si="6"/>
        <v>701994</v>
      </c>
      <c r="J106" s="1250">
        <f t="shared" si="7"/>
        <v>276283</v>
      </c>
      <c r="K106" s="1251">
        <f t="shared" si="8"/>
        <v>978277</v>
      </c>
    </row>
    <row r="107" spans="1:11" ht="15">
      <c r="A107" s="1237" t="s">
        <v>90</v>
      </c>
      <c r="B107" s="1238" t="s">
        <v>91</v>
      </c>
      <c r="C107" s="1238" t="s">
        <v>268</v>
      </c>
      <c r="D107" s="1249">
        <v>33413</v>
      </c>
      <c r="E107" s="1249"/>
      <c r="F107" s="1249">
        <v>2922</v>
      </c>
      <c r="G107" s="1249">
        <v>74939</v>
      </c>
      <c r="H107" s="1249">
        <f t="shared" si="5"/>
        <v>111274</v>
      </c>
      <c r="I107" s="1250">
        <f t="shared" si="6"/>
        <v>93106.5</v>
      </c>
      <c r="J107" s="1250">
        <f t="shared" si="7"/>
        <v>18167.5</v>
      </c>
      <c r="K107" s="1251">
        <f t="shared" si="8"/>
        <v>111274</v>
      </c>
    </row>
    <row r="108" spans="1:11" ht="15">
      <c r="A108" s="1237" t="s">
        <v>106</v>
      </c>
      <c r="B108" s="1238" t="s">
        <v>107</v>
      </c>
      <c r="C108" s="1238" t="s">
        <v>264</v>
      </c>
      <c r="D108" s="1249">
        <v>1969031</v>
      </c>
      <c r="E108" s="1249"/>
      <c r="F108" s="1249">
        <v>2044</v>
      </c>
      <c r="G108" s="1249">
        <v>331076</v>
      </c>
      <c r="H108" s="1249">
        <f t="shared" si="5"/>
        <v>2302151</v>
      </c>
      <c r="I108" s="1250">
        <f t="shared" si="6"/>
        <v>1316613.5</v>
      </c>
      <c r="J108" s="1250">
        <f t="shared" si="7"/>
        <v>985537.5</v>
      </c>
      <c r="K108" s="1251">
        <f t="shared" si="8"/>
        <v>2302151</v>
      </c>
    </row>
    <row r="109" spans="1:11" ht="15">
      <c r="A109" s="1237" t="s">
        <v>116</v>
      </c>
      <c r="B109" s="1238" t="s">
        <v>117</v>
      </c>
      <c r="C109" s="1238" t="s">
        <v>266</v>
      </c>
      <c r="D109" s="1249">
        <v>231390</v>
      </c>
      <c r="E109" s="1249">
        <v>104620</v>
      </c>
      <c r="F109" s="1249">
        <v>12105</v>
      </c>
      <c r="G109" s="1249">
        <v>190643</v>
      </c>
      <c r="H109" s="1249">
        <f t="shared" si="5"/>
        <v>538758</v>
      </c>
      <c r="I109" s="1250">
        <f t="shared" si="6"/>
        <v>417010.5</v>
      </c>
      <c r="J109" s="1250">
        <f t="shared" si="7"/>
        <v>121747.5</v>
      </c>
      <c r="K109" s="1251">
        <f t="shared" si="8"/>
        <v>538758</v>
      </c>
    </row>
    <row r="110" spans="1:11" ht="15">
      <c r="A110" s="1237" t="s">
        <v>138</v>
      </c>
      <c r="B110" s="1238" t="s">
        <v>139</v>
      </c>
      <c r="C110" s="1238" t="s">
        <v>265</v>
      </c>
      <c r="D110" s="1249">
        <v>407420</v>
      </c>
      <c r="E110" s="1249">
        <v>7640</v>
      </c>
      <c r="F110" s="1249">
        <v>178605</v>
      </c>
      <c r="G110" s="1249">
        <v>362572</v>
      </c>
      <c r="H110" s="1249">
        <f t="shared" si="5"/>
        <v>956237</v>
      </c>
      <c r="I110" s="1250">
        <f t="shared" si="6"/>
        <v>663224.5</v>
      </c>
      <c r="J110" s="1250">
        <f t="shared" si="7"/>
        <v>293012.5</v>
      </c>
      <c r="K110" s="1251">
        <f t="shared" si="8"/>
        <v>956237</v>
      </c>
    </row>
    <row r="111" spans="1:11" ht="15">
      <c r="A111" s="1237" t="s">
        <v>142</v>
      </c>
      <c r="B111" s="1238" t="s">
        <v>143</v>
      </c>
      <c r="C111" s="1238" t="s">
        <v>267</v>
      </c>
      <c r="D111" s="1249">
        <v>454346</v>
      </c>
      <c r="E111" s="1249">
        <v>173439</v>
      </c>
      <c r="F111" s="1249">
        <v>0</v>
      </c>
      <c r="G111" s="1249">
        <v>590133</v>
      </c>
      <c r="H111" s="1249">
        <f t="shared" si="5"/>
        <v>1217918</v>
      </c>
      <c r="I111" s="1250">
        <f t="shared" si="6"/>
        <v>990745</v>
      </c>
      <c r="J111" s="1250">
        <f t="shared" si="7"/>
        <v>227173</v>
      </c>
      <c r="K111" s="1251">
        <f t="shared" si="8"/>
        <v>1217918</v>
      </c>
    </row>
    <row r="112" spans="1:11" ht="15">
      <c r="A112" s="1237" t="s">
        <v>144</v>
      </c>
      <c r="B112" s="1238" t="s">
        <v>145</v>
      </c>
      <c r="C112" s="1238" t="s">
        <v>267</v>
      </c>
      <c r="D112" s="1249">
        <v>78974</v>
      </c>
      <c r="E112" s="1249">
        <v>30504</v>
      </c>
      <c r="F112" s="1249">
        <v>6955</v>
      </c>
      <c r="G112" s="1249">
        <v>96414</v>
      </c>
      <c r="H112" s="1249">
        <f t="shared" si="5"/>
        <v>212847</v>
      </c>
      <c r="I112" s="1250">
        <f t="shared" si="6"/>
        <v>169882.5</v>
      </c>
      <c r="J112" s="1250">
        <f t="shared" si="7"/>
        <v>42964.5</v>
      </c>
      <c r="K112" s="1251">
        <f t="shared" si="8"/>
        <v>212847</v>
      </c>
    </row>
    <row r="113" spans="1:11" ht="15">
      <c r="A113" s="1237" t="s">
        <v>158</v>
      </c>
      <c r="B113" s="1238" t="s">
        <v>159</v>
      </c>
      <c r="C113" s="1238" t="s">
        <v>264</v>
      </c>
      <c r="D113" s="1249">
        <v>2837691</v>
      </c>
      <c r="E113" s="1249">
        <v>216995</v>
      </c>
      <c r="F113" s="1249">
        <v>273496</v>
      </c>
      <c r="G113" s="1249">
        <v>1560122</v>
      </c>
      <c r="H113" s="1249">
        <f t="shared" si="5"/>
        <v>4888304</v>
      </c>
      <c r="I113" s="1250">
        <f t="shared" si="6"/>
        <v>3332710.5</v>
      </c>
      <c r="J113" s="1250">
        <f t="shared" si="7"/>
        <v>1555593.5</v>
      </c>
      <c r="K113" s="1251">
        <f t="shared" si="8"/>
        <v>4888304</v>
      </c>
    </row>
    <row r="114" spans="1:11" ht="15">
      <c r="A114" s="1237" t="s">
        <v>160</v>
      </c>
      <c r="B114" s="1238" t="s">
        <v>161</v>
      </c>
      <c r="C114" s="1238" t="s">
        <v>264</v>
      </c>
      <c r="D114" s="1249">
        <v>3136074.93</v>
      </c>
      <c r="E114" s="1249">
        <v>71712</v>
      </c>
      <c r="F114" s="1249">
        <v>115036</v>
      </c>
      <c r="G114" s="1249">
        <v>3002500</v>
      </c>
      <c r="H114" s="1249">
        <f t="shared" si="5"/>
        <v>6325322.9299999997</v>
      </c>
      <c r="I114" s="1250">
        <f t="shared" si="6"/>
        <v>4699767.4649999999</v>
      </c>
      <c r="J114" s="1250">
        <f t="shared" si="7"/>
        <v>1625555.4650000001</v>
      </c>
      <c r="K114" s="1251">
        <f t="shared" si="8"/>
        <v>6325322.9299999997</v>
      </c>
    </row>
    <row r="115" spans="1:11" ht="15">
      <c r="A115" s="1237" t="s">
        <v>166</v>
      </c>
      <c r="B115" s="1238" t="s">
        <v>167</v>
      </c>
      <c r="C115" s="1238" t="s">
        <v>268</v>
      </c>
      <c r="D115" s="1249">
        <v>20461</v>
      </c>
      <c r="E115" s="1249"/>
      <c r="F115" s="1249">
        <v>0</v>
      </c>
      <c r="G115" s="1249">
        <v>21678</v>
      </c>
      <c r="H115" s="1249">
        <f t="shared" si="5"/>
        <v>42139</v>
      </c>
      <c r="I115" s="1250">
        <f t="shared" si="6"/>
        <v>31908.5</v>
      </c>
      <c r="J115" s="1250">
        <f t="shared" si="7"/>
        <v>10230.5</v>
      </c>
      <c r="K115" s="1251">
        <f t="shared" si="8"/>
        <v>42139</v>
      </c>
    </row>
    <row r="116" spans="1:11" ht="15">
      <c r="A116" s="1237" t="s">
        <v>176</v>
      </c>
      <c r="B116" s="1238" t="s">
        <v>177</v>
      </c>
      <c r="C116" s="1238" t="s">
        <v>266</v>
      </c>
      <c r="D116" s="1249">
        <v>553723</v>
      </c>
      <c r="E116" s="1249">
        <v>108499</v>
      </c>
      <c r="F116" s="1249">
        <v>15158</v>
      </c>
      <c r="G116" s="1249">
        <v>304973</v>
      </c>
      <c r="H116" s="1249">
        <f t="shared" si="5"/>
        <v>982353</v>
      </c>
      <c r="I116" s="1250">
        <f t="shared" si="6"/>
        <v>697912.5</v>
      </c>
      <c r="J116" s="1250">
        <f t="shared" si="7"/>
        <v>284440.5</v>
      </c>
      <c r="K116" s="1251">
        <f t="shared" si="8"/>
        <v>982353</v>
      </c>
    </row>
    <row r="117" spans="1:11" ht="15">
      <c r="A117" s="1237" t="s">
        <v>180</v>
      </c>
      <c r="B117" s="1238" t="s">
        <v>181</v>
      </c>
      <c r="C117" s="1238" t="s">
        <v>264</v>
      </c>
      <c r="D117" s="1249">
        <v>1546405.45</v>
      </c>
      <c r="E117" s="1249">
        <v>135190</v>
      </c>
      <c r="F117" s="1249">
        <v>61673.33</v>
      </c>
      <c r="G117" s="1249">
        <v>333745</v>
      </c>
      <c r="H117" s="1249">
        <f t="shared" si="5"/>
        <v>2077013.78</v>
      </c>
      <c r="I117" s="1250">
        <f t="shared" si="6"/>
        <v>1272974.3900000001</v>
      </c>
      <c r="J117" s="1250">
        <f t="shared" si="7"/>
        <v>804039.39</v>
      </c>
      <c r="K117" s="1251">
        <f t="shared" si="8"/>
        <v>2077013.7800000003</v>
      </c>
    </row>
    <row r="118" spans="1:11" ht="15">
      <c r="A118" s="1237" t="s">
        <v>192</v>
      </c>
      <c r="B118" s="1238" t="s">
        <v>193</v>
      </c>
      <c r="C118" s="1238" t="s">
        <v>268</v>
      </c>
      <c r="D118" s="1249">
        <v>88743</v>
      </c>
      <c r="E118" s="1249">
        <v>34904</v>
      </c>
      <c r="F118" s="1249">
        <v>498</v>
      </c>
      <c r="G118" s="1249">
        <v>40317</v>
      </c>
      <c r="H118" s="1249">
        <f t="shared" si="5"/>
        <v>164462</v>
      </c>
      <c r="I118" s="1250">
        <f t="shared" si="6"/>
        <v>119841.5</v>
      </c>
      <c r="J118" s="1250">
        <f t="shared" si="7"/>
        <v>44620.5</v>
      </c>
      <c r="K118" s="1251">
        <f t="shared" si="8"/>
        <v>164462</v>
      </c>
    </row>
    <row r="119" spans="1:11" ht="15">
      <c r="A119" s="1237" t="s">
        <v>196</v>
      </c>
      <c r="B119" s="1238" t="s">
        <v>312</v>
      </c>
      <c r="C119" s="1238" t="s">
        <v>266</v>
      </c>
      <c r="D119" s="1249">
        <v>4967181</v>
      </c>
      <c r="E119" s="1249">
        <v>67480</v>
      </c>
      <c r="F119" s="1249">
        <v>45158</v>
      </c>
      <c r="G119" s="1249">
        <v>2459807</v>
      </c>
      <c r="H119" s="1249">
        <f t="shared" si="5"/>
        <v>7539626</v>
      </c>
      <c r="I119" s="1250">
        <f t="shared" si="6"/>
        <v>5033456.5</v>
      </c>
      <c r="J119" s="1250">
        <f t="shared" si="7"/>
        <v>2506169.5</v>
      </c>
      <c r="K119" s="1251">
        <f t="shared" si="8"/>
        <v>7539626</v>
      </c>
    </row>
    <row r="120" spans="1:11" ht="15">
      <c r="A120" s="1237" t="s">
        <v>200</v>
      </c>
      <c r="B120" s="1238" t="s">
        <v>313</v>
      </c>
      <c r="C120" s="1238" t="s">
        <v>265</v>
      </c>
      <c r="D120" s="1249">
        <v>1825998</v>
      </c>
      <c r="E120" s="1249">
        <v>319594</v>
      </c>
      <c r="F120" s="1249">
        <v>259549</v>
      </c>
      <c r="G120" s="1249">
        <v>971698</v>
      </c>
      <c r="H120" s="1249">
        <f t="shared" si="5"/>
        <v>3376839</v>
      </c>
      <c r="I120" s="1250">
        <f t="shared" si="6"/>
        <v>2334065.5</v>
      </c>
      <c r="J120" s="1250">
        <f t="shared" si="7"/>
        <v>1042773.5</v>
      </c>
      <c r="K120" s="1251">
        <f t="shared" si="8"/>
        <v>3376839</v>
      </c>
    </row>
    <row r="121" spans="1:11" ht="15">
      <c r="A121" s="1237" t="s">
        <v>222</v>
      </c>
      <c r="B121" s="1238" t="s">
        <v>223</v>
      </c>
      <c r="C121" s="1238" t="s">
        <v>264</v>
      </c>
      <c r="D121" s="1249">
        <v>261865</v>
      </c>
      <c r="E121" s="1249">
        <v>24522</v>
      </c>
      <c r="F121" s="1249">
        <v>483</v>
      </c>
      <c r="G121" s="1249">
        <v>320029</v>
      </c>
      <c r="H121" s="1249">
        <f t="shared" si="5"/>
        <v>606899</v>
      </c>
      <c r="I121" s="1250">
        <f t="shared" si="6"/>
        <v>475725</v>
      </c>
      <c r="J121" s="1250">
        <f t="shared" si="7"/>
        <v>131174</v>
      </c>
      <c r="K121" s="1251">
        <f t="shared" si="8"/>
        <v>606899</v>
      </c>
    </row>
    <row r="122" spans="1:11" ht="15">
      <c r="A122" s="1237" t="s">
        <v>230</v>
      </c>
      <c r="B122" s="1238" t="s">
        <v>231</v>
      </c>
      <c r="C122" s="1238" t="s">
        <v>264</v>
      </c>
      <c r="D122" s="1249">
        <v>1869497</v>
      </c>
      <c r="E122" s="1249">
        <v>36813</v>
      </c>
      <c r="F122" s="1249">
        <v>421828</v>
      </c>
      <c r="G122" s="1249">
        <v>3568008</v>
      </c>
      <c r="H122" s="1249">
        <f t="shared" si="5"/>
        <v>5896146</v>
      </c>
      <c r="I122" s="1250">
        <f t="shared" si="6"/>
        <v>4750483.5</v>
      </c>
      <c r="J122" s="1250">
        <f t="shared" si="7"/>
        <v>1145662.5</v>
      </c>
      <c r="K122" s="1251">
        <f t="shared" si="8"/>
        <v>5896146</v>
      </c>
    </row>
    <row r="123" spans="1:11" ht="15">
      <c r="A123" s="1237" t="s">
        <v>238</v>
      </c>
      <c r="B123" s="1238" t="s">
        <v>239</v>
      </c>
      <c r="C123" s="1238" t="s">
        <v>264</v>
      </c>
      <c r="D123" s="1249">
        <v>82754</v>
      </c>
      <c r="E123" s="1249">
        <v>31874</v>
      </c>
      <c r="F123" s="1249">
        <v>240</v>
      </c>
      <c r="G123" s="1249">
        <v>83156</v>
      </c>
      <c r="H123" s="1249">
        <f t="shared" si="5"/>
        <v>198024</v>
      </c>
      <c r="I123" s="1250">
        <f t="shared" si="6"/>
        <v>156527</v>
      </c>
      <c r="J123" s="1250">
        <f t="shared" si="7"/>
        <v>41497</v>
      </c>
      <c r="K123" s="1251">
        <f t="shared" si="8"/>
        <v>198024</v>
      </c>
    </row>
    <row r="124" spans="1:11" ht="15">
      <c r="A124" s="1237" t="s">
        <v>240</v>
      </c>
      <c r="B124" s="1238" t="s">
        <v>241</v>
      </c>
      <c r="C124" s="1238" t="s">
        <v>267</v>
      </c>
      <c r="D124" s="1249">
        <v>243047</v>
      </c>
      <c r="E124" s="1249">
        <v>5169</v>
      </c>
      <c r="F124" s="1249">
        <v>10654</v>
      </c>
      <c r="G124" s="1249">
        <v>167485</v>
      </c>
      <c r="H124" s="1249">
        <f t="shared" si="5"/>
        <v>426355</v>
      </c>
      <c r="I124" s="1250">
        <f t="shared" si="6"/>
        <v>299504.5</v>
      </c>
      <c r="J124" s="1250">
        <f t="shared" si="7"/>
        <v>126850.5</v>
      </c>
      <c r="K124" s="1251">
        <f t="shared" si="8"/>
        <v>426355</v>
      </c>
    </row>
    <row r="127" spans="1:11">
      <c r="A127" s="403" t="s">
        <v>823</v>
      </c>
      <c r="B127" s="742"/>
    </row>
    <row r="128" spans="1:11">
      <c r="A128" s="403"/>
      <c r="B128" s="403"/>
    </row>
    <row r="129" spans="1:2">
      <c r="A129" s="428" t="s">
        <v>248</v>
      </c>
      <c r="B129" s="428"/>
    </row>
    <row r="130" spans="1:2">
      <c r="A130" s="429" t="s">
        <v>249</v>
      </c>
      <c r="B130" s="430" t="s">
        <v>250</v>
      </c>
    </row>
  </sheetData>
  <hyperlinks>
    <hyperlink ref="B130" r:id="rId1"/>
  </hyperlinks>
  <pageMargins left="0.7" right="0.7" top="0.75" bottom="0.75" header="0.3" footer="0.3"/>
</worksheet>
</file>

<file path=xl/worksheets/sheet55.xml><?xml version="1.0" encoding="utf-8"?>
<worksheet xmlns="http://schemas.openxmlformats.org/spreadsheetml/2006/main" xmlns:r="http://schemas.openxmlformats.org/officeDocument/2006/relationships">
  <dimension ref="A1:AY129"/>
  <sheetViews>
    <sheetView workbookViewId="0">
      <pane xSplit="3" ySplit="4" topLeftCell="D5" activePane="bottomRight" state="frozen"/>
      <selection pane="topRight" activeCell="D1" sqref="D1"/>
      <selection pane="bottomLeft" activeCell="A6" sqref="A6"/>
      <selection pane="bottomRight" activeCell="I5" sqref="I5"/>
    </sheetView>
  </sheetViews>
  <sheetFormatPr defaultColWidth="13.25" defaultRowHeight="15.75"/>
  <cols>
    <col min="1" max="1" width="13.25" style="271"/>
    <col min="2" max="2" width="35" style="271" customWidth="1"/>
    <col min="3" max="3" width="16.75" style="271" customWidth="1"/>
    <col min="4" max="5" width="13.25" style="271"/>
    <col min="6" max="6" width="15.75" style="271" customWidth="1"/>
    <col min="7" max="9" width="13.25" style="271"/>
    <col min="10" max="11" width="10.75" style="271" customWidth="1"/>
    <col min="12" max="12" width="10.75" style="748" customWidth="1"/>
    <col min="13" max="27" width="13.25" style="748"/>
    <col min="28" max="30" width="11.125" style="748" customWidth="1"/>
    <col min="31" max="51" width="13.25" style="748"/>
    <col min="52" max="16384" width="13.25" style="271"/>
  </cols>
  <sheetData>
    <row r="1" spans="1:51">
      <c r="A1" s="264" t="s">
        <v>1123</v>
      </c>
      <c r="J1" s="834"/>
      <c r="K1" s="834"/>
      <c r="L1" s="834"/>
      <c r="M1" s="834"/>
      <c r="N1" s="834"/>
      <c r="O1" s="834"/>
      <c r="P1" s="834"/>
      <c r="Q1" s="834"/>
      <c r="R1" s="834"/>
      <c r="S1" s="834"/>
      <c r="T1" s="834"/>
      <c r="U1" s="834"/>
      <c r="V1" s="834"/>
      <c r="W1" s="834"/>
      <c r="X1" s="834"/>
      <c r="Y1" s="834"/>
      <c r="Z1" s="834"/>
      <c r="AA1" s="834"/>
      <c r="AB1" s="834"/>
      <c r="AC1" s="834"/>
      <c r="AD1" s="834"/>
      <c r="AE1" s="834"/>
      <c r="AF1" s="834"/>
      <c r="AG1" s="834"/>
      <c r="AH1" s="834"/>
      <c r="AI1" s="834"/>
      <c r="AJ1" s="834"/>
      <c r="AK1" s="834"/>
      <c r="AL1" s="834"/>
      <c r="AM1" s="834"/>
      <c r="AN1" s="834"/>
      <c r="AO1" s="834"/>
      <c r="AP1" s="834"/>
      <c r="AQ1" s="834"/>
      <c r="AR1" s="834"/>
      <c r="AS1" s="834"/>
      <c r="AT1" s="834"/>
      <c r="AU1" s="834"/>
      <c r="AV1" s="834"/>
      <c r="AW1" s="834"/>
      <c r="AX1" s="834"/>
      <c r="AY1" s="834"/>
    </row>
    <row r="2" spans="1:51">
      <c r="B2" s="835"/>
      <c r="C2" s="961"/>
      <c r="J2" s="834"/>
      <c r="K2" s="834"/>
      <c r="L2" s="834"/>
      <c r="M2" s="834"/>
      <c r="N2" s="834"/>
      <c r="O2" s="834"/>
      <c r="P2" s="834"/>
      <c r="Q2" s="834"/>
      <c r="R2" s="834"/>
      <c r="S2" s="834"/>
      <c r="T2" s="834"/>
      <c r="U2" s="834"/>
      <c r="V2" s="834"/>
      <c r="W2" s="834"/>
      <c r="X2" s="834"/>
      <c r="Y2" s="834"/>
      <c r="Z2" s="834"/>
      <c r="AA2" s="834"/>
      <c r="AB2" s="834"/>
      <c r="AC2" s="834"/>
      <c r="AD2" s="834"/>
      <c r="AE2" s="834"/>
      <c r="AF2" s="834"/>
      <c r="AG2" s="834"/>
      <c r="AH2" s="834"/>
      <c r="AI2" s="834"/>
      <c r="AJ2" s="834"/>
      <c r="AK2" s="834"/>
      <c r="AL2" s="834"/>
      <c r="AM2" s="834"/>
      <c r="AN2" s="834"/>
      <c r="AO2" s="834"/>
      <c r="AP2" s="834"/>
      <c r="AQ2" s="834"/>
      <c r="AR2" s="834"/>
      <c r="AS2" s="834"/>
      <c r="AT2" s="834"/>
      <c r="AU2" s="834"/>
      <c r="AV2" s="834"/>
      <c r="AW2" s="834"/>
      <c r="AX2" s="834"/>
      <c r="AY2" s="834"/>
    </row>
    <row r="3" spans="1:51" s="748" customFormat="1" ht="30">
      <c r="A3" s="1204" t="s">
        <v>4</v>
      </c>
      <c r="B3" s="1204" t="s">
        <v>5</v>
      </c>
      <c r="C3" s="1205" t="s">
        <v>251</v>
      </c>
      <c r="D3" s="1206" t="s">
        <v>314</v>
      </c>
      <c r="E3" s="1207" t="s">
        <v>315</v>
      </c>
      <c r="F3" s="1207" t="s">
        <v>316</v>
      </c>
      <c r="G3" s="1207" t="s">
        <v>304</v>
      </c>
      <c r="H3" s="1208" t="s">
        <v>1043</v>
      </c>
      <c r="I3" s="1566" t="s">
        <v>281</v>
      </c>
      <c r="J3" s="1209" t="s">
        <v>431</v>
      </c>
      <c r="K3" s="1210" t="s">
        <v>432</v>
      </c>
      <c r="L3" s="1210" t="s">
        <v>433</v>
      </c>
      <c r="M3" s="1210" t="s">
        <v>1117</v>
      </c>
      <c r="N3" s="1210" t="s">
        <v>1118</v>
      </c>
      <c r="O3" s="1581" t="s">
        <v>434</v>
      </c>
      <c r="P3" s="1209" t="s">
        <v>417</v>
      </c>
      <c r="Q3" s="1210" t="s">
        <v>418</v>
      </c>
      <c r="R3" s="1210" t="s">
        <v>419</v>
      </c>
      <c r="S3" s="1210" t="s">
        <v>1067</v>
      </c>
      <c r="T3" s="1210" t="s">
        <v>1186</v>
      </c>
      <c r="U3" s="1580" t="s">
        <v>420</v>
      </c>
      <c r="V3" s="1602" t="s">
        <v>421</v>
      </c>
      <c r="W3" s="1210" t="s">
        <v>422</v>
      </c>
      <c r="X3" s="1210" t="s">
        <v>423</v>
      </c>
      <c r="Y3" s="1210" t="s">
        <v>1062</v>
      </c>
      <c r="Z3" s="1210" t="s">
        <v>1187</v>
      </c>
      <c r="AA3" s="1580" t="s">
        <v>424</v>
      </c>
      <c r="AB3" s="1209" t="s">
        <v>435</v>
      </c>
      <c r="AC3" s="1210" t="s">
        <v>436</v>
      </c>
      <c r="AD3" s="1210" t="s">
        <v>437</v>
      </c>
      <c r="AE3" s="1210" t="s">
        <v>1119</v>
      </c>
      <c r="AF3" s="1210" t="s">
        <v>1120</v>
      </c>
      <c r="AG3" s="1580" t="s">
        <v>438</v>
      </c>
      <c r="AH3" s="1209" t="s">
        <v>439</v>
      </c>
      <c r="AI3" s="1210" t="s">
        <v>440</v>
      </c>
      <c r="AJ3" s="1210" t="s">
        <v>441</v>
      </c>
      <c r="AK3" s="1210" t="s">
        <v>1121</v>
      </c>
      <c r="AL3" s="1210" t="s">
        <v>1122</v>
      </c>
      <c r="AM3" s="1580" t="s">
        <v>442</v>
      </c>
      <c r="AN3" s="1209" t="s">
        <v>425</v>
      </c>
      <c r="AO3" s="1210" t="s">
        <v>426</v>
      </c>
      <c r="AP3" s="1210" t="s">
        <v>427</v>
      </c>
      <c r="AQ3" s="1210" t="s">
        <v>1063</v>
      </c>
      <c r="AR3" s="1210" t="s">
        <v>1064</v>
      </c>
      <c r="AS3" s="1580" t="s">
        <v>428</v>
      </c>
      <c r="AT3" s="1209" t="s">
        <v>429</v>
      </c>
      <c r="AU3" s="1210" t="s">
        <v>430</v>
      </c>
      <c r="AV3" s="1210" t="s">
        <v>415</v>
      </c>
      <c r="AW3" s="1210" t="s">
        <v>1065</v>
      </c>
      <c r="AX3" s="1210" t="s">
        <v>1066</v>
      </c>
      <c r="AY3" s="1580" t="s">
        <v>416</v>
      </c>
    </row>
    <row r="4" spans="1:51" s="748" customFormat="1">
      <c r="A4" s="1211">
        <v>999</v>
      </c>
      <c r="B4" s="1211" t="s">
        <v>9</v>
      </c>
      <c r="C4" s="1212"/>
      <c r="D4" s="1563">
        <f t="shared" ref="D4:N4" si="0">SUM(D5:D124)</f>
        <v>3973201.7499999986</v>
      </c>
      <c r="E4" s="1563">
        <f t="shared" si="0"/>
        <v>22470937.139999997</v>
      </c>
      <c r="F4" s="1563">
        <f t="shared" si="0"/>
        <v>5815951.2299999977</v>
      </c>
      <c r="G4" s="1565">
        <f t="shared" si="0"/>
        <v>1325253.3899999997</v>
      </c>
      <c r="H4" s="1565">
        <f t="shared" si="0"/>
        <v>7141204.620000001</v>
      </c>
      <c r="I4" s="1565">
        <f t="shared" si="0"/>
        <v>33585343.50999999</v>
      </c>
      <c r="J4" s="1563">
        <f t="shared" si="0"/>
        <v>0</v>
      </c>
      <c r="K4" s="1213">
        <f t="shared" si="0"/>
        <v>22130602.169999998</v>
      </c>
      <c r="L4" s="1213">
        <f t="shared" si="0"/>
        <v>5532650.5</v>
      </c>
      <c r="M4" s="1213">
        <f t="shared" si="0"/>
        <v>2264.3900000000003</v>
      </c>
      <c r="N4" s="1213">
        <f t="shared" si="0"/>
        <v>18672</v>
      </c>
      <c r="O4" s="1214">
        <f t="shared" ref="O4:AM4" si="1">SUM(O5:O124)</f>
        <v>27684189.060000002</v>
      </c>
      <c r="P4" s="1603">
        <f t="shared" si="1"/>
        <v>-138638.60999999999</v>
      </c>
      <c r="Q4" s="1601">
        <f t="shared" si="1"/>
        <v>-133201.71999999997</v>
      </c>
      <c r="R4" s="1601">
        <f t="shared" si="1"/>
        <v>0</v>
      </c>
      <c r="S4" s="1601">
        <f t="shared" si="1"/>
        <v>9122.6800000000021</v>
      </c>
      <c r="T4" s="1601">
        <f t="shared" si="1"/>
        <v>0</v>
      </c>
      <c r="U4" s="1604">
        <f t="shared" si="1"/>
        <v>-262717.65000000002</v>
      </c>
      <c r="V4" s="1604">
        <f t="shared" si="1"/>
        <v>4319.5600000000004</v>
      </c>
      <c r="W4" s="1604">
        <f t="shared" si="1"/>
        <v>4150.16</v>
      </c>
      <c r="X4" s="1604">
        <f t="shared" si="1"/>
        <v>0</v>
      </c>
      <c r="Y4" s="1604">
        <f t="shared" si="1"/>
        <v>2766.5</v>
      </c>
      <c r="Z4" s="1604">
        <f t="shared" si="1"/>
        <v>164</v>
      </c>
      <c r="AA4" s="1604">
        <f t="shared" si="1"/>
        <v>11400.219999999998</v>
      </c>
      <c r="AB4" s="1582">
        <f t="shared" si="1"/>
        <v>0</v>
      </c>
      <c r="AC4" s="1216">
        <f t="shared" si="1"/>
        <v>472167.66000000003</v>
      </c>
      <c r="AD4" s="1216">
        <f t="shared" si="1"/>
        <v>283300.73</v>
      </c>
      <c r="AE4" s="1216">
        <f t="shared" si="1"/>
        <v>1159409.5399999998</v>
      </c>
      <c r="AF4" s="1216">
        <f t="shared" si="1"/>
        <v>120722.66999999998</v>
      </c>
      <c r="AG4" s="1217">
        <f t="shared" si="1"/>
        <v>2035600.5999999999</v>
      </c>
      <c r="AH4" s="1215">
        <f t="shared" si="1"/>
        <v>969249.2</v>
      </c>
      <c r="AI4" s="1583">
        <f t="shared" si="1"/>
        <v>0</v>
      </c>
      <c r="AJ4" s="1583">
        <f t="shared" si="1"/>
        <v>0</v>
      </c>
      <c r="AK4" s="1216">
        <f t="shared" si="1"/>
        <v>-5525</v>
      </c>
      <c r="AL4" s="1216">
        <f t="shared" si="1"/>
        <v>8631</v>
      </c>
      <c r="AM4" s="1217">
        <f t="shared" si="1"/>
        <v>972355.2</v>
      </c>
      <c r="AN4" s="1611">
        <f t="shared" ref="AN4:AS4" si="2">SUM(AN5:AN124)</f>
        <v>0</v>
      </c>
      <c r="AO4" s="1612">
        <f t="shared" si="2"/>
        <v>-10513.68</v>
      </c>
      <c r="AP4" s="1612">
        <f t="shared" si="2"/>
        <v>0</v>
      </c>
      <c r="AQ4" s="1612">
        <f t="shared" si="2"/>
        <v>8233</v>
      </c>
      <c r="AR4" s="1612">
        <f t="shared" si="2"/>
        <v>0</v>
      </c>
      <c r="AS4" s="1217">
        <f t="shared" si="2"/>
        <v>-2280.6800000000007</v>
      </c>
      <c r="AT4" s="1611">
        <f t="shared" ref="AT4:AY4" si="3">SUM(AT5:AT124)</f>
        <v>3138271.5999999996</v>
      </c>
      <c r="AU4" s="1612">
        <f t="shared" si="3"/>
        <v>7732.55</v>
      </c>
      <c r="AV4" s="1612">
        <f t="shared" si="3"/>
        <v>0</v>
      </c>
      <c r="AW4" s="1612">
        <f t="shared" si="3"/>
        <v>792.61</v>
      </c>
      <c r="AX4" s="1612">
        <f t="shared" si="3"/>
        <v>0</v>
      </c>
      <c r="AY4" s="1217">
        <f t="shared" si="3"/>
        <v>3146796.7600000002</v>
      </c>
    </row>
    <row r="5" spans="1:51" s="874" customFormat="1">
      <c r="A5" s="1218" t="s">
        <v>10</v>
      </c>
      <c r="B5" s="1218" t="s">
        <v>11</v>
      </c>
      <c r="C5" s="1162" t="s">
        <v>264</v>
      </c>
      <c r="D5" s="1562">
        <f>J5+P5+V5+AB5+AH5+AN5+AT5</f>
        <v>-3075.26</v>
      </c>
      <c r="E5" s="1562">
        <f>K5+Q5+W5+AC5+AI5+AO5+AU5</f>
        <v>149050.95000000001</v>
      </c>
      <c r="F5" s="1562">
        <f>L5+R5+X5+AD5+AJ5+AP5+AV5</f>
        <v>38001.4</v>
      </c>
      <c r="G5" s="1564">
        <f>M5+N5+S5+T5+Y5+Z5+AE5+AF5+AK5+AL5+AQ5+AR5+AW5+AX5</f>
        <v>0</v>
      </c>
      <c r="H5" s="1567">
        <f>F5+G5</f>
        <v>38001.4</v>
      </c>
      <c r="I5" s="1568">
        <f>SUM(D5:G5)</f>
        <v>183977.09</v>
      </c>
      <c r="J5" s="1219">
        <v>0</v>
      </c>
      <c r="K5" s="1219">
        <v>152005.6</v>
      </c>
      <c r="L5" s="1219">
        <v>38001.4</v>
      </c>
      <c r="M5" s="1219">
        <v>0</v>
      </c>
      <c r="N5" s="1219">
        <v>0</v>
      </c>
      <c r="O5" s="1220">
        <f>SUM(J5:N5)</f>
        <v>190007</v>
      </c>
      <c r="P5" s="1605">
        <v>-3075.26</v>
      </c>
      <c r="Q5" s="1600">
        <v>-2954.65</v>
      </c>
      <c r="R5" s="1600">
        <v>0</v>
      </c>
      <c r="S5" s="1600">
        <v>0</v>
      </c>
      <c r="T5" s="1600">
        <v>0</v>
      </c>
      <c r="U5" s="1606">
        <f>SUM(P5:T5)</f>
        <v>-6029.91</v>
      </c>
      <c r="V5" s="1600"/>
      <c r="W5" s="1600"/>
      <c r="X5" s="1600"/>
      <c r="Y5" s="1600"/>
      <c r="Z5" s="1600"/>
      <c r="AA5" s="1600">
        <f>SUM(V5:Z5)</f>
        <v>0</v>
      </c>
      <c r="AB5" s="1198"/>
      <c r="AC5" s="1199"/>
      <c r="AD5" s="1199"/>
      <c r="AE5" s="1199"/>
      <c r="AF5" s="1199"/>
      <c r="AG5" s="1200">
        <f>SUM(AB5:AF5)</f>
        <v>0</v>
      </c>
      <c r="AH5" s="1201"/>
      <c r="AI5" s="1202"/>
      <c r="AJ5" s="1202"/>
      <c r="AK5" s="1202"/>
      <c r="AL5" s="1202"/>
      <c r="AM5" s="1203">
        <f>SUM(AH5:AL5)</f>
        <v>0</v>
      </c>
      <c r="AN5" s="1201"/>
      <c r="AO5" s="1202"/>
      <c r="AP5" s="1202"/>
      <c r="AQ5" s="1202"/>
      <c r="AR5" s="1202"/>
      <c r="AS5" s="1203">
        <f>SUM(AN5:AR5)</f>
        <v>0</v>
      </c>
      <c r="AT5" s="1201"/>
      <c r="AU5" s="1202"/>
      <c r="AV5" s="1202"/>
      <c r="AW5" s="1202"/>
      <c r="AX5" s="1202"/>
      <c r="AY5" s="1203">
        <f>SUM(AT5:AX5)</f>
        <v>0</v>
      </c>
    </row>
    <row r="6" spans="1:51" s="874" customFormat="1">
      <c r="A6" s="1218" t="s">
        <v>12</v>
      </c>
      <c r="B6" s="1218" t="s">
        <v>13</v>
      </c>
      <c r="C6" s="1162" t="s">
        <v>265</v>
      </c>
      <c r="D6" s="1562">
        <f t="shared" ref="D6:D69" si="4">J6+P6+V6+AB6+AH6+AN6+AT6</f>
        <v>16942</v>
      </c>
      <c r="E6" s="1562">
        <f t="shared" ref="E6:E69" si="5">K6+Q6+W6+AC6+AI6+AO6+AU6</f>
        <v>159273.56</v>
      </c>
      <c r="F6" s="1562">
        <f t="shared" ref="F6:F69" si="6">L6+R6+X6+AD6+AJ6+AP6+AV6</f>
        <v>40229.56</v>
      </c>
      <c r="G6" s="1564">
        <f t="shared" ref="G6:G69" si="7">M6+N6+S6+T6+Y6+Z6+AE6+AF6+AK6+AL6+AQ6+AR6+AW6+AX6</f>
        <v>-0.12</v>
      </c>
      <c r="H6" s="1567">
        <f t="shared" ref="H6:H69" si="8">F6+G6</f>
        <v>40229.439999999995</v>
      </c>
      <c r="I6" s="1568">
        <f t="shared" ref="I6:I69" si="9">SUM(D6:G6)</f>
        <v>216445</v>
      </c>
      <c r="J6" s="1219">
        <v>0</v>
      </c>
      <c r="K6" s="1219">
        <v>158116</v>
      </c>
      <c r="L6" s="1219">
        <v>39529</v>
      </c>
      <c r="M6" s="1219">
        <v>0</v>
      </c>
      <c r="N6" s="1219">
        <v>0</v>
      </c>
      <c r="O6" s="1220">
        <f t="shared" ref="O6:O69" si="10">SUM(J6:N6)</f>
        <v>197645</v>
      </c>
      <c r="P6" s="1607"/>
      <c r="Q6" s="1600"/>
      <c r="R6" s="1600"/>
      <c r="S6" s="1600"/>
      <c r="T6" s="1600"/>
      <c r="U6" s="1606">
        <f t="shared" ref="U6:U69" si="11">SUM(P6:T6)</f>
        <v>0</v>
      </c>
      <c r="V6" s="1600"/>
      <c r="W6" s="1600"/>
      <c r="X6" s="1600"/>
      <c r="Y6" s="1600"/>
      <c r="Z6" s="1600"/>
      <c r="AA6" s="1600">
        <f t="shared" ref="AA6:AA69" si="12">SUM(V6:Z6)</f>
        <v>0</v>
      </c>
      <c r="AB6" s="1201">
        <v>0</v>
      </c>
      <c r="AC6" s="1202">
        <v>1167.56</v>
      </c>
      <c r="AD6" s="1202">
        <v>700.56</v>
      </c>
      <c r="AE6" s="1202">
        <v>-0.12</v>
      </c>
      <c r="AF6" s="1202">
        <v>0</v>
      </c>
      <c r="AG6" s="1200">
        <f t="shared" ref="AG6:AG69" si="13">SUM(AB6:AF6)</f>
        <v>1868</v>
      </c>
      <c r="AH6" s="1201">
        <v>16942</v>
      </c>
      <c r="AI6" s="1202">
        <v>0</v>
      </c>
      <c r="AJ6" s="1202">
        <v>0</v>
      </c>
      <c r="AK6" s="1202">
        <v>0</v>
      </c>
      <c r="AL6" s="1202">
        <v>0</v>
      </c>
      <c r="AM6" s="1203">
        <f t="shared" ref="AM6:AM69" si="14">SUM(AH6:AL6)</f>
        <v>16942</v>
      </c>
      <c r="AN6" s="1201">
        <v>0</v>
      </c>
      <c r="AO6" s="1202">
        <v>-10</v>
      </c>
      <c r="AP6" s="1202">
        <v>0</v>
      </c>
      <c r="AQ6" s="1202">
        <v>0</v>
      </c>
      <c r="AR6" s="1202">
        <v>0</v>
      </c>
      <c r="AS6" s="1203">
        <f t="shared" ref="AS6:AS69" si="15">SUM(AN6:AR6)</f>
        <v>-10</v>
      </c>
      <c r="AT6" s="1201"/>
      <c r="AU6" s="1202"/>
      <c r="AV6" s="1202"/>
      <c r="AW6" s="1202"/>
      <c r="AX6" s="1202"/>
      <c r="AY6" s="1203">
        <f t="shared" ref="AY6:AY69" si="16">SUM(AT6:AX6)</f>
        <v>0</v>
      </c>
    </row>
    <row r="7" spans="1:51" s="874" customFormat="1">
      <c r="A7" s="1218" t="s">
        <v>16</v>
      </c>
      <c r="B7" s="1218" t="s">
        <v>297</v>
      </c>
      <c r="C7" s="1162" t="s">
        <v>265</v>
      </c>
      <c r="D7" s="1562">
        <f t="shared" si="4"/>
        <v>-1491.1399999999999</v>
      </c>
      <c r="E7" s="1562">
        <f t="shared" si="5"/>
        <v>83563.41</v>
      </c>
      <c r="F7" s="1562">
        <f t="shared" si="6"/>
        <v>21249.02</v>
      </c>
      <c r="G7" s="1564">
        <f t="shared" si="7"/>
        <v>411.66</v>
      </c>
      <c r="H7" s="1567">
        <f t="shared" si="8"/>
        <v>21660.68</v>
      </c>
      <c r="I7" s="1568">
        <f t="shared" si="9"/>
        <v>103732.95000000001</v>
      </c>
      <c r="J7" s="1219">
        <v>0</v>
      </c>
      <c r="K7" s="1219">
        <v>84996.06</v>
      </c>
      <c r="L7" s="1219">
        <v>21249.02</v>
      </c>
      <c r="M7" s="1219">
        <v>602</v>
      </c>
      <c r="N7" s="1219">
        <v>0</v>
      </c>
      <c r="O7" s="1220">
        <f t="shared" si="10"/>
        <v>106847.08</v>
      </c>
      <c r="P7" s="1607">
        <v>-1491.1399999999999</v>
      </c>
      <c r="Q7" s="1600">
        <v>-1432.65</v>
      </c>
      <c r="R7" s="1600">
        <v>0</v>
      </c>
      <c r="S7" s="1600">
        <v>-190.33999999999997</v>
      </c>
      <c r="T7" s="1600">
        <v>0</v>
      </c>
      <c r="U7" s="1606">
        <f t="shared" si="11"/>
        <v>-3114.13</v>
      </c>
      <c r="V7" s="1600"/>
      <c r="W7" s="1600"/>
      <c r="X7" s="1600"/>
      <c r="Y7" s="1600"/>
      <c r="Z7" s="1600"/>
      <c r="AA7" s="1600">
        <f t="shared" si="12"/>
        <v>0</v>
      </c>
      <c r="AB7" s="1198"/>
      <c r="AC7" s="1199"/>
      <c r="AD7" s="1199"/>
      <c r="AE7" s="1199"/>
      <c r="AF7" s="1199"/>
      <c r="AG7" s="1200">
        <f t="shared" si="13"/>
        <v>0</v>
      </c>
      <c r="AH7" s="1198"/>
      <c r="AI7" s="1199"/>
      <c r="AJ7" s="1199"/>
      <c r="AK7" s="1199"/>
      <c r="AL7" s="1199"/>
      <c r="AM7" s="1203">
        <f t="shared" si="14"/>
        <v>0</v>
      </c>
      <c r="AN7" s="1198"/>
      <c r="AO7" s="1199"/>
      <c r="AP7" s="1199"/>
      <c r="AQ7" s="1199"/>
      <c r="AR7" s="1199"/>
      <c r="AS7" s="1203">
        <f t="shared" si="15"/>
        <v>0</v>
      </c>
      <c r="AT7" s="1198"/>
      <c r="AU7" s="1199"/>
      <c r="AV7" s="1199"/>
      <c r="AW7" s="1199"/>
      <c r="AX7" s="1199"/>
      <c r="AY7" s="1203">
        <f t="shared" si="16"/>
        <v>0</v>
      </c>
    </row>
    <row r="8" spans="1:51" s="874" customFormat="1">
      <c r="A8" s="1218" t="s">
        <v>18</v>
      </c>
      <c r="B8" s="1218" t="s">
        <v>19</v>
      </c>
      <c r="C8" s="1162" t="s">
        <v>266</v>
      </c>
      <c r="D8" s="1562">
        <f t="shared" si="4"/>
        <v>0</v>
      </c>
      <c r="E8" s="1562">
        <f t="shared" si="5"/>
        <v>67391.199999999997</v>
      </c>
      <c r="F8" s="1562">
        <f t="shared" si="6"/>
        <v>16847.8</v>
      </c>
      <c r="G8" s="1564">
        <f t="shared" si="7"/>
        <v>0</v>
      </c>
      <c r="H8" s="1567">
        <f t="shared" si="8"/>
        <v>16847.8</v>
      </c>
      <c r="I8" s="1568">
        <f t="shared" si="9"/>
        <v>84239</v>
      </c>
      <c r="J8" s="1219">
        <v>0</v>
      </c>
      <c r="K8" s="1219">
        <v>67391.199999999997</v>
      </c>
      <c r="L8" s="1219">
        <v>16847.8</v>
      </c>
      <c r="M8" s="1219">
        <v>0</v>
      </c>
      <c r="N8" s="1219">
        <v>0</v>
      </c>
      <c r="O8" s="1220">
        <f t="shared" si="10"/>
        <v>84239</v>
      </c>
      <c r="P8" s="1607"/>
      <c r="Q8" s="1600"/>
      <c r="R8" s="1600"/>
      <c r="S8" s="1600"/>
      <c r="T8" s="1600"/>
      <c r="U8" s="1606">
        <f t="shared" si="11"/>
        <v>0</v>
      </c>
      <c r="V8" s="1600"/>
      <c r="W8" s="1600"/>
      <c r="X8" s="1600"/>
      <c r="Y8" s="1600"/>
      <c r="Z8" s="1600"/>
      <c r="AA8" s="1600">
        <f t="shared" si="12"/>
        <v>0</v>
      </c>
      <c r="AB8" s="1198"/>
      <c r="AC8" s="1199"/>
      <c r="AD8" s="1199"/>
      <c r="AE8" s="1199"/>
      <c r="AF8" s="1199"/>
      <c r="AG8" s="1200">
        <f t="shared" si="13"/>
        <v>0</v>
      </c>
      <c r="AH8" s="1198"/>
      <c r="AI8" s="1199"/>
      <c r="AJ8" s="1199"/>
      <c r="AK8" s="1199"/>
      <c r="AL8" s="1199"/>
      <c r="AM8" s="1203">
        <f t="shared" si="14"/>
        <v>0</v>
      </c>
      <c r="AN8" s="1198"/>
      <c r="AO8" s="1199"/>
      <c r="AP8" s="1199"/>
      <c r="AQ8" s="1199"/>
      <c r="AR8" s="1199"/>
      <c r="AS8" s="1203">
        <f t="shared" si="15"/>
        <v>0</v>
      </c>
      <c r="AT8" s="1198"/>
      <c r="AU8" s="1199"/>
      <c r="AV8" s="1199"/>
      <c r="AW8" s="1199"/>
      <c r="AX8" s="1199"/>
      <c r="AY8" s="1203">
        <f t="shared" si="16"/>
        <v>0</v>
      </c>
    </row>
    <row r="9" spans="1:51" s="874" customFormat="1">
      <c r="A9" s="1218" t="s">
        <v>20</v>
      </c>
      <c r="B9" s="1218" t="s">
        <v>21</v>
      </c>
      <c r="C9" s="1162" t="s">
        <v>265</v>
      </c>
      <c r="D9" s="1562">
        <f t="shared" si="4"/>
        <v>0</v>
      </c>
      <c r="E9" s="1562">
        <f t="shared" si="5"/>
        <v>101157.6</v>
      </c>
      <c r="F9" s="1562">
        <f t="shared" si="6"/>
        <v>25289.4</v>
      </c>
      <c r="G9" s="1564">
        <f t="shared" si="7"/>
        <v>0</v>
      </c>
      <c r="H9" s="1567">
        <f t="shared" si="8"/>
        <v>25289.4</v>
      </c>
      <c r="I9" s="1568">
        <f t="shared" si="9"/>
        <v>126447</v>
      </c>
      <c r="J9" s="1219">
        <v>0</v>
      </c>
      <c r="K9" s="1219">
        <v>101157.6</v>
      </c>
      <c r="L9" s="1219">
        <v>25289.4</v>
      </c>
      <c r="M9" s="1219">
        <v>0</v>
      </c>
      <c r="N9" s="1219">
        <v>0</v>
      </c>
      <c r="O9" s="1220">
        <f t="shared" si="10"/>
        <v>126447</v>
      </c>
      <c r="P9" s="1607"/>
      <c r="Q9" s="1600"/>
      <c r="R9" s="1600"/>
      <c r="S9" s="1600"/>
      <c r="T9" s="1600"/>
      <c r="U9" s="1606">
        <f t="shared" si="11"/>
        <v>0</v>
      </c>
      <c r="V9" s="1600"/>
      <c r="W9" s="1600"/>
      <c r="X9" s="1600"/>
      <c r="Y9" s="1600"/>
      <c r="Z9" s="1600"/>
      <c r="AA9" s="1600">
        <f t="shared" si="12"/>
        <v>0</v>
      </c>
      <c r="AB9" s="1198"/>
      <c r="AC9" s="1199"/>
      <c r="AD9" s="1199"/>
      <c r="AE9" s="1199"/>
      <c r="AF9" s="1199"/>
      <c r="AG9" s="1200">
        <f t="shared" si="13"/>
        <v>0</v>
      </c>
      <c r="AH9" s="1198"/>
      <c r="AI9" s="1199"/>
      <c r="AJ9" s="1199"/>
      <c r="AK9" s="1199"/>
      <c r="AL9" s="1199"/>
      <c r="AM9" s="1203">
        <f t="shared" si="14"/>
        <v>0</v>
      </c>
      <c r="AN9" s="1198"/>
      <c r="AO9" s="1199"/>
      <c r="AP9" s="1199"/>
      <c r="AQ9" s="1199"/>
      <c r="AR9" s="1199"/>
      <c r="AS9" s="1203">
        <f t="shared" si="15"/>
        <v>0</v>
      </c>
      <c r="AT9" s="1198"/>
      <c r="AU9" s="1199"/>
      <c r="AV9" s="1199"/>
      <c r="AW9" s="1199"/>
      <c r="AX9" s="1199"/>
      <c r="AY9" s="1203">
        <f t="shared" si="16"/>
        <v>0</v>
      </c>
    </row>
    <row r="10" spans="1:51" s="874" customFormat="1">
      <c r="A10" s="1218" t="s">
        <v>22</v>
      </c>
      <c r="B10" s="1218" t="s">
        <v>23</v>
      </c>
      <c r="C10" s="1162" t="s">
        <v>265</v>
      </c>
      <c r="D10" s="1562">
        <f t="shared" si="4"/>
        <v>-87.52000000000001</v>
      </c>
      <c r="E10" s="1562">
        <f t="shared" si="5"/>
        <v>94169.51</v>
      </c>
      <c r="F10" s="1562">
        <f t="shared" si="6"/>
        <v>23563.4</v>
      </c>
      <c r="G10" s="1564">
        <f t="shared" si="7"/>
        <v>0</v>
      </c>
      <c r="H10" s="1567">
        <f t="shared" si="8"/>
        <v>23563.4</v>
      </c>
      <c r="I10" s="1568">
        <f t="shared" si="9"/>
        <v>117645.38999999998</v>
      </c>
      <c r="J10" s="1219">
        <v>0</v>
      </c>
      <c r="K10" s="1219">
        <v>94253.6</v>
      </c>
      <c r="L10" s="1219">
        <v>23563.4</v>
      </c>
      <c r="M10" s="1219">
        <v>0</v>
      </c>
      <c r="N10" s="1219">
        <v>0</v>
      </c>
      <c r="O10" s="1220">
        <f t="shared" si="10"/>
        <v>117817</v>
      </c>
      <c r="P10" s="1607">
        <v>-337.62</v>
      </c>
      <c r="Q10" s="1600">
        <v>-324.38</v>
      </c>
      <c r="R10" s="1600">
        <v>0</v>
      </c>
      <c r="S10" s="1600">
        <v>0</v>
      </c>
      <c r="T10" s="1600">
        <v>0</v>
      </c>
      <c r="U10" s="1606">
        <f t="shared" si="11"/>
        <v>-662</v>
      </c>
      <c r="V10" s="1600">
        <v>250.1</v>
      </c>
      <c r="W10" s="1600">
        <v>240.29</v>
      </c>
      <c r="X10" s="1600">
        <v>0</v>
      </c>
      <c r="Y10" s="1600">
        <v>0</v>
      </c>
      <c r="Z10" s="1600">
        <v>0</v>
      </c>
      <c r="AA10" s="1600">
        <f t="shared" si="12"/>
        <v>490.39</v>
      </c>
      <c r="AB10" s="1198"/>
      <c r="AC10" s="1199"/>
      <c r="AD10" s="1199"/>
      <c r="AE10" s="1199"/>
      <c r="AF10" s="1199"/>
      <c r="AG10" s="1200">
        <f t="shared" si="13"/>
        <v>0</v>
      </c>
      <c r="AH10" s="1198"/>
      <c r="AI10" s="1199"/>
      <c r="AJ10" s="1199"/>
      <c r="AK10" s="1199"/>
      <c r="AL10" s="1199"/>
      <c r="AM10" s="1203">
        <f t="shared" si="14"/>
        <v>0</v>
      </c>
      <c r="AN10" s="1198"/>
      <c r="AO10" s="1199"/>
      <c r="AP10" s="1199"/>
      <c r="AQ10" s="1199"/>
      <c r="AR10" s="1199"/>
      <c r="AS10" s="1203">
        <f t="shared" si="15"/>
        <v>0</v>
      </c>
      <c r="AT10" s="1198"/>
      <c r="AU10" s="1199"/>
      <c r="AV10" s="1199"/>
      <c r="AW10" s="1199"/>
      <c r="AX10" s="1199"/>
      <c r="AY10" s="1203">
        <f t="shared" si="16"/>
        <v>0</v>
      </c>
    </row>
    <row r="11" spans="1:51" s="874" customFormat="1">
      <c r="A11" s="1218" t="s">
        <v>24</v>
      </c>
      <c r="B11" s="1218" t="s">
        <v>25</v>
      </c>
      <c r="C11" s="1162" t="s">
        <v>267</v>
      </c>
      <c r="D11" s="1562">
        <f t="shared" si="4"/>
        <v>161745.92000000001</v>
      </c>
      <c r="E11" s="1562">
        <f t="shared" si="5"/>
        <v>438466.92000000004</v>
      </c>
      <c r="F11" s="1562">
        <f t="shared" si="6"/>
        <v>110417.98</v>
      </c>
      <c r="G11" s="1564">
        <f t="shared" si="7"/>
        <v>471541.93</v>
      </c>
      <c r="H11" s="1567">
        <f t="shared" si="8"/>
        <v>581959.91</v>
      </c>
      <c r="I11" s="1568">
        <f t="shared" si="9"/>
        <v>1182172.75</v>
      </c>
      <c r="J11" s="1219">
        <v>0</v>
      </c>
      <c r="K11" s="1219">
        <v>441672.02</v>
      </c>
      <c r="L11" s="1219">
        <v>110417.98</v>
      </c>
      <c r="M11" s="1219">
        <v>1662.39</v>
      </c>
      <c r="N11" s="1219">
        <v>0</v>
      </c>
      <c r="O11" s="1220">
        <f t="shared" si="10"/>
        <v>553752.39</v>
      </c>
      <c r="P11" s="1607">
        <v>-3335.9</v>
      </c>
      <c r="Q11" s="1600">
        <v>-3205.1</v>
      </c>
      <c r="R11" s="1600">
        <v>0</v>
      </c>
      <c r="S11" s="1600">
        <v>0</v>
      </c>
      <c r="T11" s="1600">
        <v>0</v>
      </c>
      <c r="U11" s="1606">
        <f t="shared" si="11"/>
        <v>-6541</v>
      </c>
      <c r="V11" s="1600"/>
      <c r="W11" s="1600"/>
      <c r="X11" s="1600"/>
      <c r="Y11" s="1600"/>
      <c r="Z11" s="1600"/>
      <c r="AA11" s="1600">
        <f t="shared" si="12"/>
        <v>0</v>
      </c>
      <c r="AB11" s="1201">
        <v>0</v>
      </c>
      <c r="AC11" s="1202">
        <v>0</v>
      </c>
      <c r="AD11" s="1202">
        <v>0</v>
      </c>
      <c r="AE11" s="1202">
        <v>469879.54</v>
      </c>
      <c r="AF11" s="1202">
        <v>0</v>
      </c>
      <c r="AG11" s="1200">
        <f t="shared" si="13"/>
        <v>469879.54</v>
      </c>
      <c r="AH11" s="1201">
        <v>36141</v>
      </c>
      <c r="AI11" s="1202">
        <v>0</v>
      </c>
      <c r="AJ11" s="1202">
        <v>0</v>
      </c>
      <c r="AK11" s="1202">
        <v>0</v>
      </c>
      <c r="AL11" s="1202">
        <v>0</v>
      </c>
      <c r="AM11" s="1203">
        <f t="shared" si="14"/>
        <v>36141</v>
      </c>
      <c r="AN11" s="1201"/>
      <c r="AO11" s="1202"/>
      <c r="AP11" s="1202"/>
      <c r="AQ11" s="1202"/>
      <c r="AR11" s="1202"/>
      <c r="AS11" s="1203">
        <f t="shared" si="15"/>
        <v>0</v>
      </c>
      <c r="AT11" s="1201">
        <v>128940.82</v>
      </c>
      <c r="AU11" s="1202">
        <v>0</v>
      </c>
      <c r="AV11" s="1202">
        <v>0</v>
      </c>
      <c r="AW11" s="1202">
        <v>0</v>
      </c>
      <c r="AX11" s="1202">
        <v>0</v>
      </c>
      <c r="AY11" s="1203">
        <f t="shared" si="16"/>
        <v>128940.82</v>
      </c>
    </row>
    <row r="12" spans="1:51" s="874" customFormat="1">
      <c r="A12" s="1218" t="s">
        <v>26</v>
      </c>
      <c r="B12" s="1218" t="s">
        <v>706</v>
      </c>
      <c r="C12" s="1162" t="s">
        <v>265</v>
      </c>
      <c r="D12" s="1562">
        <f t="shared" si="4"/>
        <v>333562.2</v>
      </c>
      <c r="E12" s="1562">
        <f t="shared" si="5"/>
        <v>377011.97</v>
      </c>
      <c r="F12" s="1562">
        <f t="shared" si="6"/>
        <v>98206.16</v>
      </c>
      <c r="G12" s="1564">
        <f t="shared" si="7"/>
        <v>21910.28</v>
      </c>
      <c r="H12" s="1567">
        <f t="shared" si="8"/>
        <v>120116.44</v>
      </c>
      <c r="I12" s="1568">
        <f t="shared" si="9"/>
        <v>830690.61</v>
      </c>
      <c r="J12" s="1219">
        <v>0</v>
      </c>
      <c r="K12" s="1219">
        <v>366567.23</v>
      </c>
      <c r="L12" s="1219">
        <v>91641.78</v>
      </c>
      <c r="M12" s="1219">
        <v>0</v>
      </c>
      <c r="N12" s="1219">
        <v>0</v>
      </c>
      <c r="O12" s="1220">
        <f t="shared" si="10"/>
        <v>458209.01</v>
      </c>
      <c r="P12" s="1607">
        <v>-2337.56</v>
      </c>
      <c r="Q12" s="1600">
        <v>-2245.89</v>
      </c>
      <c r="R12" s="1600">
        <v>0</v>
      </c>
      <c r="S12" s="1600">
        <v>0</v>
      </c>
      <c r="T12" s="1600">
        <v>0</v>
      </c>
      <c r="U12" s="1606">
        <f t="shared" si="11"/>
        <v>-4583.45</v>
      </c>
      <c r="V12" s="1600"/>
      <c r="W12" s="1600"/>
      <c r="X12" s="1600"/>
      <c r="Y12" s="1600"/>
      <c r="Z12" s="1600"/>
      <c r="AA12" s="1600">
        <f t="shared" si="12"/>
        <v>0</v>
      </c>
      <c r="AB12" s="1201">
        <v>0</v>
      </c>
      <c r="AC12" s="1202">
        <v>10940.630000000001</v>
      </c>
      <c r="AD12" s="1202">
        <v>6564.38</v>
      </c>
      <c r="AE12" s="1202">
        <v>21910.28</v>
      </c>
      <c r="AF12" s="1202">
        <v>0</v>
      </c>
      <c r="AG12" s="1200">
        <f t="shared" si="13"/>
        <v>39415.29</v>
      </c>
      <c r="AH12" s="1201">
        <v>2662</v>
      </c>
      <c r="AI12" s="1202">
        <v>0</v>
      </c>
      <c r="AJ12" s="1202">
        <v>0</v>
      </c>
      <c r="AK12" s="1202">
        <v>0</v>
      </c>
      <c r="AL12" s="1202">
        <v>0</v>
      </c>
      <c r="AM12" s="1203">
        <f t="shared" si="14"/>
        <v>2662</v>
      </c>
      <c r="AN12" s="1201"/>
      <c r="AO12" s="1202"/>
      <c r="AP12" s="1202"/>
      <c r="AQ12" s="1202"/>
      <c r="AR12" s="1202"/>
      <c r="AS12" s="1203">
        <f t="shared" si="15"/>
        <v>0</v>
      </c>
      <c r="AT12" s="1201">
        <v>333237.76000000001</v>
      </c>
      <c r="AU12" s="1202">
        <v>1750</v>
      </c>
      <c r="AV12" s="1202">
        <v>0</v>
      </c>
      <c r="AW12" s="1202">
        <v>0</v>
      </c>
      <c r="AX12" s="1202">
        <v>0</v>
      </c>
      <c r="AY12" s="1203">
        <f t="shared" si="16"/>
        <v>334987.76</v>
      </c>
    </row>
    <row r="13" spans="1:51" s="874" customFormat="1">
      <c r="A13" s="1218" t="s">
        <v>27</v>
      </c>
      <c r="B13" s="1218" t="s">
        <v>28</v>
      </c>
      <c r="C13" s="1162" t="s">
        <v>265</v>
      </c>
      <c r="D13" s="1562">
        <f t="shared" si="4"/>
        <v>0</v>
      </c>
      <c r="E13" s="1562">
        <f t="shared" si="5"/>
        <v>5424.8</v>
      </c>
      <c r="F13" s="1562">
        <f t="shared" si="6"/>
        <v>1356.2</v>
      </c>
      <c r="G13" s="1564">
        <f t="shared" si="7"/>
        <v>0</v>
      </c>
      <c r="H13" s="1567">
        <f t="shared" si="8"/>
        <v>1356.2</v>
      </c>
      <c r="I13" s="1568">
        <f t="shared" si="9"/>
        <v>6781</v>
      </c>
      <c r="J13" s="1219">
        <v>0</v>
      </c>
      <c r="K13" s="1219">
        <v>5424.8</v>
      </c>
      <c r="L13" s="1219">
        <v>1356.2</v>
      </c>
      <c r="M13" s="1219">
        <v>0</v>
      </c>
      <c r="N13" s="1219">
        <v>0</v>
      </c>
      <c r="O13" s="1220">
        <f t="shared" si="10"/>
        <v>6781</v>
      </c>
      <c r="P13" s="1607"/>
      <c r="Q13" s="1600"/>
      <c r="R13" s="1600"/>
      <c r="S13" s="1600"/>
      <c r="T13" s="1600"/>
      <c r="U13" s="1606">
        <f t="shared" si="11"/>
        <v>0</v>
      </c>
      <c r="V13" s="1600"/>
      <c r="W13" s="1600"/>
      <c r="X13" s="1600"/>
      <c r="Y13" s="1600"/>
      <c r="Z13" s="1600"/>
      <c r="AA13" s="1600">
        <f t="shared" si="12"/>
        <v>0</v>
      </c>
      <c r="AB13" s="1198"/>
      <c r="AC13" s="1199"/>
      <c r="AD13" s="1199"/>
      <c r="AE13" s="1199"/>
      <c r="AF13" s="1199"/>
      <c r="AG13" s="1200">
        <f t="shared" si="13"/>
        <v>0</v>
      </c>
      <c r="AH13" s="1198"/>
      <c r="AI13" s="1199"/>
      <c r="AJ13" s="1199"/>
      <c r="AK13" s="1199"/>
      <c r="AL13" s="1199"/>
      <c r="AM13" s="1203">
        <f t="shared" si="14"/>
        <v>0</v>
      </c>
      <c r="AN13" s="1198"/>
      <c r="AO13" s="1199"/>
      <c r="AP13" s="1199"/>
      <c r="AQ13" s="1199"/>
      <c r="AR13" s="1199"/>
      <c r="AS13" s="1203">
        <f t="shared" si="15"/>
        <v>0</v>
      </c>
      <c r="AT13" s="1198"/>
      <c r="AU13" s="1199"/>
      <c r="AV13" s="1199"/>
      <c r="AW13" s="1199"/>
      <c r="AX13" s="1199"/>
      <c r="AY13" s="1203">
        <f t="shared" si="16"/>
        <v>0</v>
      </c>
    </row>
    <row r="14" spans="1:51" s="874" customFormat="1">
      <c r="A14" s="1218" t="s">
        <v>29</v>
      </c>
      <c r="B14" s="1218" t="s">
        <v>1012</v>
      </c>
      <c r="C14" s="1162" t="s">
        <v>265</v>
      </c>
      <c r="D14" s="1562">
        <f t="shared" si="4"/>
        <v>-1377.66</v>
      </c>
      <c r="E14" s="1562">
        <f t="shared" si="5"/>
        <v>181893.97</v>
      </c>
      <c r="F14" s="1562">
        <f t="shared" si="6"/>
        <v>45804.4</v>
      </c>
      <c r="G14" s="1564">
        <f t="shared" si="7"/>
        <v>0</v>
      </c>
      <c r="H14" s="1567">
        <f t="shared" si="8"/>
        <v>45804.4</v>
      </c>
      <c r="I14" s="1568">
        <f t="shared" si="9"/>
        <v>226320.71</v>
      </c>
      <c r="J14" s="1219">
        <v>0</v>
      </c>
      <c r="K14" s="1219">
        <v>183217.6</v>
      </c>
      <c r="L14" s="1219">
        <v>45804.4</v>
      </c>
      <c r="M14" s="1219">
        <v>0</v>
      </c>
      <c r="N14" s="1219">
        <v>0</v>
      </c>
      <c r="O14" s="1220">
        <f t="shared" si="10"/>
        <v>229022</v>
      </c>
      <c r="P14" s="1607">
        <v>-1377.66</v>
      </c>
      <c r="Q14" s="1600">
        <v>-1323.63</v>
      </c>
      <c r="R14" s="1600">
        <v>0</v>
      </c>
      <c r="S14" s="1600">
        <v>0</v>
      </c>
      <c r="T14" s="1600">
        <v>0</v>
      </c>
      <c r="U14" s="1606">
        <f t="shared" si="11"/>
        <v>-2701.29</v>
      </c>
      <c r="V14" s="1600"/>
      <c r="W14" s="1600"/>
      <c r="X14" s="1600"/>
      <c r="Y14" s="1600"/>
      <c r="Z14" s="1600"/>
      <c r="AA14" s="1600">
        <f t="shared" si="12"/>
        <v>0</v>
      </c>
      <c r="AB14" s="1198"/>
      <c r="AC14" s="1199"/>
      <c r="AD14" s="1199"/>
      <c r="AE14" s="1199"/>
      <c r="AF14" s="1199"/>
      <c r="AG14" s="1200">
        <f t="shared" si="13"/>
        <v>0</v>
      </c>
      <c r="AH14" s="1198"/>
      <c r="AI14" s="1199"/>
      <c r="AJ14" s="1199"/>
      <c r="AK14" s="1199"/>
      <c r="AL14" s="1199"/>
      <c r="AM14" s="1203">
        <f t="shared" si="14"/>
        <v>0</v>
      </c>
      <c r="AN14" s="1198"/>
      <c r="AO14" s="1199"/>
      <c r="AP14" s="1199"/>
      <c r="AQ14" s="1199"/>
      <c r="AR14" s="1199"/>
      <c r="AS14" s="1203">
        <f t="shared" si="15"/>
        <v>0</v>
      </c>
      <c r="AT14" s="1198"/>
      <c r="AU14" s="1199"/>
      <c r="AV14" s="1199"/>
      <c r="AW14" s="1199"/>
      <c r="AX14" s="1199"/>
      <c r="AY14" s="1203">
        <f t="shared" si="16"/>
        <v>0</v>
      </c>
    </row>
    <row r="15" spans="1:51" s="874" customFormat="1">
      <c r="A15" s="1218" t="s">
        <v>30</v>
      </c>
      <c r="B15" s="1218" t="s">
        <v>31</v>
      </c>
      <c r="C15" s="1162" t="s">
        <v>268</v>
      </c>
      <c r="D15" s="1562">
        <f t="shared" si="4"/>
        <v>-10.199999999999999</v>
      </c>
      <c r="E15" s="1562">
        <f t="shared" si="5"/>
        <v>8847.8000000000011</v>
      </c>
      <c r="F15" s="1562">
        <f t="shared" si="6"/>
        <v>2214.4</v>
      </c>
      <c r="G15" s="1564">
        <f t="shared" si="7"/>
        <v>0</v>
      </c>
      <c r="H15" s="1567">
        <f t="shared" si="8"/>
        <v>2214.4</v>
      </c>
      <c r="I15" s="1568">
        <f t="shared" si="9"/>
        <v>11052</v>
      </c>
      <c r="J15" s="1219">
        <v>0</v>
      </c>
      <c r="K15" s="1219">
        <v>8857.6</v>
      </c>
      <c r="L15" s="1219">
        <v>2214.4</v>
      </c>
      <c r="M15" s="1219">
        <v>0</v>
      </c>
      <c r="N15" s="1219">
        <v>0</v>
      </c>
      <c r="O15" s="1220">
        <f t="shared" si="10"/>
        <v>11072</v>
      </c>
      <c r="P15" s="1607">
        <v>-10.199999999999999</v>
      </c>
      <c r="Q15" s="1600">
        <v>-9.8000000000000007</v>
      </c>
      <c r="R15" s="1600">
        <v>0</v>
      </c>
      <c r="S15" s="1600">
        <v>0</v>
      </c>
      <c r="T15" s="1600">
        <v>0</v>
      </c>
      <c r="U15" s="1606">
        <f t="shared" si="11"/>
        <v>-20</v>
      </c>
      <c r="V15" s="1600"/>
      <c r="W15" s="1600"/>
      <c r="X15" s="1600"/>
      <c r="Y15" s="1600"/>
      <c r="Z15" s="1600"/>
      <c r="AA15" s="1600">
        <f t="shared" si="12"/>
        <v>0</v>
      </c>
      <c r="AB15" s="1198"/>
      <c r="AC15" s="1199"/>
      <c r="AD15" s="1199"/>
      <c r="AE15" s="1199"/>
      <c r="AF15" s="1199"/>
      <c r="AG15" s="1200">
        <f t="shared" si="13"/>
        <v>0</v>
      </c>
      <c r="AH15" s="1198"/>
      <c r="AI15" s="1199"/>
      <c r="AJ15" s="1199"/>
      <c r="AK15" s="1199"/>
      <c r="AL15" s="1199"/>
      <c r="AM15" s="1203">
        <f t="shared" si="14"/>
        <v>0</v>
      </c>
      <c r="AN15" s="1198"/>
      <c r="AO15" s="1199"/>
      <c r="AP15" s="1199"/>
      <c r="AQ15" s="1199"/>
      <c r="AR15" s="1199"/>
      <c r="AS15" s="1203">
        <f t="shared" si="15"/>
        <v>0</v>
      </c>
      <c r="AT15" s="1198"/>
      <c r="AU15" s="1199"/>
      <c r="AV15" s="1199"/>
      <c r="AW15" s="1199"/>
      <c r="AX15" s="1199"/>
      <c r="AY15" s="1203">
        <f t="shared" si="16"/>
        <v>0</v>
      </c>
    </row>
    <row r="16" spans="1:51" s="874" customFormat="1">
      <c r="A16" s="1218" t="s">
        <v>32</v>
      </c>
      <c r="B16" s="1218" t="s">
        <v>33</v>
      </c>
      <c r="C16" s="1162" t="s">
        <v>265</v>
      </c>
      <c r="D16" s="1562">
        <f t="shared" si="4"/>
        <v>0</v>
      </c>
      <c r="E16" s="1562">
        <f t="shared" si="5"/>
        <v>85232</v>
      </c>
      <c r="F16" s="1562">
        <f t="shared" si="6"/>
        <v>21308</v>
      </c>
      <c r="G16" s="1564">
        <f t="shared" si="7"/>
        <v>0</v>
      </c>
      <c r="H16" s="1567">
        <f t="shared" si="8"/>
        <v>21308</v>
      </c>
      <c r="I16" s="1568">
        <f t="shared" si="9"/>
        <v>106540</v>
      </c>
      <c r="J16" s="1219">
        <v>0</v>
      </c>
      <c r="K16" s="1219">
        <v>85232</v>
      </c>
      <c r="L16" s="1219">
        <v>21308</v>
      </c>
      <c r="M16" s="1219">
        <v>0</v>
      </c>
      <c r="N16" s="1219">
        <v>0</v>
      </c>
      <c r="O16" s="1220">
        <f t="shared" si="10"/>
        <v>106540</v>
      </c>
      <c r="P16" s="1607"/>
      <c r="Q16" s="1600"/>
      <c r="R16" s="1600"/>
      <c r="S16" s="1600"/>
      <c r="T16" s="1600"/>
      <c r="U16" s="1606">
        <f t="shared" si="11"/>
        <v>0</v>
      </c>
      <c r="V16" s="1600"/>
      <c r="W16" s="1600"/>
      <c r="X16" s="1600"/>
      <c r="Y16" s="1600"/>
      <c r="Z16" s="1600"/>
      <c r="AA16" s="1600">
        <f t="shared" si="12"/>
        <v>0</v>
      </c>
      <c r="AB16" s="1198"/>
      <c r="AC16" s="1199"/>
      <c r="AD16" s="1199"/>
      <c r="AE16" s="1199"/>
      <c r="AF16" s="1199"/>
      <c r="AG16" s="1200">
        <f t="shared" si="13"/>
        <v>0</v>
      </c>
      <c r="AH16" s="1198"/>
      <c r="AI16" s="1199"/>
      <c r="AJ16" s="1199"/>
      <c r="AK16" s="1199"/>
      <c r="AL16" s="1199"/>
      <c r="AM16" s="1203">
        <f t="shared" si="14"/>
        <v>0</v>
      </c>
      <c r="AN16" s="1198"/>
      <c r="AO16" s="1199"/>
      <c r="AP16" s="1199"/>
      <c r="AQ16" s="1199"/>
      <c r="AR16" s="1199"/>
      <c r="AS16" s="1203">
        <f t="shared" si="15"/>
        <v>0</v>
      </c>
      <c r="AT16" s="1198"/>
      <c r="AU16" s="1199"/>
      <c r="AV16" s="1199"/>
      <c r="AW16" s="1199"/>
      <c r="AX16" s="1199"/>
      <c r="AY16" s="1203">
        <f t="shared" si="16"/>
        <v>0</v>
      </c>
    </row>
    <row r="17" spans="1:51" s="874" customFormat="1">
      <c r="A17" s="1218" t="s">
        <v>36</v>
      </c>
      <c r="B17" s="1218" t="s">
        <v>37</v>
      </c>
      <c r="C17" s="1162" t="s">
        <v>264</v>
      </c>
      <c r="D17" s="1562">
        <f t="shared" si="4"/>
        <v>17575.22</v>
      </c>
      <c r="E17" s="1562">
        <f t="shared" si="5"/>
        <v>112904.8</v>
      </c>
      <c r="F17" s="1562">
        <f t="shared" si="6"/>
        <v>28226.2</v>
      </c>
      <c r="G17" s="1564">
        <f t="shared" si="7"/>
        <v>0</v>
      </c>
      <c r="H17" s="1567">
        <f t="shared" si="8"/>
        <v>28226.2</v>
      </c>
      <c r="I17" s="1568">
        <f t="shared" si="9"/>
        <v>158706.22</v>
      </c>
      <c r="J17" s="1219">
        <v>0</v>
      </c>
      <c r="K17" s="1219">
        <v>112904.8</v>
      </c>
      <c r="L17" s="1219">
        <v>28226.2</v>
      </c>
      <c r="M17" s="1219">
        <v>0</v>
      </c>
      <c r="N17" s="1219">
        <v>0</v>
      </c>
      <c r="O17" s="1220">
        <f t="shared" si="10"/>
        <v>141131</v>
      </c>
      <c r="P17" s="1607"/>
      <c r="Q17" s="1600"/>
      <c r="R17" s="1600"/>
      <c r="S17" s="1600"/>
      <c r="T17" s="1600"/>
      <c r="U17" s="1606">
        <f t="shared" si="11"/>
        <v>0</v>
      </c>
      <c r="V17" s="1600"/>
      <c r="W17" s="1600"/>
      <c r="X17" s="1600"/>
      <c r="Y17" s="1600"/>
      <c r="Z17" s="1600"/>
      <c r="AA17" s="1600">
        <f t="shared" si="12"/>
        <v>0</v>
      </c>
      <c r="AB17" s="1198"/>
      <c r="AC17" s="1199"/>
      <c r="AD17" s="1199"/>
      <c r="AE17" s="1199"/>
      <c r="AF17" s="1199"/>
      <c r="AG17" s="1200">
        <f t="shared" si="13"/>
        <v>0</v>
      </c>
      <c r="AH17" s="1198"/>
      <c r="AI17" s="1199"/>
      <c r="AJ17" s="1199"/>
      <c r="AK17" s="1199"/>
      <c r="AL17" s="1199"/>
      <c r="AM17" s="1203">
        <f t="shared" si="14"/>
        <v>0</v>
      </c>
      <c r="AN17" s="1198"/>
      <c r="AO17" s="1199"/>
      <c r="AP17" s="1199"/>
      <c r="AQ17" s="1199"/>
      <c r="AR17" s="1199"/>
      <c r="AS17" s="1203">
        <f t="shared" si="15"/>
        <v>0</v>
      </c>
      <c r="AT17" s="1198">
        <v>17575.22</v>
      </c>
      <c r="AU17" s="1199">
        <v>0</v>
      </c>
      <c r="AV17" s="1199">
        <v>0</v>
      </c>
      <c r="AW17" s="1199">
        <v>0</v>
      </c>
      <c r="AX17" s="1199">
        <v>0</v>
      </c>
      <c r="AY17" s="1203">
        <f t="shared" si="16"/>
        <v>17575.22</v>
      </c>
    </row>
    <row r="18" spans="1:51" s="874" customFormat="1">
      <c r="A18" s="1218" t="s">
        <v>38</v>
      </c>
      <c r="B18" s="1218" t="s">
        <v>39</v>
      </c>
      <c r="C18" s="1162" t="s">
        <v>268</v>
      </c>
      <c r="D18" s="1562">
        <f t="shared" si="4"/>
        <v>-61.2</v>
      </c>
      <c r="E18" s="1562">
        <f t="shared" si="5"/>
        <v>121913.25</v>
      </c>
      <c r="F18" s="1562">
        <f t="shared" si="6"/>
        <v>30493.01</v>
      </c>
      <c r="G18" s="1564">
        <f t="shared" si="7"/>
        <v>0</v>
      </c>
      <c r="H18" s="1567">
        <f t="shared" si="8"/>
        <v>30493.01</v>
      </c>
      <c r="I18" s="1568">
        <f t="shared" si="9"/>
        <v>152345.06</v>
      </c>
      <c r="J18" s="1219">
        <v>0</v>
      </c>
      <c r="K18" s="1219">
        <v>121972.05</v>
      </c>
      <c r="L18" s="1219">
        <v>30493.01</v>
      </c>
      <c r="M18" s="1219">
        <v>0</v>
      </c>
      <c r="N18" s="1219">
        <v>0</v>
      </c>
      <c r="O18" s="1220">
        <f t="shared" si="10"/>
        <v>152465.06</v>
      </c>
      <c r="P18" s="1607">
        <v>-61.2</v>
      </c>
      <c r="Q18" s="1600">
        <v>-58.8</v>
      </c>
      <c r="R18" s="1600">
        <v>0</v>
      </c>
      <c r="S18" s="1600">
        <v>0</v>
      </c>
      <c r="T18" s="1600">
        <v>0</v>
      </c>
      <c r="U18" s="1606">
        <f t="shared" si="11"/>
        <v>-120</v>
      </c>
      <c r="V18" s="1600"/>
      <c r="W18" s="1600"/>
      <c r="X18" s="1600"/>
      <c r="Y18" s="1600"/>
      <c r="Z18" s="1600"/>
      <c r="AA18" s="1600">
        <f t="shared" si="12"/>
        <v>0</v>
      </c>
      <c r="AB18" s="1198"/>
      <c r="AC18" s="1199"/>
      <c r="AD18" s="1199"/>
      <c r="AE18" s="1199"/>
      <c r="AF18" s="1199"/>
      <c r="AG18" s="1200">
        <f t="shared" si="13"/>
        <v>0</v>
      </c>
      <c r="AH18" s="1198"/>
      <c r="AI18" s="1199"/>
      <c r="AJ18" s="1199"/>
      <c r="AK18" s="1199"/>
      <c r="AL18" s="1199"/>
      <c r="AM18" s="1203">
        <f t="shared" si="14"/>
        <v>0</v>
      </c>
      <c r="AN18" s="1198"/>
      <c r="AO18" s="1199"/>
      <c r="AP18" s="1199"/>
      <c r="AQ18" s="1199"/>
      <c r="AR18" s="1199"/>
      <c r="AS18" s="1203">
        <f t="shared" si="15"/>
        <v>0</v>
      </c>
      <c r="AT18" s="1198"/>
      <c r="AU18" s="1199"/>
      <c r="AV18" s="1199"/>
      <c r="AW18" s="1199"/>
      <c r="AX18" s="1199"/>
      <c r="AY18" s="1203">
        <f t="shared" si="16"/>
        <v>0</v>
      </c>
    </row>
    <row r="19" spans="1:51" s="874" customFormat="1">
      <c r="A19" s="1218" t="s">
        <v>40</v>
      </c>
      <c r="B19" s="1218" t="s">
        <v>41</v>
      </c>
      <c r="C19" s="1162" t="s">
        <v>266</v>
      </c>
      <c r="D19" s="1562">
        <f t="shared" si="4"/>
        <v>-1439.79</v>
      </c>
      <c r="E19" s="1562">
        <f t="shared" si="5"/>
        <v>68722.260000000009</v>
      </c>
      <c r="F19" s="1562">
        <f t="shared" si="6"/>
        <v>17526.400000000001</v>
      </c>
      <c r="G19" s="1564">
        <f t="shared" si="7"/>
        <v>0</v>
      </c>
      <c r="H19" s="1567">
        <f t="shared" si="8"/>
        <v>17526.400000000001</v>
      </c>
      <c r="I19" s="1568">
        <f t="shared" si="9"/>
        <v>84808.870000000024</v>
      </c>
      <c r="J19" s="1219">
        <v>0</v>
      </c>
      <c r="K19" s="1219">
        <v>70105.600000000006</v>
      </c>
      <c r="L19" s="1219">
        <v>17526.400000000001</v>
      </c>
      <c r="M19" s="1219">
        <v>0</v>
      </c>
      <c r="N19" s="1219">
        <v>0</v>
      </c>
      <c r="O19" s="1220">
        <f t="shared" si="10"/>
        <v>87632</v>
      </c>
      <c r="P19" s="1607">
        <v>-1439.79</v>
      </c>
      <c r="Q19" s="1600">
        <v>-1383.34</v>
      </c>
      <c r="R19" s="1600">
        <v>0</v>
      </c>
      <c r="S19" s="1600">
        <v>0</v>
      </c>
      <c r="T19" s="1600">
        <v>0</v>
      </c>
      <c r="U19" s="1606">
        <f t="shared" si="11"/>
        <v>-2823.13</v>
      </c>
      <c r="V19" s="1600"/>
      <c r="W19" s="1600"/>
      <c r="X19" s="1600"/>
      <c r="Y19" s="1600"/>
      <c r="Z19" s="1600"/>
      <c r="AA19" s="1600">
        <f t="shared" si="12"/>
        <v>0</v>
      </c>
      <c r="AB19" s="1198"/>
      <c r="AC19" s="1199"/>
      <c r="AD19" s="1199"/>
      <c r="AE19" s="1199"/>
      <c r="AF19" s="1199"/>
      <c r="AG19" s="1200">
        <f t="shared" si="13"/>
        <v>0</v>
      </c>
      <c r="AH19" s="1198"/>
      <c r="AI19" s="1199"/>
      <c r="AJ19" s="1199"/>
      <c r="AK19" s="1199"/>
      <c r="AL19" s="1199"/>
      <c r="AM19" s="1203">
        <f t="shared" si="14"/>
        <v>0</v>
      </c>
      <c r="AN19" s="1198"/>
      <c r="AO19" s="1199"/>
      <c r="AP19" s="1199"/>
      <c r="AQ19" s="1199"/>
      <c r="AR19" s="1199"/>
      <c r="AS19" s="1203">
        <f t="shared" si="15"/>
        <v>0</v>
      </c>
      <c r="AT19" s="1198"/>
      <c r="AU19" s="1199"/>
      <c r="AV19" s="1199"/>
      <c r="AW19" s="1199"/>
      <c r="AX19" s="1199"/>
      <c r="AY19" s="1203">
        <f t="shared" si="16"/>
        <v>0</v>
      </c>
    </row>
    <row r="20" spans="1:51" s="874" customFormat="1">
      <c r="A20" s="1218" t="s">
        <v>42</v>
      </c>
      <c r="B20" s="1218" t="s">
        <v>43</v>
      </c>
      <c r="C20" s="1162" t="s">
        <v>265</v>
      </c>
      <c r="D20" s="1562">
        <f t="shared" si="4"/>
        <v>-266.77</v>
      </c>
      <c r="E20" s="1562">
        <f t="shared" si="5"/>
        <v>187291.09</v>
      </c>
      <c r="F20" s="1562">
        <f t="shared" si="6"/>
        <v>51170.65</v>
      </c>
      <c r="G20" s="1564">
        <f t="shared" si="7"/>
        <v>9018.1500000000015</v>
      </c>
      <c r="H20" s="1567">
        <f t="shared" si="8"/>
        <v>60188.800000000003</v>
      </c>
      <c r="I20" s="1568">
        <f t="shared" si="9"/>
        <v>247213.12</v>
      </c>
      <c r="J20" s="1219">
        <v>0</v>
      </c>
      <c r="K20" s="1219">
        <v>175308</v>
      </c>
      <c r="L20" s="1219">
        <v>43827</v>
      </c>
      <c r="M20" s="1219">
        <v>0</v>
      </c>
      <c r="N20" s="1219">
        <v>0</v>
      </c>
      <c r="O20" s="1220">
        <f t="shared" si="10"/>
        <v>219135</v>
      </c>
      <c r="P20" s="1607">
        <v>-776.77</v>
      </c>
      <c r="Q20" s="1600">
        <v>-746.31</v>
      </c>
      <c r="R20" s="1600">
        <v>0</v>
      </c>
      <c r="S20" s="1600">
        <v>0</v>
      </c>
      <c r="T20" s="1600">
        <v>0</v>
      </c>
      <c r="U20" s="1606">
        <f t="shared" si="11"/>
        <v>-1523.08</v>
      </c>
      <c r="V20" s="1600">
        <v>510</v>
      </c>
      <c r="W20" s="1600">
        <v>490</v>
      </c>
      <c r="X20" s="1600">
        <v>0</v>
      </c>
      <c r="Y20" s="1600">
        <v>0</v>
      </c>
      <c r="Z20" s="1600">
        <v>0</v>
      </c>
      <c r="AA20" s="1600">
        <f t="shared" si="12"/>
        <v>1000</v>
      </c>
      <c r="AB20" s="1201">
        <v>0</v>
      </c>
      <c r="AC20" s="1202">
        <v>12239.4</v>
      </c>
      <c r="AD20" s="1202">
        <v>7343.65</v>
      </c>
      <c r="AE20" s="1202">
        <v>-0.05</v>
      </c>
      <c r="AF20" s="1202">
        <v>9018.2000000000007</v>
      </c>
      <c r="AG20" s="1200">
        <f t="shared" si="13"/>
        <v>28601.200000000001</v>
      </c>
      <c r="AH20" s="1198"/>
      <c r="AI20" s="1199"/>
      <c r="AJ20" s="1199"/>
      <c r="AK20" s="1199"/>
      <c r="AL20" s="1199"/>
      <c r="AM20" s="1203">
        <f t="shared" si="14"/>
        <v>0</v>
      </c>
      <c r="AN20" s="1198"/>
      <c r="AO20" s="1199"/>
      <c r="AP20" s="1199"/>
      <c r="AQ20" s="1199"/>
      <c r="AR20" s="1199"/>
      <c r="AS20" s="1203">
        <f t="shared" si="15"/>
        <v>0</v>
      </c>
      <c r="AT20" s="1198"/>
      <c r="AU20" s="1199"/>
      <c r="AV20" s="1199"/>
      <c r="AW20" s="1199"/>
      <c r="AX20" s="1199"/>
      <c r="AY20" s="1203">
        <f t="shared" si="16"/>
        <v>0</v>
      </c>
    </row>
    <row r="21" spans="1:51" s="874" customFormat="1">
      <c r="A21" s="1218" t="s">
        <v>44</v>
      </c>
      <c r="B21" s="1218" t="s">
        <v>45</v>
      </c>
      <c r="C21" s="1162" t="s">
        <v>266</v>
      </c>
      <c r="D21" s="1562">
        <f t="shared" si="4"/>
        <v>0</v>
      </c>
      <c r="E21" s="1562">
        <f t="shared" si="5"/>
        <v>12952.8</v>
      </c>
      <c r="F21" s="1562">
        <f t="shared" si="6"/>
        <v>3238.2</v>
      </c>
      <c r="G21" s="1564">
        <f t="shared" si="7"/>
        <v>0</v>
      </c>
      <c r="H21" s="1567">
        <f t="shared" si="8"/>
        <v>3238.2</v>
      </c>
      <c r="I21" s="1568">
        <f t="shared" si="9"/>
        <v>16191</v>
      </c>
      <c r="J21" s="1219">
        <v>0</v>
      </c>
      <c r="K21" s="1219">
        <v>12952.8</v>
      </c>
      <c r="L21" s="1219">
        <v>3238.2</v>
      </c>
      <c r="M21" s="1219">
        <v>0</v>
      </c>
      <c r="N21" s="1219">
        <v>0</v>
      </c>
      <c r="O21" s="1220">
        <f t="shared" si="10"/>
        <v>16191</v>
      </c>
      <c r="P21" s="1607"/>
      <c r="Q21" s="1600"/>
      <c r="R21" s="1600"/>
      <c r="S21" s="1600"/>
      <c r="T21" s="1600"/>
      <c r="U21" s="1606">
        <f t="shared" si="11"/>
        <v>0</v>
      </c>
      <c r="V21" s="1600"/>
      <c r="W21" s="1600"/>
      <c r="X21" s="1600"/>
      <c r="Y21" s="1600"/>
      <c r="Z21" s="1600"/>
      <c r="AA21" s="1600">
        <f t="shared" si="12"/>
        <v>0</v>
      </c>
      <c r="AB21" s="1198"/>
      <c r="AC21" s="1199"/>
      <c r="AD21" s="1199"/>
      <c r="AE21" s="1199"/>
      <c r="AF21" s="1199"/>
      <c r="AG21" s="1200">
        <f t="shared" si="13"/>
        <v>0</v>
      </c>
      <c r="AH21" s="1198"/>
      <c r="AI21" s="1199"/>
      <c r="AJ21" s="1199"/>
      <c r="AK21" s="1199"/>
      <c r="AL21" s="1199"/>
      <c r="AM21" s="1203">
        <f t="shared" si="14"/>
        <v>0</v>
      </c>
      <c r="AN21" s="1198"/>
      <c r="AO21" s="1199"/>
      <c r="AP21" s="1199"/>
      <c r="AQ21" s="1199"/>
      <c r="AR21" s="1199"/>
      <c r="AS21" s="1203">
        <f t="shared" si="15"/>
        <v>0</v>
      </c>
      <c r="AT21" s="1198"/>
      <c r="AU21" s="1199"/>
      <c r="AV21" s="1199"/>
      <c r="AW21" s="1199"/>
      <c r="AX21" s="1199"/>
      <c r="AY21" s="1203">
        <f t="shared" si="16"/>
        <v>0</v>
      </c>
    </row>
    <row r="22" spans="1:51" s="874" customFormat="1">
      <c r="A22" s="1218" t="s">
        <v>46</v>
      </c>
      <c r="B22" s="1218" t="s">
        <v>47</v>
      </c>
      <c r="C22" s="1162" t="s">
        <v>268</v>
      </c>
      <c r="D22" s="1562">
        <f t="shared" si="4"/>
        <v>-138.72</v>
      </c>
      <c r="E22" s="1562">
        <f t="shared" si="5"/>
        <v>159171.51999999999</v>
      </c>
      <c r="F22" s="1562">
        <f t="shared" si="6"/>
        <v>39826.199999999997</v>
      </c>
      <c r="G22" s="1564">
        <f t="shared" si="7"/>
        <v>0</v>
      </c>
      <c r="H22" s="1567">
        <f t="shared" si="8"/>
        <v>39826.199999999997</v>
      </c>
      <c r="I22" s="1568">
        <f t="shared" si="9"/>
        <v>198859</v>
      </c>
      <c r="J22" s="1219">
        <v>0</v>
      </c>
      <c r="K22" s="1219">
        <v>159304.79999999999</v>
      </c>
      <c r="L22" s="1219">
        <v>39826.199999999997</v>
      </c>
      <c r="M22" s="1219">
        <v>0</v>
      </c>
      <c r="N22" s="1219">
        <v>0</v>
      </c>
      <c r="O22" s="1220">
        <f t="shared" si="10"/>
        <v>199131</v>
      </c>
      <c r="P22" s="1607">
        <v>-138.72</v>
      </c>
      <c r="Q22" s="1600">
        <v>-133.28</v>
      </c>
      <c r="R22" s="1600">
        <v>0</v>
      </c>
      <c r="S22" s="1600">
        <v>0</v>
      </c>
      <c r="T22" s="1600">
        <v>0</v>
      </c>
      <c r="U22" s="1606">
        <f t="shared" si="11"/>
        <v>-272</v>
      </c>
      <c r="V22" s="1600"/>
      <c r="W22" s="1600"/>
      <c r="X22" s="1600"/>
      <c r="Y22" s="1600"/>
      <c r="Z22" s="1600"/>
      <c r="AA22" s="1600">
        <f t="shared" si="12"/>
        <v>0</v>
      </c>
      <c r="AB22" s="1198"/>
      <c r="AC22" s="1199"/>
      <c r="AD22" s="1199"/>
      <c r="AE22" s="1199"/>
      <c r="AF22" s="1199"/>
      <c r="AG22" s="1200">
        <f t="shared" si="13"/>
        <v>0</v>
      </c>
      <c r="AH22" s="1198"/>
      <c r="AI22" s="1199"/>
      <c r="AJ22" s="1199"/>
      <c r="AK22" s="1199"/>
      <c r="AL22" s="1199"/>
      <c r="AM22" s="1203">
        <f t="shared" si="14"/>
        <v>0</v>
      </c>
      <c r="AN22" s="1198"/>
      <c r="AO22" s="1199"/>
      <c r="AP22" s="1199"/>
      <c r="AQ22" s="1199"/>
      <c r="AR22" s="1199"/>
      <c r="AS22" s="1203">
        <f t="shared" si="15"/>
        <v>0</v>
      </c>
      <c r="AT22" s="1198"/>
      <c r="AU22" s="1199"/>
      <c r="AV22" s="1199"/>
      <c r="AW22" s="1199"/>
      <c r="AX22" s="1199"/>
      <c r="AY22" s="1203">
        <f t="shared" si="16"/>
        <v>0</v>
      </c>
    </row>
    <row r="23" spans="1:51" s="874" customFormat="1">
      <c r="A23" s="1218" t="s">
        <v>48</v>
      </c>
      <c r="B23" s="1218" t="s">
        <v>269</v>
      </c>
      <c r="C23" s="1162" t="s">
        <v>266</v>
      </c>
      <c r="D23" s="1562">
        <f t="shared" si="4"/>
        <v>0</v>
      </c>
      <c r="E23" s="1562">
        <f t="shared" si="5"/>
        <v>34157.599999999999</v>
      </c>
      <c r="F23" s="1562">
        <f t="shared" si="6"/>
        <v>8539.4</v>
      </c>
      <c r="G23" s="1564">
        <f t="shared" si="7"/>
        <v>0</v>
      </c>
      <c r="H23" s="1567">
        <f t="shared" si="8"/>
        <v>8539.4</v>
      </c>
      <c r="I23" s="1568">
        <f t="shared" si="9"/>
        <v>42697</v>
      </c>
      <c r="J23" s="1219">
        <v>0</v>
      </c>
      <c r="K23" s="1219">
        <v>34157.599999999999</v>
      </c>
      <c r="L23" s="1219">
        <v>8539.4</v>
      </c>
      <c r="M23" s="1219">
        <v>0</v>
      </c>
      <c r="N23" s="1219">
        <v>0</v>
      </c>
      <c r="O23" s="1220">
        <f t="shared" si="10"/>
        <v>42697</v>
      </c>
      <c r="P23" s="1607"/>
      <c r="Q23" s="1600"/>
      <c r="R23" s="1600"/>
      <c r="S23" s="1600"/>
      <c r="T23" s="1600"/>
      <c r="U23" s="1606">
        <f t="shared" si="11"/>
        <v>0</v>
      </c>
      <c r="V23" s="1600"/>
      <c r="W23" s="1600"/>
      <c r="X23" s="1600"/>
      <c r="Y23" s="1600"/>
      <c r="Z23" s="1600"/>
      <c r="AA23" s="1600">
        <f t="shared" si="12"/>
        <v>0</v>
      </c>
      <c r="AB23" s="1198"/>
      <c r="AC23" s="1199"/>
      <c r="AD23" s="1199"/>
      <c r="AE23" s="1199"/>
      <c r="AF23" s="1199"/>
      <c r="AG23" s="1200">
        <f t="shared" si="13"/>
        <v>0</v>
      </c>
      <c r="AH23" s="1198"/>
      <c r="AI23" s="1199"/>
      <c r="AJ23" s="1199"/>
      <c r="AK23" s="1199"/>
      <c r="AL23" s="1199"/>
      <c r="AM23" s="1203">
        <f t="shared" si="14"/>
        <v>0</v>
      </c>
      <c r="AN23" s="1198"/>
      <c r="AO23" s="1199"/>
      <c r="AP23" s="1199"/>
      <c r="AQ23" s="1199"/>
      <c r="AR23" s="1199"/>
      <c r="AS23" s="1203">
        <f t="shared" si="15"/>
        <v>0</v>
      </c>
      <c r="AT23" s="1198"/>
      <c r="AU23" s="1199"/>
      <c r="AV23" s="1199"/>
      <c r="AW23" s="1199"/>
      <c r="AX23" s="1199"/>
      <c r="AY23" s="1203">
        <f t="shared" si="16"/>
        <v>0</v>
      </c>
    </row>
    <row r="24" spans="1:51" s="874" customFormat="1">
      <c r="A24" s="1218" t="s">
        <v>50</v>
      </c>
      <c r="B24" s="1218" t="s">
        <v>51</v>
      </c>
      <c r="C24" s="1162" t="s">
        <v>265</v>
      </c>
      <c r="D24" s="1562">
        <f t="shared" si="4"/>
        <v>195304.81999999998</v>
      </c>
      <c r="E24" s="1562">
        <f t="shared" si="5"/>
        <v>55707.5</v>
      </c>
      <c r="F24" s="1562">
        <f t="shared" si="6"/>
        <v>13972.2</v>
      </c>
      <c r="G24" s="1564">
        <f t="shared" si="7"/>
        <v>0</v>
      </c>
      <c r="H24" s="1567">
        <f t="shared" si="8"/>
        <v>13972.2</v>
      </c>
      <c r="I24" s="1568">
        <f t="shared" si="9"/>
        <v>264984.51999999996</v>
      </c>
      <c r="J24" s="1219">
        <v>0</v>
      </c>
      <c r="K24" s="1219">
        <v>55888.800000000003</v>
      </c>
      <c r="L24" s="1219">
        <v>13972.2</v>
      </c>
      <c r="M24" s="1219">
        <v>0</v>
      </c>
      <c r="N24" s="1219">
        <v>0</v>
      </c>
      <c r="O24" s="1220">
        <f t="shared" si="10"/>
        <v>69861</v>
      </c>
      <c r="P24" s="1607">
        <v>-188.7</v>
      </c>
      <c r="Q24" s="1600">
        <v>-181.3</v>
      </c>
      <c r="R24" s="1600">
        <v>0</v>
      </c>
      <c r="S24" s="1600">
        <v>0</v>
      </c>
      <c r="T24" s="1600">
        <v>0</v>
      </c>
      <c r="U24" s="1606">
        <f t="shared" si="11"/>
        <v>-370</v>
      </c>
      <c r="V24" s="1600"/>
      <c r="W24" s="1600"/>
      <c r="X24" s="1600"/>
      <c r="Y24" s="1600"/>
      <c r="Z24" s="1600"/>
      <c r="AA24" s="1600">
        <f t="shared" si="12"/>
        <v>0</v>
      </c>
      <c r="AB24" s="1198"/>
      <c r="AC24" s="1199"/>
      <c r="AD24" s="1199"/>
      <c r="AE24" s="1199"/>
      <c r="AF24" s="1199"/>
      <c r="AG24" s="1200">
        <f t="shared" si="13"/>
        <v>0</v>
      </c>
      <c r="AH24" s="1198"/>
      <c r="AI24" s="1199"/>
      <c r="AJ24" s="1199"/>
      <c r="AK24" s="1199"/>
      <c r="AL24" s="1199"/>
      <c r="AM24" s="1203">
        <f t="shared" si="14"/>
        <v>0</v>
      </c>
      <c r="AN24" s="1198"/>
      <c r="AO24" s="1199"/>
      <c r="AP24" s="1199"/>
      <c r="AQ24" s="1199"/>
      <c r="AR24" s="1199"/>
      <c r="AS24" s="1203">
        <f t="shared" si="15"/>
        <v>0</v>
      </c>
      <c r="AT24" s="1198">
        <v>195493.52</v>
      </c>
      <c r="AU24" s="1199">
        <v>0</v>
      </c>
      <c r="AV24" s="1199">
        <v>0</v>
      </c>
      <c r="AW24" s="1199">
        <v>0</v>
      </c>
      <c r="AX24" s="1199">
        <v>0</v>
      </c>
      <c r="AY24" s="1203">
        <f t="shared" si="16"/>
        <v>195493.52</v>
      </c>
    </row>
    <row r="25" spans="1:51" s="874" customFormat="1">
      <c r="A25" s="1218" t="s">
        <v>56</v>
      </c>
      <c r="B25" s="1218" t="s">
        <v>295</v>
      </c>
      <c r="C25" s="1162" t="s">
        <v>266</v>
      </c>
      <c r="D25" s="1562">
        <f t="shared" si="4"/>
        <v>-1044.2199999999998</v>
      </c>
      <c r="E25" s="1562">
        <f t="shared" si="5"/>
        <v>682102.28</v>
      </c>
      <c r="F25" s="1562">
        <f t="shared" si="6"/>
        <v>187118.21</v>
      </c>
      <c r="G25" s="1564">
        <f t="shared" si="7"/>
        <v>-1168.8499999999999</v>
      </c>
      <c r="H25" s="1567">
        <f t="shared" si="8"/>
        <v>185949.36</v>
      </c>
      <c r="I25" s="1568">
        <f t="shared" si="9"/>
        <v>867007.42</v>
      </c>
      <c r="J25" s="1219">
        <v>0</v>
      </c>
      <c r="K25" s="1219">
        <v>639211.28</v>
      </c>
      <c r="L25" s="1219">
        <v>159802.81</v>
      </c>
      <c r="M25" s="1219">
        <v>0</v>
      </c>
      <c r="N25" s="1219">
        <v>0</v>
      </c>
      <c r="O25" s="1220">
        <f t="shared" si="10"/>
        <v>799014.09000000008</v>
      </c>
      <c r="P25" s="1607">
        <v>-2742.22</v>
      </c>
      <c r="Q25" s="1600">
        <v>-2634.65</v>
      </c>
      <c r="R25" s="1600">
        <v>0</v>
      </c>
      <c r="S25" s="1600">
        <v>-1168.8</v>
      </c>
      <c r="T25" s="1600">
        <v>0</v>
      </c>
      <c r="U25" s="1606">
        <f t="shared" si="11"/>
        <v>-6545.67</v>
      </c>
      <c r="V25" s="1600"/>
      <c r="W25" s="1600"/>
      <c r="X25" s="1600"/>
      <c r="Y25" s="1600"/>
      <c r="Z25" s="1600"/>
      <c r="AA25" s="1600">
        <f t="shared" si="12"/>
        <v>0</v>
      </c>
      <c r="AB25" s="1201">
        <v>0</v>
      </c>
      <c r="AC25" s="1202">
        <v>45525.65</v>
      </c>
      <c r="AD25" s="1202">
        <v>27315.4</v>
      </c>
      <c r="AE25" s="1202">
        <v>-0.05</v>
      </c>
      <c r="AF25" s="1202">
        <v>0</v>
      </c>
      <c r="AG25" s="1200">
        <f t="shared" si="13"/>
        <v>72841</v>
      </c>
      <c r="AH25" s="1201">
        <v>1698</v>
      </c>
      <c r="AI25" s="1202">
        <v>0</v>
      </c>
      <c r="AJ25" s="1202">
        <v>0</v>
      </c>
      <c r="AK25" s="1202">
        <v>0</v>
      </c>
      <c r="AL25" s="1202">
        <v>0</v>
      </c>
      <c r="AM25" s="1203">
        <f t="shared" si="14"/>
        <v>1698</v>
      </c>
      <c r="AN25" s="1201"/>
      <c r="AO25" s="1202"/>
      <c r="AP25" s="1202"/>
      <c r="AQ25" s="1202"/>
      <c r="AR25" s="1202"/>
      <c r="AS25" s="1203">
        <f t="shared" si="15"/>
        <v>0</v>
      </c>
      <c r="AT25" s="1201"/>
      <c r="AU25" s="1202"/>
      <c r="AV25" s="1202"/>
      <c r="AW25" s="1202"/>
      <c r="AX25" s="1202"/>
      <c r="AY25" s="1203">
        <f t="shared" si="16"/>
        <v>0</v>
      </c>
    </row>
    <row r="26" spans="1:51" s="874" customFormat="1">
      <c r="A26" s="1218" t="s">
        <v>58</v>
      </c>
      <c r="B26" s="1218" t="s">
        <v>59</v>
      </c>
      <c r="C26" s="1162" t="s">
        <v>267</v>
      </c>
      <c r="D26" s="1562">
        <f t="shared" si="4"/>
        <v>0</v>
      </c>
      <c r="E26" s="1562">
        <f t="shared" si="5"/>
        <v>18136</v>
      </c>
      <c r="F26" s="1562">
        <f t="shared" si="6"/>
        <v>4534</v>
      </c>
      <c r="G26" s="1564">
        <f t="shared" si="7"/>
        <v>0</v>
      </c>
      <c r="H26" s="1567">
        <f t="shared" si="8"/>
        <v>4534</v>
      </c>
      <c r="I26" s="1568">
        <f t="shared" si="9"/>
        <v>22670</v>
      </c>
      <c r="J26" s="1219">
        <v>0</v>
      </c>
      <c r="K26" s="1219">
        <v>18136</v>
      </c>
      <c r="L26" s="1219">
        <v>4534</v>
      </c>
      <c r="M26" s="1219">
        <v>0</v>
      </c>
      <c r="N26" s="1219">
        <v>0</v>
      </c>
      <c r="O26" s="1220">
        <f t="shared" si="10"/>
        <v>22670</v>
      </c>
      <c r="P26" s="1607"/>
      <c r="Q26" s="1600"/>
      <c r="R26" s="1600"/>
      <c r="S26" s="1600"/>
      <c r="T26" s="1600"/>
      <c r="U26" s="1606">
        <f t="shared" si="11"/>
        <v>0</v>
      </c>
      <c r="V26" s="1600"/>
      <c r="W26" s="1600"/>
      <c r="X26" s="1600"/>
      <c r="Y26" s="1600"/>
      <c r="Z26" s="1600"/>
      <c r="AA26" s="1600">
        <f t="shared" si="12"/>
        <v>0</v>
      </c>
      <c r="AB26" s="1198"/>
      <c r="AC26" s="1199"/>
      <c r="AD26" s="1199"/>
      <c r="AE26" s="1199"/>
      <c r="AF26" s="1199"/>
      <c r="AG26" s="1200">
        <f t="shared" si="13"/>
        <v>0</v>
      </c>
      <c r="AH26" s="1198"/>
      <c r="AI26" s="1199"/>
      <c r="AJ26" s="1199"/>
      <c r="AK26" s="1199"/>
      <c r="AL26" s="1199"/>
      <c r="AM26" s="1203">
        <f t="shared" si="14"/>
        <v>0</v>
      </c>
      <c r="AN26" s="1198"/>
      <c r="AO26" s="1199"/>
      <c r="AP26" s="1199"/>
      <c r="AQ26" s="1199"/>
      <c r="AR26" s="1199"/>
      <c r="AS26" s="1203">
        <f t="shared" si="15"/>
        <v>0</v>
      </c>
      <c r="AT26" s="1198"/>
      <c r="AU26" s="1199"/>
      <c r="AV26" s="1199"/>
      <c r="AW26" s="1199"/>
      <c r="AX26" s="1199"/>
      <c r="AY26" s="1203">
        <f t="shared" si="16"/>
        <v>0</v>
      </c>
    </row>
    <row r="27" spans="1:51" s="874" customFormat="1">
      <c r="A27" s="1218" t="s">
        <v>60</v>
      </c>
      <c r="B27" s="1218" t="s">
        <v>61</v>
      </c>
      <c r="C27" s="1162" t="s">
        <v>265</v>
      </c>
      <c r="D27" s="1562">
        <f t="shared" si="4"/>
        <v>0</v>
      </c>
      <c r="E27" s="1562">
        <f t="shared" si="5"/>
        <v>22020</v>
      </c>
      <c r="F27" s="1562">
        <f t="shared" si="6"/>
        <v>5505</v>
      </c>
      <c r="G27" s="1564">
        <f t="shared" si="7"/>
        <v>0</v>
      </c>
      <c r="H27" s="1567">
        <f t="shared" si="8"/>
        <v>5505</v>
      </c>
      <c r="I27" s="1568">
        <f t="shared" si="9"/>
        <v>27525</v>
      </c>
      <c r="J27" s="1219">
        <v>0</v>
      </c>
      <c r="K27" s="1219">
        <v>22020</v>
      </c>
      <c r="L27" s="1219">
        <v>5505</v>
      </c>
      <c r="M27" s="1219">
        <v>0</v>
      </c>
      <c r="N27" s="1219">
        <v>0</v>
      </c>
      <c r="O27" s="1220">
        <f t="shared" si="10"/>
        <v>27525</v>
      </c>
      <c r="P27" s="1607"/>
      <c r="Q27" s="1600"/>
      <c r="R27" s="1600"/>
      <c r="S27" s="1600"/>
      <c r="T27" s="1600"/>
      <c r="U27" s="1606">
        <f t="shared" si="11"/>
        <v>0</v>
      </c>
      <c r="V27" s="1600"/>
      <c r="W27" s="1600"/>
      <c r="X27" s="1600"/>
      <c r="Y27" s="1600"/>
      <c r="Z27" s="1600"/>
      <c r="AA27" s="1600">
        <f t="shared" si="12"/>
        <v>0</v>
      </c>
      <c r="AB27" s="1198"/>
      <c r="AC27" s="1199"/>
      <c r="AD27" s="1199"/>
      <c r="AE27" s="1199"/>
      <c r="AF27" s="1199"/>
      <c r="AG27" s="1200">
        <f t="shared" si="13"/>
        <v>0</v>
      </c>
      <c r="AH27" s="1198"/>
      <c r="AI27" s="1199"/>
      <c r="AJ27" s="1199"/>
      <c r="AK27" s="1199"/>
      <c r="AL27" s="1199"/>
      <c r="AM27" s="1203">
        <f t="shared" si="14"/>
        <v>0</v>
      </c>
      <c r="AN27" s="1198"/>
      <c r="AO27" s="1199"/>
      <c r="AP27" s="1199"/>
      <c r="AQ27" s="1199"/>
      <c r="AR27" s="1199"/>
      <c r="AS27" s="1203">
        <f t="shared" si="15"/>
        <v>0</v>
      </c>
      <c r="AT27" s="1198"/>
      <c r="AU27" s="1199"/>
      <c r="AV27" s="1199"/>
      <c r="AW27" s="1199"/>
      <c r="AX27" s="1199"/>
      <c r="AY27" s="1203">
        <f t="shared" si="16"/>
        <v>0</v>
      </c>
    </row>
    <row r="28" spans="1:51" s="874" customFormat="1">
      <c r="A28" s="1218" t="s">
        <v>62</v>
      </c>
      <c r="B28" s="1218" t="s">
        <v>63</v>
      </c>
      <c r="C28" s="1162" t="s">
        <v>267</v>
      </c>
      <c r="D28" s="1562">
        <f t="shared" si="4"/>
        <v>1010.3800000000001</v>
      </c>
      <c r="E28" s="1562">
        <f t="shared" si="5"/>
        <v>62347.139999999992</v>
      </c>
      <c r="F28" s="1562">
        <f t="shared" si="6"/>
        <v>16056.63</v>
      </c>
      <c r="G28" s="1564">
        <f t="shared" si="7"/>
        <v>6437</v>
      </c>
      <c r="H28" s="1567">
        <f t="shared" si="8"/>
        <v>22493.629999999997</v>
      </c>
      <c r="I28" s="1568">
        <f t="shared" si="9"/>
        <v>85851.15</v>
      </c>
      <c r="J28" s="1219">
        <v>0</v>
      </c>
      <c r="K28" s="1219">
        <v>64226.52</v>
      </c>
      <c r="L28" s="1219">
        <v>16056.63</v>
      </c>
      <c r="M28" s="1219">
        <v>0</v>
      </c>
      <c r="N28" s="1219">
        <v>0</v>
      </c>
      <c r="O28" s="1220">
        <f t="shared" si="10"/>
        <v>80283.149999999994</v>
      </c>
      <c r="P28" s="1607">
        <v>-1928.62</v>
      </c>
      <c r="Q28" s="1600">
        <v>-1852.98</v>
      </c>
      <c r="R28" s="1600">
        <v>0</v>
      </c>
      <c r="S28" s="1600">
        <v>0</v>
      </c>
      <c r="T28" s="1600">
        <v>0</v>
      </c>
      <c r="U28" s="1606">
        <f t="shared" si="11"/>
        <v>-3781.6</v>
      </c>
      <c r="V28" s="1600"/>
      <c r="W28" s="1600"/>
      <c r="X28" s="1600"/>
      <c r="Y28" s="1600"/>
      <c r="Z28" s="1600"/>
      <c r="AA28" s="1600">
        <f t="shared" si="12"/>
        <v>0</v>
      </c>
      <c r="AB28" s="1201">
        <v>0</v>
      </c>
      <c r="AC28" s="1202">
        <v>0</v>
      </c>
      <c r="AD28" s="1202">
        <v>0</v>
      </c>
      <c r="AE28" s="1202">
        <v>5442</v>
      </c>
      <c r="AF28" s="1202">
        <v>0</v>
      </c>
      <c r="AG28" s="1200">
        <f t="shared" si="13"/>
        <v>5442</v>
      </c>
      <c r="AH28" s="1198"/>
      <c r="AI28" s="1199"/>
      <c r="AJ28" s="1199"/>
      <c r="AK28" s="1199"/>
      <c r="AL28" s="1199"/>
      <c r="AM28" s="1203">
        <f t="shared" si="14"/>
        <v>0</v>
      </c>
      <c r="AN28" s="1198">
        <v>0</v>
      </c>
      <c r="AO28" s="1199">
        <v>-26.4</v>
      </c>
      <c r="AP28" s="1199">
        <v>0</v>
      </c>
      <c r="AQ28" s="1199">
        <v>995</v>
      </c>
      <c r="AR28" s="1199">
        <v>0</v>
      </c>
      <c r="AS28" s="1203">
        <f t="shared" si="15"/>
        <v>968.6</v>
      </c>
      <c r="AT28" s="1198">
        <v>2939</v>
      </c>
      <c r="AU28" s="1199">
        <v>0</v>
      </c>
      <c r="AV28" s="1199">
        <v>0</v>
      </c>
      <c r="AW28" s="1199">
        <v>0</v>
      </c>
      <c r="AX28" s="1199">
        <v>0</v>
      </c>
      <c r="AY28" s="1203">
        <f t="shared" si="16"/>
        <v>2939</v>
      </c>
    </row>
    <row r="29" spans="1:51" s="874" customFormat="1">
      <c r="A29" s="1218" t="s">
        <v>64</v>
      </c>
      <c r="B29" s="1218" t="s">
        <v>65</v>
      </c>
      <c r="C29" s="1162" t="s">
        <v>266</v>
      </c>
      <c r="D29" s="1562">
        <f t="shared" si="4"/>
        <v>-348.93</v>
      </c>
      <c r="E29" s="1562">
        <f t="shared" si="5"/>
        <v>59011.95</v>
      </c>
      <c r="F29" s="1562">
        <f t="shared" si="6"/>
        <v>14836.8</v>
      </c>
      <c r="G29" s="1564">
        <f t="shared" si="7"/>
        <v>0</v>
      </c>
      <c r="H29" s="1567">
        <f t="shared" si="8"/>
        <v>14836.8</v>
      </c>
      <c r="I29" s="1568">
        <f t="shared" si="9"/>
        <v>73499.819999999992</v>
      </c>
      <c r="J29" s="1219">
        <v>0</v>
      </c>
      <c r="K29" s="1219">
        <v>59347.199999999997</v>
      </c>
      <c r="L29" s="1219">
        <v>14836.8</v>
      </c>
      <c r="M29" s="1219">
        <v>0</v>
      </c>
      <c r="N29" s="1219">
        <v>0</v>
      </c>
      <c r="O29" s="1220">
        <f t="shared" si="10"/>
        <v>74184</v>
      </c>
      <c r="P29" s="1607">
        <v>-348.93</v>
      </c>
      <c r="Q29" s="1600">
        <v>-335.25</v>
      </c>
      <c r="R29" s="1600">
        <v>0</v>
      </c>
      <c r="S29" s="1600">
        <v>0</v>
      </c>
      <c r="T29" s="1600">
        <v>0</v>
      </c>
      <c r="U29" s="1606">
        <f t="shared" si="11"/>
        <v>-684.18000000000006</v>
      </c>
      <c r="V29" s="1600"/>
      <c r="W29" s="1600"/>
      <c r="X29" s="1600"/>
      <c r="Y29" s="1600"/>
      <c r="Z29" s="1600"/>
      <c r="AA29" s="1600">
        <f t="shared" si="12"/>
        <v>0</v>
      </c>
      <c r="AB29" s="1198"/>
      <c r="AC29" s="1199"/>
      <c r="AD29" s="1199"/>
      <c r="AE29" s="1199"/>
      <c r="AF29" s="1199"/>
      <c r="AG29" s="1200">
        <f t="shared" si="13"/>
        <v>0</v>
      </c>
      <c r="AH29" s="1198"/>
      <c r="AI29" s="1199"/>
      <c r="AJ29" s="1199"/>
      <c r="AK29" s="1199"/>
      <c r="AL29" s="1199"/>
      <c r="AM29" s="1203">
        <f t="shared" si="14"/>
        <v>0</v>
      </c>
      <c r="AN29" s="1198"/>
      <c r="AO29" s="1199"/>
      <c r="AP29" s="1199"/>
      <c r="AQ29" s="1199"/>
      <c r="AR29" s="1199"/>
      <c r="AS29" s="1203">
        <f t="shared" si="15"/>
        <v>0</v>
      </c>
      <c r="AT29" s="1198"/>
      <c r="AU29" s="1199"/>
      <c r="AV29" s="1199"/>
      <c r="AW29" s="1199"/>
      <c r="AX29" s="1199"/>
      <c r="AY29" s="1203">
        <f t="shared" si="16"/>
        <v>0</v>
      </c>
    </row>
    <row r="30" spans="1:51" s="874" customFormat="1">
      <c r="A30" s="1218" t="s">
        <v>68</v>
      </c>
      <c r="B30" s="1218" t="s">
        <v>69</v>
      </c>
      <c r="C30" s="1162" t="s">
        <v>268</v>
      </c>
      <c r="D30" s="1562">
        <f t="shared" si="4"/>
        <v>-1361.28</v>
      </c>
      <c r="E30" s="1562">
        <f t="shared" si="5"/>
        <v>34128.9</v>
      </c>
      <c r="F30" s="1562">
        <f t="shared" si="6"/>
        <v>8859.2000000000007</v>
      </c>
      <c r="G30" s="1564">
        <f t="shared" si="7"/>
        <v>0</v>
      </c>
      <c r="H30" s="1567">
        <f t="shared" si="8"/>
        <v>8859.2000000000007</v>
      </c>
      <c r="I30" s="1568">
        <f t="shared" si="9"/>
        <v>41626.820000000007</v>
      </c>
      <c r="J30" s="1219">
        <v>0</v>
      </c>
      <c r="K30" s="1219">
        <v>35436.800000000003</v>
      </c>
      <c r="L30" s="1219">
        <v>8859.2000000000007</v>
      </c>
      <c r="M30" s="1219">
        <v>0</v>
      </c>
      <c r="N30" s="1219">
        <v>0</v>
      </c>
      <c r="O30" s="1220">
        <f t="shared" si="10"/>
        <v>44296</v>
      </c>
      <c r="P30" s="1607">
        <v>-1361.28</v>
      </c>
      <c r="Q30" s="1600">
        <v>-1307.9000000000001</v>
      </c>
      <c r="R30" s="1600">
        <v>0</v>
      </c>
      <c r="S30" s="1600">
        <v>0</v>
      </c>
      <c r="T30" s="1600">
        <v>0</v>
      </c>
      <c r="U30" s="1606">
        <f t="shared" si="11"/>
        <v>-2669.1800000000003</v>
      </c>
      <c r="V30" s="1600"/>
      <c r="W30" s="1600"/>
      <c r="X30" s="1600"/>
      <c r="Y30" s="1600"/>
      <c r="Z30" s="1600"/>
      <c r="AA30" s="1600">
        <f t="shared" si="12"/>
        <v>0</v>
      </c>
      <c r="AB30" s="1198"/>
      <c r="AC30" s="1199"/>
      <c r="AD30" s="1199"/>
      <c r="AE30" s="1199"/>
      <c r="AF30" s="1199"/>
      <c r="AG30" s="1200">
        <f t="shared" si="13"/>
        <v>0</v>
      </c>
      <c r="AH30" s="1198"/>
      <c r="AI30" s="1199"/>
      <c r="AJ30" s="1199"/>
      <c r="AK30" s="1199"/>
      <c r="AL30" s="1199"/>
      <c r="AM30" s="1203">
        <f t="shared" si="14"/>
        <v>0</v>
      </c>
      <c r="AN30" s="1198"/>
      <c r="AO30" s="1199"/>
      <c r="AP30" s="1199"/>
      <c r="AQ30" s="1199"/>
      <c r="AR30" s="1199"/>
      <c r="AS30" s="1203">
        <f t="shared" si="15"/>
        <v>0</v>
      </c>
      <c r="AT30" s="1198"/>
      <c r="AU30" s="1199"/>
      <c r="AV30" s="1199"/>
      <c r="AW30" s="1199"/>
      <c r="AX30" s="1199"/>
      <c r="AY30" s="1203">
        <f t="shared" si="16"/>
        <v>0</v>
      </c>
    </row>
    <row r="31" spans="1:51" s="874" customFormat="1">
      <c r="A31" s="1218" t="s">
        <v>70</v>
      </c>
      <c r="B31" s="1218" t="s">
        <v>71</v>
      </c>
      <c r="C31" s="1162" t="s">
        <v>264</v>
      </c>
      <c r="D31" s="1562">
        <f t="shared" si="4"/>
        <v>0</v>
      </c>
      <c r="E31" s="1562">
        <f t="shared" si="5"/>
        <v>209195.2</v>
      </c>
      <c r="F31" s="1562">
        <f t="shared" si="6"/>
        <v>52298.8</v>
      </c>
      <c r="G31" s="1564">
        <f t="shared" si="7"/>
        <v>0</v>
      </c>
      <c r="H31" s="1567">
        <f t="shared" si="8"/>
        <v>52298.8</v>
      </c>
      <c r="I31" s="1568">
        <f t="shared" si="9"/>
        <v>261494</v>
      </c>
      <c r="J31" s="1219">
        <v>0</v>
      </c>
      <c r="K31" s="1219">
        <v>209195.2</v>
      </c>
      <c r="L31" s="1219">
        <v>52298.8</v>
      </c>
      <c r="M31" s="1219">
        <v>0</v>
      </c>
      <c r="N31" s="1219">
        <v>0</v>
      </c>
      <c r="O31" s="1220">
        <f t="shared" si="10"/>
        <v>261494</v>
      </c>
      <c r="P31" s="1607"/>
      <c r="Q31" s="1600"/>
      <c r="R31" s="1600"/>
      <c r="S31" s="1600"/>
      <c r="T31" s="1600"/>
      <c r="U31" s="1606">
        <f t="shared" si="11"/>
        <v>0</v>
      </c>
      <c r="V31" s="1600"/>
      <c r="W31" s="1600"/>
      <c r="X31" s="1600"/>
      <c r="Y31" s="1600"/>
      <c r="Z31" s="1600"/>
      <c r="AA31" s="1600">
        <f t="shared" si="12"/>
        <v>0</v>
      </c>
      <c r="AB31" s="1198"/>
      <c r="AC31" s="1199"/>
      <c r="AD31" s="1199"/>
      <c r="AE31" s="1199"/>
      <c r="AF31" s="1199"/>
      <c r="AG31" s="1200">
        <f t="shared" si="13"/>
        <v>0</v>
      </c>
      <c r="AH31" s="1198"/>
      <c r="AI31" s="1199"/>
      <c r="AJ31" s="1199"/>
      <c r="AK31" s="1199"/>
      <c r="AL31" s="1199"/>
      <c r="AM31" s="1203">
        <f t="shared" si="14"/>
        <v>0</v>
      </c>
      <c r="AN31" s="1198"/>
      <c r="AO31" s="1199"/>
      <c r="AP31" s="1199"/>
      <c r="AQ31" s="1199"/>
      <c r="AR31" s="1199"/>
      <c r="AS31" s="1203">
        <f t="shared" si="15"/>
        <v>0</v>
      </c>
      <c r="AT31" s="1198"/>
      <c r="AU31" s="1199"/>
      <c r="AV31" s="1199"/>
      <c r="AW31" s="1199"/>
      <c r="AX31" s="1199"/>
      <c r="AY31" s="1203">
        <f t="shared" si="16"/>
        <v>0</v>
      </c>
    </row>
    <row r="32" spans="1:51" s="874" customFormat="1">
      <c r="A32" s="1218" t="s">
        <v>72</v>
      </c>
      <c r="B32" s="1218" t="s">
        <v>73</v>
      </c>
      <c r="C32" s="1162" t="s">
        <v>266</v>
      </c>
      <c r="D32" s="1562">
        <f t="shared" si="4"/>
        <v>0</v>
      </c>
      <c r="E32" s="1562">
        <f t="shared" si="5"/>
        <v>26258.400000000001</v>
      </c>
      <c r="F32" s="1562">
        <f t="shared" si="6"/>
        <v>6564.6</v>
      </c>
      <c r="G32" s="1564">
        <f t="shared" si="7"/>
        <v>0</v>
      </c>
      <c r="H32" s="1567">
        <f t="shared" si="8"/>
        <v>6564.6</v>
      </c>
      <c r="I32" s="1568">
        <f t="shared" si="9"/>
        <v>32823</v>
      </c>
      <c r="J32" s="1219">
        <v>0</v>
      </c>
      <c r="K32" s="1219">
        <v>26258.400000000001</v>
      </c>
      <c r="L32" s="1219">
        <v>6564.6</v>
      </c>
      <c r="M32" s="1219">
        <v>0</v>
      </c>
      <c r="N32" s="1219">
        <v>0</v>
      </c>
      <c r="O32" s="1220">
        <f t="shared" si="10"/>
        <v>32823</v>
      </c>
      <c r="P32" s="1607"/>
      <c r="Q32" s="1600"/>
      <c r="R32" s="1600"/>
      <c r="S32" s="1600"/>
      <c r="T32" s="1600"/>
      <c r="U32" s="1606">
        <f t="shared" si="11"/>
        <v>0</v>
      </c>
      <c r="V32" s="1600"/>
      <c r="W32" s="1600"/>
      <c r="X32" s="1600"/>
      <c r="Y32" s="1600"/>
      <c r="Z32" s="1600"/>
      <c r="AA32" s="1600">
        <f t="shared" si="12"/>
        <v>0</v>
      </c>
      <c r="AB32" s="1198"/>
      <c r="AC32" s="1199"/>
      <c r="AD32" s="1199"/>
      <c r="AE32" s="1199"/>
      <c r="AF32" s="1199"/>
      <c r="AG32" s="1200">
        <f t="shared" si="13"/>
        <v>0</v>
      </c>
      <c r="AH32" s="1198"/>
      <c r="AI32" s="1199"/>
      <c r="AJ32" s="1199"/>
      <c r="AK32" s="1199"/>
      <c r="AL32" s="1199"/>
      <c r="AM32" s="1203">
        <f t="shared" si="14"/>
        <v>0</v>
      </c>
      <c r="AN32" s="1198"/>
      <c r="AO32" s="1199"/>
      <c r="AP32" s="1199"/>
      <c r="AQ32" s="1199"/>
      <c r="AR32" s="1199"/>
      <c r="AS32" s="1203">
        <f t="shared" si="15"/>
        <v>0</v>
      </c>
      <c r="AT32" s="1198"/>
      <c r="AU32" s="1199"/>
      <c r="AV32" s="1199"/>
      <c r="AW32" s="1199"/>
      <c r="AX32" s="1199"/>
      <c r="AY32" s="1203">
        <f t="shared" si="16"/>
        <v>0</v>
      </c>
    </row>
    <row r="33" spans="1:51" s="874" customFormat="1">
      <c r="A33" s="1218" t="s">
        <v>74</v>
      </c>
      <c r="B33" s="1218" t="s">
        <v>684</v>
      </c>
      <c r="C33" s="1162" t="s">
        <v>267</v>
      </c>
      <c r="D33" s="1562">
        <f t="shared" si="4"/>
        <v>616296.63</v>
      </c>
      <c r="E33" s="1562">
        <f t="shared" si="5"/>
        <v>1053353.72</v>
      </c>
      <c r="F33" s="1562">
        <f t="shared" si="6"/>
        <v>274275.69</v>
      </c>
      <c r="G33" s="1564">
        <f t="shared" si="7"/>
        <v>60503.97</v>
      </c>
      <c r="H33" s="1567">
        <f t="shared" si="8"/>
        <v>334779.66000000003</v>
      </c>
      <c r="I33" s="1568">
        <f t="shared" si="9"/>
        <v>2004430.01</v>
      </c>
      <c r="J33" s="1219">
        <v>0</v>
      </c>
      <c r="K33" s="1219">
        <v>1048579.2</v>
      </c>
      <c r="L33" s="1219">
        <v>262144.8</v>
      </c>
      <c r="M33" s="1219">
        <v>0</v>
      </c>
      <c r="N33" s="1219">
        <v>18672</v>
      </c>
      <c r="O33" s="1220">
        <f t="shared" si="10"/>
        <v>1329396</v>
      </c>
      <c r="P33" s="1607">
        <v>-16938.88</v>
      </c>
      <c r="Q33" s="1600">
        <v>-16274.62</v>
      </c>
      <c r="R33" s="1600">
        <v>0</v>
      </c>
      <c r="S33" s="1600">
        <v>0</v>
      </c>
      <c r="T33" s="1600">
        <v>0</v>
      </c>
      <c r="U33" s="1606">
        <f t="shared" si="11"/>
        <v>-33213.5</v>
      </c>
      <c r="V33" s="1600"/>
      <c r="W33" s="1600"/>
      <c r="X33" s="1600"/>
      <c r="Y33" s="1600"/>
      <c r="Z33" s="1600"/>
      <c r="AA33" s="1600">
        <f t="shared" si="12"/>
        <v>0</v>
      </c>
      <c r="AB33" s="1201">
        <v>0</v>
      </c>
      <c r="AC33" s="1202">
        <v>20218.14</v>
      </c>
      <c r="AD33" s="1202">
        <v>12130.89</v>
      </c>
      <c r="AE33" s="1202">
        <v>-0.03</v>
      </c>
      <c r="AF33" s="1202">
        <v>41832</v>
      </c>
      <c r="AG33" s="1200">
        <f t="shared" si="13"/>
        <v>74181</v>
      </c>
      <c r="AH33" s="1201">
        <v>298862</v>
      </c>
      <c r="AI33" s="1202">
        <v>0</v>
      </c>
      <c r="AJ33" s="1202">
        <v>0</v>
      </c>
      <c r="AK33" s="1202">
        <v>0</v>
      </c>
      <c r="AL33" s="1202">
        <v>0</v>
      </c>
      <c r="AM33" s="1203">
        <f t="shared" si="14"/>
        <v>298862</v>
      </c>
      <c r="AN33" s="1201">
        <v>0</v>
      </c>
      <c r="AO33" s="1202">
        <v>831</v>
      </c>
      <c r="AP33" s="1202">
        <v>0</v>
      </c>
      <c r="AQ33" s="1202">
        <v>0</v>
      </c>
      <c r="AR33" s="1202">
        <v>0</v>
      </c>
      <c r="AS33" s="1203">
        <f t="shared" si="15"/>
        <v>831</v>
      </c>
      <c r="AT33" s="1201">
        <v>334373.51</v>
      </c>
      <c r="AU33" s="1202">
        <v>0</v>
      </c>
      <c r="AV33" s="1202">
        <v>0</v>
      </c>
      <c r="AW33" s="1202">
        <v>0</v>
      </c>
      <c r="AX33" s="1202">
        <v>0</v>
      </c>
      <c r="AY33" s="1203">
        <f t="shared" si="16"/>
        <v>334373.51</v>
      </c>
    </row>
    <row r="34" spans="1:51" s="874" customFormat="1">
      <c r="A34" s="1218" t="s">
        <v>76</v>
      </c>
      <c r="B34" s="1218" t="s">
        <v>77</v>
      </c>
      <c r="C34" s="1162" t="s">
        <v>267</v>
      </c>
      <c r="D34" s="1562">
        <f t="shared" si="4"/>
        <v>3290.39</v>
      </c>
      <c r="E34" s="1562">
        <f t="shared" si="5"/>
        <v>85423.8</v>
      </c>
      <c r="F34" s="1562">
        <f t="shared" si="6"/>
        <v>21759.52</v>
      </c>
      <c r="G34" s="1564">
        <f t="shared" si="7"/>
        <v>-237.39999999999964</v>
      </c>
      <c r="H34" s="1567">
        <f t="shared" si="8"/>
        <v>21522.120000000003</v>
      </c>
      <c r="I34" s="1568">
        <f t="shared" si="9"/>
        <v>110236.31000000001</v>
      </c>
      <c r="J34" s="1219">
        <v>0</v>
      </c>
      <c r="K34" s="1219">
        <v>84152</v>
      </c>
      <c r="L34" s="1219">
        <v>21038</v>
      </c>
      <c r="M34" s="1219">
        <v>0</v>
      </c>
      <c r="N34" s="1219">
        <v>0</v>
      </c>
      <c r="O34" s="1220">
        <f t="shared" si="10"/>
        <v>105190</v>
      </c>
      <c r="P34" s="1607">
        <v>-167.54</v>
      </c>
      <c r="Q34" s="1600">
        <v>-160.97</v>
      </c>
      <c r="R34" s="1600">
        <v>0</v>
      </c>
      <c r="S34" s="1600">
        <v>-64.989999999999995</v>
      </c>
      <c r="T34" s="1600">
        <v>0</v>
      </c>
      <c r="U34" s="1606">
        <f t="shared" si="11"/>
        <v>-393.5</v>
      </c>
      <c r="V34" s="1600"/>
      <c r="W34" s="1600"/>
      <c r="X34" s="1600"/>
      <c r="Y34" s="1600"/>
      <c r="Z34" s="1600"/>
      <c r="AA34" s="1600">
        <f t="shared" si="12"/>
        <v>0</v>
      </c>
      <c r="AB34" s="1201">
        <v>0</v>
      </c>
      <c r="AC34" s="1202">
        <v>1202.52</v>
      </c>
      <c r="AD34" s="1202">
        <v>721.52</v>
      </c>
      <c r="AE34" s="1202">
        <v>-7322.29</v>
      </c>
      <c r="AF34" s="1202">
        <v>7149.88</v>
      </c>
      <c r="AG34" s="1200">
        <f t="shared" si="13"/>
        <v>1751.63</v>
      </c>
      <c r="AH34" s="1198">
        <v>1008</v>
      </c>
      <c r="AI34" s="1199">
        <v>0</v>
      </c>
      <c r="AJ34" s="1199">
        <v>0</v>
      </c>
      <c r="AK34" s="1199">
        <v>0</v>
      </c>
      <c r="AL34" s="1199">
        <v>0</v>
      </c>
      <c r="AM34" s="1203">
        <f t="shared" si="14"/>
        <v>1008</v>
      </c>
      <c r="AN34" s="1198">
        <v>0</v>
      </c>
      <c r="AO34" s="1199">
        <v>-164</v>
      </c>
      <c r="AP34" s="1199">
        <v>0</v>
      </c>
      <c r="AQ34" s="1199">
        <v>0</v>
      </c>
      <c r="AR34" s="1199">
        <v>0</v>
      </c>
      <c r="AS34" s="1203">
        <f t="shared" si="15"/>
        <v>-164</v>
      </c>
      <c r="AT34" s="1198">
        <v>2449.9299999999998</v>
      </c>
      <c r="AU34" s="1199">
        <v>394.25</v>
      </c>
      <c r="AV34" s="1199">
        <v>0</v>
      </c>
      <c r="AW34" s="1199">
        <v>0</v>
      </c>
      <c r="AX34" s="1199">
        <v>0</v>
      </c>
      <c r="AY34" s="1203">
        <f t="shared" si="16"/>
        <v>2844.18</v>
      </c>
    </row>
    <row r="35" spans="1:51" s="874" customFormat="1">
      <c r="A35" s="1218" t="s">
        <v>78</v>
      </c>
      <c r="B35" s="1218" t="s">
        <v>79</v>
      </c>
      <c r="C35" s="1162" t="s">
        <v>268</v>
      </c>
      <c r="D35" s="1562">
        <f t="shared" si="4"/>
        <v>0</v>
      </c>
      <c r="E35" s="1562">
        <f t="shared" si="5"/>
        <v>61536</v>
      </c>
      <c r="F35" s="1562">
        <f t="shared" si="6"/>
        <v>15384</v>
      </c>
      <c r="G35" s="1564">
        <f t="shared" si="7"/>
        <v>0</v>
      </c>
      <c r="H35" s="1567">
        <f t="shared" si="8"/>
        <v>15384</v>
      </c>
      <c r="I35" s="1568">
        <f t="shared" si="9"/>
        <v>76920</v>
      </c>
      <c r="J35" s="1219">
        <v>0</v>
      </c>
      <c r="K35" s="1219">
        <v>61536</v>
      </c>
      <c r="L35" s="1219">
        <v>15384</v>
      </c>
      <c r="M35" s="1219">
        <v>0</v>
      </c>
      <c r="N35" s="1219">
        <v>0</v>
      </c>
      <c r="O35" s="1220">
        <f t="shared" si="10"/>
        <v>76920</v>
      </c>
      <c r="P35" s="1607"/>
      <c r="Q35" s="1600"/>
      <c r="R35" s="1600"/>
      <c r="S35" s="1600"/>
      <c r="T35" s="1600"/>
      <c r="U35" s="1606">
        <f t="shared" si="11"/>
        <v>0</v>
      </c>
      <c r="V35" s="1600"/>
      <c r="W35" s="1600"/>
      <c r="X35" s="1600"/>
      <c r="Y35" s="1600"/>
      <c r="Z35" s="1600"/>
      <c r="AA35" s="1600">
        <f t="shared" si="12"/>
        <v>0</v>
      </c>
      <c r="AB35" s="1198"/>
      <c r="AC35" s="1199"/>
      <c r="AD35" s="1199"/>
      <c r="AE35" s="1199"/>
      <c r="AF35" s="1199"/>
      <c r="AG35" s="1200">
        <f t="shared" si="13"/>
        <v>0</v>
      </c>
      <c r="AH35" s="1198"/>
      <c r="AI35" s="1199"/>
      <c r="AJ35" s="1199"/>
      <c r="AK35" s="1199"/>
      <c r="AL35" s="1199"/>
      <c r="AM35" s="1203">
        <f t="shared" si="14"/>
        <v>0</v>
      </c>
      <c r="AN35" s="1198"/>
      <c r="AO35" s="1199"/>
      <c r="AP35" s="1199"/>
      <c r="AQ35" s="1199"/>
      <c r="AR35" s="1199"/>
      <c r="AS35" s="1203">
        <f t="shared" si="15"/>
        <v>0</v>
      </c>
      <c r="AT35" s="1198"/>
      <c r="AU35" s="1199"/>
      <c r="AV35" s="1199"/>
      <c r="AW35" s="1199"/>
      <c r="AX35" s="1199"/>
      <c r="AY35" s="1203">
        <f t="shared" si="16"/>
        <v>0</v>
      </c>
    </row>
    <row r="36" spans="1:51" s="874" customFormat="1">
      <c r="A36" s="1218" t="s">
        <v>80</v>
      </c>
      <c r="B36" s="1218" t="s">
        <v>81</v>
      </c>
      <c r="C36" s="1162" t="s">
        <v>266</v>
      </c>
      <c r="D36" s="1562">
        <f t="shared" si="4"/>
        <v>0</v>
      </c>
      <c r="E36" s="1562">
        <f t="shared" si="5"/>
        <v>7652.4</v>
      </c>
      <c r="F36" s="1562">
        <f t="shared" si="6"/>
        <v>2763.6</v>
      </c>
      <c r="G36" s="1564">
        <f t="shared" si="7"/>
        <v>0</v>
      </c>
      <c r="H36" s="1567">
        <f t="shared" si="8"/>
        <v>2763.6</v>
      </c>
      <c r="I36" s="1568">
        <f t="shared" si="9"/>
        <v>10416</v>
      </c>
      <c r="J36" s="1219">
        <v>0</v>
      </c>
      <c r="K36" s="1219">
        <v>5222.3999999999996</v>
      </c>
      <c r="L36" s="1219">
        <v>1305.5999999999999</v>
      </c>
      <c r="M36" s="1219">
        <v>0</v>
      </c>
      <c r="N36" s="1219">
        <v>0</v>
      </c>
      <c r="O36" s="1220">
        <f t="shared" si="10"/>
        <v>6528</v>
      </c>
      <c r="P36" s="1607"/>
      <c r="Q36" s="1600"/>
      <c r="R36" s="1600"/>
      <c r="S36" s="1600"/>
      <c r="T36" s="1600"/>
      <c r="U36" s="1606">
        <f t="shared" si="11"/>
        <v>0</v>
      </c>
      <c r="V36" s="1600"/>
      <c r="W36" s="1600"/>
      <c r="X36" s="1600"/>
      <c r="Y36" s="1600"/>
      <c r="Z36" s="1600"/>
      <c r="AA36" s="1600">
        <f t="shared" si="12"/>
        <v>0</v>
      </c>
      <c r="AB36" s="1201">
        <v>0</v>
      </c>
      <c r="AC36" s="1202">
        <v>2430</v>
      </c>
      <c r="AD36" s="1202">
        <v>1458</v>
      </c>
      <c r="AE36" s="1202">
        <v>0</v>
      </c>
      <c r="AF36" s="1202">
        <v>0</v>
      </c>
      <c r="AG36" s="1200">
        <f t="shared" si="13"/>
        <v>3888</v>
      </c>
      <c r="AH36" s="1198"/>
      <c r="AI36" s="1199"/>
      <c r="AJ36" s="1199"/>
      <c r="AK36" s="1199"/>
      <c r="AL36" s="1199"/>
      <c r="AM36" s="1203">
        <f t="shared" si="14"/>
        <v>0</v>
      </c>
      <c r="AN36" s="1198"/>
      <c r="AO36" s="1199"/>
      <c r="AP36" s="1199"/>
      <c r="AQ36" s="1199"/>
      <c r="AR36" s="1199"/>
      <c r="AS36" s="1203">
        <f t="shared" si="15"/>
        <v>0</v>
      </c>
      <c r="AT36" s="1198"/>
      <c r="AU36" s="1199"/>
      <c r="AV36" s="1199"/>
      <c r="AW36" s="1199"/>
      <c r="AX36" s="1199"/>
      <c r="AY36" s="1203">
        <f t="shared" si="16"/>
        <v>0</v>
      </c>
    </row>
    <row r="37" spans="1:51" s="874" customFormat="1">
      <c r="A37" s="1218" t="s">
        <v>84</v>
      </c>
      <c r="B37" s="1218" t="s">
        <v>308</v>
      </c>
      <c r="C37" s="1162" t="s">
        <v>265</v>
      </c>
      <c r="D37" s="1562">
        <f t="shared" si="4"/>
        <v>-2100.12</v>
      </c>
      <c r="E37" s="1562">
        <f t="shared" si="5"/>
        <v>133750.73000000001</v>
      </c>
      <c r="F37" s="1562">
        <f t="shared" si="6"/>
        <v>33876.5</v>
      </c>
      <c r="G37" s="1564">
        <f t="shared" si="7"/>
        <v>2100</v>
      </c>
      <c r="H37" s="1567">
        <f t="shared" si="8"/>
        <v>35976.5</v>
      </c>
      <c r="I37" s="1568">
        <f t="shared" si="9"/>
        <v>167627.11000000002</v>
      </c>
      <c r="J37" s="1219">
        <v>0</v>
      </c>
      <c r="K37" s="1219">
        <v>135956</v>
      </c>
      <c r="L37" s="1219">
        <v>33989</v>
      </c>
      <c r="M37" s="1219">
        <v>0</v>
      </c>
      <c r="N37" s="1219">
        <v>0</v>
      </c>
      <c r="O37" s="1220">
        <f t="shared" si="10"/>
        <v>169945</v>
      </c>
      <c r="P37" s="1607">
        <v>-2100.12</v>
      </c>
      <c r="Q37" s="1600">
        <v>-2017.77</v>
      </c>
      <c r="R37" s="1600">
        <v>0</v>
      </c>
      <c r="S37" s="1600">
        <v>0</v>
      </c>
      <c r="T37" s="1600">
        <v>0</v>
      </c>
      <c r="U37" s="1606">
        <f t="shared" si="11"/>
        <v>-4117.8899999999994</v>
      </c>
      <c r="V37" s="1600"/>
      <c r="W37" s="1600"/>
      <c r="X37" s="1600"/>
      <c r="Y37" s="1600"/>
      <c r="Z37" s="1600"/>
      <c r="AA37" s="1600">
        <f t="shared" si="12"/>
        <v>0</v>
      </c>
      <c r="AB37" s="1201">
        <v>0</v>
      </c>
      <c r="AC37" s="1202">
        <v>-187.5</v>
      </c>
      <c r="AD37" s="1202">
        <v>-112.5</v>
      </c>
      <c r="AE37" s="1202">
        <v>2100</v>
      </c>
      <c r="AF37" s="1202">
        <v>0</v>
      </c>
      <c r="AG37" s="1200">
        <f t="shared" si="13"/>
        <v>1800</v>
      </c>
      <c r="AH37" s="1198"/>
      <c r="AI37" s="1199"/>
      <c r="AJ37" s="1199"/>
      <c r="AK37" s="1199"/>
      <c r="AL37" s="1199"/>
      <c r="AM37" s="1203">
        <f t="shared" si="14"/>
        <v>0</v>
      </c>
      <c r="AN37" s="1198"/>
      <c r="AO37" s="1199"/>
      <c r="AP37" s="1199"/>
      <c r="AQ37" s="1199"/>
      <c r="AR37" s="1199"/>
      <c r="AS37" s="1203">
        <f t="shared" si="15"/>
        <v>0</v>
      </c>
      <c r="AT37" s="1198"/>
      <c r="AU37" s="1199"/>
      <c r="AV37" s="1199"/>
      <c r="AW37" s="1199"/>
      <c r="AX37" s="1199"/>
      <c r="AY37" s="1203">
        <f t="shared" si="16"/>
        <v>0</v>
      </c>
    </row>
    <row r="38" spans="1:51" s="874" customFormat="1">
      <c r="A38" s="1218" t="s">
        <v>86</v>
      </c>
      <c r="B38" s="1218" t="s">
        <v>87</v>
      </c>
      <c r="C38" s="1162" t="s">
        <v>267</v>
      </c>
      <c r="D38" s="1562">
        <f t="shared" si="4"/>
        <v>33831.97</v>
      </c>
      <c r="E38" s="1562">
        <f t="shared" si="5"/>
        <v>85525.6</v>
      </c>
      <c r="F38" s="1562">
        <f t="shared" si="6"/>
        <v>21381.4</v>
      </c>
      <c r="G38" s="1564">
        <f t="shared" si="7"/>
        <v>6159.36</v>
      </c>
      <c r="H38" s="1567">
        <f t="shared" si="8"/>
        <v>27540.760000000002</v>
      </c>
      <c r="I38" s="1568">
        <f t="shared" si="9"/>
        <v>146898.32999999999</v>
      </c>
      <c r="J38" s="1219">
        <v>0</v>
      </c>
      <c r="K38" s="1219">
        <v>85525.6</v>
      </c>
      <c r="L38" s="1219">
        <v>21381.4</v>
      </c>
      <c r="M38" s="1219">
        <v>0</v>
      </c>
      <c r="N38" s="1219">
        <v>0</v>
      </c>
      <c r="O38" s="1220">
        <f t="shared" si="10"/>
        <v>106907</v>
      </c>
      <c r="P38" s="1607"/>
      <c r="Q38" s="1600"/>
      <c r="R38" s="1600"/>
      <c r="S38" s="1600"/>
      <c r="T38" s="1600"/>
      <c r="U38" s="1606">
        <f t="shared" si="11"/>
        <v>0</v>
      </c>
      <c r="V38" s="1600"/>
      <c r="W38" s="1600"/>
      <c r="X38" s="1600"/>
      <c r="Y38" s="1600"/>
      <c r="Z38" s="1600"/>
      <c r="AA38" s="1600">
        <f t="shared" si="12"/>
        <v>0</v>
      </c>
      <c r="AB38" s="1201">
        <v>0</v>
      </c>
      <c r="AC38" s="1202">
        <v>0</v>
      </c>
      <c r="AD38" s="1202">
        <v>0</v>
      </c>
      <c r="AE38" s="1202">
        <v>6159.36</v>
      </c>
      <c r="AF38" s="1202">
        <v>0</v>
      </c>
      <c r="AG38" s="1200">
        <f t="shared" si="13"/>
        <v>6159.36</v>
      </c>
      <c r="AH38" s="1198">
        <v>912</v>
      </c>
      <c r="AI38" s="1199">
        <v>0</v>
      </c>
      <c r="AJ38" s="1199">
        <v>0</v>
      </c>
      <c r="AK38" s="1199">
        <v>0</v>
      </c>
      <c r="AL38" s="1199">
        <v>0</v>
      </c>
      <c r="AM38" s="1203">
        <f t="shared" si="14"/>
        <v>912</v>
      </c>
      <c r="AN38" s="1198"/>
      <c r="AO38" s="1199"/>
      <c r="AP38" s="1199"/>
      <c r="AQ38" s="1199"/>
      <c r="AR38" s="1199"/>
      <c r="AS38" s="1203">
        <f t="shared" si="15"/>
        <v>0</v>
      </c>
      <c r="AT38" s="1198">
        <v>32919.97</v>
      </c>
      <c r="AU38" s="1199">
        <v>0</v>
      </c>
      <c r="AV38" s="1199">
        <v>0</v>
      </c>
      <c r="AW38" s="1199">
        <v>0</v>
      </c>
      <c r="AX38" s="1199">
        <v>0</v>
      </c>
      <c r="AY38" s="1203">
        <f t="shared" si="16"/>
        <v>32919.97</v>
      </c>
    </row>
    <row r="39" spans="1:51" s="874" customFormat="1">
      <c r="A39" s="1218" t="s">
        <v>92</v>
      </c>
      <c r="B39" s="1218" t="s">
        <v>93</v>
      </c>
      <c r="C39" s="1162" t="s">
        <v>268</v>
      </c>
      <c r="D39" s="1562">
        <f t="shared" si="4"/>
        <v>-63.75</v>
      </c>
      <c r="E39" s="1562">
        <f t="shared" si="5"/>
        <v>29841.15</v>
      </c>
      <c r="F39" s="1562">
        <f t="shared" si="6"/>
        <v>7475.6</v>
      </c>
      <c r="G39" s="1564">
        <f t="shared" si="7"/>
        <v>0</v>
      </c>
      <c r="H39" s="1567">
        <f t="shared" si="8"/>
        <v>7475.6</v>
      </c>
      <c r="I39" s="1568">
        <f t="shared" si="9"/>
        <v>37253</v>
      </c>
      <c r="J39" s="1219">
        <v>0</v>
      </c>
      <c r="K39" s="1219">
        <v>29902.400000000001</v>
      </c>
      <c r="L39" s="1219">
        <v>7475.6</v>
      </c>
      <c r="M39" s="1219">
        <v>0</v>
      </c>
      <c r="N39" s="1219">
        <v>0</v>
      </c>
      <c r="O39" s="1220">
        <f t="shared" si="10"/>
        <v>37378</v>
      </c>
      <c r="P39" s="1607">
        <v>-63.75</v>
      </c>
      <c r="Q39" s="1600">
        <v>-61.25</v>
      </c>
      <c r="R39" s="1600">
        <v>0</v>
      </c>
      <c r="S39" s="1600">
        <v>0</v>
      </c>
      <c r="T39" s="1600">
        <v>0</v>
      </c>
      <c r="U39" s="1606">
        <f t="shared" si="11"/>
        <v>-125</v>
      </c>
      <c r="V39" s="1600"/>
      <c r="W39" s="1600"/>
      <c r="X39" s="1600"/>
      <c r="Y39" s="1600"/>
      <c r="Z39" s="1600"/>
      <c r="AA39" s="1600">
        <f t="shared" si="12"/>
        <v>0</v>
      </c>
      <c r="AB39" s="1198"/>
      <c r="AC39" s="1199"/>
      <c r="AD39" s="1199"/>
      <c r="AE39" s="1199"/>
      <c r="AF39" s="1199"/>
      <c r="AG39" s="1200">
        <f t="shared" si="13"/>
        <v>0</v>
      </c>
      <c r="AH39" s="1198"/>
      <c r="AI39" s="1199"/>
      <c r="AJ39" s="1199"/>
      <c r="AK39" s="1199"/>
      <c r="AL39" s="1199"/>
      <c r="AM39" s="1203">
        <f t="shared" si="14"/>
        <v>0</v>
      </c>
      <c r="AN39" s="1198"/>
      <c r="AO39" s="1199"/>
      <c r="AP39" s="1199"/>
      <c r="AQ39" s="1199"/>
      <c r="AR39" s="1199"/>
      <c r="AS39" s="1203">
        <f t="shared" si="15"/>
        <v>0</v>
      </c>
      <c r="AT39" s="1198"/>
      <c r="AU39" s="1199"/>
      <c r="AV39" s="1199"/>
      <c r="AW39" s="1199"/>
      <c r="AX39" s="1199"/>
      <c r="AY39" s="1203">
        <f t="shared" si="16"/>
        <v>0</v>
      </c>
    </row>
    <row r="40" spans="1:51" s="874" customFormat="1">
      <c r="A40" s="1218" t="s">
        <v>94</v>
      </c>
      <c r="B40" s="1218" t="s">
        <v>95</v>
      </c>
      <c r="C40" s="1162" t="s">
        <v>264</v>
      </c>
      <c r="D40" s="1562">
        <f t="shared" si="4"/>
        <v>0</v>
      </c>
      <c r="E40" s="1562">
        <f t="shared" si="5"/>
        <v>142606.39999999999</v>
      </c>
      <c r="F40" s="1562">
        <f t="shared" si="6"/>
        <v>35651.599999999999</v>
      </c>
      <c r="G40" s="1564">
        <f t="shared" si="7"/>
        <v>0</v>
      </c>
      <c r="H40" s="1567">
        <f t="shared" si="8"/>
        <v>35651.599999999999</v>
      </c>
      <c r="I40" s="1568">
        <f t="shared" si="9"/>
        <v>178258</v>
      </c>
      <c r="J40" s="1219">
        <v>0</v>
      </c>
      <c r="K40" s="1219">
        <v>142606.39999999999</v>
      </c>
      <c r="L40" s="1219">
        <v>35651.599999999999</v>
      </c>
      <c r="M40" s="1219">
        <v>0</v>
      </c>
      <c r="N40" s="1219">
        <v>0</v>
      </c>
      <c r="O40" s="1220">
        <f t="shared" si="10"/>
        <v>178258</v>
      </c>
      <c r="P40" s="1607"/>
      <c r="Q40" s="1600"/>
      <c r="R40" s="1600"/>
      <c r="S40" s="1600"/>
      <c r="T40" s="1600"/>
      <c r="U40" s="1606">
        <f t="shared" si="11"/>
        <v>0</v>
      </c>
      <c r="V40" s="1600"/>
      <c r="W40" s="1600"/>
      <c r="X40" s="1600"/>
      <c r="Y40" s="1600"/>
      <c r="Z40" s="1600"/>
      <c r="AA40" s="1600">
        <f t="shared" si="12"/>
        <v>0</v>
      </c>
      <c r="AB40" s="1198"/>
      <c r="AC40" s="1199"/>
      <c r="AD40" s="1199"/>
      <c r="AE40" s="1199"/>
      <c r="AF40" s="1199"/>
      <c r="AG40" s="1200">
        <f t="shared" si="13"/>
        <v>0</v>
      </c>
      <c r="AH40" s="1198"/>
      <c r="AI40" s="1199"/>
      <c r="AJ40" s="1199"/>
      <c r="AK40" s="1199"/>
      <c r="AL40" s="1199"/>
      <c r="AM40" s="1203">
        <f t="shared" si="14"/>
        <v>0</v>
      </c>
      <c r="AN40" s="1198"/>
      <c r="AO40" s="1199"/>
      <c r="AP40" s="1199"/>
      <c r="AQ40" s="1199"/>
      <c r="AR40" s="1199"/>
      <c r="AS40" s="1203">
        <f t="shared" si="15"/>
        <v>0</v>
      </c>
      <c r="AT40" s="1198"/>
      <c r="AU40" s="1199"/>
      <c r="AV40" s="1199"/>
      <c r="AW40" s="1199"/>
      <c r="AX40" s="1199"/>
      <c r="AY40" s="1203">
        <f t="shared" si="16"/>
        <v>0</v>
      </c>
    </row>
    <row r="41" spans="1:51" s="874" customFormat="1">
      <c r="A41" s="1218" t="s">
        <v>96</v>
      </c>
      <c r="B41" s="1218" t="s">
        <v>97</v>
      </c>
      <c r="C41" s="1162" t="s">
        <v>266</v>
      </c>
      <c r="D41" s="1562">
        <f t="shared" si="4"/>
        <v>0</v>
      </c>
      <c r="E41" s="1562">
        <f t="shared" si="5"/>
        <v>26936.799999999999</v>
      </c>
      <c r="F41" s="1562">
        <f t="shared" si="6"/>
        <v>6734.2</v>
      </c>
      <c r="G41" s="1564">
        <f t="shared" si="7"/>
        <v>72849.83</v>
      </c>
      <c r="H41" s="1567">
        <f t="shared" si="8"/>
        <v>79584.03</v>
      </c>
      <c r="I41" s="1568">
        <f t="shared" si="9"/>
        <v>106520.83</v>
      </c>
      <c r="J41" s="1219">
        <v>0</v>
      </c>
      <c r="K41" s="1219">
        <v>26936.799999999999</v>
      </c>
      <c r="L41" s="1219">
        <v>6734.2</v>
      </c>
      <c r="M41" s="1219">
        <v>0</v>
      </c>
      <c r="N41" s="1219">
        <v>0</v>
      </c>
      <c r="O41" s="1220">
        <f t="shared" si="10"/>
        <v>33671</v>
      </c>
      <c r="P41" s="1607"/>
      <c r="Q41" s="1600"/>
      <c r="R41" s="1600"/>
      <c r="S41" s="1600"/>
      <c r="T41" s="1600"/>
      <c r="U41" s="1606">
        <f t="shared" si="11"/>
        <v>0</v>
      </c>
      <c r="V41" s="1600"/>
      <c r="W41" s="1600"/>
      <c r="X41" s="1600"/>
      <c r="Y41" s="1600"/>
      <c r="Z41" s="1600"/>
      <c r="AA41" s="1600">
        <f t="shared" si="12"/>
        <v>0</v>
      </c>
      <c r="AB41" s="1201">
        <v>0</v>
      </c>
      <c r="AC41" s="1202">
        <v>0</v>
      </c>
      <c r="AD41" s="1202">
        <v>0</v>
      </c>
      <c r="AE41" s="1202">
        <v>72849.83</v>
      </c>
      <c r="AF41" s="1202">
        <v>0</v>
      </c>
      <c r="AG41" s="1200">
        <f t="shared" si="13"/>
        <v>72849.83</v>
      </c>
      <c r="AH41" s="1198"/>
      <c r="AI41" s="1199"/>
      <c r="AJ41" s="1199"/>
      <c r="AK41" s="1199"/>
      <c r="AL41" s="1199"/>
      <c r="AM41" s="1203">
        <f t="shared" si="14"/>
        <v>0</v>
      </c>
      <c r="AN41" s="1198"/>
      <c r="AO41" s="1199"/>
      <c r="AP41" s="1199"/>
      <c r="AQ41" s="1199"/>
      <c r="AR41" s="1199"/>
      <c r="AS41" s="1203">
        <f t="shared" si="15"/>
        <v>0</v>
      </c>
      <c r="AT41" s="1198"/>
      <c r="AU41" s="1199"/>
      <c r="AV41" s="1199"/>
      <c r="AW41" s="1199"/>
      <c r="AX41" s="1199"/>
      <c r="AY41" s="1203">
        <f t="shared" si="16"/>
        <v>0</v>
      </c>
    </row>
    <row r="42" spans="1:51" s="874" customFormat="1">
      <c r="A42" s="1218" t="s">
        <v>98</v>
      </c>
      <c r="B42" s="1218" t="s">
        <v>99</v>
      </c>
      <c r="C42" s="1162" t="s">
        <v>268</v>
      </c>
      <c r="D42" s="1562">
        <f t="shared" si="4"/>
        <v>0</v>
      </c>
      <c r="E42" s="1562">
        <f t="shared" si="5"/>
        <v>137524</v>
      </c>
      <c r="F42" s="1562">
        <f t="shared" si="6"/>
        <v>34381</v>
      </c>
      <c r="G42" s="1564">
        <f t="shared" si="7"/>
        <v>0</v>
      </c>
      <c r="H42" s="1567">
        <f t="shared" si="8"/>
        <v>34381</v>
      </c>
      <c r="I42" s="1568">
        <f t="shared" si="9"/>
        <v>171905</v>
      </c>
      <c r="J42" s="1219">
        <v>0</v>
      </c>
      <c r="K42" s="1219">
        <v>137524</v>
      </c>
      <c r="L42" s="1219">
        <v>34381</v>
      </c>
      <c r="M42" s="1219">
        <v>0</v>
      </c>
      <c r="N42" s="1219">
        <v>0</v>
      </c>
      <c r="O42" s="1220">
        <f t="shared" si="10"/>
        <v>171905</v>
      </c>
      <c r="P42" s="1607"/>
      <c r="Q42" s="1600"/>
      <c r="R42" s="1600"/>
      <c r="S42" s="1600"/>
      <c r="T42" s="1600"/>
      <c r="U42" s="1606">
        <f t="shared" si="11"/>
        <v>0</v>
      </c>
      <c r="V42" s="1600"/>
      <c r="W42" s="1600"/>
      <c r="X42" s="1600"/>
      <c r="Y42" s="1600"/>
      <c r="Z42" s="1600"/>
      <c r="AA42" s="1600">
        <f t="shared" si="12"/>
        <v>0</v>
      </c>
      <c r="AB42" s="1198"/>
      <c r="AC42" s="1199"/>
      <c r="AD42" s="1199"/>
      <c r="AE42" s="1199"/>
      <c r="AF42" s="1199"/>
      <c r="AG42" s="1200">
        <f t="shared" si="13"/>
        <v>0</v>
      </c>
      <c r="AH42" s="1198"/>
      <c r="AI42" s="1199"/>
      <c r="AJ42" s="1199"/>
      <c r="AK42" s="1199"/>
      <c r="AL42" s="1199"/>
      <c r="AM42" s="1203">
        <f t="shared" si="14"/>
        <v>0</v>
      </c>
      <c r="AN42" s="1198"/>
      <c r="AO42" s="1199"/>
      <c r="AP42" s="1199"/>
      <c r="AQ42" s="1199"/>
      <c r="AR42" s="1199"/>
      <c r="AS42" s="1203">
        <f t="shared" si="15"/>
        <v>0</v>
      </c>
      <c r="AT42" s="1198"/>
      <c r="AU42" s="1199"/>
      <c r="AV42" s="1199"/>
      <c r="AW42" s="1199"/>
      <c r="AX42" s="1199"/>
      <c r="AY42" s="1203">
        <f t="shared" si="16"/>
        <v>0</v>
      </c>
    </row>
    <row r="43" spans="1:51" s="874" customFormat="1">
      <c r="A43" s="1218" t="s">
        <v>100</v>
      </c>
      <c r="B43" s="1218" t="s">
        <v>101</v>
      </c>
      <c r="C43" s="1162" t="s">
        <v>267</v>
      </c>
      <c r="D43" s="1562">
        <f t="shared" si="4"/>
        <v>-51</v>
      </c>
      <c r="E43" s="1562">
        <f t="shared" si="5"/>
        <v>18799.8</v>
      </c>
      <c r="F43" s="1562">
        <f t="shared" si="6"/>
        <v>4812.2</v>
      </c>
      <c r="G43" s="1564">
        <f t="shared" si="7"/>
        <v>0</v>
      </c>
      <c r="H43" s="1567">
        <f t="shared" si="8"/>
        <v>4812.2</v>
      </c>
      <c r="I43" s="1568">
        <f t="shared" si="9"/>
        <v>23561</v>
      </c>
      <c r="J43" s="1219">
        <v>0</v>
      </c>
      <c r="K43" s="1219">
        <v>19248.8</v>
      </c>
      <c r="L43" s="1219">
        <v>4812.2</v>
      </c>
      <c r="M43" s="1219">
        <v>0</v>
      </c>
      <c r="N43" s="1219">
        <v>0</v>
      </c>
      <c r="O43" s="1220">
        <f t="shared" si="10"/>
        <v>24061</v>
      </c>
      <c r="P43" s="1607">
        <v>-51</v>
      </c>
      <c r="Q43" s="1600">
        <v>-49</v>
      </c>
      <c r="R43" s="1600">
        <v>0</v>
      </c>
      <c r="S43" s="1600">
        <v>0</v>
      </c>
      <c r="T43" s="1600">
        <v>0</v>
      </c>
      <c r="U43" s="1606">
        <f t="shared" si="11"/>
        <v>-100</v>
      </c>
      <c r="V43" s="1600"/>
      <c r="W43" s="1600"/>
      <c r="X43" s="1600"/>
      <c r="Y43" s="1600"/>
      <c r="Z43" s="1600"/>
      <c r="AA43" s="1600">
        <f t="shared" si="12"/>
        <v>0</v>
      </c>
      <c r="AB43" s="1198"/>
      <c r="AC43" s="1199"/>
      <c r="AD43" s="1199"/>
      <c r="AE43" s="1199"/>
      <c r="AF43" s="1199"/>
      <c r="AG43" s="1200">
        <f t="shared" si="13"/>
        <v>0</v>
      </c>
      <c r="AH43" s="1198"/>
      <c r="AI43" s="1199"/>
      <c r="AJ43" s="1199"/>
      <c r="AK43" s="1199"/>
      <c r="AL43" s="1199"/>
      <c r="AM43" s="1203">
        <f t="shared" si="14"/>
        <v>0</v>
      </c>
      <c r="AN43" s="1198">
        <v>0</v>
      </c>
      <c r="AO43" s="1199">
        <v>-400</v>
      </c>
      <c r="AP43" s="1199">
        <v>0</v>
      </c>
      <c r="AQ43" s="1199">
        <v>0</v>
      </c>
      <c r="AR43" s="1199">
        <v>0</v>
      </c>
      <c r="AS43" s="1203">
        <f t="shared" si="15"/>
        <v>-400</v>
      </c>
      <c r="AT43" s="1198"/>
      <c r="AU43" s="1199"/>
      <c r="AV43" s="1199"/>
      <c r="AW43" s="1199"/>
      <c r="AX43" s="1199"/>
      <c r="AY43" s="1203">
        <f t="shared" si="16"/>
        <v>0</v>
      </c>
    </row>
    <row r="44" spans="1:51" s="874" customFormat="1">
      <c r="A44" s="1218" t="s">
        <v>102</v>
      </c>
      <c r="B44" s="1218" t="s">
        <v>103</v>
      </c>
      <c r="C44" s="1162" t="s">
        <v>264</v>
      </c>
      <c r="D44" s="1562">
        <f t="shared" si="4"/>
        <v>0</v>
      </c>
      <c r="E44" s="1562">
        <f t="shared" si="5"/>
        <v>57911.199999999997</v>
      </c>
      <c r="F44" s="1562">
        <f t="shared" si="6"/>
        <v>14477.8</v>
      </c>
      <c r="G44" s="1564">
        <f t="shared" si="7"/>
        <v>0</v>
      </c>
      <c r="H44" s="1567">
        <f t="shared" si="8"/>
        <v>14477.8</v>
      </c>
      <c r="I44" s="1568">
        <f t="shared" si="9"/>
        <v>72389</v>
      </c>
      <c r="J44" s="1219">
        <v>0</v>
      </c>
      <c r="K44" s="1219">
        <v>57911.199999999997</v>
      </c>
      <c r="L44" s="1219">
        <v>14477.8</v>
      </c>
      <c r="M44" s="1219">
        <v>0</v>
      </c>
      <c r="N44" s="1219">
        <v>0</v>
      </c>
      <c r="O44" s="1220">
        <f t="shared" si="10"/>
        <v>72389</v>
      </c>
      <c r="P44" s="1607"/>
      <c r="Q44" s="1600"/>
      <c r="R44" s="1600"/>
      <c r="S44" s="1600"/>
      <c r="T44" s="1600"/>
      <c r="U44" s="1606">
        <f t="shared" si="11"/>
        <v>0</v>
      </c>
      <c r="V44" s="1600"/>
      <c r="W44" s="1600"/>
      <c r="X44" s="1600"/>
      <c r="Y44" s="1600"/>
      <c r="Z44" s="1600"/>
      <c r="AA44" s="1600">
        <f t="shared" si="12"/>
        <v>0</v>
      </c>
      <c r="AB44" s="1198"/>
      <c r="AC44" s="1199"/>
      <c r="AD44" s="1199"/>
      <c r="AE44" s="1199"/>
      <c r="AF44" s="1199"/>
      <c r="AG44" s="1200">
        <f t="shared" si="13"/>
        <v>0</v>
      </c>
      <c r="AH44" s="1198"/>
      <c r="AI44" s="1199"/>
      <c r="AJ44" s="1199"/>
      <c r="AK44" s="1199"/>
      <c r="AL44" s="1199"/>
      <c r="AM44" s="1203">
        <f t="shared" si="14"/>
        <v>0</v>
      </c>
      <c r="AN44" s="1198"/>
      <c r="AO44" s="1199"/>
      <c r="AP44" s="1199"/>
      <c r="AQ44" s="1199"/>
      <c r="AR44" s="1199"/>
      <c r="AS44" s="1203">
        <f t="shared" si="15"/>
        <v>0</v>
      </c>
      <c r="AT44" s="1198"/>
      <c r="AU44" s="1199"/>
      <c r="AV44" s="1199"/>
      <c r="AW44" s="1199"/>
      <c r="AX44" s="1199"/>
      <c r="AY44" s="1203">
        <f t="shared" si="16"/>
        <v>0</v>
      </c>
    </row>
    <row r="45" spans="1:51" s="874" customFormat="1">
      <c r="A45" s="1218" t="s">
        <v>104</v>
      </c>
      <c r="B45" s="1218" t="s">
        <v>309</v>
      </c>
      <c r="C45" s="1162" t="s">
        <v>265</v>
      </c>
      <c r="D45" s="1562">
        <f t="shared" si="4"/>
        <v>54.680000000000064</v>
      </c>
      <c r="E45" s="1562">
        <f t="shared" si="5"/>
        <v>220294.93999999997</v>
      </c>
      <c r="F45" s="1562">
        <f t="shared" si="6"/>
        <v>55060.6</v>
      </c>
      <c r="G45" s="1564">
        <f t="shared" si="7"/>
        <v>0</v>
      </c>
      <c r="H45" s="1567">
        <f t="shared" si="8"/>
        <v>55060.6</v>
      </c>
      <c r="I45" s="1568">
        <f t="shared" si="9"/>
        <v>275410.21999999997</v>
      </c>
      <c r="J45" s="1219">
        <v>0</v>
      </c>
      <c r="K45" s="1219">
        <v>220242.4</v>
      </c>
      <c r="L45" s="1219">
        <v>55060.6</v>
      </c>
      <c r="M45" s="1219">
        <v>0</v>
      </c>
      <c r="N45" s="1219">
        <v>0</v>
      </c>
      <c r="O45" s="1220">
        <f t="shared" si="10"/>
        <v>275303</v>
      </c>
      <c r="P45" s="1607">
        <v>-676.77</v>
      </c>
      <c r="Q45" s="1600">
        <v>-650.23</v>
      </c>
      <c r="R45" s="1600">
        <v>0</v>
      </c>
      <c r="S45" s="1600">
        <v>0</v>
      </c>
      <c r="T45" s="1600">
        <v>0</v>
      </c>
      <c r="U45" s="1606">
        <f t="shared" si="11"/>
        <v>-1327</v>
      </c>
      <c r="V45" s="1600">
        <v>731.45</v>
      </c>
      <c r="W45" s="1600">
        <v>702.77</v>
      </c>
      <c r="X45" s="1600">
        <v>0</v>
      </c>
      <c r="Y45" s="1600">
        <v>0</v>
      </c>
      <c r="Z45" s="1600">
        <v>0</v>
      </c>
      <c r="AA45" s="1600">
        <f t="shared" si="12"/>
        <v>1434.22</v>
      </c>
      <c r="AB45" s="1198"/>
      <c r="AC45" s="1199"/>
      <c r="AD45" s="1199"/>
      <c r="AE45" s="1199"/>
      <c r="AF45" s="1199"/>
      <c r="AG45" s="1200">
        <f t="shared" si="13"/>
        <v>0</v>
      </c>
      <c r="AH45" s="1198"/>
      <c r="AI45" s="1199"/>
      <c r="AJ45" s="1199"/>
      <c r="AK45" s="1199"/>
      <c r="AL45" s="1199"/>
      <c r="AM45" s="1203">
        <f t="shared" si="14"/>
        <v>0</v>
      </c>
      <c r="AN45" s="1198"/>
      <c r="AO45" s="1199"/>
      <c r="AP45" s="1199"/>
      <c r="AQ45" s="1199"/>
      <c r="AR45" s="1199"/>
      <c r="AS45" s="1203">
        <f t="shared" si="15"/>
        <v>0</v>
      </c>
      <c r="AT45" s="1198"/>
      <c r="AU45" s="1199"/>
      <c r="AV45" s="1199"/>
      <c r="AW45" s="1199"/>
      <c r="AX45" s="1199"/>
      <c r="AY45" s="1203">
        <f t="shared" si="16"/>
        <v>0</v>
      </c>
    </row>
    <row r="46" spans="1:51" s="874" customFormat="1">
      <c r="A46" s="1218" t="s">
        <v>108</v>
      </c>
      <c r="B46" s="1218" t="s">
        <v>109</v>
      </c>
      <c r="C46" s="1162" t="s">
        <v>266</v>
      </c>
      <c r="D46" s="1562">
        <f t="shared" si="4"/>
        <v>0</v>
      </c>
      <c r="E46" s="1562">
        <f t="shared" si="5"/>
        <v>105415.59</v>
      </c>
      <c r="F46" s="1562">
        <f t="shared" si="6"/>
        <v>26375.15</v>
      </c>
      <c r="G46" s="1564">
        <f t="shared" si="7"/>
        <v>0</v>
      </c>
      <c r="H46" s="1567">
        <f t="shared" si="8"/>
        <v>26375.15</v>
      </c>
      <c r="I46" s="1568">
        <f t="shared" si="9"/>
        <v>131790.74</v>
      </c>
      <c r="J46" s="1219">
        <v>0</v>
      </c>
      <c r="K46" s="1219">
        <v>105500.59</v>
      </c>
      <c r="L46" s="1219">
        <v>26375.15</v>
      </c>
      <c r="M46" s="1219">
        <v>0</v>
      </c>
      <c r="N46" s="1219">
        <v>0</v>
      </c>
      <c r="O46" s="1220">
        <f t="shared" si="10"/>
        <v>131875.74</v>
      </c>
      <c r="P46" s="1607"/>
      <c r="Q46" s="1600"/>
      <c r="R46" s="1600"/>
      <c r="S46" s="1600"/>
      <c r="T46" s="1600"/>
      <c r="U46" s="1606">
        <f t="shared" si="11"/>
        <v>0</v>
      </c>
      <c r="V46" s="1600"/>
      <c r="W46" s="1600"/>
      <c r="X46" s="1600"/>
      <c r="Y46" s="1600"/>
      <c r="Z46" s="1600"/>
      <c r="AA46" s="1600">
        <f t="shared" si="12"/>
        <v>0</v>
      </c>
      <c r="AB46" s="1198"/>
      <c r="AC46" s="1199"/>
      <c r="AD46" s="1199"/>
      <c r="AE46" s="1199"/>
      <c r="AF46" s="1199"/>
      <c r="AG46" s="1200">
        <f t="shared" si="13"/>
        <v>0</v>
      </c>
      <c r="AH46" s="1198"/>
      <c r="AI46" s="1199"/>
      <c r="AJ46" s="1199"/>
      <c r="AK46" s="1199"/>
      <c r="AL46" s="1199"/>
      <c r="AM46" s="1203">
        <f t="shared" si="14"/>
        <v>0</v>
      </c>
      <c r="AN46" s="1198">
        <v>0</v>
      </c>
      <c r="AO46" s="1199">
        <v>-85</v>
      </c>
      <c r="AP46" s="1199">
        <v>0</v>
      </c>
      <c r="AQ46" s="1199">
        <v>0</v>
      </c>
      <c r="AR46" s="1199">
        <v>0</v>
      </c>
      <c r="AS46" s="1203">
        <f t="shared" si="15"/>
        <v>-85</v>
      </c>
      <c r="AT46" s="1198"/>
      <c r="AU46" s="1199"/>
      <c r="AV46" s="1199"/>
      <c r="AW46" s="1199"/>
      <c r="AX46" s="1199"/>
      <c r="AY46" s="1203">
        <f t="shared" si="16"/>
        <v>0</v>
      </c>
    </row>
    <row r="47" spans="1:51" s="874" customFormat="1">
      <c r="A47" s="1218" t="s">
        <v>110</v>
      </c>
      <c r="B47" s="1218" t="s">
        <v>111</v>
      </c>
      <c r="C47" s="1162" t="s">
        <v>266</v>
      </c>
      <c r="D47" s="1562">
        <f t="shared" si="4"/>
        <v>831686.37</v>
      </c>
      <c r="E47" s="1562">
        <f t="shared" si="5"/>
        <v>667042.34</v>
      </c>
      <c r="F47" s="1562">
        <f t="shared" si="6"/>
        <v>190018.34</v>
      </c>
      <c r="G47" s="1564">
        <f t="shared" si="7"/>
        <v>15862.99</v>
      </c>
      <c r="H47" s="1567">
        <f t="shared" si="8"/>
        <v>205881.33</v>
      </c>
      <c r="I47" s="1568">
        <f t="shared" si="9"/>
        <v>1704610.04</v>
      </c>
      <c r="J47" s="1219">
        <v>0</v>
      </c>
      <c r="K47" s="1219">
        <v>607673.34</v>
      </c>
      <c r="L47" s="1219">
        <v>151918.32999999999</v>
      </c>
      <c r="M47" s="1219">
        <v>0</v>
      </c>
      <c r="N47" s="1219">
        <v>0</v>
      </c>
      <c r="O47" s="1220">
        <f t="shared" si="10"/>
        <v>759591.66999999993</v>
      </c>
      <c r="P47" s="1607">
        <v>-4299.63</v>
      </c>
      <c r="Q47" s="1600">
        <v>-4131.01</v>
      </c>
      <c r="R47" s="1600">
        <v>0</v>
      </c>
      <c r="S47" s="1600">
        <v>0.01</v>
      </c>
      <c r="T47" s="1600">
        <v>0</v>
      </c>
      <c r="U47" s="1606">
        <f t="shared" si="11"/>
        <v>-8430.6299999999992</v>
      </c>
      <c r="V47" s="1600"/>
      <c r="W47" s="1600"/>
      <c r="X47" s="1600"/>
      <c r="Y47" s="1600"/>
      <c r="Z47" s="1600"/>
      <c r="AA47" s="1600">
        <f t="shared" si="12"/>
        <v>0</v>
      </c>
      <c r="AB47" s="1201">
        <v>0</v>
      </c>
      <c r="AC47" s="1202">
        <v>63500.01</v>
      </c>
      <c r="AD47" s="1202">
        <v>38100.01</v>
      </c>
      <c r="AE47" s="1202">
        <v>15862.98</v>
      </c>
      <c r="AF47" s="1202">
        <v>0</v>
      </c>
      <c r="AG47" s="1200">
        <f t="shared" si="13"/>
        <v>117463</v>
      </c>
      <c r="AH47" s="1201">
        <v>66106</v>
      </c>
      <c r="AI47" s="1202">
        <v>0</v>
      </c>
      <c r="AJ47" s="1202">
        <v>0</v>
      </c>
      <c r="AK47" s="1202">
        <v>0</v>
      </c>
      <c r="AL47" s="1202">
        <v>0</v>
      </c>
      <c r="AM47" s="1203">
        <f t="shared" si="14"/>
        <v>66106</v>
      </c>
      <c r="AN47" s="1201"/>
      <c r="AO47" s="1202"/>
      <c r="AP47" s="1202"/>
      <c r="AQ47" s="1202"/>
      <c r="AR47" s="1202"/>
      <c r="AS47" s="1203">
        <f t="shared" si="15"/>
        <v>0</v>
      </c>
      <c r="AT47" s="1201">
        <v>769880</v>
      </c>
      <c r="AU47" s="1202">
        <v>0</v>
      </c>
      <c r="AV47" s="1202">
        <v>0</v>
      </c>
      <c r="AW47" s="1202">
        <v>0</v>
      </c>
      <c r="AX47" s="1202">
        <v>0</v>
      </c>
      <c r="AY47" s="1203">
        <f t="shared" si="16"/>
        <v>769880</v>
      </c>
    </row>
    <row r="48" spans="1:51" s="874" customFormat="1">
      <c r="A48" s="1218" t="s">
        <v>112</v>
      </c>
      <c r="B48" s="1218" t="s">
        <v>300</v>
      </c>
      <c r="C48" s="1162" t="s">
        <v>265</v>
      </c>
      <c r="D48" s="1562">
        <f t="shared" si="4"/>
        <v>-963.67</v>
      </c>
      <c r="E48" s="1562">
        <f t="shared" si="5"/>
        <v>268815.71999999997</v>
      </c>
      <c r="F48" s="1562">
        <f t="shared" si="6"/>
        <v>67435.399999999994</v>
      </c>
      <c r="G48" s="1564">
        <f t="shared" si="7"/>
        <v>0</v>
      </c>
      <c r="H48" s="1567">
        <f t="shared" si="8"/>
        <v>67435.399999999994</v>
      </c>
      <c r="I48" s="1568">
        <f t="shared" si="9"/>
        <v>335287.44999999995</v>
      </c>
      <c r="J48" s="1219">
        <v>0</v>
      </c>
      <c r="K48" s="1219">
        <v>269741.59999999998</v>
      </c>
      <c r="L48" s="1219">
        <v>67435.399999999994</v>
      </c>
      <c r="M48" s="1219">
        <v>0</v>
      </c>
      <c r="N48" s="1219">
        <v>0</v>
      </c>
      <c r="O48" s="1220">
        <f t="shared" si="10"/>
        <v>337177</v>
      </c>
      <c r="P48" s="1607">
        <v>-963.67</v>
      </c>
      <c r="Q48" s="1600">
        <v>-925.88</v>
      </c>
      <c r="R48" s="1600">
        <v>0</v>
      </c>
      <c r="S48" s="1600">
        <v>0</v>
      </c>
      <c r="T48" s="1600">
        <v>0</v>
      </c>
      <c r="U48" s="1606">
        <f t="shared" si="11"/>
        <v>-1889.55</v>
      </c>
      <c r="V48" s="1600"/>
      <c r="W48" s="1600"/>
      <c r="X48" s="1600"/>
      <c r="Y48" s="1600"/>
      <c r="Z48" s="1600"/>
      <c r="AA48" s="1600">
        <f t="shared" si="12"/>
        <v>0</v>
      </c>
      <c r="AB48" s="1198"/>
      <c r="AC48" s="1199"/>
      <c r="AD48" s="1199"/>
      <c r="AE48" s="1199"/>
      <c r="AF48" s="1199"/>
      <c r="AG48" s="1200">
        <f t="shared" si="13"/>
        <v>0</v>
      </c>
      <c r="AH48" s="1198"/>
      <c r="AI48" s="1199"/>
      <c r="AJ48" s="1199"/>
      <c r="AK48" s="1199"/>
      <c r="AL48" s="1199"/>
      <c r="AM48" s="1203">
        <f t="shared" si="14"/>
        <v>0</v>
      </c>
      <c r="AN48" s="1198"/>
      <c r="AO48" s="1199"/>
      <c r="AP48" s="1199"/>
      <c r="AQ48" s="1199"/>
      <c r="AR48" s="1199"/>
      <c r="AS48" s="1203">
        <f t="shared" si="15"/>
        <v>0</v>
      </c>
      <c r="AT48" s="1198"/>
      <c r="AU48" s="1199"/>
      <c r="AV48" s="1199"/>
      <c r="AW48" s="1199"/>
      <c r="AX48" s="1199"/>
      <c r="AY48" s="1203">
        <f t="shared" si="16"/>
        <v>0</v>
      </c>
    </row>
    <row r="49" spans="1:51" s="874" customFormat="1">
      <c r="A49" s="1218" t="s">
        <v>114</v>
      </c>
      <c r="B49" s="1218" t="s">
        <v>115</v>
      </c>
      <c r="C49" s="1162" t="s">
        <v>265</v>
      </c>
      <c r="D49" s="1562">
        <f t="shared" si="4"/>
        <v>0</v>
      </c>
      <c r="E49" s="1562">
        <f t="shared" si="5"/>
        <v>10849.6</v>
      </c>
      <c r="F49" s="1562">
        <f t="shared" si="6"/>
        <v>2712.4</v>
      </c>
      <c r="G49" s="1564">
        <f t="shared" si="7"/>
        <v>0</v>
      </c>
      <c r="H49" s="1567">
        <f t="shared" si="8"/>
        <v>2712.4</v>
      </c>
      <c r="I49" s="1568">
        <f t="shared" si="9"/>
        <v>13562</v>
      </c>
      <c r="J49" s="1219">
        <v>0</v>
      </c>
      <c r="K49" s="1219">
        <v>10849.6</v>
      </c>
      <c r="L49" s="1219">
        <v>2712.4</v>
      </c>
      <c r="M49" s="1219">
        <v>0</v>
      </c>
      <c r="N49" s="1219">
        <v>0</v>
      </c>
      <c r="O49" s="1220">
        <f t="shared" si="10"/>
        <v>13562</v>
      </c>
      <c r="P49" s="1607"/>
      <c r="Q49" s="1600"/>
      <c r="R49" s="1600"/>
      <c r="S49" s="1600"/>
      <c r="T49" s="1600"/>
      <c r="U49" s="1606">
        <f t="shared" si="11"/>
        <v>0</v>
      </c>
      <c r="V49" s="1600"/>
      <c r="W49" s="1600"/>
      <c r="X49" s="1600"/>
      <c r="Y49" s="1600"/>
      <c r="Z49" s="1600"/>
      <c r="AA49" s="1600">
        <f t="shared" si="12"/>
        <v>0</v>
      </c>
      <c r="AB49" s="1198"/>
      <c r="AC49" s="1199"/>
      <c r="AD49" s="1199"/>
      <c r="AE49" s="1199"/>
      <c r="AF49" s="1199"/>
      <c r="AG49" s="1200">
        <f t="shared" si="13"/>
        <v>0</v>
      </c>
      <c r="AH49" s="1198"/>
      <c r="AI49" s="1199"/>
      <c r="AJ49" s="1199"/>
      <c r="AK49" s="1199"/>
      <c r="AL49" s="1199"/>
      <c r="AM49" s="1203">
        <f t="shared" si="14"/>
        <v>0</v>
      </c>
      <c r="AN49" s="1198"/>
      <c r="AO49" s="1199"/>
      <c r="AP49" s="1199"/>
      <c r="AQ49" s="1199"/>
      <c r="AR49" s="1199"/>
      <c r="AS49" s="1203">
        <f t="shared" si="15"/>
        <v>0</v>
      </c>
      <c r="AT49" s="1198"/>
      <c r="AU49" s="1199"/>
      <c r="AV49" s="1199"/>
      <c r="AW49" s="1199"/>
      <c r="AX49" s="1199"/>
      <c r="AY49" s="1203">
        <f t="shared" si="16"/>
        <v>0</v>
      </c>
    </row>
    <row r="50" spans="1:51" s="874" customFormat="1">
      <c r="A50" s="1218" t="s">
        <v>118</v>
      </c>
      <c r="B50" s="1218" t="s">
        <v>119</v>
      </c>
      <c r="C50" s="1162" t="s">
        <v>264</v>
      </c>
      <c r="D50" s="1562">
        <f t="shared" si="4"/>
        <v>-725.56</v>
      </c>
      <c r="E50" s="1562">
        <f t="shared" si="5"/>
        <v>63384.960000000006</v>
      </c>
      <c r="F50" s="1562">
        <f t="shared" si="6"/>
        <v>17094.740000000002</v>
      </c>
      <c r="G50" s="1564">
        <f t="shared" si="7"/>
        <v>-393.89</v>
      </c>
      <c r="H50" s="1567">
        <f t="shared" si="8"/>
        <v>16700.850000000002</v>
      </c>
      <c r="I50" s="1568">
        <f t="shared" si="9"/>
        <v>79360.250000000015</v>
      </c>
      <c r="J50" s="1219">
        <v>0</v>
      </c>
      <c r="K50" s="1219">
        <v>61012.800000000003</v>
      </c>
      <c r="L50" s="1219">
        <v>15253.2</v>
      </c>
      <c r="M50" s="1219">
        <v>0</v>
      </c>
      <c r="N50" s="1219">
        <v>0</v>
      </c>
      <c r="O50" s="1220">
        <f t="shared" si="10"/>
        <v>76266</v>
      </c>
      <c r="P50" s="1607">
        <v>-725.56</v>
      </c>
      <c r="Q50" s="1600">
        <v>-697.07</v>
      </c>
      <c r="R50" s="1600">
        <v>0</v>
      </c>
      <c r="S50" s="1600">
        <v>-393.88</v>
      </c>
      <c r="T50" s="1600">
        <v>0</v>
      </c>
      <c r="U50" s="1606">
        <f t="shared" si="11"/>
        <v>-1816.5100000000002</v>
      </c>
      <c r="V50" s="1600"/>
      <c r="W50" s="1600"/>
      <c r="X50" s="1600"/>
      <c r="Y50" s="1600"/>
      <c r="Z50" s="1600"/>
      <c r="AA50" s="1600">
        <f t="shared" si="12"/>
        <v>0</v>
      </c>
      <c r="AB50" s="1201">
        <v>0</v>
      </c>
      <c r="AC50" s="1202">
        <v>3069.23</v>
      </c>
      <c r="AD50" s="1202">
        <v>1841.54</v>
      </c>
      <c r="AE50" s="1202">
        <v>-0.01</v>
      </c>
      <c r="AF50" s="1202">
        <v>0</v>
      </c>
      <c r="AG50" s="1200">
        <f t="shared" si="13"/>
        <v>4910.76</v>
      </c>
      <c r="AH50" s="1198"/>
      <c r="AI50" s="1199"/>
      <c r="AJ50" s="1199"/>
      <c r="AK50" s="1199"/>
      <c r="AL50" s="1199"/>
      <c r="AM50" s="1203">
        <f t="shared" si="14"/>
        <v>0</v>
      </c>
      <c r="AN50" s="1198"/>
      <c r="AO50" s="1199"/>
      <c r="AP50" s="1199"/>
      <c r="AQ50" s="1199"/>
      <c r="AR50" s="1199"/>
      <c r="AS50" s="1203">
        <f t="shared" si="15"/>
        <v>0</v>
      </c>
      <c r="AT50" s="1198"/>
      <c r="AU50" s="1199"/>
      <c r="AV50" s="1199"/>
      <c r="AW50" s="1199"/>
      <c r="AX50" s="1199"/>
      <c r="AY50" s="1203">
        <f t="shared" si="16"/>
        <v>0</v>
      </c>
    </row>
    <row r="51" spans="1:51" s="874" customFormat="1">
      <c r="A51" s="1218" t="s">
        <v>120</v>
      </c>
      <c r="B51" s="1218" t="s">
        <v>121</v>
      </c>
      <c r="C51" s="1162" t="s">
        <v>264</v>
      </c>
      <c r="D51" s="1562">
        <f t="shared" si="4"/>
        <v>-60.08</v>
      </c>
      <c r="E51" s="1562">
        <f t="shared" si="5"/>
        <v>103206.65</v>
      </c>
      <c r="F51" s="1562">
        <f t="shared" si="6"/>
        <v>27024.720000000001</v>
      </c>
      <c r="G51" s="1564">
        <f t="shared" si="7"/>
        <v>548.91</v>
      </c>
      <c r="H51" s="1567">
        <f t="shared" si="8"/>
        <v>27573.63</v>
      </c>
      <c r="I51" s="1568">
        <f t="shared" si="9"/>
        <v>130720.2</v>
      </c>
      <c r="J51" s="1219">
        <v>0</v>
      </c>
      <c r="K51" s="1219">
        <v>99811.199999999997</v>
      </c>
      <c r="L51" s="1219">
        <v>24952.799999999999</v>
      </c>
      <c r="M51" s="1219">
        <v>0</v>
      </c>
      <c r="N51" s="1219">
        <v>0</v>
      </c>
      <c r="O51" s="1220">
        <f t="shared" si="10"/>
        <v>124764</v>
      </c>
      <c r="P51" s="1607">
        <v>-60.08</v>
      </c>
      <c r="Q51" s="1600">
        <v>-57.72</v>
      </c>
      <c r="R51" s="1600">
        <v>0</v>
      </c>
      <c r="S51" s="1600">
        <v>0</v>
      </c>
      <c r="T51" s="1600">
        <v>0</v>
      </c>
      <c r="U51" s="1606">
        <f t="shared" si="11"/>
        <v>-117.8</v>
      </c>
      <c r="V51" s="1600"/>
      <c r="W51" s="1600"/>
      <c r="X51" s="1600"/>
      <c r="Y51" s="1600"/>
      <c r="Z51" s="1600"/>
      <c r="AA51" s="1600">
        <f t="shared" si="12"/>
        <v>0</v>
      </c>
      <c r="AB51" s="1201">
        <v>0</v>
      </c>
      <c r="AC51" s="1202">
        <v>3453.17</v>
      </c>
      <c r="AD51" s="1202">
        <v>2071.92</v>
      </c>
      <c r="AE51" s="1202">
        <v>548.91</v>
      </c>
      <c r="AF51" s="1202">
        <v>0</v>
      </c>
      <c r="AG51" s="1200">
        <f t="shared" si="13"/>
        <v>6074</v>
      </c>
      <c r="AH51" s="1198"/>
      <c r="AI51" s="1199"/>
      <c r="AJ51" s="1199"/>
      <c r="AK51" s="1199"/>
      <c r="AL51" s="1199"/>
      <c r="AM51" s="1203">
        <f t="shared" si="14"/>
        <v>0</v>
      </c>
      <c r="AN51" s="1198"/>
      <c r="AO51" s="1199"/>
      <c r="AP51" s="1199"/>
      <c r="AQ51" s="1199"/>
      <c r="AR51" s="1199"/>
      <c r="AS51" s="1203">
        <f t="shared" si="15"/>
        <v>0</v>
      </c>
      <c r="AT51" s="1198"/>
      <c r="AU51" s="1199"/>
      <c r="AV51" s="1199"/>
      <c r="AW51" s="1199"/>
      <c r="AX51" s="1199"/>
      <c r="AY51" s="1203">
        <f t="shared" si="16"/>
        <v>0</v>
      </c>
    </row>
    <row r="52" spans="1:51" s="874" customFormat="1">
      <c r="A52" s="1218" t="s">
        <v>122</v>
      </c>
      <c r="B52" s="1218" t="s">
        <v>271</v>
      </c>
      <c r="C52" s="1162" t="s">
        <v>266</v>
      </c>
      <c r="D52" s="1562">
        <f t="shared" si="4"/>
        <v>0</v>
      </c>
      <c r="E52" s="1562">
        <f t="shared" si="5"/>
        <v>16149.8</v>
      </c>
      <c r="F52" s="1562">
        <f t="shared" si="6"/>
        <v>4256.2</v>
      </c>
      <c r="G52" s="1564">
        <f t="shared" si="7"/>
        <v>8</v>
      </c>
      <c r="H52" s="1567">
        <f t="shared" si="8"/>
        <v>4264.2</v>
      </c>
      <c r="I52" s="1568">
        <f t="shared" si="9"/>
        <v>20414</v>
      </c>
      <c r="J52" s="1219">
        <v>0</v>
      </c>
      <c r="K52" s="1219">
        <v>15524.8</v>
      </c>
      <c r="L52" s="1219">
        <v>3881.2</v>
      </c>
      <c r="M52" s="1219">
        <v>0</v>
      </c>
      <c r="N52" s="1219">
        <v>0</v>
      </c>
      <c r="O52" s="1220">
        <f t="shared" si="10"/>
        <v>19406</v>
      </c>
      <c r="P52" s="1607"/>
      <c r="Q52" s="1600"/>
      <c r="R52" s="1600"/>
      <c r="S52" s="1600"/>
      <c r="T52" s="1600"/>
      <c r="U52" s="1606">
        <f t="shared" si="11"/>
        <v>0</v>
      </c>
      <c r="V52" s="1600"/>
      <c r="W52" s="1600"/>
      <c r="X52" s="1600"/>
      <c r="Y52" s="1600"/>
      <c r="Z52" s="1600"/>
      <c r="AA52" s="1600">
        <f t="shared" si="12"/>
        <v>0</v>
      </c>
      <c r="AB52" s="1201">
        <v>0</v>
      </c>
      <c r="AC52" s="1202">
        <v>625</v>
      </c>
      <c r="AD52" s="1202">
        <v>375</v>
      </c>
      <c r="AE52" s="1202">
        <v>8</v>
      </c>
      <c r="AF52" s="1202">
        <v>0</v>
      </c>
      <c r="AG52" s="1200">
        <f t="shared" si="13"/>
        <v>1008</v>
      </c>
      <c r="AH52" s="1198"/>
      <c r="AI52" s="1199"/>
      <c r="AJ52" s="1199"/>
      <c r="AK52" s="1199"/>
      <c r="AL52" s="1199"/>
      <c r="AM52" s="1203">
        <f t="shared" si="14"/>
        <v>0</v>
      </c>
      <c r="AN52" s="1198"/>
      <c r="AO52" s="1199"/>
      <c r="AP52" s="1199"/>
      <c r="AQ52" s="1199"/>
      <c r="AR52" s="1199"/>
      <c r="AS52" s="1203">
        <f t="shared" si="15"/>
        <v>0</v>
      </c>
      <c r="AT52" s="1198"/>
      <c r="AU52" s="1199"/>
      <c r="AV52" s="1199"/>
      <c r="AW52" s="1199"/>
      <c r="AX52" s="1199"/>
      <c r="AY52" s="1203">
        <f t="shared" si="16"/>
        <v>0</v>
      </c>
    </row>
    <row r="53" spans="1:51" s="874" customFormat="1">
      <c r="A53" s="1218" t="s">
        <v>124</v>
      </c>
      <c r="B53" s="1218" t="s">
        <v>125</v>
      </c>
      <c r="C53" s="1162" t="s">
        <v>267</v>
      </c>
      <c r="D53" s="1562">
        <f t="shared" si="4"/>
        <v>288</v>
      </c>
      <c r="E53" s="1562">
        <f t="shared" si="5"/>
        <v>3180.8</v>
      </c>
      <c r="F53" s="1562">
        <f t="shared" si="6"/>
        <v>795.2</v>
      </c>
      <c r="G53" s="1564">
        <f t="shared" si="7"/>
        <v>0</v>
      </c>
      <c r="H53" s="1567">
        <f t="shared" si="8"/>
        <v>795.2</v>
      </c>
      <c r="I53" s="1568">
        <f t="shared" si="9"/>
        <v>4264</v>
      </c>
      <c r="J53" s="1219">
        <v>0</v>
      </c>
      <c r="K53" s="1219">
        <v>3180.8</v>
      </c>
      <c r="L53" s="1219">
        <v>795.2</v>
      </c>
      <c r="M53" s="1219">
        <v>0</v>
      </c>
      <c r="N53" s="1219">
        <v>0</v>
      </c>
      <c r="O53" s="1220">
        <f t="shared" si="10"/>
        <v>3976</v>
      </c>
      <c r="P53" s="1607"/>
      <c r="Q53" s="1600"/>
      <c r="R53" s="1600"/>
      <c r="S53" s="1600"/>
      <c r="T53" s="1600"/>
      <c r="U53" s="1606">
        <f t="shared" si="11"/>
        <v>0</v>
      </c>
      <c r="V53" s="1600"/>
      <c r="W53" s="1600"/>
      <c r="X53" s="1600"/>
      <c r="Y53" s="1600"/>
      <c r="Z53" s="1600"/>
      <c r="AA53" s="1600">
        <f t="shared" si="12"/>
        <v>0</v>
      </c>
      <c r="AB53" s="1198"/>
      <c r="AC53" s="1199"/>
      <c r="AD53" s="1199"/>
      <c r="AE53" s="1199"/>
      <c r="AF53" s="1199"/>
      <c r="AG53" s="1200">
        <f t="shared" si="13"/>
        <v>0</v>
      </c>
      <c r="AH53" s="1198">
        <v>288</v>
      </c>
      <c r="AI53" s="1199">
        <v>0</v>
      </c>
      <c r="AJ53" s="1199">
        <v>0</v>
      </c>
      <c r="AK53" s="1199">
        <v>0</v>
      </c>
      <c r="AL53" s="1199">
        <v>0</v>
      </c>
      <c r="AM53" s="1203">
        <f t="shared" si="14"/>
        <v>288</v>
      </c>
      <c r="AN53" s="1198"/>
      <c r="AO53" s="1199"/>
      <c r="AP53" s="1199"/>
      <c r="AQ53" s="1199"/>
      <c r="AR53" s="1199"/>
      <c r="AS53" s="1203">
        <f t="shared" si="15"/>
        <v>0</v>
      </c>
      <c r="AT53" s="1198"/>
      <c r="AU53" s="1199"/>
      <c r="AV53" s="1199"/>
      <c r="AW53" s="1199"/>
      <c r="AX53" s="1199"/>
      <c r="AY53" s="1203">
        <f t="shared" si="16"/>
        <v>0</v>
      </c>
    </row>
    <row r="54" spans="1:51" s="874" customFormat="1">
      <c r="A54" s="1218" t="s">
        <v>126</v>
      </c>
      <c r="B54" s="1218" t="s">
        <v>127</v>
      </c>
      <c r="C54" s="1162" t="s">
        <v>266</v>
      </c>
      <c r="D54" s="1562">
        <f t="shared" si="4"/>
        <v>0</v>
      </c>
      <c r="E54" s="1562">
        <f t="shared" si="5"/>
        <v>56433.8</v>
      </c>
      <c r="F54" s="1562">
        <f t="shared" si="6"/>
        <v>14327.2</v>
      </c>
      <c r="G54" s="1564">
        <f t="shared" si="7"/>
        <v>0</v>
      </c>
      <c r="H54" s="1567">
        <f t="shared" si="8"/>
        <v>14327.2</v>
      </c>
      <c r="I54" s="1568">
        <f t="shared" si="9"/>
        <v>70761</v>
      </c>
      <c r="J54" s="1219">
        <v>0</v>
      </c>
      <c r="K54" s="1219">
        <v>55808.800000000003</v>
      </c>
      <c r="L54" s="1219">
        <v>13952.2</v>
      </c>
      <c r="M54" s="1219">
        <v>0</v>
      </c>
      <c r="N54" s="1219">
        <v>0</v>
      </c>
      <c r="O54" s="1220">
        <f t="shared" si="10"/>
        <v>69761</v>
      </c>
      <c r="P54" s="1607"/>
      <c r="Q54" s="1600"/>
      <c r="R54" s="1600"/>
      <c r="S54" s="1600"/>
      <c r="T54" s="1600"/>
      <c r="U54" s="1606">
        <f t="shared" si="11"/>
        <v>0</v>
      </c>
      <c r="V54" s="1600"/>
      <c r="W54" s="1600"/>
      <c r="X54" s="1600"/>
      <c r="Y54" s="1600"/>
      <c r="Z54" s="1600"/>
      <c r="AA54" s="1600">
        <f t="shared" si="12"/>
        <v>0</v>
      </c>
      <c r="AB54" s="1198">
        <v>0</v>
      </c>
      <c r="AC54" s="1199">
        <v>625</v>
      </c>
      <c r="AD54" s="1199">
        <v>375</v>
      </c>
      <c r="AE54" s="1199">
        <v>0</v>
      </c>
      <c r="AF54" s="1199">
        <v>0</v>
      </c>
      <c r="AG54" s="1200">
        <f t="shared" si="13"/>
        <v>1000</v>
      </c>
      <c r="AH54" s="1198"/>
      <c r="AI54" s="1199"/>
      <c r="AJ54" s="1199"/>
      <c r="AK54" s="1199"/>
      <c r="AL54" s="1199"/>
      <c r="AM54" s="1203">
        <f t="shared" si="14"/>
        <v>0</v>
      </c>
      <c r="AN54" s="1198"/>
      <c r="AO54" s="1199"/>
      <c r="AP54" s="1199"/>
      <c r="AQ54" s="1199"/>
      <c r="AR54" s="1199"/>
      <c r="AS54" s="1203">
        <f t="shared" si="15"/>
        <v>0</v>
      </c>
      <c r="AT54" s="1198"/>
      <c r="AU54" s="1199"/>
      <c r="AV54" s="1199"/>
      <c r="AW54" s="1199"/>
      <c r="AX54" s="1199"/>
      <c r="AY54" s="1203">
        <f t="shared" si="16"/>
        <v>0</v>
      </c>
    </row>
    <row r="55" spans="1:51" s="874" customFormat="1">
      <c r="A55" s="1218" t="s">
        <v>128</v>
      </c>
      <c r="B55" s="1218" t="s">
        <v>129</v>
      </c>
      <c r="C55" s="1162" t="s">
        <v>266</v>
      </c>
      <c r="D55" s="1562">
        <f t="shared" si="4"/>
        <v>-307.18</v>
      </c>
      <c r="E55" s="1562">
        <f t="shared" si="5"/>
        <v>25156.06</v>
      </c>
      <c r="F55" s="1562">
        <f t="shared" si="6"/>
        <v>6362.8</v>
      </c>
      <c r="G55" s="1564">
        <f t="shared" si="7"/>
        <v>0</v>
      </c>
      <c r="H55" s="1567">
        <f t="shared" si="8"/>
        <v>6362.8</v>
      </c>
      <c r="I55" s="1568">
        <f t="shared" si="9"/>
        <v>31211.68</v>
      </c>
      <c r="J55" s="1219">
        <v>0</v>
      </c>
      <c r="K55" s="1219">
        <v>25451.200000000001</v>
      </c>
      <c r="L55" s="1219">
        <v>6362.8</v>
      </c>
      <c r="M55" s="1219">
        <v>0</v>
      </c>
      <c r="N55" s="1219">
        <v>0</v>
      </c>
      <c r="O55" s="1220">
        <f t="shared" si="10"/>
        <v>31814</v>
      </c>
      <c r="P55" s="1607">
        <v>-307.18</v>
      </c>
      <c r="Q55" s="1600">
        <v>-295.14</v>
      </c>
      <c r="R55" s="1600">
        <v>0</v>
      </c>
      <c r="S55" s="1600">
        <v>0</v>
      </c>
      <c r="T55" s="1600">
        <v>0</v>
      </c>
      <c r="U55" s="1606">
        <f t="shared" si="11"/>
        <v>-602.31999999999994</v>
      </c>
      <c r="V55" s="1600"/>
      <c r="W55" s="1600"/>
      <c r="X55" s="1600"/>
      <c r="Y55" s="1600"/>
      <c r="Z55" s="1600"/>
      <c r="AA55" s="1600">
        <f t="shared" si="12"/>
        <v>0</v>
      </c>
      <c r="AB55" s="1198"/>
      <c r="AC55" s="1199"/>
      <c r="AD55" s="1199"/>
      <c r="AE55" s="1199"/>
      <c r="AF55" s="1199"/>
      <c r="AG55" s="1200">
        <f t="shared" si="13"/>
        <v>0</v>
      </c>
      <c r="AH55" s="1198"/>
      <c r="AI55" s="1199"/>
      <c r="AJ55" s="1199"/>
      <c r="AK55" s="1199"/>
      <c r="AL55" s="1199"/>
      <c r="AM55" s="1203">
        <f t="shared" si="14"/>
        <v>0</v>
      </c>
      <c r="AN55" s="1198"/>
      <c r="AO55" s="1199"/>
      <c r="AP55" s="1199"/>
      <c r="AQ55" s="1199"/>
      <c r="AR55" s="1199"/>
      <c r="AS55" s="1203">
        <f t="shared" si="15"/>
        <v>0</v>
      </c>
      <c r="AT55" s="1198"/>
      <c r="AU55" s="1199"/>
      <c r="AV55" s="1199"/>
      <c r="AW55" s="1199"/>
      <c r="AX55" s="1199"/>
      <c r="AY55" s="1203">
        <f t="shared" si="16"/>
        <v>0</v>
      </c>
    </row>
    <row r="56" spans="1:51" s="874" customFormat="1">
      <c r="A56" s="1218" t="s">
        <v>130</v>
      </c>
      <c r="B56" s="1218" t="s">
        <v>131</v>
      </c>
      <c r="C56" s="1162" t="s">
        <v>268</v>
      </c>
      <c r="D56" s="1562">
        <f t="shared" si="4"/>
        <v>-1168.8399999999999</v>
      </c>
      <c r="E56" s="1562">
        <f t="shared" si="5"/>
        <v>442492.21</v>
      </c>
      <c r="F56" s="1562">
        <f t="shared" si="6"/>
        <v>110903.8</v>
      </c>
      <c r="G56" s="1564">
        <f t="shared" si="7"/>
        <v>0</v>
      </c>
      <c r="H56" s="1567">
        <f t="shared" si="8"/>
        <v>110903.8</v>
      </c>
      <c r="I56" s="1568">
        <f t="shared" si="9"/>
        <v>552227.17000000004</v>
      </c>
      <c r="J56" s="1219">
        <v>0</v>
      </c>
      <c r="K56" s="1219">
        <v>443615.2</v>
      </c>
      <c r="L56" s="1219">
        <v>110903.8</v>
      </c>
      <c r="M56" s="1219">
        <v>0</v>
      </c>
      <c r="N56" s="1219">
        <v>0</v>
      </c>
      <c r="O56" s="1220">
        <f t="shared" si="10"/>
        <v>554519</v>
      </c>
      <c r="P56" s="1607">
        <v>-1168.8399999999999</v>
      </c>
      <c r="Q56" s="1600">
        <v>-1122.99</v>
      </c>
      <c r="R56" s="1600">
        <v>0</v>
      </c>
      <c r="S56" s="1600">
        <v>0</v>
      </c>
      <c r="T56" s="1600">
        <v>0</v>
      </c>
      <c r="U56" s="1606">
        <f t="shared" si="11"/>
        <v>-2291.83</v>
      </c>
      <c r="V56" s="1600"/>
      <c r="W56" s="1600"/>
      <c r="X56" s="1600"/>
      <c r="Y56" s="1600"/>
      <c r="Z56" s="1600"/>
      <c r="AA56" s="1600">
        <f t="shared" si="12"/>
        <v>0</v>
      </c>
      <c r="AB56" s="1198"/>
      <c r="AC56" s="1199"/>
      <c r="AD56" s="1199"/>
      <c r="AE56" s="1199"/>
      <c r="AF56" s="1199"/>
      <c r="AG56" s="1200">
        <f t="shared" si="13"/>
        <v>0</v>
      </c>
      <c r="AH56" s="1198"/>
      <c r="AI56" s="1199"/>
      <c r="AJ56" s="1199"/>
      <c r="AK56" s="1199"/>
      <c r="AL56" s="1199"/>
      <c r="AM56" s="1203">
        <f t="shared" si="14"/>
        <v>0</v>
      </c>
      <c r="AN56" s="1198"/>
      <c r="AO56" s="1199"/>
      <c r="AP56" s="1199"/>
      <c r="AQ56" s="1199"/>
      <c r="AR56" s="1199"/>
      <c r="AS56" s="1203">
        <f t="shared" si="15"/>
        <v>0</v>
      </c>
      <c r="AT56" s="1198"/>
      <c r="AU56" s="1199"/>
      <c r="AV56" s="1199"/>
      <c r="AW56" s="1199"/>
      <c r="AX56" s="1199"/>
      <c r="AY56" s="1203">
        <f t="shared" si="16"/>
        <v>0</v>
      </c>
    </row>
    <row r="57" spans="1:51" s="874" customFormat="1">
      <c r="A57" s="1218" t="s">
        <v>132</v>
      </c>
      <c r="B57" s="1218" t="s">
        <v>133</v>
      </c>
      <c r="C57" s="1162" t="s">
        <v>267</v>
      </c>
      <c r="D57" s="1562">
        <f t="shared" si="4"/>
        <v>36500.379999999997</v>
      </c>
      <c r="E57" s="1562">
        <f t="shared" si="5"/>
        <v>94452.029999999984</v>
      </c>
      <c r="F57" s="1562">
        <f t="shared" si="6"/>
        <v>27182.01</v>
      </c>
      <c r="G57" s="1564">
        <f t="shared" si="7"/>
        <v>14750</v>
      </c>
      <c r="H57" s="1567">
        <f t="shared" si="8"/>
        <v>41932.009999999995</v>
      </c>
      <c r="I57" s="1568">
        <f t="shared" si="9"/>
        <v>172884.41999999998</v>
      </c>
      <c r="J57" s="1219">
        <v>0</v>
      </c>
      <c r="K57" s="1219">
        <v>108728.01</v>
      </c>
      <c r="L57" s="1219">
        <v>27182.01</v>
      </c>
      <c r="M57" s="1219">
        <v>0</v>
      </c>
      <c r="N57" s="1219">
        <v>0</v>
      </c>
      <c r="O57" s="1220">
        <f t="shared" si="10"/>
        <v>135910.01999999999</v>
      </c>
      <c r="P57" s="1607">
        <v>-4162.62</v>
      </c>
      <c r="Q57" s="1600">
        <v>-3999.38</v>
      </c>
      <c r="R57" s="1600">
        <v>0</v>
      </c>
      <c r="S57" s="1600">
        <v>8162</v>
      </c>
      <c r="T57" s="1600">
        <v>0</v>
      </c>
      <c r="U57" s="1606">
        <f t="shared" si="11"/>
        <v>0</v>
      </c>
      <c r="V57" s="1600"/>
      <c r="W57" s="1600"/>
      <c r="X57" s="1600"/>
      <c r="Y57" s="1600"/>
      <c r="Z57" s="1600"/>
      <c r="AA57" s="1600">
        <f t="shared" si="12"/>
        <v>0</v>
      </c>
      <c r="AB57" s="1201"/>
      <c r="AC57" s="1202"/>
      <c r="AD57" s="1202"/>
      <c r="AE57" s="1202"/>
      <c r="AF57" s="1202"/>
      <c r="AG57" s="1200">
        <f t="shared" si="13"/>
        <v>0</v>
      </c>
      <c r="AH57" s="1201">
        <v>40663</v>
      </c>
      <c r="AI57" s="1202">
        <v>0</v>
      </c>
      <c r="AJ57" s="1202">
        <v>0</v>
      </c>
      <c r="AK57" s="1202">
        <v>0</v>
      </c>
      <c r="AL57" s="1202">
        <v>0</v>
      </c>
      <c r="AM57" s="1203">
        <f t="shared" si="14"/>
        <v>40663</v>
      </c>
      <c r="AN57" s="1201">
        <v>0</v>
      </c>
      <c r="AO57" s="1202">
        <v>-10276.6</v>
      </c>
      <c r="AP57" s="1202">
        <v>0</v>
      </c>
      <c r="AQ57" s="1202">
        <v>6588</v>
      </c>
      <c r="AR57" s="1202">
        <v>0</v>
      </c>
      <c r="AS57" s="1203">
        <f t="shared" si="15"/>
        <v>-3688.6000000000004</v>
      </c>
      <c r="AT57" s="1201"/>
      <c r="AU57" s="1202"/>
      <c r="AV57" s="1202"/>
      <c r="AW57" s="1202"/>
      <c r="AX57" s="1202"/>
      <c r="AY57" s="1203">
        <f t="shared" si="16"/>
        <v>0</v>
      </c>
    </row>
    <row r="58" spans="1:51" s="874" customFormat="1">
      <c r="A58" s="1218" t="s">
        <v>134</v>
      </c>
      <c r="B58" s="1218" t="s">
        <v>135</v>
      </c>
      <c r="C58" s="1162" t="s">
        <v>267</v>
      </c>
      <c r="D58" s="1562">
        <f t="shared" si="4"/>
        <v>-1148.1199999999999</v>
      </c>
      <c r="E58" s="1562">
        <f t="shared" si="5"/>
        <v>32584.91</v>
      </c>
      <c r="F58" s="1562">
        <f t="shared" si="6"/>
        <v>8422</v>
      </c>
      <c r="G58" s="1564">
        <f t="shared" si="7"/>
        <v>0</v>
      </c>
      <c r="H58" s="1567">
        <f t="shared" si="8"/>
        <v>8422</v>
      </c>
      <c r="I58" s="1568">
        <f t="shared" si="9"/>
        <v>39858.79</v>
      </c>
      <c r="J58" s="1219">
        <v>0</v>
      </c>
      <c r="K58" s="1219">
        <v>33688</v>
      </c>
      <c r="L58" s="1219">
        <v>8422</v>
      </c>
      <c r="M58" s="1219">
        <v>0</v>
      </c>
      <c r="N58" s="1219">
        <v>0</v>
      </c>
      <c r="O58" s="1220">
        <f t="shared" si="10"/>
        <v>42110</v>
      </c>
      <c r="P58" s="1607">
        <v>-1148.1199999999999</v>
      </c>
      <c r="Q58" s="1600">
        <v>-1103.0899999999999</v>
      </c>
      <c r="R58" s="1600">
        <v>0</v>
      </c>
      <c r="S58" s="1600">
        <v>0</v>
      </c>
      <c r="T58" s="1600">
        <v>0</v>
      </c>
      <c r="U58" s="1606">
        <f t="shared" si="11"/>
        <v>-2251.21</v>
      </c>
      <c r="V58" s="1600"/>
      <c r="W58" s="1600"/>
      <c r="X58" s="1600"/>
      <c r="Y58" s="1600"/>
      <c r="Z58" s="1600"/>
      <c r="AA58" s="1600">
        <f t="shared" si="12"/>
        <v>0</v>
      </c>
      <c r="AB58" s="1198"/>
      <c r="AC58" s="1199"/>
      <c r="AD58" s="1199"/>
      <c r="AE58" s="1199"/>
      <c r="AF58" s="1199"/>
      <c r="AG58" s="1200">
        <f t="shared" si="13"/>
        <v>0</v>
      </c>
      <c r="AH58" s="1198"/>
      <c r="AI58" s="1199"/>
      <c r="AJ58" s="1199"/>
      <c r="AK58" s="1199"/>
      <c r="AL58" s="1199"/>
      <c r="AM58" s="1203">
        <f t="shared" si="14"/>
        <v>0</v>
      </c>
      <c r="AN58" s="1198"/>
      <c r="AO58" s="1199"/>
      <c r="AP58" s="1199"/>
      <c r="AQ58" s="1199"/>
      <c r="AR58" s="1199"/>
      <c r="AS58" s="1203">
        <f t="shared" si="15"/>
        <v>0</v>
      </c>
      <c r="AT58" s="1198"/>
      <c r="AU58" s="1199"/>
      <c r="AV58" s="1199"/>
      <c r="AW58" s="1199"/>
      <c r="AX58" s="1199"/>
      <c r="AY58" s="1203">
        <f t="shared" si="16"/>
        <v>0</v>
      </c>
    </row>
    <row r="59" spans="1:51" s="874" customFormat="1">
      <c r="A59" s="1218" t="s">
        <v>136</v>
      </c>
      <c r="B59" s="1218" t="s">
        <v>137</v>
      </c>
      <c r="C59" s="1162" t="s">
        <v>266</v>
      </c>
      <c r="D59" s="1562">
        <f t="shared" si="4"/>
        <v>0</v>
      </c>
      <c r="E59" s="1562">
        <f t="shared" si="5"/>
        <v>57984.800000000003</v>
      </c>
      <c r="F59" s="1562">
        <f t="shared" si="6"/>
        <v>14496.2</v>
      </c>
      <c r="G59" s="1564">
        <f t="shared" si="7"/>
        <v>0</v>
      </c>
      <c r="H59" s="1567">
        <f t="shared" si="8"/>
        <v>14496.2</v>
      </c>
      <c r="I59" s="1568">
        <f t="shared" si="9"/>
        <v>72481</v>
      </c>
      <c r="J59" s="1219">
        <v>0</v>
      </c>
      <c r="K59" s="1219">
        <v>57984.800000000003</v>
      </c>
      <c r="L59" s="1219">
        <v>14496.2</v>
      </c>
      <c r="M59" s="1219">
        <v>0</v>
      </c>
      <c r="N59" s="1219">
        <v>0</v>
      </c>
      <c r="O59" s="1220">
        <f t="shared" si="10"/>
        <v>72481</v>
      </c>
      <c r="P59" s="1607"/>
      <c r="Q59" s="1600"/>
      <c r="R59" s="1600"/>
      <c r="S59" s="1600"/>
      <c r="T59" s="1600"/>
      <c r="U59" s="1606">
        <f t="shared" si="11"/>
        <v>0</v>
      </c>
      <c r="V59" s="1600"/>
      <c r="W59" s="1600"/>
      <c r="X59" s="1600"/>
      <c r="Y59" s="1600"/>
      <c r="Z59" s="1600"/>
      <c r="AA59" s="1600">
        <f t="shared" si="12"/>
        <v>0</v>
      </c>
      <c r="AB59" s="1198"/>
      <c r="AC59" s="1199"/>
      <c r="AD59" s="1199"/>
      <c r="AE59" s="1199"/>
      <c r="AF59" s="1199"/>
      <c r="AG59" s="1200">
        <f t="shared" si="13"/>
        <v>0</v>
      </c>
      <c r="AH59" s="1198"/>
      <c r="AI59" s="1199"/>
      <c r="AJ59" s="1199"/>
      <c r="AK59" s="1199"/>
      <c r="AL59" s="1199"/>
      <c r="AM59" s="1203">
        <f t="shared" si="14"/>
        <v>0</v>
      </c>
      <c r="AN59" s="1198"/>
      <c r="AO59" s="1199"/>
      <c r="AP59" s="1199"/>
      <c r="AQ59" s="1199"/>
      <c r="AR59" s="1199"/>
      <c r="AS59" s="1203">
        <f t="shared" si="15"/>
        <v>0</v>
      </c>
      <c r="AT59" s="1198"/>
      <c r="AU59" s="1199"/>
      <c r="AV59" s="1199"/>
      <c r="AW59" s="1199"/>
      <c r="AX59" s="1199"/>
      <c r="AY59" s="1203">
        <f t="shared" si="16"/>
        <v>0</v>
      </c>
    </row>
    <row r="60" spans="1:51" s="874" customFormat="1">
      <c r="A60" s="1218" t="s">
        <v>140</v>
      </c>
      <c r="B60" s="1218" t="s">
        <v>141</v>
      </c>
      <c r="C60" s="1162" t="s">
        <v>267</v>
      </c>
      <c r="D60" s="1562">
        <f t="shared" si="4"/>
        <v>0</v>
      </c>
      <c r="E60" s="1562">
        <f t="shared" si="5"/>
        <v>22364.799999999999</v>
      </c>
      <c r="F60" s="1562">
        <f t="shared" si="6"/>
        <v>5591.2</v>
      </c>
      <c r="G60" s="1564">
        <f t="shared" si="7"/>
        <v>1000</v>
      </c>
      <c r="H60" s="1567">
        <f t="shared" si="8"/>
        <v>6591.2</v>
      </c>
      <c r="I60" s="1568">
        <f t="shared" si="9"/>
        <v>28956</v>
      </c>
      <c r="J60" s="1219">
        <v>0</v>
      </c>
      <c r="K60" s="1219">
        <v>22364.799999999999</v>
      </c>
      <c r="L60" s="1219">
        <v>5591.2</v>
      </c>
      <c r="M60" s="1219">
        <v>0</v>
      </c>
      <c r="N60" s="1219">
        <v>0</v>
      </c>
      <c r="O60" s="1220">
        <f t="shared" si="10"/>
        <v>27956</v>
      </c>
      <c r="P60" s="1607"/>
      <c r="Q60" s="1600"/>
      <c r="R60" s="1600"/>
      <c r="S60" s="1600"/>
      <c r="T60" s="1600"/>
      <c r="U60" s="1606">
        <f t="shared" si="11"/>
        <v>0</v>
      </c>
      <c r="V60" s="1600"/>
      <c r="W60" s="1600"/>
      <c r="X60" s="1600"/>
      <c r="Y60" s="1600"/>
      <c r="Z60" s="1600"/>
      <c r="AA60" s="1600">
        <f t="shared" si="12"/>
        <v>0</v>
      </c>
      <c r="AB60" s="1198">
        <v>0</v>
      </c>
      <c r="AC60" s="1199">
        <v>0</v>
      </c>
      <c r="AD60" s="1199">
        <v>0</v>
      </c>
      <c r="AE60" s="1199">
        <v>1000</v>
      </c>
      <c r="AF60" s="1199">
        <v>0</v>
      </c>
      <c r="AG60" s="1200">
        <f t="shared" si="13"/>
        <v>1000</v>
      </c>
      <c r="AH60" s="1201"/>
      <c r="AI60" s="1202"/>
      <c r="AJ60" s="1202"/>
      <c r="AK60" s="1202"/>
      <c r="AL60" s="1202"/>
      <c r="AM60" s="1203">
        <f t="shared" si="14"/>
        <v>0</v>
      </c>
      <c r="AN60" s="1201"/>
      <c r="AO60" s="1202"/>
      <c r="AP60" s="1202"/>
      <c r="AQ60" s="1202"/>
      <c r="AR60" s="1202"/>
      <c r="AS60" s="1203">
        <f t="shared" si="15"/>
        <v>0</v>
      </c>
      <c r="AT60" s="1201"/>
      <c r="AU60" s="1202"/>
      <c r="AV60" s="1202"/>
      <c r="AW60" s="1202"/>
      <c r="AX60" s="1202"/>
      <c r="AY60" s="1203">
        <f t="shared" si="16"/>
        <v>0</v>
      </c>
    </row>
    <row r="61" spans="1:51" s="874" customFormat="1">
      <c r="A61" s="1218" t="s">
        <v>146</v>
      </c>
      <c r="B61" s="1218" t="s">
        <v>147</v>
      </c>
      <c r="C61" s="1162" t="s">
        <v>264</v>
      </c>
      <c r="D61" s="1562">
        <f t="shared" si="4"/>
        <v>0</v>
      </c>
      <c r="E61" s="1562">
        <f t="shared" si="5"/>
        <v>16406.400000000001</v>
      </c>
      <c r="F61" s="1562">
        <f t="shared" si="6"/>
        <v>4101.6000000000004</v>
      </c>
      <c r="G61" s="1564">
        <f t="shared" si="7"/>
        <v>0</v>
      </c>
      <c r="H61" s="1567">
        <f t="shared" si="8"/>
        <v>4101.6000000000004</v>
      </c>
      <c r="I61" s="1568">
        <f t="shared" si="9"/>
        <v>20508</v>
      </c>
      <c r="J61" s="1219">
        <v>0</v>
      </c>
      <c r="K61" s="1219">
        <v>16406.400000000001</v>
      </c>
      <c r="L61" s="1219">
        <v>4101.6000000000004</v>
      </c>
      <c r="M61" s="1219">
        <v>0</v>
      </c>
      <c r="N61" s="1219">
        <v>0</v>
      </c>
      <c r="O61" s="1220">
        <f t="shared" si="10"/>
        <v>20508</v>
      </c>
      <c r="P61" s="1607"/>
      <c r="Q61" s="1600"/>
      <c r="R61" s="1600"/>
      <c r="S61" s="1600"/>
      <c r="T61" s="1600"/>
      <c r="U61" s="1606">
        <f t="shared" si="11"/>
        <v>0</v>
      </c>
      <c r="V61" s="1600"/>
      <c r="W61" s="1600"/>
      <c r="X61" s="1600"/>
      <c r="Y61" s="1600"/>
      <c r="Z61" s="1600"/>
      <c r="AA61" s="1600">
        <f t="shared" si="12"/>
        <v>0</v>
      </c>
      <c r="AB61" s="1198"/>
      <c r="AC61" s="1199"/>
      <c r="AD61" s="1199"/>
      <c r="AE61" s="1199"/>
      <c r="AF61" s="1199"/>
      <c r="AG61" s="1200">
        <f t="shared" si="13"/>
        <v>0</v>
      </c>
      <c r="AH61" s="1198"/>
      <c r="AI61" s="1199"/>
      <c r="AJ61" s="1199"/>
      <c r="AK61" s="1199"/>
      <c r="AL61" s="1199"/>
      <c r="AM61" s="1203">
        <f t="shared" si="14"/>
        <v>0</v>
      </c>
      <c r="AN61" s="1198"/>
      <c r="AO61" s="1199"/>
      <c r="AP61" s="1199"/>
      <c r="AQ61" s="1199"/>
      <c r="AR61" s="1199"/>
      <c r="AS61" s="1203">
        <f t="shared" si="15"/>
        <v>0</v>
      </c>
      <c r="AT61" s="1198"/>
      <c r="AU61" s="1199"/>
      <c r="AV61" s="1199"/>
      <c r="AW61" s="1199"/>
      <c r="AX61" s="1199"/>
      <c r="AY61" s="1203">
        <f t="shared" si="16"/>
        <v>0</v>
      </c>
    </row>
    <row r="62" spans="1:51" s="874" customFormat="1">
      <c r="A62" s="1218" t="s">
        <v>148</v>
      </c>
      <c r="B62" s="1218" t="s">
        <v>149</v>
      </c>
      <c r="C62" s="1162" t="s">
        <v>265</v>
      </c>
      <c r="D62" s="1562">
        <f t="shared" si="4"/>
        <v>22697.5</v>
      </c>
      <c r="E62" s="1562">
        <f t="shared" si="5"/>
        <v>211369.44</v>
      </c>
      <c r="F62" s="1562">
        <f t="shared" si="6"/>
        <v>52888</v>
      </c>
      <c r="G62" s="1564">
        <f t="shared" si="7"/>
        <v>0</v>
      </c>
      <c r="H62" s="1567">
        <f t="shared" si="8"/>
        <v>52888</v>
      </c>
      <c r="I62" s="1568">
        <f t="shared" si="9"/>
        <v>286954.94</v>
      </c>
      <c r="J62" s="1219">
        <v>0</v>
      </c>
      <c r="K62" s="1219">
        <v>211552</v>
      </c>
      <c r="L62" s="1219">
        <v>52888</v>
      </c>
      <c r="M62" s="1219">
        <v>0</v>
      </c>
      <c r="N62" s="1219">
        <v>0</v>
      </c>
      <c r="O62" s="1220">
        <f t="shared" si="10"/>
        <v>264440</v>
      </c>
      <c r="P62" s="1607">
        <v>-190</v>
      </c>
      <c r="Q62" s="1600">
        <v>-182.56</v>
      </c>
      <c r="R62" s="1600">
        <v>0</v>
      </c>
      <c r="S62" s="1600">
        <v>0</v>
      </c>
      <c r="T62" s="1600">
        <v>0</v>
      </c>
      <c r="U62" s="1606">
        <f t="shared" si="11"/>
        <v>-372.56</v>
      </c>
      <c r="V62" s="1600"/>
      <c r="W62" s="1600"/>
      <c r="X62" s="1600"/>
      <c r="Y62" s="1600"/>
      <c r="Z62" s="1600"/>
      <c r="AA62" s="1600">
        <f t="shared" si="12"/>
        <v>0</v>
      </c>
      <c r="AB62" s="1198"/>
      <c r="AC62" s="1199"/>
      <c r="AD62" s="1199"/>
      <c r="AE62" s="1199"/>
      <c r="AF62" s="1199"/>
      <c r="AG62" s="1200">
        <f t="shared" si="13"/>
        <v>0</v>
      </c>
      <c r="AH62" s="1198"/>
      <c r="AI62" s="1199"/>
      <c r="AJ62" s="1199"/>
      <c r="AK62" s="1199"/>
      <c r="AL62" s="1199"/>
      <c r="AM62" s="1203">
        <f t="shared" si="14"/>
        <v>0</v>
      </c>
      <c r="AN62" s="1198"/>
      <c r="AO62" s="1199"/>
      <c r="AP62" s="1199"/>
      <c r="AQ62" s="1199"/>
      <c r="AR62" s="1199"/>
      <c r="AS62" s="1203">
        <f t="shared" si="15"/>
        <v>0</v>
      </c>
      <c r="AT62" s="1198">
        <v>22887.5</v>
      </c>
      <c r="AU62" s="1199">
        <v>0</v>
      </c>
      <c r="AV62" s="1199">
        <v>0</v>
      </c>
      <c r="AW62" s="1199">
        <v>0</v>
      </c>
      <c r="AX62" s="1199">
        <v>0</v>
      </c>
      <c r="AY62" s="1203">
        <f t="shared" si="16"/>
        <v>22887.5</v>
      </c>
    </row>
    <row r="63" spans="1:51" s="874" customFormat="1">
      <c r="A63" s="1218" t="s">
        <v>150</v>
      </c>
      <c r="B63" s="1218" t="s">
        <v>151</v>
      </c>
      <c r="C63" s="1162" t="s">
        <v>266</v>
      </c>
      <c r="D63" s="1562">
        <f t="shared" si="4"/>
        <v>0</v>
      </c>
      <c r="E63" s="1562">
        <f t="shared" si="5"/>
        <v>19006.400000000001</v>
      </c>
      <c r="F63" s="1562">
        <f t="shared" si="6"/>
        <v>4751.6000000000004</v>
      </c>
      <c r="G63" s="1564">
        <f t="shared" si="7"/>
        <v>0</v>
      </c>
      <c r="H63" s="1567">
        <f t="shared" si="8"/>
        <v>4751.6000000000004</v>
      </c>
      <c r="I63" s="1568">
        <f t="shared" si="9"/>
        <v>23758</v>
      </c>
      <c r="J63" s="1219">
        <v>0</v>
      </c>
      <c r="K63" s="1219">
        <v>19006.400000000001</v>
      </c>
      <c r="L63" s="1219">
        <v>4751.6000000000004</v>
      </c>
      <c r="M63" s="1219">
        <v>0</v>
      </c>
      <c r="N63" s="1219">
        <v>0</v>
      </c>
      <c r="O63" s="1220">
        <f t="shared" si="10"/>
        <v>23758</v>
      </c>
      <c r="P63" s="1607"/>
      <c r="Q63" s="1600"/>
      <c r="R63" s="1600"/>
      <c r="S63" s="1600"/>
      <c r="T63" s="1600"/>
      <c r="U63" s="1606">
        <f t="shared" si="11"/>
        <v>0</v>
      </c>
      <c r="V63" s="1600"/>
      <c r="W63" s="1600"/>
      <c r="X63" s="1600"/>
      <c r="Y63" s="1600"/>
      <c r="Z63" s="1600"/>
      <c r="AA63" s="1600">
        <f t="shared" si="12"/>
        <v>0</v>
      </c>
      <c r="AB63" s="1198"/>
      <c r="AC63" s="1199"/>
      <c r="AD63" s="1199"/>
      <c r="AE63" s="1199"/>
      <c r="AF63" s="1199"/>
      <c r="AG63" s="1200">
        <f t="shared" si="13"/>
        <v>0</v>
      </c>
      <c r="AH63" s="1198"/>
      <c r="AI63" s="1199"/>
      <c r="AJ63" s="1199"/>
      <c r="AK63" s="1199"/>
      <c r="AL63" s="1199"/>
      <c r="AM63" s="1203">
        <f t="shared" si="14"/>
        <v>0</v>
      </c>
      <c r="AN63" s="1198"/>
      <c r="AO63" s="1199"/>
      <c r="AP63" s="1199"/>
      <c r="AQ63" s="1199"/>
      <c r="AR63" s="1199"/>
      <c r="AS63" s="1203">
        <f t="shared" si="15"/>
        <v>0</v>
      </c>
      <c r="AT63" s="1198"/>
      <c r="AU63" s="1199"/>
      <c r="AV63" s="1199"/>
      <c r="AW63" s="1199"/>
      <c r="AX63" s="1199"/>
      <c r="AY63" s="1203">
        <f t="shared" si="16"/>
        <v>0</v>
      </c>
    </row>
    <row r="64" spans="1:51" s="874" customFormat="1">
      <c r="A64" s="1218" t="s">
        <v>152</v>
      </c>
      <c r="B64" s="1218" t="s">
        <v>153</v>
      </c>
      <c r="C64" s="1162" t="s">
        <v>268</v>
      </c>
      <c r="D64" s="1562">
        <f t="shared" si="4"/>
        <v>-764.56</v>
      </c>
      <c r="E64" s="1562">
        <f t="shared" si="5"/>
        <v>170351.35</v>
      </c>
      <c r="F64" s="1562">
        <f t="shared" si="6"/>
        <v>43368</v>
      </c>
      <c r="G64" s="1564">
        <f t="shared" si="7"/>
        <v>0</v>
      </c>
      <c r="H64" s="1567">
        <f t="shared" si="8"/>
        <v>43368</v>
      </c>
      <c r="I64" s="1568">
        <f t="shared" si="9"/>
        <v>212954.79</v>
      </c>
      <c r="J64" s="1219">
        <v>0</v>
      </c>
      <c r="K64" s="1219">
        <v>173472</v>
      </c>
      <c r="L64" s="1219">
        <v>43368</v>
      </c>
      <c r="M64" s="1219">
        <v>0</v>
      </c>
      <c r="N64" s="1219">
        <v>0</v>
      </c>
      <c r="O64" s="1220">
        <f t="shared" si="10"/>
        <v>216840</v>
      </c>
      <c r="P64" s="1607">
        <v>-2700.56</v>
      </c>
      <c r="Q64" s="1600">
        <v>-2594.65</v>
      </c>
      <c r="R64" s="1600">
        <v>0</v>
      </c>
      <c r="S64" s="1600">
        <v>0</v>
      </c>
      <c r="T64" s="1600">
        <v>0</v>
      </c>
      <c r="U64" s="1606">
        <f t="shared" si="11"/>
        <v>-5295.21</v>
      </c>
      <c r="V64" s="1600"/>
      <c r="W64" s="1600"/>
      <c r="X64" s="1600"/>
      <c r="Y64" s="1600"/>
      <c r="Z64" s="1600"/>
      <c r="AA64" s="1600">
        <f t="shared" si="12"/>
        <v>0</v>
      </c>
      <c r="AB64" s="1198"/>
      <c r="AC64" s="1199"/>
      <c r="AD64" s="1199"/>
      <c r="AE64" s="1199"/>
      <c r="AF64" s="1199"/>
      <c r="AG64" s="1200">
        <f t="shared" si="13"/>
        <v>0</v>
      </c>
      <c r="AH64" s="1198">
        <v>1936</v>
      </c>
      <c r="AI64" s="1199">
        <v>0</v>
      </c>
      <c r="AJ64" s="1199">
        <v>0</v>
      </c>
      <c r="AK64" s="1199">
        <v>0</v>
      </c>
      <c r="AL64" s="1199">
        <v>0</v>
      </c>
      <c r="AM64" s="1203">
        <f t="shared" si="14"/>
        <v>1936</v>
      </c>
      <c r="AN64" s="1198">
        <v>0</v>
      </c>
      <c r="AO64" s="1199">
        <v>-526</v>
      </c>
      <c r="AP64" s="1199">
        <v>0</v>
      </c>
      <c r="AQ64" s="1199">
        <v>0</v>
      </c>
      <c r="AR64" s="1199">
        <v>0</v>
      </c>
      <c r="AS64" s="1203">
        <f t="shared" si="15"/>
        <v>-526</v>
      </c>
      <c r="AT64" s="1198"/>
      <c r="AU64" s="1199"/>
      <c r="AV64" s="1199"/>
      <c r="AW64" s="1199"/>
      <c r="AX64" s="1199"/>
      <c r="AY64" s="1203">
        <f t="shared" si="16"/>
        <v>0</v>
      </c>
    </row>
    <row r="65" spans="1:51" s="874" customFormat="1">
      <c r="A65" s="1218" t="s">
        <v>154</v>
      </c>
      <c r="B65" s="1218" t="s">
        <v>155</v>
      </c>
      <c r="C65" s="1162" t="s">
        <v>265</v>
      </c>
      <c r="D65" s="1562">
        <f t="shared" si="4"/>
        <v>0</v>
      </c>
      <c r="E65" s="1562">
        <f t="shared" si="5"/>
        <v>92964</v>
      </c>
      <c r="F65" s="1562">
        <f t="shared" si="6"/>
        <v>23241</v>
      </c>
      <c r="G65" s="1564">
        <f t="shared" si="7"/>
        <v>278.89999999999998</v>
      </c>
      <c r="H65" s="1567">
        <f t="shared" si="8"/>
        <v>23519.9</v>
      </c>
      <c r="I65" s="1568">
        <f t="shared" si="9"/>
        <v>116483.9</v>
      </c>
      <c r="J65" s="1219">
        <v>0</v>
      </c>
      <c r="K65" s="1219">
        <v>92964</v>
      </c>
      <c r="L65" s="1219">
        <v>23241</v>
      </c>
      <c r="M65" s="1219">
        <v>0</v>
      </c>
      <c r="N65" s="1219">
        <v>0</v>
      </c>
      <c r="O65" s="1220">
        <f t="shared" si="10"/>
        <v>116205</v>
      </c>
      <c r="P65" s="1607">
        <v>0</v>
      </c>
      <c r="Q65" s="1600">
        <v>0</v>
      </c>
      <c r="R65" s="1600">
        <v>0</v>
      </c>
      <c r="S65" s="1600">
        <v>278.89999999999998</v>
      </c>
      <c r="T65" s="1600">
        <v>0</v>
      </c>
      <c r="U65" s="1606">
        <f t="shared" si="11"/>
        <v>278.89999999999998</v>
      </c>
      <c r="V65" s="1600"/>
      <c r="W65" s="1600"/>
      <c r="X65" s="1600"/>
      <c r="Y65" s="1600"/>
      <c r="Z65" s="1600"/>
      <c r="AA65" s="1600">
        <f t="shared" si="12"/>
        <v>0</v>
      </c>
      <c r="AB65" s="1198"/>
      <c r="AC65" s="1199"/>
      <c r="AD65" s="1199"/>
      <c r="AE65" s="1199"/>
      <c r="AF65" s="1199"/>
      <c r="AG65" s="1200">
        <f t="shared" si="13"/>
        <v>0</v>
      </c>
      <c r="AH65" s="1198"/>
      <c r="AI65" s="1199"/>
      <c r="AJ65" s="1199"/>
      <c r="AK65" s="1199"/>
      <c r="AL65" s="1199"/>
      <c r="AM65" s="1203">
        <f t="shared" si="14"/>
        <v>0</v>
      </c>
      <c r="AN65" s="1198"/>
      <c r="AO65" s="1199"/>
      <c r="AP65" s="1199"/>
      <c r="AQ65" s="1199"/>
      <c r="AR65" s="1199"/>
      <c r="AS65" s="1203">
        <f t="shared" si="15"/>
        <v>0</v>
      </c>
      <c r="AT65" s="1198"/>
      <c r="AU65" s="1199"/>
      <c r="AV65" s="1199"/>
      <c r="AW65" s="1199"/>
      <c r="AX65" s="1199"/>
      <c r="AY65" s="1203">
        <f t="shared" si="16"/>
        <v>0</v>
      </c>
    </row>
    <row r="66" spans="1:51" s="874" customFormat="1">
      <c r="A66" s="1218" t="s">
        <v>156</v>
      </c>
      <c r="B66" s="1218" t="s">
        <v>157</v>
      </c>
      <c r="C66" s="1162" t="s">
        <v>266</v>
      </c>
      <c r="D66" s="1562">
        <f t="shared" si="4"/>
        <v>0</v>
      </c>
      <c r="E66" s="1562">
        <f t="shared" si="5"/>
        <v>22158.400000000001</v>
      </c>
      <c r="F66" s="1562">
        <f t="shared" si="6"/>
        <v>5539.6</v>
      </c>
      <c r="G66" s="1564">
        <f t="shared" si="7"/>
        <v>0</v>
      </c>
      <c r="H66" s="1567">
        <f t="shared" si="8"/>
        <v>5539.6</v>
      </c>
      <c r="I66" s="1568">
        <f t="shared" si="9"/>
        <v>27698</v>
      </c>
      <c r="J66" s="1219">
        <v>0</v>
      </c>
      <c r="K66" s="1219">
        <v>22158.400000000001</v>
      </c>
      <c r="L66" s="1219">
        <v>5539.6</v>
      </c>
      <c r="M66" s="1219">
        <v>0</v>
      </c>
      <c r="N66" s="1219">
        <v>0</v>
      </c>
      <c r="O66" s="1220">
        <f t="shared" si="10"/>
        <v>27698</v>
      </c>
      <c r="P66" s="1607"/>
      <c r="Q66" s="1600"/>
      <c r="R66" s="1600"/>
      <c r="S66" s="1600"/>
      <c r="T66" s="1600"/>
      <c r="U66" s="1606">
        <f t="shared" si="11"/>
        <v>0</v>
      </c>
      <c r="V66" s="1600"/>
      <c r="W66" s="1600"/>
      <c r="X66" s="1600"/>
      <c r="Y66" s="1600"/>
      <c r="Z66" s="1600"/>
      <c r="AA66" s="1600">
        <f t="shared" si="12"/>
        <v>0</v>
      </c>
      <c r="AB66" s="1198"/>
      <c r="AC66" s="1199"/>
      <c r="AD66" s="1199"/>
      <c r="AE66" s="1199"/>
      <c r="AF66" s="1199"/>
      <c r="AG66" s="1200">
        <f t="shared" si="13"/>
        <v>0</v>
      </c>
      <c r="AH66" s="1198"/>
      <c r="AI66" s="1199"/>
      <c r="AJ66" s="1199"/>
      <c r="AK66" s="1199"/>
      <c r="AL66" s="1199"/>
      <c r="AM66" s="1203">
        <f t="shared" si="14"/>
        <v>0</v>
      </c>
      <c r="AN66" s="1198"/>
      <c r="AO66" s="1199"/>
      <c r="AP66" s="1199"/>
      <c r="AQ66" s="1199"/>
      <c r="AR66" s="1199"/>
      <c r="AS66" s="1203">
        <f t="shared" si="15"/>
        <v>0</v>
      </c>
      <c r="AT66" s="1198"/>
      <c r="AU66" s="1199"/>
      <c r="AV66" s="1199"/>
      <c r="AW66" s="1199"/>
      <c r="AX66" s="1199"/>
      <c r="AY66" s="1203">
        <f t="shared" si="16"/>
        <v>0</v>
      </c>
    </row>
    <row r="67" spans="1:51" s="874" customFormat="1">
      <c r="A67" s="1218" t="s">
        <v>162</v>
      </c>
      <c r="B67" s="1218" t="s">
        <v>163</v>
      </c>
      <c r="C67" s="1162" t="s">
        <v>264</v>
      </c>
      <c r="D67" s="1562">
        <f t="shared" si="4"/>
        <v>0</v>
      </c>
      <c r="E67" s="1562">
        <f t="shared" si="5"/>
        <v>79721.600000000006</v>
      </c>
      <c r="F67" s="1562">
        <f t="shared" si="6"/>
        <v>19930.400000000001</v>
      </c>
      <c r="G67" s="1564">
        <f t="shared" si="7"/>
        <v>0</v>
      </c>
      <c r="H67" s="1567">
        <f t="shared" si="8"/>
        <v>19930.400000000001</v>
      </c>
      <c r="I67" s="1568">
        <f t="shared" si="9"/>
        <v>99652</v>
      </c>
      <c r="J67" s="1219">
        <v>0</v>
      </c>
      <c r="K67" s="1219">
        <v>79721.600000000006</v>
      </c>
      <c r="L67" s="1219">
        <v>19930.400000000001</v>
      </c>
      <c r="M67" s="1219">
        <v>0</v>
      </c>
      <c r="N67" s="1219">
        <v>0</v>
      </c>
      <c r="O67" s="1220">
        <f t="shared" si="10"/>
        <v>99652</v>
      </c>
      <c r="P67" s="1607"/>
      <c r="Q67" s="1600"/>
      <c r="R67" s="1600"/>
      <c r="S67" s="1600"/>
      <c r="T67" s="1600"/>
      <c r="U67" s="1606">
        <f t="shared" si="11"/>
        <v>0</v>
      </c>
      <c r="V67" s="1600"/>
      <c r="W67" s="1600"/>
      <c r="X67" s="1600"/>
      <c r="Y67" s="1600"/>
      <c r="Z67" s="1600"/>
      <c r="AA67" s="1600">
        <f t="shared" si="12"/>
        <v>0</v>
      </c>
      <c r="AB67" s="1198"/>
      <c r="AC67" s="1199"/>
      <c r="AD67" s="1199"/>
      <c r="AE67" s="1199"/>
      <c r="AF67" s="1199"/>
      <c r="AG67" s="1200">
        <f t="shared" si="13"/>
        <v>0</v>
      </c>
      <c r="AH67" s="1198"/>
      <c r="AI67" s="1199"/>
      <c r="AJ67" s="1199"/>
      <c r="AK67" s="1199"/>
      <c r="AL67" s="1199"/>
      <c r="AM67" s="1203">
        <f t="shared" si="14"/>
        <v>0</v>
      </c>
      <c r="AN67" s="1198"/>
      <c r="AO67" s="1199"/>
      <c r="AP67" s="1199"/>
      <c r="AQ67" s="1199"/>
      <c r="AR67" s="1199"/>
      <c r="AS67" s="1203">
        <f t="shared" si="15"/>
        <v>0</v>
      </c>
      <c r="AT67" s="1198"/>
      <c r="AU67" s="1199"/>
      <c r="AV67" s="1199"/>
      <c r="AW67" s="1199"/>
      <c r="AX67" s="1199"/>
      <c r="AY67" s="1203">
        <f t="shared" si="16"/>
        <v>0</v>
      </c>
    </row>
    <row r="68" spans="1:51" s="874" customFormat="1">
      <c r="A68" s="1218" t="s">
        <v>164</v>
      </c>
      <c r="B68" s="1218" t="s">
        <v>165</v>
      </c>
      <c r="C68" s="1162" t="s">
        <v>266</v>
      </c>
      <c r="D68" s="1562">
        <f t="shared" si="4"/>
        <v>-186.81</v>
      </c>
      <c r="E68" s="1562">
        <f t="shared" si="5"/>
        <v>30665.309999999998</v>
      </c>
      <c r="F68" s="1562">
        <f t="shared" si="6"/>
        <v>7711.2</v>
      </c>
      <c r="G68" s="1564">
        <f t="shared" si="7"/>
        <v>500</v>
      </c>
      <c r="H68" s="1567">
        <f t="shared" si="8"/>
        <v>8211.2000000000007</v>
      </c>
      <c r="I68" s="1568">
        <f t="shared" si="9"/>
        <v>38689.699999999997</v>
      </c>
      <c r="J68" s="1219">
        <v>0</v>
      </c>
      <c r="K68" s="1219">
        <v>30844.799999999999</v>
      </c>
      <c r="L68" s="1219">
        <v>7711.2</v>
      </c>
      <c r="M68" s="1219">
        <v>0</v>
      </c>
      <c r="N68" s="1219">
        <v>0</v>
      </c>
      <c r="O68" s="1220">
        <f t="shared" si="10"/>
        <v>38556</v>
      </c>
      <c r="P68" s="1607">
        <v>-186.81</v>
      </c>
      <c r="Q68" s="1600">
        <v>-179.49</v>
      </c>
      <c r="R68" s="1600">
        <v>0</v>
      </c>
      <c r="S68" s="1600">
        <v>0</v>
      </c>
      <c r="T68" s="1600">
        <v>0</v>
      </c>
      <c r="U68" s="1606">
        <f t="shared" si="11"/>
        <v>-366.3</v>
      </c>
      <c r="V68" s="1600"/>
      <c r="W68" s="1600"/>
      <c r="X68" s="1600"/>
      <c r="Y68" s="1600"/>
      <c r="Z68" s="1600"/>
      <c r="AA68" s="1600">
        <f t="shared" si="12"/>
        <v>0</v>
      </c>
      <c r="AB68" s="1201">
        <v>0</v>
      </c>
      <c r="AC68" s="1202">
        <v>0</v>
      </c>
      <c r="AD68" s="1202">
        <v>0</v>
      </c>
      <c r="AE68" s="1202">
        <v>500</v>
      </c>
      <c r="AF68" s="1202">
        <v>0</v>
      </c>
      <c r="AG68" s="1200">
        <f t="shared" si="13"/>
        <v>500</v>
      </c>
      <c r="AH68" s="1198"/>
      <c r="AI68" s="1199"/>
      <c r="AJ68" s="1199"/>
      <c r="AK68" s="1199"/>
      <c r="AL68" s="1199"/>
      <c r="AM68" s="1203">
        <f t="shared" si="14"/>
        <v>0</v>
      </c>
      <c r="AN68" s="1198"/>
      <c r="AO68" s="1199"/>
      <c r="AP68" s="1199"/>
      <c r="AQ68" s="1199"/>
      <c r="AR68" s="1199"/>
      <c r="AS68" s="1203">
        <f t="shared" si="15"/>
        <v>0</v>
      </c>
      <c r="AT68" s="1198"/>
      <c r="AU68" s="1199"/>
      <c r="AV68" s="1199"/>
      <c r="AW68" s="1199"/>
      <c r="AX68" s="1199"/>
      <c r="AY68" s="1203">
        <f t="shared" si="16"/>
        <v>0</v>
      </c>
    </row>
    <row r="69" spans="1:51" s="874" customFormat="1">
      <c r="A69" s="1218" t="s">
        <v>168</v>
      </c>
      <c r="B69" s="1218" t="s">
        <v>169</v>
      </c>
      <c r="C69" s="1162" t="s">
        <v>266</v>
      </c>
      <c r="D69" s="1562">
        <f t="shared" si="4"/>
        <v>0</v>
      </c>
      <c r="E69" s="1562">
        <f t="shared" si="5"/>
        <v>57922.400000000001</v>
      </c>
      <c r="F69" s="1562">
        <f t="shared" si="6"/>
        <v>14480.6</v>
      </c>
      <c r="G69" s="1564">
        <f t="shared" si="7"/>
        <v>0</v>
      </c>
      <c r="H69" s="1567">
        <f t="shared" si="8"/>
        <v>14480.6</v>
      </c>
      <c r="I69" s="1568">
        <f t="shared" si="9"/>
        <v>72403</v>
      </c>
      <c r="J69" s="1219">
        <v>0</v>
      </c>
      <c r="K69" s="1219">
        <v>57922.400000000001</v>
      </c>
      <c r="L69" s="1219">
        <v>14480.6</v>
      </c>
      <c r="M69" s="1219">
        <v>0</v>
      </c>
      <c r="N69" s="1219">
        <v>0</v>
      </c>
      <c r="O69" s="1220">
        <f t="shared" si="10"/>
        <v>72403</v>
      </c>
      <c r="P69" s="1607"/>
      <c r="Q69" s="1600"/>
      <c r="R69" s="1600"/>
      <c r="S69" s="1600"/>
      <c r="T69" s="1600"/>
      <c r="U69" s="1606">
        <f t="shared" si="11"/>
        <v>0</v>
      </c>
      <c r="V69" s="1600"/>
      <c r="W69" s="1600"/>
      <c r="X69" s="1600"/>
      <c r="Y69" s="1600"/>
      <c r="Z69" s="1600"/>
      <c r="AA69" s="1600">
        <f t="shared" si="12"/>
        <v>0</v>
      </c>
      <c r="AB69" s="1198"/>
      <c r="AC69" s="1199"/>
      <c r="AD69" s="1199"/>
      <c r="AE69" s="1199"/>
      <c r="AF69" s="1199"/>
      <c r="AG69" s="1200">
        <f t="shared" si="13"/>
        <v>0</v>
      </c>
      <c r="AH69" s="1198"/>
      <c r="AI69" s="1199"/>
      <c r="AJ69" s="1199"/>
      <c r="AK69" s="1199"/>
      <c r="AL69" s="1199"/>
      <c r="AM69" s="1203">
        <f t="shared" si="14"/>
        <v>0</v>
      </c>
      <c r="AN69" s="1198"/>
      <c r="AO69" s="1199"/>
      <c r="AP69" s="1199"/>
      <c r="AQ69" s="1199"/>
      <c r="AR69" s="1199"/>
      <c r="AS69" s="1203">
        <f t="shared" si="15"/>
        <v>0</v>
      </c>
      <c r="AT69" s="1198"/>
      <c r="AU69" s="1199"/>
      <c r="AV69" s="1199"/>
      <c r="AW69" s="1199"/>
      <c r="AX69" s="1199"/>
      <c r="AY69" s="1203">
        <f t="shared" si="16"/>
        <v>0</v>
      </c>
    </row>
    <row r="70" spans="1:51" s="874" customFormat="1">
      <c r="A70" s="1218" t="s">
        <v>170</v>
      </c>
      <c r="B70" s="1218" t="s">
        <v>171</v>
      </c>
      <c r="C70" s="1162" t="s">
        <v>267</v>
      </c>
      <c r="D70" s="1562">
        <f t="shared" ref="D70:D124" si="17">J70+P70+V70+AB70+AH70+AN70+AT70</f>
        <v>-36.980000000000004</v>
      </c>
      <c r="E70" s="1562">
        <f t="shared" ref="E70:E124" si="18">K70+Q70+W70+AC70+AI70+AO70+AU70</f>
        <v>45331.669999999991</v>
      </c>
      <c r="F70" s="1562">
        <f t="shared" ref="F70:F124" si="19">L70+R70+X70+AD70+AJ70+AP70+AV70</f>
        <v>11341.8</v>
      </c>
      <c r="G70" s="1564">
        <f t="shared" ref="G70:G124" si="20">M70+N70+S70+T70+Y70+Z70+AE70+AF70+AK70+AL70+AQ70+AR70+AW70+AX70</f>
        <v>0.01</v>
      </c>
      <c r="H70" s="1567">
        <f t="shared" ref="H70:H124" si="21">F70+G70</f>
        <v>11341.81</v>
      </c>
      <c r="I70" s="1568">
        <f t="shared" ref="I70:I124" si="22">SUM(D70:G70)</f>
        <v>56636.499999999993</v>
      </c>
      <c r="J70" s="1219">
        <v>0</v>
      </c>
      <c r="K70" s="1219">
        <v>45367.199999999997</v>
      </c>
      <c r="L70" s="1219">
        <v>11341.8</v>
      </c>
      <c r="M70" s="1219">
        <v>0</v>
      </c>
      <c r="N70" s="1219">
        <v>0</v>
      </c>
      <c r="O70" s="1220">
        <f t="shared" ref="O70:O124" si="23">SUM(J70:N70)</f>
        <v>56709</v>
      </c>
      <c r="P70" s="1607">
        <v>-10.199999999999999</v>
      </c>
      <c r="Q70" s="1600">
        <v>-9.8000000000000007</v>
      </c>
      <c r="R70" s="1600">
        <v>0</v>
      </c>
      <c r="S70" s="1600">
        <v>0</v>
      </c>
      <c r="T70" s="1600">
        <v>0</v>
      </c>
      <c r="U70" s="1606">
        <f t="shared" ref="U70:U124" si="24">SUM(P70:T70)</f>
        <v>-20</v>
      </c>
      <c r="V70" s="1600">
        <v>-26.78</v>
      </c>
      <c r="W70" s="1600">
        <v>-25.73</v>
      </c>
      <c r="X70" s="1600">
        <v>0</v>
      </c>
      <c r="Y70" s="1600">
        <v>0.01</v>
      </c>
      <c r="Z70" s="1600">
        <v>0</v>
      </c>
      <c r="AA70" s="1600">
        <f t="shared" ref="AA70:AA124" si="25">SUM(V70:Z70)</f>
        <v>-52.500000000000007</v>
      </c>
      <c r="AB70" s="1198"/>
      <c r="AC70" s="1199"/>
      <c r="AD70" s="1199"/>
      <c r="AE70" s="1199"/>
      <c r="AF70" s="1199"/>
      <c r="AG70" s="1200">
        <f t="shared" ref="AG70:AG124" si="26">SUM(AB70:AF70)</f>
        <v>0</v>
      </c>
      <c r="AH70" s="1198"/>
      <c r="AI70" s="1199"/>
      <c r="AJ70" s="1199"/>
      <c r="AK70" s="1199"/>
      <c r="AL70" s="1199"/>
      <c r="AM70" s="1203">
        <f t="shared" ref="AM70:AM124" si="27">SUM(AH70:AL70)</f>
        <v>0</v>
      </c>
      <c r="AN70" s="1198"/>
      <c r="AO70" s="1199"/>
      <c r="AP70" s="1199"/>
      <c r="AQ70" s="1199"/>
      <c r="AR70" s="1199"/>
      <c r="AS70" s="1203">
        <f t="shared" ref="AS70:AS124" si="28">SUM(AN70:AR70)</f>
        <v>0</v>
      </c>
      <c r="AT70" s="1198"/>
      <c r="AU70" s="1199"/>
      <c r="AV70" s="1199"/>
      <c r="AW70" s="1199"/>
      <c r="AX70" s="1199"/>
      <c r="AY70" s="1203">
        <f t="shared" ref="AY70:AY124" si="29">SUM(AT70:AX70)</f>
        <v>0</v>
      </c>
    </row>
    <row r="71" spans="1:51" s="874" customFormat="1">
      <c r="A71" s="1218" t="s">
        <v>172</v>
      </c>
      <c r="B71" s="1218" t="s">
        <v>173</v>
      </c>
      <c r="C71" s="1162" t="s">
        <v>267</v>
      </c>
      <c r="D71" s="1562">
        <f t="shared" si="17"/>
        <v>0</v>
      </c>
      <c r="E71" s="1562">
        <f t="shared" si="18"/>
        <v>83829.600000000006</v>
      </c>
      <c r="F71" s="1562">
        <f t="shared" si="19"/>
        <v>20957.400000000001</v>
      </c>
      <c r="G71" s="1564">
        <f t="shared" si="20"/>
        <v>0</v>
      </c>
      <c r="H71" s="1567">
        <f t="shared" si="21"/>
        <v>20957.400000000001</v>
      </c>
      <c r="I71" s="1568">
        <f t="shared" si="22"/>
        <v>104787</v>
      </c>
      <c r="J71" s="1219">
        <v>0</v>
      </c>
      <c r="K71" s="1219">
        <v>83829.600000000006</v>
      </c>
      <c r="L71" s="1219">
        <v>20957.400000000001</v>
      </c>
      <c r="M71" s="1219">
        <v>0</v>
      </c>
      <c r="N71" s="1219">
        <v>0</v>
      </c>
      <c r="O71" s="1220">
        <f t="shared" si="23"/>
        <v>104787</v>
      </c>
      <c r="P71" s="1607"/>
      <c r="Q71" s="1600"/>
      <c r="R71" s="1600"/>
      <c r="S71" s="1600"/>
      <c r="T71" s="1600"/>
      <c r="U71" s="1606">
        <f t="shared" si="24"/>
        <v>0</v>
      </c>
      <c r="V71" s="1600"/>
      <c r="W71" s="1600"/>
      <c r="X71" s="1600"/>
      <c r="Y71" s="1600"/>
      <c r="Z71" s="1600"/>
      <c r="AA71" s="1600">
        <f t="shared" si="25"/>
        <v>0</v>
      </c>
      <c r="AB71" s="1198"/>
      <c r="AC71" s="1199"/>
      <c r="AD71" s="1199"/>
      <c r="AE71" s="1199"/>
      <c r="AF71" s="1199"/>
      <c r="AG71" s="1200">
        <f t="shared" si="26"/>
        <v>0</v>
      </c>
      <c r="AH71" s="1198"/>
      <c r="AI71" s="1199"/>
      <c r="AJ71" s="1199"/>
      <c r="AK71" s="1199"/>
      <c r="AL71" s="1199"/>
      <c r="AM71" s="1203">
        <f t="shared" si="27"/>
        <v>0</v>
      </c>
      <c r="AN71" s="1198"/>
      <c r="AO71" s="1199"/>
      <c r="AP71" s="1199"/>
      <c r="AQ71" s="1199"/>
      <c r="AR71" s="1199"/>
      <c r="AS71" s="1203">
        <f t="shared" si="28"/>
        <v>0</v>
      </c>
      <c r="AT71" s="1198"/>
      <c r="AU71" s="1199"/>
      <c r="AV71" s="1199"/>
      <c r="AW71" s="1199"/>
      <c r="AX71" s="1199"/>
      <c r="AY71" s="1203">
        <f t="shared" si="29"/>
        <v>0</v>
      </c>
    </row>
    <row r="72" spans="1:51" s="874" customFormat="1">
      <c r="A72" s="1218" t="s">
        <v>174</v>
      </c>
      <c r="B72" s="1218" t="s">
        <v>175</v>
      </c>
      <c r="C72" s="1162" t="s">
        <v>268</v>
      </c>
      <c r="D72" s="1562">
        <f t="shared" si="17"/>
        <v>-1521.23</v>
      </c>
      <c r="E72" s="1562">
        <f t="shared" si="18"/>
        <v>63728.03</v>
      </c>
      <c r="F72" s="1562">
        <f t="shared" si="19"/>
        <v>16297.4</v>
      </c>
      <c r="G72" s="1564">
        <f t="shared" si="20"/>
        <v>0</v>
      </c>
      <c r="H72" s="1567">
        <f t="shared" si="21"/>
        <v>16297.4</v>
      </c>
      <c r="I72" s="1568">
        <f t="shared" si="22"/>
        <v>78504.2</v>
      </c>
      <c r="J72" s="1219">
        <v>0</v>
      </c>
      <c r="K72" s="1219">
        <v>65189.599999999999</v>
      </c>
      <c r="L72" s="1219">
        <v>16297.4</v>
      </c>
      <c r="M72" s="1219">
        <v>0</v>
      </c>
      <c r="N72" s="1219">
        <v>0</v>
      </c>
      <c r="O72" s="1220">
        <f t="shared" si="23"/>
        <v>81487</v>
      </c>
      <c r="P72" s="1607">
        <v>-1521.23</v>
      </c>
      <c r="Q72" s="1600">
        <v>-1461.57</v>
      </c>
      <c r="R72" s="1600">
        <v>0</v>
      </c>
      <c r="S72" s="1600">
        <v>0</v>
      </c>
      <c r="T72" s="1600">
        <v>0</v>
      </c>
      <c r="U72" s="1606">
        <f t="shared" si="24"/>
        <v>-2982.8</v>
      </c>
      <c r="V72" s="1600"/>
      <c r="W72" s="1600"/>
      <c r="X72" s="1600"/>
      <c r="Y72" s="1600"/>
      <c r="Z72" s="1600"/>
      <c r="AA72" s="1600">
        <f t="shared" si="25"/>
        <v>0</v>
      </c>
      <c r="AB72" s="1198"/>
      <c r="AC72" s="1199"/>
      <c r="AD72" s="1199"/>
      <c r="AE72" s="1199"/>
      <c r="AF72" s="1199"/>
      <c r="AG72" s="1200">
        <f t="shared" si="26"/>
        <v>0</v>
      </c>
      <c r="AH72" s="1198"/>
      <c r="AI72" s="1199"/>
      <c r="AJ72" s="1199"/>
      <c r="AK72" s="1199"/>
      <c r="AL72" s="1199"/>
      <c r="AM72" s="1203">
        <f t="shared" si="27"/>
        <v>0</v>
      </c>
      <c r="AN72" s="1198"/>
      <c r="AO72" s="1199"/>
      <c r="AP72" s="1199"/>
      <c r="AQ72" s="1199"/>
      <c r="AR72" s="1199"/>
      <c r="AS72" s="1203">
        <f t="shared" si="28"/>
        <v>0</v>
      </c>
      <c r="AT72" s="1198"/>
      <c r="AU72" s="1199"/>
      <c r="AV72" s="1199"/>
      <c r="AW72" s="1199"/>
      <c r="AX72" s="1199"/>
      <c r="AY72" s="1203">
        <f t="shared" si="29"/>
        <v>0</v>
      </c>
    </row>
    <row r="73" spans="1:51" s="874" customFormat="1">
      <c r="A73" s="1218" t="s">
        <v>178</v>
      </c>
      <c r="B73" s="1218" t="s">
        <v>179</v>
      </c>
      <c r="C73" s="1162" t="s">
        <v>265</v>
      </c>
      <c r="D73" s="1562">
        <f t="shared" si="17"/>
        <v>-218.68</v>
      </c>
      <c r="E73" s="1562">
        <f t="shared" si="18"/>
        <v>153385.08000000002</v>
      </c>
      <c r="F73" s="1562">
        <f t="shared" si="19"/>
        <v>38398.800000000003</v>
      </c>
      <c r="G73" s="1564">
        <f t="shared" si="20"/>
        <v>3063</v>
      </c>
      <c r="H73" s="1567">
        <f t="shared" si="21"/>
        <v>41461.800000000003</v>
      </c>
      <c r="I73" s="1568">
        <f t="shared" si="22"/>
        <v>194628.2</v>
      </c>
      <c r="J73" s="1219">
        <v>0</v>
      </c>
      <c r="K73" s="1219">
        <v>153595.20000000001</v>
      </c>
      <c r="L73" s="1219">
        <v>38398.800000000003</v>
      </c>
      <c r="M73" s="1219">
        <v>0</v>
      </c>
      <c r="N73" s="1219">
        <v>0</v>
      </c>
      <c r="O73" s="1220">
        <f t="shared" si="23"/>
        <v>191994</v>
      </c>
      <c r="P73" s="1607">
        <v>-218.68</v>
      </c>
      <c r="Q73" s="1600">
        <v>-210.12</v>
      </c>
      <c r="R73" s="1600">
        <v>0</v>
      </c>
      <c r="S73" s="1600">
        <v>288</v>
      </c>
      <c r="T73" s="1600">
        <v>0</v>
      </c>
      <c r="U73" s="1606">
        <f t="shared" si="24"/>
        <v>-140.80000000000001</v>
      </c>
      <c r="V73" s="1600"/>
      <c r="W73" s="1600"/>
      <c r="X73" s="1600"/>
      <c r="Y73" s="1600"/>
      <c r="Z73" s="1600"/>
      <c r="AA73" s="1600">
        <f t="shared" si="25"/>
        <v>0</v>
      </c>
      <c r="AB73" s="1201">
        <v>0</v>
      </c>
      <c r="AC73" s="1202">
        <v>0</v>
      </c>
      <c r="AD73" s="1202">
        <v>0</v>
      </c>
      <c r="AE73" s="1202">
        <v>2775</v>
      </c>
      <c r="AF73" s="1202">
        <v>0</v>
      </c>
      <c r="AG73" s="1200">
        <f t="shared" si="26"/>
        <v>2775</v>
      </c>
      <c r="AH73" s="1198"/>
      <c r="AI73" s="1199"/>
      <c r="AJ73" s="1199"/>
      <c r="AK73" s="1199"/>
      <c r="AL73" s="1199"/>
      <c r="AM73" s="1203">
        <f t="shared" si="27"/>
        <v>0</v>
      </c>
      <c r="AN73" s="1198"/>
      <c r="AO73" s="1199"/>
      <c r="AP73" s="1199"/>
      <c r="AQ73" s="1199"/>
      <c r="AR73" s="1199"/>
      <c r="AS73" s="1203">
        <f t="shared" si="28"/>
        <v>0</v>
      </c>
      <c r="AT73" s="1198"/>
      <c r="AU73" s="1199"/>
      <c r="AV73" s="1199"/>
      <c r="AW73" s="1199"/>
      <c r="AX73" s="1199"/>
      <c r="AY73" s="1203">
        <f t="shared" si="29"/>
        <v>0</v>
      </c>
    </row>
    <row r="74" spans="1:51" s="874" customFormat="1">
      <c r="A74" s="1218" t="s">
        <v>182</v>
      </c>
      <c r="B74" s="1218" t="s">
        <v>183</v>
      </c>
      <c r="C74" s="1162" t="s">
        <v>266</v>
      </c>
      <c r="D74" s="1562">
        <f t="shared" si="17"/>
        <v>0</v>
      </c>
      <c r="E74" s="1562">
        <f t="shared" si="18"/>
        <v>39592.800000000003</v>
      </c>
      <c r="F74" s="1562">
        <f t="shared" si="19"/>
        <v>9898.2000000000007</v>
      </c>
      <c r="G74" s="1564">
        <f t="shared" si="20"/>
        <v>0</v>
      </c>
      <c r="H74" s="1567">
        <f t="shared" si="21"/>
        <v>9898.2000000000007</v>
      </c>
      <c r="I74" s="1568">
        <f t="shared" si="22"/>
        <v>49491</v>
      </c>
      <c r="J74" s="1219">
        <v>0</v>
      </c>
      <c r="K74" s="1219">
        <v>39592.800000000003</v>
      </c>
      <c r="L74" s="1219">
        <v>9898.2000000000007</v>
      </c>
      <c r="M74" s="1219">
        <v>0</v>
      </c>
      <c r="N74" s="1219">
        <v>0</v>
      </c>
      <c r="O74" s="1220">
        <f t="shared" si="23"/>
        <v>49491</v>
      </c>
      <c r="P74" s="1607"/>
      <c r="Q74" s="1600"/>
      <c r="R74" s="1600"/>
      <c r="S74" s="1600"/>
      <c r="T74" s="1600"/>
      <c r="U74" s="1606">
        <f t="shared" si="24"/>
        <v>0</v>
      </c>
      <c r="V74" s="1600"/>
      <c r="W74" s="1600"/>
      <c r="X74" s="1600"/>
      <c r="Y74" s="1600"/>
      <c r="Z74" s="1600"/>
      <c r="AA74" s="1600">
        <f t="shared" si="25"/>
        <v>0</v>
      </c>
      <c r="AB74" s="1198"/>
      <c r="AC74" s="1199"/>
      <c r="AD74" s="1199"/>
      <c r="AE74" s="1199"/>
      <c r="AF74" s="1199"/>
      <c r="AG74" s="1200">
        <f t="shared" si="26"/>
        <v>0</v>
      </c>
      <c r="AH74" s="1198"/>
      <c r="AI74" s="1199"/>
      <c r="AJ74" s="1199"/>
      <c r="AK74" s="1199"/>
      <c r="AL74" s="1199"/>
      <c r="AM74" s="1203">
        <f t="shared" si="27"/>
        <v>0</v>
      </c>
      <c r="AN74" s="1198"/>
      <c r="AO74" s="1199"/>
      <c r="AP74" s="1199"/>
      <c r="AQ74" s="1199"/>
      <c r="AR74" s="1199"/>
      <c r="AS74" s="1203">
        <f t="shared" si="28"/>
        <v>0</v>
      </c>
      <c r="AT74" s="1198"/>
      <c r="AU74" s="1199"/>
      <c r="AV74" s="1199"/>
      <c r="AW74" s="1199"/>
      <c r="AX74" s="1199"/>
      <c r="AY74" s="1203">
        <f t="shared" si="29"/>
        <v>0</v>
      </c>
    </row>
    <row r="75" spans="1:51" s="874" customFormat="1">
      <c r="A75" s="1218" t="s">
        <v>184</v>
      </c>
      <c r="B75" s="1218" t="s">
        <v>185</v>
      </c>
      <c r="C75" s="1162" t="s">
        <v>266</v>
      </c>
      <c r="D75" s="1562">
        <f t="shared" si="17"/>
        <v>-132.6</v>
      </c>
      <c r="E75" s="1562">
        <f t="shared" si="18"/>
        <v>105345.40000000001</v>
      </c>
      <c r="F75" s="1562">
        <f t="shared" si="19"/>
        <v>26368.2</v>
      </c>
      <c r="G75" s="1564">
        <f t="shared" si="20"/>
        <v>0</v>
      </c>
      <c r="H75" s="1567">
        <f t="shared" si="21"/>
        <v>26368.2</v>
      </c>
      <c r="I75" s="1568">
        <f t="shared" si="22"/>
        <v>131581</v>
      </c>
      <c r="J75" s="1219">
        <v>0</v>
      </c>
      <c r="K75" s="1219">
        <v>105472.8</v>
      </c>
      <c r="L75" s="1219">
        <v>26368.2</v>
      </c>
      <c r="M75" s="1219">
        <v>0</v>
      </c>
      <c r="N75" s="1219">
        <v>0</v>
      </c>
      <c r="O75" s="1220">
        <f t="shared" si="23"/>
        <v>131841</v>
      </c>
      <c r="P75" s="1607">
        <v>-132.6</v>
      </c>
      <c r="Q75" s="1600">
        <v>-127.4</v>
      </c>
      <c r="R75" s="1600">
        <v>0</v>
      </c>
      <c r="S75" s="1600">
        <v>0</v>
      </c>
      <c r="T75" s="1600">
        <v>0</v>
      </c>
      <c r="U75" s="1606">
        <f t="shared" si="24"/>
        <v>-260</v>
      </c>
      <c r="V75" s="1600"/>
      <c r="W75" s="1600"/>
      <c r="X75" s="1600"/>
      <c r="Y75" s="1600"/>
      <c r="Z75" s="1600"/>
      <c r="AA75" s="1600">
        <f t="shared" si="25"/>
        <v>0</v>
      </c>
      <c r="AB75" s="1198"/>
      <c r="AC75" s="1199"/>
      <c r="AD75" s="1199"/>
      <c r="AE75" s="1199"/>
      <c r="AF75" s="1199"/>
      <c r="AG75" s="1200">
        <f t="shared" si="26"/>
        <v>0</v>
      </c>
      <c r="AH75" s="1198"/>
      <c r="AI75" s="1199"/>
      <c r="AJ75" s="1199"/>
      <c r="AK75" s="1199"/>
      <c r="AL75" s="1199"/>
      <c r="AM75" s="1203">
        <f t="shared" si="27"/>
        <v>0</v>
      </c>
      <c r="AN75" s="1198"/>
      <c r="AO75" s="1199"/>
      <c r="AP75" s="1199"/>
      <c r="AQ75" s="1199"/>
      <c r="AR75" s="1199"/>
      <c r="AS75" s="1203">
        <f t="shared" si="28"/>
        <v>0</v>
      </c>
      <c r="AT75" s="1198"/>
      <c r="AU75" s="1199"/>
      <c r="AV75" s="1199"/>
      <c r="AW75" s="1199"/>
      <c r="AX75" s="1199"/>
      <c r="AY75" s="1203">
        <f t="shared" si="29"/>
        <v>0</v>
      </c>
    </row>
    <row r="76" spans="1:51" s="874" customFormat="1">
      <c r="A76" s="1218" t="s">
        <v>186</v>
      </c>
      <c r="B76" s="1218" t="s">
        <v>187</v>
      </c>
      <c r="C76" s="1162" t="s">
        <v>264</v>
      </c>
      <c r="D76" s="1562">
        <f t="shared" si="17"/>
        <v>0</v>
      </c>
      <c r="E76" s="1562">
        <f t="shared" si="18"/>
        <v>37298.400000000001</v>
      </c>
      <c r="F76" s="1562">
        <f t="shared" si="19"/>
        <v>9324.6</v>
      </c>
      <c r="G76" s="1564">
        <f t="shared" si="20"/>
        <v>0</v>
      </c>
      <c r="H76" s="1567">
        <f t="shared" si="21"/>
        <v>9324.6</v>
      </c>
      <c r="I76" s="1568">
        <f t="shared" si="22"/>
        <v>46623</v>
      </c>
      <c r="J76" s="1219">
        <v>0</v>
      </c>
      <c r="K76" s="1219">
        <v>37298.400000000001</v>
      </c>
      <c r="L76" s="1219">
        <v>9324.6</v>
      </c>
      <c r="M76" s="1219">
        <v>0</v>
      </c>
      <c r="N76" s="1219">
        <v>0</v>
      </c>
      <c r="O76" s="1220">
        <f t="shared" si="23"/>
        <v>46623</v>
      </c>
      <c r="P76" s="1607"/>
      <c r="Q76" s="1600"/>
      <c r="R76" s="1600"/>
      <c r="S76" s="1600"/>
      <c r="T76" s="1600"/>
      <c r="U76" s="1606">
        <f t="shared" si="24"/>
        <v>0</v>
      </c>
      <c r="V76" s="1600"/>
      <c r="W76" s="1600"/>
      <c r="X76" s="1600"/>
      <c r="Y76" s="1600"/>
      <c r="Z76" s="1600"/>
      <c r="AA76" s="1600">
        <f t="shared" si="25"/>
        <v>0</v>
      </c>
      <c r="AB76" s="1198"/>
      <c r="AC76" s="1199"/>
      <c r="AD76" s="1199"/>
      <c r="AE76" s="1199"/>
      <c r="AF76" s="1199"/>
      <c r="AG76" s="1200">
        <f t="shared" si="26"/>
        <v>0</v>
      </c>
      <c r="AH76" s="1198"/>
      <c r="AI76" s="1199"/>
      <c r="AJ76" s="1199"/>
      <c r="AK76" s="1199"/>
      <c r="AL76" s="1199"/>
      <c r="AM76" s="1203">
        <f t="shared" si="27"/>
        <v>0</v>
      </c>
      <c r="AN76" s="1198"/>
      <c r="AO76" s="1199"/>
      <c r="AP76" s="1199"/>
      <c r="AQ76" s="1199"/>
      <c r="AR76" s="1199"/>
      <c r="AS76" s="1203">
        <f t="shared" si="28"/>
        <v>0</v>
      </c>
      <c r="AT76" s="1198"/>
      <c r="AU76" s="1199"/>
      <c r="AV76" s="1199"/>
      <c r="AW76" s="1199"/>
      <c r="AX76" s="1199"/>
      <c r="AY76" s="1203">
        <f t="shared" si="29"/>
        <v>0</v>
      </c>
    </row>
    <row r="77" spans="1:51" s="874" customFormat="1">
      <c r="A77" s="1218" t="s">
        <v>188</v>
      </c>
      <c r="B77" s="1218" t="s">
        <v>189</v>
      </c>
      <c r="C77" s="1162" t="s">
        <v>267</v>
      </c>
      <c r="D77" s="1562">
        <f t="shared" si="17"/>
        <v>52066.13</v>
      </c>
      <c r="E77" s="1562">
        <f t="shared" si="18"/>
        <v>291472.52999999997</v>
      </c>
      <c r="F77" s="1562">
        <f t="shared" si="19"/>
        <v>75732.2</v>
      </c>
      <c r="G77" s="1564">
        <f t="shared" si="20"/>
        <v>4</v>
      </c>
      <c r="H77" s="1567">
        <f t="shared" si="21"/>
        <v>75736.2</v>
      </c>
      <c r="I77" s="1568">
        <f t="shared" si="22"/>
        <v>419274.86</v>
      </c>
      <c r="J77" s="1219">
        <v>0</v>
      </c>
      <c r="K77" s="1219">
        <v>302928.8</v>
      </c>
      <c r="L77" s="1219">
        <v>75732.2</v>
      </c>
      <c r="M77" s="1219">
        <v>0</v>
      </c>
      <c r="N77" s="1219">
        <v>0</v>
      </c>
      <c r="O77" s="1220">
        <f t="shared" si="23"/>
        <v>378661</v>
      </c>
      <c r="P77" s="1607">
        <v>-11923.87</v>
      </c>
      <c r="Q77" s="1600">
        <v>-11456.27</v>
      </c>
      <c r="R77" s="1600">
        <v>0</v>
      </c>
      <c r="S77" s="1600">
        <v>4</v>
      </c>
      <c r="T77" s="1600">
        <v>0</v>
      </c>
      <c r="U77" s="1606">
        <f t="shared" si="24"/>
        <v>-23376.14</v>
      </c>
      <c r="V77" s="1600"/>
      <c r="W77" s="1600"/>
      <c r="X77" s="1600"/>
      <c r="Y77" s="1600"/>
      <c r="Z77" s="1600"/>
      <c r="AA77" s="1600">
        <f t="shared" si="25"/>
        <v>0</v>
      </c>
      <c r="AB77" s="1198"/>
      <c r="AC77" s="1199"/>
      <c r="AD77" s="1199"/>
      <c r="AE77" s="1199"/>
      <c r="AF77" s="1199"/>
      <c r="AG77" s="1200">
        <f t="shared" si="26"/>
        <v>0</v>
      </c>
      <c r="AH77" s="1201">
        <v>63990</v>
      </c>
      <c r="AI77" s="1202">
        <v>0</v>
      </c>
      <c r="AJ77" s="1202">
        <v>0</v>
      </c>
      <c r="AK77" s="1202">
        <v>0</v>
      </c>
      <c r="AL77" s="1202">
        <v>0</v>
      </c>
      <c r="AM77" s="1203">
        <f t="shared" si="27"/>
        <v>63990</v>
      </c>
      <c r="AN77" s="1201"/>
      <c r="AO77" s="1202"/>
      <c r="AP77" s="1202"/>
      <c r="AQ77" s="1202"/>
      <c r="AR77" s="1202"/>
      <c r="AS77" s="1203">
        <f t="shared" si="28"/>
        <v>0</v>
      </c>
      <c r="AT77" s="1201"/>
      <c r="AU77" s="1202"/>
      <c r="AV77" s="1202"/>
      <c r="AW77" s="1202"/>
      <c r="AX77" s="1202"/>
      <c r="AY77" s="1203">
        <f t="shared" si="29"/>
        <v>0</v>
      </c>
    </row>
    <row r="78" spans="1:51" s="874" customFormat="1">
      <c r="A78" s="1218" t="s">
        <v>190</v>
      </c>
      <c r="B78" s="1218" t="s">
        <v>191</v>
      </c>
      <c r="C78" s="1162" t="s">
        <v>268</v>
      </c>
      <c r="D78" s="1562">
        <f t="shared" si="17"/>
        <v>20.399999999999999</v>
      </c>
      <c r="E78" s="1562">
        <f t="shared" si="18"/>
        <v>170998</v>
      </c>
      <c r="F78" s="1562">
        <f t="shared" si="19"/>
        <v>42744.6</v>
      </c>
      <c r="G78" s="1564">
        <f t="shared" si="20"/>
        <v>4500</v>
      </c>
      <c r="H78" s="1567">
        <f t="shared" si="21"/>
        <v>47244.6</v>
      </c>
      <c r="I78" s="1568">
        <f t="shared" si="22"/>
        <v>218263</v>
      </c>
      <c r="J78" s="1219">
        <v>0</v>
      </c>
      <c r="K78" s="1219">
        <v>170978.4</v>
      </c>
      <c r="L78" s="1219">
        <v>42744.6</v>
      </c>
      <c r="M78" s="1219">
        <v>0</v>
      </c>
      <c r="N78" s="1219">
        <v>0</v>
      </c>
      <c r="O78" s="1220">
        <f t="shared" si="23"/>
        <v>213723</v>
      </c>
      <c r="P78" s="1607">
        <v>20.399999999999999</v>
      </c>
      <c r="Q78" s="1600">
        <v>19.600000000000001</v>
      </c>
      <c r="R78" s="1600">
        <v>0</v>
      </c>
      <c r="S78" s="1600">
        <v>0</v>
      </c>
      <c r="T78" s="1600">
        <v>0</v>
      </c>
      <c r="U78" s="1606">
        <f t="shared" si="24"/>
        <v>40</v>
      </c>
      <c r="V78" s="1600"/>
      <c r="W78" s="1600"/>
      <c r="X78" s="1600"/>
      <c r="Y78" s="1600"/>
      <c r="Z78" s="1600"/>
      <c r="AA78" s="1600">
        <f t="shared" si="25"/>
        <v>0</v>
      </c>
      <c r="AB78" s="1201">
        <v>0</v>
      </c>
      <c r="AC78" s="1202">
        <v>0</v>
      </c>
      <c r="AD78" s="1202">
        <v>0</v>
      </c>
      <c r="AE78" s="1202">
        <v>0</v>
      </c>
      <c r="AF78" s="1202">
        <v>4500</v>
      </c>
      <c r="AG78" s="1200">
        <f t="shared" si="26"/>
        <v>4500</v>
      </c>
      <c r="AH78" s="1198"/>
      <c r="AI78" s="1199"/>
      <c r="AJ78" s="1199"/>
      <c r="AK78" s="1199"/>
      <c r="AL78" s="1199"/>
      <c r="AM78" s="1203">
        <f t="shared" si="27"/>
        <v>0</v>
      </c>
      <c r="AN78" s="1198"/>
      <c r="AO78" s="1199"/>
      <c r="AP78" s="1199"/>
      <c r="AQ78" s="1199"/>
      <c r="AR78" s="1199"/>
      <c r="AS78" s="1203">
        <f t="shared" si="28"/>
        <v>0</v>
      </c>
      <c r="AT78" s="1198"/>
      <c r="AU78" s="1199"/>
      <c r="AV78" s="1199"/>
      <c r="AW78" s="1199"/>
      <c r="AX78" s="1199"/>
      <c r="AY78" s="1203">
        <f t="shared" si="29"/>
        <v>0</v>
      </c>
    </row>
    <row r="79" spans="1:51" s="874" customFormat="1">
      <c r="A79" s="1218" t="s">
        <v>194</v>
      </c>
      <c r="B79" s="1218" t="s">
        <v>195</v>
      </c>
      <c r="C79" s="1162" t="s">
        <v>267</v>
      </c>
      <c r="D79" s="1562">
        <f t="shared" si="17"/>
        <v>0</v>
      </c>
      <c r="E79" s="1562">
        <f t="shared" si="18"/>
        <v>3865.6</v>
      </c>
      <c r="F79" s="1562">
        <f t="shared" si="19"/>
        <v>966.4</v>
      </c>
      <c r="G79" s="1564">
        <f t="shared" si="20"/>
        <v>0</v>
      </c>
      <c r="H79" s="1567">
        <f t="shared" si="21"/>
        <v>966.4</v>
      </c>
      <c r="I79" s="1568">
        <f t="shared" si="22"/>
        <v>4832</v>
      </c>
      <c r="J79" s="1219">
        <v>0</v>
      </c>
      <c r="K79" s="1219">
        <v>3865.6</v>
      </c>
      <c r="L79" s="1219">
        <v>966.4</v>
      </c>
      <c r="M79" s="1219">
        <v>0</v>
      </c>
      <c r="N79" s="1219">
        <v>0</v>
      </c>
      <c r="O79" s="1220">
        <f t="shared" si="23"/>
        <v>4832</v>
      </c>
      <c r="P79" s="1607"/>
      <c r="Q79" s="1600"/>
      <c r="R79" s="1600"/>
      <c r="S79" s="1600"/>
      <c r="T79" s="1600"/>
      <c r="U79" s="1606">
        <f t="shared" si="24"/>
        <v>0</v>
      </c>
      <c r="V79" s="1600"/>
      <c r="W79" s="1600"/>
      <c r="X79" s="1600"/>
      <c r="Y79" s="1600"/>
      <c r="Z79" s="1600"/>
      <c r="AA79" s="1600">
        <f t="shared" si="25"/>
        <v>0</v>
      </c>
      <c r="AB79" s="1198"/>
      <c r="AC79" s="1199"/>
      <c r="AD79" s="1199"/>
      <c r="AE79" s="1199"/>
      <c r="AF79" s="1199"/>
      <c r="AG79" s="1200">
        <f t="shared" si="26"/>
        <v>0</v>
      </c>
      <c r="AH79" s="1198"/>
      <c r="AI79" s="1199"/>
      <c r="AJ79" s="1199"/>
      <c r="AK79" s="1199"/>
      <c r="AL79" s="1199"/>
      <c r="AM79" s="1203">
        <f t="shared" si="27"/>
        <v>0</v>
      </c>
      <c r="AN79" s="1198"/>
      <c r="AO79" s="1199"/>
      <c r="AP79" s="1199"/>
      <c r="AQ79" s="1199"/>
      <c r="AR79" s="1199"/>
      <c r="AS79" s="1203">
        <f t="shared" si="28"/>
        <v>0</v>
      </c>
      <c r="AT79" s="1198"/>
      <c r="AU79" s="1199"/>
      <c r="AV79" s="1199"/>
      <c r="AW79" s="1199"/>
      <c r="AX79" s="1199"/>
      <c r="AY79" s="1203">
        <f t="shared" si="29"/>
        <v>0</v>
      </c>
    </row>
    <row r="80" spans="1:51" s="874" customFormat="1">
      <c r="A80" s="1218" t="s">
        <v>198</v>
      </c>
      <c r="B80" s="1218" t="s">
        <v>199</v>
      </c>
      <c r="C80" s="1162" t="s">
        <v>266</v>
      </c>
      <c r="D80" s="1562">
        <f t="shared" si="17"/>
        <v>0</v>
      </c>
      <c r="E80" s="1562">
        <f t="shared" si="18"/>
        <v>21323.200000000001</v>
      </c>
      <c r="F80" s="1562">
        <f t="shared" si="19"/>
        <v>5330.8</v>
      </c>
      <c r="G80" s="1564">
        <f t="shared" si="20"/>
        <v>0</v>
      </c>
      <c r="H80" s="1567">
        <f t="shared" si="21"/>
        <v>5330.8</v>
      </c>
      <c r="I80" s="1568">
        <f t="shared" si="22"/>
        <v>26654</v>
      </c>
      <c r="J80" s="1219">
        <v>0</v>
      </c>
      <c r="K80" s="1219">
        <v>21323.200000000001</v>
      </c>
      <c r="L80" s="1219">
        <v>5330.8</v>
      </c>
      <c r="M80" s="1219">
        <v>0</v>
      </c>
      <c r="N80" s="1219">
        <v>0</v>
      </c>
      <c r="O80" s="1220">
        <f t="shared" si="23"/>
        <v>26654</v>
      </c>
      <c r="P80" s="1607"/>
      <c r="Q80" s="1600"/>
      <c r="R80" s="1600"/>
      <c r="S80" s="1600"/>
      <c r="T80" s="1600"/>
      <c r="U80" s="1606">
        <f t="shared" si="24"/>
        <v>0</v>
      </c>
      <c r="V80" s="1600"/>
      <c r="W80" s="1600"/>
      <c r="X80" s="1600"/>
      <c r="Y80" s="1600"/>
      <c r="Z80" s="1600"/>
      <c r="AA80" s="1600">
        <f t="shared" si="25"/>
        <v>0</v>
      </c>
      <c r="AB80" s="1198"/>
      <c r="AC80" s="1199"/>
      <c r="AD80" s="1199"/>
      <c r="AE80" s="1199"/>
      <c r="AF80" s="1199"/>
      <c r="AG80" s="1200">
        <f t="shared" si="26"/>
        <v>0</v>
      </c>
      <c r="AH80" s="1198"/>
      <c r="AI80" s="1199"/>
      <c r="AJ80" s="1199"/>
      <c r="AK80" s="1199"/>
      <c r="AL80" s="1199"/>
      <c r="AM80" s="1203">
        <f t="shared" si="27"/>
        <v>0</v>
      </c>
      <c r="AN80" s="1198"/>
      <c r="AO80" s="1199"/>
      <c r="AP80" s="1199"/>
      <c r="AQ80" s="1199"/>
      <c r="AR80" s="1199"/>
      <c r="AS80" s="1203">
        <f t="shared" si="28"/>
        <v>0</v>
      </c>
      <c r="AT80" s="1198"/>
      <c r="AU80" s="1199"/>
      <c r="AV80" s="1199"/>
      <c r="AW80" s="1199"/>
      <c r="AX80" s="1199"/>
      <c r="AY80" s="1203">
        <f t="shared" si="29"/>
        <v>0</v>
      </c>
    </row>
    <row r="81" spans="1:51" s="874" customFormat="1">
      <c r="A81" s="1218" t="s">
        <v>202</v>
      </c>
      <c r="B81" s="1218" t="s">
        <v>203</v>
      </c>
      <c r="C81" s="1162" t="s">
        <v>265</v>
      </c>
      <c r="D81" s="1562">
        <f t="shared" si="17"/>
        <v>3720.83</v>
      </c>
      <c r="E81" s="1562">
        <f t="shared" si="18"/>
        <v>277419.32</v>
      </c>
      <c r="F81" s="1562">
        <f t="shared" si="19"/>
        <v>69814.709999999992</v>
      </c>
      <c r="G81" s="1564">
        <f t="shared" si="20"/>
        <v>11771.99</v>
      </c>
      <c r="H81" s="1567">
        <f t="shared" si="21"/>
        <v>81586.7</v>
      </c>
      <c r="I81" s="1568">
        <f t="shared" si="22"/>
        <v>362726.85</v>
      </c>
      <c r="J81" s="1219">
        <v>0</v>
      </c>
      <c r="K81" s="1219">
        <v>277500.79999999999</v>
      </c>
      <c r="L81" s="1219">
        <v>69375.199999999997</v>
      </c>
      <c r="M81" s="1219">
        <v>0</v>
      </c>
      <c r="N81" s="1219">
        <v>0</v>
      </c>
      <c r="O81" s="1220">
        <f t="shared" si="23"/>
        <v>346876</v>
      </c>
      <c r="P81" s="1607">
        <v>-795.17</v>
      </c>
      <c r="Q81" s="1600">
        <v>-763.99</v>
      </c>
      <c r="R81" s="1600">
        <v>0</v>
      </c>
      <c r="S81" s="1600">
        <v>0</v>
      </c>
      <c r="T81" s="1600">
        <v>0</v>
      </c>
      <c r="U81" s="1606">
        <f t="shared" si="24"/>
        <v>-1559.1599999999999</v>
      </c>
      <c r="V81" s="1600"/>
      <c r="W81" s="1600"/>
      <c r="X81" s="1600"/>
      <c r="Y81" s="1600"/>
      <c r="Z81" s="1600"/>
      <c r="AA81" s="1600">
        <f t="shared" si="25"/>
        <v>0</v>
      </c>
      <c r="AB81" s="1201">
        <v>0</v>
      </c>
      <c r="AC81" s="1202">
        <v>732.51</v>
      </c>
      <c r="AD81" s="1202">
        <v>439.51</v>
      </c>
      <c r="AE81" s="1202">
        <v>9452.99</v>
      </c>
      <c r="AF81" s="1202">
        <v>2319</v>
      </c>
      <c r="AG81" s="1200">
        <f t="shared" si="26"/>
        <v>12944.01</v>
      </c>
      <c r="AH81" s="1201">
        <v>4516</v>
      </c>
      <c r="AI81" s="1202">
        <v>0</v>
      </c>
      <c r="AJ81" s="1202">
        <v>0</v>
      </c>
      <c r="AK81" s="1202">
        <v>0</v>
      </c>
      <c r="AL81" s="1202">
        <v>0</v>
      </c>
      <c r="AM81" s="1203">
        <f t="shared" si="27"/>
        <v>4516</v>
      </c>
      <c r="AN81" s="1201">
        <v>0</v>
      </c>
      <c r="AO81" s="1202">
        <v>-50</v>
      </c>
      <c r="AP81" s="1202">
        <v>0</v>
      </c>
      <c r="AQ81" s="1202">
        <v>0</v>
      </c>
      <c r="AR81" s="1202">
        <v>0</v>
      </c>
      <c r="AS81" s="1203">
        <f t="shared" si="28"/>
        <v>-50</v>
      </c>
      <c r="AT81" s="1201"/>
      <c r="AU81" s="1202"/>
      <c r="AV81" s="1202"/>
      <c r="AW81" s="1202"/>
      <c r="AX81" s="1202"/>
      <c r="AY81" s="1203">
        <f t="shared" si="29"/>
        <v>0</v>
      </c>
    </row>
    <row r="82" spans="1:51" s="874" customFormat="1">
      <c r="A82" s="1218" t="s">
        <v>204</v>
      </c>
      <c r="B82" s="1218" t="s">
        <v>205</v>
      </c>
      <c r="C82" s="1162" t="s">
        <v>265</v>
      </c>
      <c r="D82" s="1562">
        <f t="shared" si="17"/>
        <v>0</v>
      </c>
      <c r="E82" s="1562">
        <f t="shared" si="18"/>
        <v>90254.399999999994</v>
      </c>
      <c r="F82" s="1562">
        <f t="shared" si="19"/>
        <v>22563.599999999999</v>
      </c>
      <c r="G82" s="1564">
        <f t="shared" si="20"/>
        <v>650</v>
      </c>
      <c r="H82" s="1567">
        <f t="shared" si="21"/>
        <v>23213.599999999999</v>
      </c>
      <c r="I82" s="1568">
        <f t="shared" si="22"/>
        <v>113468</v>
      </c>
      <c r="J82" s="1219">
        <v>0</v>
      </c>
      <c r="K82" s="1219">
        <v>90254.399999999994</v>
      </c>
      <c r="L82" s="1219">
        <v>22563.599999999999</v>
      </c>
      <c r="M82" s="1219">
        <v>0</v>
      </c>
      <c r="N82" s="1219">
        <v>0</v>
      </c>
      <c r="O82" s="1220">
        <f t="shared" si="23"/>
        <v>112818</v>
      </c>
      <c r="P82" s="1607"/>
      <c r="Q82" s="1600"/>
      <c r="R82" s="1600"/>
      <c r="S82" s="1600"/>
      <c r="T82" s="1600"/>
      <c r="U82" s="1606">
        <f t="shared" si="24"/>
        <v>0</v>
      </c>
      <c r="V82" s="1600"/>
      <c r="W82" s="1600"/>
      <c r="X82" s="1600"/>
      <c r="Y82" s="1600"/>
      <c r="Z82" s="1600"/>
      <c r="AA82" s="1600">
        <f t="shared" si="25"/>
        <v>0</v>
      </c>
      <c r="AB82" s="1198"/>
      <c r="AC82" s="1199"/>
      <c r="AD82" s="1199"/>
      <c r="AE82" s="1199"/>
      <c r="AF82" s="1199"/>
      <c r="AG82" s="1200">
        <f t="shared" si="26"/>
        <v>0</v>
      </c>
      <c r="AH82" s="1198"/>
      <c r="AI82" s="1199"/>
      <c r="AJ82" s="1199"/>
      <c r="AK82" s="1199"/>
      <c r="AL82" s="1199"/>
      <c r="AM82" s="1203">
        <f t="shared" si="27"/>
        <v>0</v>
      </c>
      <c r="AN82" s="1198">
        <v>0</v>
      </c>
      <c r="AO82" s="1199">
        <v>0</v>
      </c>
      <c r="AP82" s="1199">
        <v>0</v>
      </c>
      <c r="AQ82" s="1199">
        <v>650</v>
      </c>
      <c r="AR82" s="1199">
        <v>0</v>
      </c>
      <c r="AS82" s="1203">
        <f t="shared" si="28"/>
        <v>650</v>
      </c>
      <c r="AT82" s="1198"/>
      <c r="AU82" s="1199"/>
      <c r="AV82" s="1199"/>
      <c r="AW82" s="1199"/>
      <c r="AX82" s="1199"/>
      <c r="AY82" s="1203">
        <f t="shared" si="29"/>
        <v>0</v>
      </c>
    </row>
    <row r="83" spans="1:51" s="874" customFormat="1">
      <c r="A83" s="1218" t="s">
        <v>206</v>
      </c>
      <c r="B83" s="1218" t="s">
        <v>207</v>
      </c>
      <c r="C83" s="1162" t="s">
        <v>267</v>
      </c>
      <c r="D83" s="1562">
        <f t="shared" si="17"/>
        <v>42875.38</v>
      </c>
      <c r="E83" s="1562">
        <f t="shared" si="18"/>
        <v>210426.26</v>
      </c>
      <c r="F83" s="1562">
        <f t="shared" si="19"/>
        <v>53567.8</v>
      </c>
      <c r="G83" s="1564">
        <f t="shared" si="20"/>
        <v>0.01</v>
      </c>
      <c r="H83" s="1567">
        <f t="shared" si="21"/>
        <v>53567.810000000005</v>
      </c>
      <c r="I83" s="1568">
        <f t="shared" si="22"/>
        <v>306869.45</v>
      </c>
      <c r="J83" s="1219">
        <v>0</v>
      </c>
      <c r="K83" s="1219">
        <v>214271.2</v>
      </c>
      <c r="L83" s="1219">
        <v>53567.8</v>
      </c>
      <c r="M83" s="1219">
        <v>0</v>
      </c>
      <c r="N83" s="1219">
        <v>0</v>
      </c>
      <c r="O83" s="1220">
        <f t="shared" si="23"/>
        <v>267839</v>
      </c>
      <c r="P83" s="1607">
        <v>-4001.89</v>
      </c>
      <c r="Q83" s="1600">
        <v>-3844.94</v>
      </c>
      <c r="R83" s="1600">
        <v>0</v>
      </c>
      <c r="S83" s="1600">
        <v>0.01</v>
      </c>
      <c r="T83" s="1600">
        <v>0</v>
      </c>
      <c r="U83" s="1606">
        <f t="shared" si="24"/>
        <v>-7846.82</v>
      </c>
      <c r="V83" s="1600"/>
      <c r="W83" s="1600"/>
      <c r="X83" s="1600"/>
      <c r="Y83" s="1600"/>
      <c r="Z83" s="1600"/>
      <c r="AA83" s="1600">
        <f t="shared" si="25"/>
        <v>0</v>
      </c>
      <c r="AB83" s="1201"/>
      <c r="AC83" s="1202"/>
      <c r="AD83" s="1202"/>
      <c r="AE83" s="1202"/>
      <c r="AF83" s="1202"/>
      <c r="AG83" s="1200">
        <f t="shared" si="26"/>
        <v>0</v>
      </c>
      <c r="AH83" s="1201">
        <v>7471</v>
      </c>
      <c r="AI83" s="1202">
        <v>0</v>
      </c>
      <c r="AJ83" s="1202">
        <v>0</v>
      </c>
      <c r="AK83" s="1202">
        <v>0</v>
      </c>
      <c r="AL83" s="1202">
        <v>0</v>
      </c>
      <c r="AM83" s="1203">
        <f t="shared" si="27"/>
        <v>7471</v>
      </c>
      <c r="AN83" s="1201"/>
      <c r="AO83" s="1202"/>
      <c r="AP83" s="1202"/>
      <c r="AQ83" s="1202"/>
      <c r="AR83" s="1202"/>
      <c r="AS83" s="1203">
        <f t="shared" si="28"/>
        <v>0</v>
      </c>
      <c r="AT83" s="1201">
        <v>39406.269999999997</v>
      </c>
      <c r="AU83" s="1202">
        <v>0</v>
      </c>
      <c r="AV83" s="1202">
        <v>0</v>
      </c>
      <c r="AW83" s="1202">
        <v>0</v>
      </c>
      <c r="AX83" s="1202">
        <v>0</v>
      </c>
      <c r="AY83" s="1203">
        <f t="shared" si="29"/>
        <v>39406.269999999997</v>
      </c>
    </row>
    <row r="84" spans="1:51" s="874" customFormat="1">
      <c r="A84" s="1218" t="s">
        <v>208</v>
      </c>
      <c r="B84" s="1218" t="s">
        <v>209</v>
      </c>
      <c r="C84" s="1162" t="s">
        <v>268</v>
      </c>
      <c r="D84" s="1562">
        <f t="shared" si="17"/>
        <v>292.74</v>
      </c>
      <c r="E84" s="1562">
        <f t="shared" si="18"/>
        <v>246269.26</v>
      </c>
      <c r="F84" s="1562">
        <f t="shared" si="19"/>
        <v>61497</v>
      </c>
      <c r="G84" s="1564">
        <f t="shared" si="20"/>
        <v>0</v>
      </c>
      <c r="H84" s="1567">
        <f t="shared" si="21"/>
        <v>61497</v>
      </c>
      <c r="I84" s="1568">
        <f t="shared" si="22"/>
        <v>308059</v>
      </c>
      <c r="J84" s="1219">
        <v>0</v>
      </c>
      <c r="K84" s="1219">
        <v>245988</v>
      </c>
      <c r="L84" s="1219">
        <v>61497</v>
      </c>
      <c r="M84" s="1219">
        <v>0</v>
      </c>
      <c r="N84" s="1219">
        <v>0</v>
      </c>
      <c r="O84" s="1220">
        <f t="shared" si="23"/>
        <v>307485</v>
      </c>
      <c r="P84" s="1607">
        <v>37.74</v>
      </c>
      <c r="Q84" s="1600">
        <v>36.26</v>
      </c>
      <c r="R84" s="1600">
        <v>0</v>
      </c>
      <c r="S84" s="1600">
        <v>0</v>
      </c>
      <c r="T84" s="1600">
        <v>0</v>
      </c>
      <c r="U84" s="1606">
        <f t="shared" si="24"/>
        <v>74</v>
      </c>
      <c r="V84" s="1600">
        <v>255</v>
      </c>
      <c r="W84" s="1600">
        <v>245</v>
      </c>
      <c r="X84" s="1600">
        <v>0</v>
      </c>
      <c r="Y84" s="1600">
        <v>0</v>
      </c>
      <c r="Z84" s="1600">
        <v>0</v>
      </c>
      <c r="AA84" s="1600">
        <f t="shared" si="25"/>
        <v>500</v>
      </c>
      <c r="AB84" s="1198"/>
      <c r="AC84" s="1199"/>
      <c r="AD84" s="1199"/>
      <c r="AE84" s="1199"/>
      <c r="AF84" s="1199"/>
      <c r="AG84" s="1200">
        <f t="shared" si="26"/>
        <v>0</v>
      </c>
      <c r="AH84" s="1198"/>
      <c r="AI84" s="1199"/>
      <c r="AJ84" s="1199"/>
      <c r="AK84" s="1199"/>
      <c r="AL84" s="1199"/>
      <c r="AM84" s="1203">
        <f t="shared" si="27"/>
        <v>0</v>
      </c>
      <c r="AN84" s="1198"/>
      <c r="AO84" s="1199"/>
      <c r="AP84" s="1199"/>
      <c r="AQ84" s="1199"/>
      <c r="AR84" s="1199"/>
      <c r="AS84" s="1203">
        <f t="shared" si="28"/>
        <v>0</v>
      </c>
      <c r="AT84" s="1198"/>
      <c r="AU84" s="1199"/>
      <c r="AV84" s="1199"/>
      <c r="AW84" s="1199"/>
      <c r="AX84" s="1199"/>
      <c r="AY84" s="1203">
        <f t="shared" si="29"/>
        <v>0</v>
      </c>
    </row>
    <row r="85" spans="1:51" s="874" customFormat="1">
      <c r="A85" s="1218" t="s">
        <v>210</v>
      </c>
      <c r="B85" s="1218" t="s">
        <v>211</v>
      </c>
      <c r="C85" s="1162" t="s">
        <v>268</v>
      </c>
      <c r="D85" s="1562">
        <f t="shared" si="17"/>
        <v>-1318.35</v>
      </c>
      <c r="E85" s="1562">
        <f t="shared" si="18"/>
        <v>148228.55000000002</v>
      </c>
      <c r="F85" s="1562">
        <f t="shared" si="19"/>
        <v>37373.800000000003</v>
      </c>
      <c r="G85" s="1564">
        <f t="shared" si="20"/>
        <v>0</v>
      </c>
      <c r="H85" s="1567">
        <f t="shared" si="21"/>
        <v>37373.800000000003</v>
      </c>
      <c r="I85" s="1568">
        <f t="shared" si="22"/>
        <v>184284</v>
      </c>
      <c r="J85" s="1219">
        <v>0</v>
      </c>
      <c r="K85" s="1219">
        <v>149495.20000000001</v>
      </c>
      <c r="L85" s="1219">
        <v>37373.800000000003</v>
      </c>
      <c r="M85" s="1219">
        <v>0</v>
      </c>
      <c r="N85" s="1219">
        <v>0</v>
      </c>
      <c r="O85" s="1220">
        <f t="shared" si="23"/>
        <v>186869</v>
      </c>
      <c r="P85" s="1607">
        <v>-1318.35</v>
      </c>
      <c r="Q85" s="1600">
        <v>-1266.6500000000001</v>
      </c>
      <c r="R85" s="1600">
        <v>0</v>
      </c>
      <c r="S85" s="1600">
        <v>0</v>
      </c>
      <c r="T85" s="1600">
        <v>0</v>
      </c>
      <c r="U85" s="1606">
        <f t="shared" si="24"/>
        <v>-2585</v>
      </c>
      <c r="V85" s="1600"/>
      <c r="W85" s="1600"/>
      <c r="X85" s="1600"/>
      <c r="Y85" s="1600"/>
      <c r="Z85" s="1600"/>
      <c r="AA85" s="1600">
        <f t="shared" si="25"/>
        <v>0</v>
      </c>
      <c r="AB85" s="1198"/>
      <c r="AC85" s="1199"/>
      <c r="AD85" s="1199"/>
      <c r="AE85" s="1199"/>
      <c r="AF85" s="1199"/>
      <c r="AG85" s="1200">
        <f t="shared" si="26"/>
        <v>0</v>
      </c>
      <c r="AH85" s="1198"/>
      <c r="AI85" s="1199"/>
      <c r="AJ85" s="1199"/>
      <c r="AK85" s="1199"/>
      <c r="AL85" s="1199"/>
      <c r="AM85" s="1203">
        <f t="shared" si="27"/>
        <v>0</v>
      </c>
      <c r="AN85" s="1198"/>
      <c r="AO85" s="1199"/>
      <c r="AP85" s="1199"/>
      <c r="AQ85" s="1199"/>
      <c r="AR85" s="1199"/>
      <c r="AS85" s="1203">
        <f t="shared" si="28"/>
        <v>0</v>
      </c>
      <c r="AT85" s="1198"/>
      <c r="AU85" s="1199"/>
      <c r="AV85" s="1199"/>
      <c r="AW85" s="1199"/>
      <c r="AX85" s="1199"/>
      <c r="AY85" s="1203">
        <f t="shared" si="29"/>
        <v>0</v>
      </c>
    </row>
    <row r="86" spans="1:51" s="874" customFormat="1">
      <c r="A86" s="1218" t="s">
        <v>212</v>
      </c>
      <c r="B86" s="1218" t="s">
        <v>213</v>
      </c>
      <c r="C86" s="1162" t="s">
        <v>267</v>
      </c>
      <c r="D86" s="1562">
        <f t="shared" si="17"/>
        <v>0</v>
      </c>
      <c r="E86" s="1562">
        <f t="shared" si="18"/>
        <v>240653.6</v>
      </c>
      <c r="F86" s="1562">
        <f t="shared" si="19"/>
        <v>60090.400000000001</v>
      </c>
      <c r="G86" s="1564">
        <f t="shared" si="20"/>
        <v>0</v>
      </c>
      <c r="H86" s="1567">
        <f t="shared" si="21"/>
        <v>60090.400000000001</v>
      </c>
      <c r="I86" s="1568">
        <f t="shared" si="22"/>
        <v>300744</v>
      </c>
      <c r="J86" s="1219">
        <v>0</v>
      </c>
      <c r="K86" s="1219">
        <v>240361.60000000001</v>
      </c>
      <c r="L86" s="1219">
        <v>60090.400000000001</v>
      </c>
      <c r="M86" s="1219">
        <v>0</v>
      </c>
      <c r="N86" s="1219">
        <v>0</v>
      </c>
      <c r="O86" s="1220">
        <f t="shared" si="23"/>
        <v>300452</v>
      </c>
      <c r="P86" s="1607"/>
      <c r="Q86" s="1600"/>
      <c r="R86" s="1600"/>
      <c r="S86" s="1600"/>
      <c r="T86" s="1600"/>
      <c r="U86" s="1606">
        <f t="shared" si="24"/>
        <v>0</v>
      </c>
      <c r="V86" s="1600"/>
      <c r="W86" s="1600"/>
      <c r="X86" s="1600"/>
      <c r="Y86" s="1600"/>
      <c r="Z86" s="1600"/>
      <c r="AA86" s="1600">
        <f t="shared" si="25"/>
        <v>0</v>
      </c>
      <c r="AB86" s="1198"/>
      <c r="AC86" s="1199"/>
      <c r="AD86" s="1199"/>
      <c r="AE86" s="1199"/>
      <c r="AF86" s="1199"/>
      <c r="AG86" s="1200">
        <f t="shared" si="26"/>
        <v>0</v>
      </c>
      <c r="AH86" s="1198"/>
      <c r="AI86" s="1199"/>
      <c r="AJ86" s="1199"/>
      <c r="AK86" s="1199"/>
      <c r="AL86" s="1199"/>
      <c r="AM86" s="1203">
        <f t="shared" si="27"/>
        <v>0</v>
      </c>
      <c r="AN86" s="1198">
        <v>0</v>
      </c>
      <c r="AO86" s="1199">
        <v>292</v>
      </c>
      <c r="AP86" s="1199">
        <v>0</v>
      </c>
      <c r="AQ86" s="1199">
        <v>0</v>
      </c>
      <c r="AR86" s="1199">
        <v>0</v>
      </c>
      <c r="AS86" s="1203">
        <f t="shared" si="28"/>
        <v>292</v>
      </c>
      <c r="AT86" s="1198"/>
      <c r="AU86" s="1199"/>
      <c r="AV86" s="1199"/>
      <c r="AW86" s="1199"/>
      <c r="AX86" s="1199"/>
      <c r="AY86" s="1203">
        <f t="shared" si="29"/>
        <v>0</v>
      </c>
    </row>
    <row r="87" spans="1:51" s="874" customFormat="1">
      <c r="A87" s="1218" t="s">
        <v>214</v>
      </c>
      <c r="B87" s="1218" t="s">
        <v>215</v>
      </c>
      <c r="C87" s="1162" t="s">
        <v>268</v>
      </c>
      <c r="D87" s="1562">
        <f t="shared" si="17"/>
        <v>-622.04</v>
      </c>
      <c r="E87" s="1562">
        <f t="shared" si="18"/>
        <v>344674.66</v>
      </c>
      <c r="F87" s="1562">
        <f t="shared" si="19"/>
        <v>86318.080000000002</v>
      </c>
      <c r="G87" s="1564">
        <f t="shared" si="20"/>
        <v>500</v>
      </c>
      <c r="H87" s="1567">
        <f t="shared" si="21"/>
        <v>86818.08</v>
      </c>
      <c r="I87" s="1568">
        <f t="shared" si="22"/>
        <v>430870.7</v>
      </c>
      <c r="J87" s="1219">
        <v>0</v>
      </c>
      <c r="K87" s="1219">
        <v>345272.31</v>
      </c>
      <c r="L87" s="1219">
        <v>86318.080000000002</v>
      </c>
      <c r="M87" s="1219">
        <v>0</v>
      </c>
      <c r="N87" s="1219">
        <v>0</v>
      </c>
      <c r="O87" s="1220">
        <f t="shared" si="23"/>
        <v>431590.39</v>
      </c>
      <c r="P87" s="1607">
        <v>-622.04</v>
      </c>
      <c r="Q87" s="1600">
        <v>-597.65</v>
      </c>
      <c r="R87" s="1600">
        <v>0</v>
      </c>
      <c r="S87" s="1600">
        <v>0</v>
      </c>
      <c r="T87" s="1600">
        <v>0</v>
      </c>
      <c r="U87" s="1606">
        <f t="shared" si="24"/>
        <v>-1219.69</v>
      </c>
      <c r="V87" s="1600"/>
      <c r="W87" s="1600"/>
      <c r="X87" s="1600"/>
      <c r="Y87" s="1600"/>
      <c r="Z87" s="1600"/>
      <c r="AA87" s="1600">
        <f t="shared" si="25"/>
        <v>0</v>
      </c>
      <c r="AB87" s="1198">
        <v>0</v>
      </c>
      <c r="AC87" s="1199">
        <v>0</v>
      </c>
      <c r="AD87" s="1199">
        <v>0</v>
      </c>
      <c r="AE87" s="1199">
        <v>500</v>
      </c>
      <c r="AF87" s="1199">
        <v>0</v>
      </c>
      <c r="AG87" s="1200">
        <f t="shared" si="26"/>
        <v>500</v>
      </c>
      <c r="AH87" s="1198"/>
      <c r="AI87" s="1199"/>
      <c r="AJ87" s="1199"/>
      <c r="AK87" s="1199"/>
      <c r="AL87" s="1199"/>
      <c r="AM87" s="1203">
        <f t="shared" si="27"/>
        <v>0</v>
      </c>
      <c r="AN87" s="1198"/>
      <c r="AO87" s="1199"/>
      <c r="AP87" s="1199"/>
      <c r="AQ87" s="1199"/>
      <c r="AR87" s="1199"/>
      <c r="AS87" s="1203">
        <f t="shared" si="28"/>
        <v>0</v>
      </c>
      <c r="AT87" s="1198"/>
      <c r="AU87" s="1199"/>
      <c r="AV87" s="1199"/>
      <c r="AW87" s="1199"/>
      <c r="AX87" s="1199"/>
      <c r="AY87" s="1203">
        <f t="shared" si="29"/>
        <v>0</v>
      </c>
    </row>
    <row r="88" spans="1:51" s="874" customFormat="1">
      <c r="A88" s="1218" t="s">
        <v>216</v>
      </c>
      <c r="B88" s="1218" t="s">
        <v>217</v>
      </c>
      <c r="C88" s="1162" t="s">
        <v>264</v>
      </c>
      <c r="D88" s="1562">
        <f t="shared" si="17"/>
        <v>-173.91</v>
      </c>
      <c r="E88" s="1562">
        <f t="shared" si="18"/>
        <v>49420.91</v>
      </c>
      <c r="F88" s="1562">
        <f t="shared" si="19"/>
        <v>12397</v>
      </c>
      <c r="G88" s="1564">
        <f t="shared" si="20"/>
        <v>0</v>
      </c>
      <c r="H88" s="1567">
        <f t="shared" si="21"/>
        <v>12397</v>
      </c>
      <c r="I88" s="1568">
        <f t="shared" si="22"/>
        <v>61644</v>
      </c>
      <c r="J88" s="1219">
        <v>0</v>
      </c>
      <c r="K88" s="1219">
        <v>49588</v>
      </c>
      <c r="L88" s="1219">
        <v>12397</v>
      </c>
      <c r="M88" s="1219">
        <v>0</v>
      </c>
      <c r="N88" s="1219">
        <v>0</v>
      </c>
      <c r="O88" s="1220">
        <f t="shared" si="23"/>
        <v>61985</v>
      </c>
      <c r="P88" s="1607">
        <v>-173.91</v>
      </c>
      <c r="Q88" s="1600">
        <v>-167.09</v>
      </c>
      <c r="R88" s="1600">
        <v>0</v>
      </c>
      <c r="S88" s="1600">
        <v>0</v>
      </c>
      <c r="T88" s="1600">
        <v>0</v>
      </c>
      <c r="U88" s="1606">
        <f t="shared" si="24"/>
        <v>-341</v>
      </c>
      <c r="V88" s="1600"/>
      <c r="W88" s="1600"/>
      <c r="X88" s="1600"/>
      <c r="Y88" s="1600"/>
      <c r="Z88" s="1600"/>
      <c r="AA88" s="1600">
        <f t="shared" si="25"/>
        <v>0</v>
      </c>
      <c r="AB88" s="1198"/>
      <c r="AC88" s="1199"/>
      <c r="AD88" s="1199"/>
      <c r="AE88" s="1199"/>
      <c r="AF88" s="1199"/>
      <c r="AG88" s="1200">
        <f t="shared" si="26"/>
        <v>0</v>
      </c>
      <c r="AH88" s="1198"/>
      <c r="AI88" s="1199"/>
      <c r="AJ88" s="1199"/>
      <c r="AK88" s="1199"/>
      <c r="AL88" s="1199"/>
      <c r="AM88" s="1203">
        <f t="shared" si="27"/>
        <v>0</v>
      </c>
      <c r="AN88" s="1198"/>
      <c r="AO88" s="1199"/>
      <c r="AP88" s="1199"/>
      <c r="AQ88" s="1199"/>
      <c r="AR88" s="1199"/>
      <c r="AS88" s="1203">
        <f t="shared" si="28"/>
        <v>0</v>
      </c>
      <c r="AT88" s="1198"/>
      <c r="AU88" s="1199"/>
      <c r="AV88" s="1199"/>
      <c r="AW88" s="1199"/>
      <c r="AX88" s="1199"/>
      <c r="AY88" s="1203">
        <f t="shared" si="29"/>
        <v>0</v>
      </c>
    </row>
    <row r="89" spans="1:51" s="874" customFormat="1">
      <c r="A89" s="1218" t="s">
        <v>218</v>
      </c>
      <c r="B89" s="1218" t="s">
        <v>219</v>
      </c>
      <c r="C89" s="1162" t="s">
        <v>267</v>
      </c>
      <c r="D89" s="1562">
        <f t="shared" si="17"/>
        <v>228885.86</v>
      </c>
      <c r="E89" s="1562">
        <f t="shared" si="18"/>
        <v>98648.700000000012</v>
      </c>
      <c r="F89" s="1562">
        <f t="shared" si="19"/>
        <v>24894.33</v>
      </c>
      <c r="G89" s="1564">
        <f t="shared" si="20"/>
        <v>38.5</v>
      </c>
      <c r="H89" s="1567">
        <f t="shared" si="21"/>
        <v>24932.83</v>
      </c>
      <c r="I89" s="1568">
        <f t="shared" si="22"/>
        <v>352467.39</v>
      </c>
      <c r="J89" s="1219">
        <v>0</v>
      </c>
      <c r="K89" s="1219">
        <v>99577.32</v>
      </c>
      <c r="L89" s="1219">
        <v>24894.33</v>
      </c>
      <c r="M89" s="1219">
        <v>0</v>
      </c>
      <c r="N89" s="1219">
        <v>0</v>
      </c>
      <c r="O89" s="1220">
        <f t="shared" si="23"/>
        <v>124471.65000000001</v>
      </c>
      <c r="P89" s="1607">
        <v>-966.6</v>
      </c>
      <c r="Q89" s="1600">
        <v>-928.62</v>
      </c>
      <c r="R89" s="1600">
        <v>0</v>
      </c>
      <c r="S89" s="1600">
        <v>38.5</v>
      </c>
      <c r="T89" s="1600">
        <v>0</v>
      </c>
      <c r="U89" s="1606">
        <f t="shared" si="24"/>
        <v>-1856.72</v>
      </c>
      <c r="V89" s="1600"/>
      <c r="W89" s="1600"/>
      <c r="X89" s="1600"/>
      <c r="Y89" s="1600"/>
      <c r="Z89" s="1600"/>
      <c r="AA89" s="1600">
        <f t="shared" si="25"/>
        <v>0</v>
      </c>
      <c r="AB89" s="1198"/>
      <c r="AC89" s="1199"/>
      <c r="AD89" s="1199"/>
      <c r="AE89" s="1199"/>
      <c r="AF89" s="1199"/>
      <c r="AG89" s="1200">
        <f t="shared" si="26"/>
        <v>0</v>
      </c>
      <c r="AH89" s="1201">
        <v>4668</v>
      </c>
      <c r="AI89" s="1202">
        <v>0</v>
      </c>
      <c r="AJ89" s="1202">
        <v>0</v>
      </c>
      <c r="AK89" s="1202">
        <v>0</v>
      </c>
      <c r="AL89" s="1202">
        <v>0</v>
      </c>
      <c r="AM89" s="1203">
        <f t="shared" si="27"/>
        <v>4668</v>
      </c>
      <c r="AN89" s="1201"/>
      <c r="AO89" s="1202"/>
      <c r="AP89" s="1202"/>
      <c r="AQ89" s="1202"/>
      <c r="AR89" s="1202"/>
      <c r="AS89" s="1203">
        <f t="shared" si="28"/>
        <v>0</v>
      </c>
      <c r="AT89" s="1201">
        <v>225184.46</v>
      </c>
      <c r="AU89" s="1202">
        <v>0</v>
      </c>
      <c r="AV89" s="1202">
        <v>0</v>
      </c>
      <c r="AW89" s="1202">
        <v>0</v>
      </c>
      <c r="AX89" s="1202">
        <v>0</v>
      </c>
      <c r="AY89" s="1203">
        <f t="shared" si="29"/>
        <v>225184.46</v>
      </c>
    </row>
    <row r="90" spans="1:51" s="874" customFormat="1">
      <c r="A90" s="1218" t="s">
        <v>220</v>
      </c>
      <c r="B90" s="1218" t="s">
        <v>221</v>
      </c>
      <c r="C90" s="1162" t="s">
        <v>267</v>
      </c>
      <c r="D90" s="1562">
        <f t="shared" si="17"/>
        <v>1949.4</v>
      </c>
      <c r="E90" s="1562">
        <f t="shared" si="18"/>
        <v>57602.130000000005</v>
      </c>
      <c r="F90" s="1562">
        <f t="shared" si="19"/>
        <v>14393.660000000002</v>
      </c>
      <c r="G90" s="1564">
        <f t="shared" si="20"/>
        <v>0.01</v>
      </c>
      <c r="H90" s="1567">
        <f t="shared" si="21"/>
        <v>14393.670000000002</v>
      </c>
      <c r="I90" s="1568">
        <f t="shared" si="22"/>
        <v>73945.2</v>
      </c>
      <c r="J90" s="1219">
        <v>0</v>
      </c>
      <c r="K90" s="1219">
        <v>57672.160000000003</v>
      </c>
      <c r="L90" s="1219">
        <v>14418.04</v>
      </c>
      <c r="M90" s="1219">
        <v>0</v>
      </c>
      <c r="N90" s="1219">
        <v>0</v>
      </c>
      <c r="O90" s="1220">
        <f t="shared" si="23"/>
        <v>72090.200000000012</v>
      </c>
      <c r="P90" s="1607">
        <v>-30.6</v>
      </c>
      <c r="Q90" s="1600">
        <v>-29.4</v>
      </c>
      <c r="R90" s="1600">
        <v>0</v>
      </c>
      <c r="S90" s="1600">
        <v>0</v>
      </c>
      <c r="T90" s="1600">
        <v>0</v>
      </c>
      <c r="U90" s="1606">
        <f t="shared" si="24"/>
        <v>-60</v>
      </c>
      <c r="V90" s="1600"/>
      <c r="W90" s="1600"/>
      <c r="X90" s="1600"/>
      <c r="Y90" s="1600"/>
      <c r="Z90" s="1600"/>
      <c r="AA90" s="1600">
        <f t="shared" si="25"/>
        <v>0</v>
      </c>
      <c r="AB90" s="1201">
        <v>0</v>
      </c>
      <c r="AC90" s="1202">
        <v>-40.630000000000003</v>
      </c>
      <c r="AD90" s="1202">
        <v>-24.38</v>
      </c>
      <c r="AE90" s="1202">
        <v>0.01</v>
      </c>
      <c r="AF90" s="1202">
        <v>0</v>
      </c>
      <c r="AG90" s="1200">
        <f t="shared" si="26"/>
        <v>-65</v>
      </c>
      <c r="AH90" s="1201">
        <v>1980</v>
      </c>
      <c r="AI90" s="1202">
        <v>0</v>
      </c>
      <c r="AJ90" s="1202">
        <v>0</v>
      </c>
      <c r="AK90" s="1202">
        <v>0</v>
      </c>
      <c r="AL90" s="1202">
        <v>0</v>
      </c>
      <c r="AM90" s="1203">
        <f t="shared" si="27"/>
        <v>1980</v>
      </c>
      <c r="AN90" s="1201"/>
      <c r="AO90" s="1202"/>
      <c r="AP90" s="1202"/>
      <c r="AQ90" s="1202"/>
      <c r="AR90" s="1202"/>
      <c r="AS90" s="1203">
        <f t="shared" si="28"/>
        <v>0</v>
      </c>
      <c r="AT90" s="1201"/>
      <c r="AU90" s="1202"/>
      <c r="AV90" s="1202"/>
      <c r="AW90" s="1202"/>
      <c r="AX90" s="1202"/>
      <c r="AY90" s="1203">
        <f t="shared" si="29"/>
        <v>0</v>
      </c>
    </row>
    <row r="91" spans="1:51" s="874" customFormat="1">
      <c r="A91" s="1218" t="s">
        <v>224</v>
      </c>
      <c r="B91" s="1218" t="s">
        <v>225</v>
      </c>
      <c r="C91" s="1162" t="s">
        <v>264</v>
      </c>
      <c r="D91" s="1562">
        <f t="shared" si="17"/>
        <v>0</v>
      </c>
      <c r="E91" s="1562">
        <f t="shared" si="18"/>
        <v>34842.400000000001</v>
      </c>
      <c r="F91" s="1562">
        <f t="shared" si="19"/>
        <v>8710.6</v>
      </c>
      <c r="G91" s="1564">
        <f t="shared" si="20"/>
        <v>0</v>
      </c>
      <c r="H91" s="1567">
        <f t="shared" si="21"/>
        <v>8710.6</v>
      </c>
      <c r="I91" s="1568">
        <f t="shared" si="22"/>
        <v>43553</v>
      </c>
      <c r="J91" s="1219">
        <v>0</v>
      </c>
      <c r="K91" s="1219">
        <v>34842.400000000001</v>
      </c>
      <c r="L91" s="1219">
        <v>8710.6</v>
      </c>
      <c r="M91" s="1219">
        <v>0</v>
      </c>
      <c r="N91" s="1219">
        <v>0</v>
      </c>
      <c r="O91" s="1220">
        <f t="shared" si="23"/>
        <v>43553</v>
      </c>
      <c r="P91" s="1607"/>
      <c r="Q91" s="1600"/>
      <c r="R91" s="1600"/>
      <c r="S91" s="1600"/>
      <c r="T91" s="1600"/>
      <c r="U91" s="1606">
        <f t="shared" si="24"/>
        <v>0</v>
      </c>
      <c r="V91" s="1600"/>
      <c r="W91" s="1600"/>
      <c r="X91" s="1600"/>
      <c r="Y91" s="1600"/>
      <c r="Z91" s="1600"/>
      <c r="AA91" s="1600">
        <f t="shared" si="25"/>
        <v>0</v>
      </c>
      <c r="AB91" s="1198"/>
      <c r="AC91" s="1199"/>
      <c r="AD91" s="1199"/>
      <c r="AE91" s="1199"/>
      <c r="AF91" s="1199"/>
      <c r="AG91" s="1200">
        <f t="shared" si="26"/>
        <v>0</v>
      </c>
      <c r="AH91" s="1198"/>
      <c r="AI91" s="1199"/>
      <c r="AJ91" s="1199"/>
      <c r="AK91" s="1199"/>
      <c r="AL91" s="1199"/>
      <c r="AM91" s="1203">
        <f t="shared" si="27"/>
        <v>0</v>
      </c>
      <c r="AN91" s="1198"/>
      <c r="AO91" s="1199"/>
      <c r="AP91" s="1199"/>
      <c r="AQ91" s="1199"/>
      <c r="AR91" s="1199"/>
      <c r="AS91" s="1203">
        <f t="shared" si="28"/>
        <v>0</v>
      </c>
      <c r="AT91" s="1198"/>
      <c r="AU91" s="1199"/>
      <c r="AV91" s="1199"/>
      <c r="AW91" s="1199"/>
      <c r="AX91" s="1199"/>
      <c r="AY91" s="1203">
        <f t="shared" si="29"/>
        <v>0</v>
      </c>
    </row>
    <row r="92" spans="1:51" s="874" customFormat="1">
      <c r="A92" s="1218" t="s">
        <v>226</v>
      </c>
      <c r="B92" s="1218" t="s">
        <v>227</v>
      </c>
      <c r="C92" s="1162" t="s">
        <v>264</v>
      </c>
      <c r="D92" s="1562">
        <f t="shared" si="17"/>
        <v>-199.92</v>
      </c>
      <c r="E92" s="1562">
        <f t="shared" si="18"/>
        <v>55593.599999999999</v>
      </c>
      <c r="F92" s="1562">
        <f t="shared" si="19"/>
        <v>14118.380000000001</v>
      </c>
      <c r="G92" s="1564">
        <f t="shared" si="20"/>
        <v>-0.06</v>
      </c>
      <c r="H92" s="1567">
        <f t="shared" si="21"/>
        <v>14118.320000000002</v>
      </c>
      <c r="I92" s="1568">
        <f t="shared" si="22"/>
        <v>69512</v>
      </c>
      <c r="J92" s="1219">
        <v>0</v>
      </c>
      <c r="K92" s="1219">
        <v>55294.400000000001</v>
      </c>
      <c r="L92" s="1219">
        <v>13823.6</v>
      </c>
      <c r="M92" s="1219">
        <v>0</v>
      </c>
      <c r="N92" s="1219">
        <v>0</v>
      </c>
      <c r="O92" s="1220">
        <f t="shared" si="23"/>
        <v>69118</v>
      </c>
      <c r="P92" s="1607">
        <v>-199.92</v>
      </c>
      <c r="Q92" s="1600">
        <v>-192.08</v>
      </c>
      <c r="R92" s="1600">
        <v>0</v>
      </c>
      <c r="S92" s="1600">
        <v>0</v>
      </c>
      <c r="T92" s="1600">
        <v>0</v>
      </c>
      <c r="U92" s="1606">
        <f t="shared" si="24"/>
        <v>-392</v>
      </c>
      <c r="V92" s="1600"/>
      <c r="W92" s="1600"/>
      <c r="X92" s="1600"/>
      <c r="Y92" s="1600"/>
      <c r="Z92" s="1600"/>
      <c r="AA92" s="1600">
        <f t="shared" si="25"/>
        <v>0</v>
      </c>
      <c r="AB92" s="1201">
        <v>0</v>
      </c>
      <c r="AC92" s="1202">
        <v>491.28</v>
      </c>
      <c r="AD92" s="1202">
        <v>294.77999999999997</v>
      </c>
      <c r="AE92" s="1202">
        <v>-0.06</v>
      </c>
      <c r="AF92" s="1202">
        <v>0</v>
      </c>
      <c r="AG92" s="1200">
        <f t="shared" si="26"/>
        <v>786</v>
      </c>
      <c r="AH92" s="1198"/>
      <c r="AI92" s="1199"/>
      <c r="AJ92" s="1199"/>
      <c r="AK92" s="1199"/>
      <c r="AL92" s="1199"/>
      <c r="AM92" s="1203">
        <f t="shared" si="27"/>
        <v>0</v>
      </c>
      <c r="AN92" s="1198"/>
      <c r="AO92" s="1199"/>
      <c r="AP92" s="1199"/>
      <c r="AQ92" s="1199"/>
      <c r="AR92" s="1199"/>
      <c r="AS92" s="1203">
        <f t="shared" si="28"/>
        <v>0</v>
      </c>
      <c r="AT92" s="1198"/>
      <c r="AU92" s="1199"/>
      <c r="AV92" s="1199"/>
      <c r="AW92" s="1199"/>
      <c r="AX92" s="1199"/>
      <c r="AY92" s="1203">
        <f t="shared" si="29"/>
        <v>0</v>
      </c>
    </row>
    <row r="93" spans="1:51" s="874" customFormat="1">
      <c r="A93" s="1218" t="s">
        <v>228</v>
      </c>
      <c r="B93" s="1218" t="s">
        <v>229</v>
      </c>
      <c r="C93" s="1162" t="s">
        <v>268</v>
      </c>
      <c r="D93" s="1562">
        <f t="shared" si="17"/>
        <v>-673.08</v>
      </c>
      <c r="E93" s="1562">
        <f t="shared" si="18"/>
        <v>275397.52</v>
      </c>
      <c r="F93" s="1562">
        <f t="shared" si="19"/>
        <v>68877.8</v>
      </c>
      <c r="G93" s="1564">
        <f t="shared" si="20"/>
        <v>36617.870000000003</v>
      </c>
      <c r="H93" s="1567">
        <f t="shared" si="21"/>
        <v>105495.67000000001</v>
      </c>
      <c r="I93" s="1568">
        <f t="shared" si="22"/>
        <v>380220.11</v>
      </c>
      <c r="J93" s="1219">
        <v>0</v>
      </c>
      <c r="K93" s="1219">
        <v>277011.20000000001</v>
      </c>
      <c r="L93" s="1219">
        <v>69252.800000000003</v>
      </c>
      <c r="M93" s="1219">
        <v>0</v>
      </c>
      <c r="N93" s="1219">
        <v>0</v>
      </c>
      <c r="O93" s="1220">
        <f t="shared" si="23"/>
        <v>346264</v>
      </c>
      <c r="P93" s="1607">
        <v>-673.08</v>
      </c>
      <c r="Q93" s="1600">
        <v>-646.67999999999995</v>
      </c>
      <c r="R93" s="1600">
        <v>0</v>
      </c>
      <c r="S93" s="1600">
        <v>0</v>
      </c>
      <c r="T93" s="1600">
        <v>0</v>
      </c>
      <c r="U93" s="1606">
        <f t="shared" si="24"/>
        <v>-1319.76</v>
      </c>
      <c r="V93" s="1600"/>
      <c r="W93" s="1600"/>
      <c r="X93" s="1600"/>
      <c r="Y93" s="1600"/>
      <c r="Z93" s="1600"/>
      <c r="AA93" s="1600">
        <f t="shared" si="25"/>
        <v>0</v>
      </c>
      <c r="AB93" s="1201">
        <v>0</v>
      </c>
      <c r="AC93" s="1202">
        <v>-625</v>
      </c>
      <c r="AD93" s="1202">
        <v>-375</v>
      </c>
      <c r="AE93" s="1202">
        <v>36617.870000000003</v>
      </c>
      <c r="AF93" s="1202">
        <v>0</v>
      </c>
      <c r="AG93" s="1200">
        <f t="shared" si="26"/>
        <v>35617.870000000003</v>
      </c>
      <c r="AH93" s="1198"/>
      <c r="AI93" s="1199"/>
      <c r="AJ93" s="1199"/>
      <c r="AK93" s="1199"/>
      <c r="AL93" s="1199"/>
      <c r="AM93" s="1203">
        <f t="shared" si="27"/>
        <v>0</v>
      </c>
      <c r="AN93" s="1198">
        <v>0</v>
      </c>
      <c r="AO93" s="1199">
        <v>-342</v>
      </c>
      <c r="AP93" s="1199">
        <v>0</v>
      </c>
      <c r="AQ93" s="1199">
        <v>0</v>
      </c>
      <c r="AR93" s="1199">
        <v>0</v>
      </c>
      <c r="AS93" s="1203">
        <f t="shared" si="28"/>
        <v>-342</v>
      </c>
      <c r="AT93" s="1198"/>
      <c r="AU93" s="1199"/>
      <c r="AV93" s="1199"/>
      <c r="AW93" s="1199"/>
      <c r="AX93" s="1199"/>
      <c r="AY93" s="1203">
        <f t="shared" si="29"/>
        <v>0</v>
      </c>
    </row>
    <row r="94" spans="1:51" s="874" customFormat="1">
      <c r="A94" s="1218" t="s">
        <v>232</v>
      </c>
      <c r="B94" s="1218" t="s">
        <v>233</v>
      </c>
      <c r="C94" s="1162" t="s">
        <v>267</v>
      </c>
      <c r="D94" s="1562">
        <f t="shared" si="17"/>
        <v>-38.25</v>
      </c>
      <c r="E94" s="1562">
        <f t="shared" si="18"/>
        <v>62676.05</v>
      </c>
      <c r="F94" s="1562">
        <f t="shared" si="19"/>
        <v>15678.2</v>
      </c>
      <c r="G94" s="1564">
        <f t="shared" si="20"/>
        <v>0</v>
      </c>
      <c r="H94" s="1567">
        <f t="shared" si="21"/>
        <v>15678.2</v>
      </c>
      <c r="I94" s="1568">
        <f t="shared" si="22"/>
        <v>78316</v>
      </c>
      <c r="J94" s="1219">
        <v>0</v>
      </c>
      <c r="K94" s="1219">
        <v>62712.800000000003</v>
      </c>
      <c r="L94" s="1219">
        <v>15678.2</v>
      </c>
      <c r="M94" s="1219">
        <v>0</v>
      </c>
      <c r="N94" s="1219">
        <v>0</v>
      </c>
      <c r="O94" s="1220">
        <f t="shared" si="23"/>
        <v>78391</v>
      </c>
      <c r="P94" s="1607">
        <v>-38.25</v>
      </c>
      <c r="Q94" s="1600">
        <v>-36.75</v>
      </c>
      <c r="R94" s="1600">
        <v>0</v>
      </c>
      <c r="S94" s="1600">
        <v>0</v>
      </c>
      <c r="T94" s="1600">
        <v>0</v>
      </c>
      <c r="U94" s="1606">
        <f t="shared" si="24"/>
        <v>-75</v>
      </c>
      <c r="V94" s="1600"/>
      <c r="W94" s="1600"/>
      <c r="X94" s="1600"/>
      <c r="Y94" s="1600"/>
      <c r="Z94" s="1600"/>
      <c r="AA94" s="1600">
        <f t="shared" si="25"/>
        <v>0</v>
      </c>
      <c r="AB94" s="1198"/>
      <c r="AC94" s="1199"/>
      <c r="AD94" s="1199"/>
      <c r="AE94" s="1199"/>
      <c r="AF94" s="1199"/>
      <c r="AG94" s="1200">
        <f t="shared" si="26"/>
        <v>0</v>
      </c>
      <c r="AH94" s="1198"/>
      <c r="AI94" s="1199"/>
      <c r="AJ94" s="1199"/>
      <c r="AK94" s="1199"/>
      <c r="AL94" s="1199"/>
      <c r="AM94" s="1203">
        <f t="shared" si="27"/>
        <v>0</v>
      </c>
      <c r="AN94" s="1198"/>
      <c r="AO94" s="1199"/>
      <c r="AP94" s="1199"/>
      <c r="AQ94" s="1199"/>
      <c r="AR94" s="1199"/>
      <c r="AS94" s="1203">
        <f t="shared" si="28"/>
        <v>0</v>
      </c>
      <c r="AT94" s="1198"/>
      <c r="AU94" s="1199"/>
      <c r="AV94" s="1199"/>
      <c r="AW94" s="1199"/>
      <c r="AX94" s="1199"/>
      <c r="AY94" s="1203">
        <f t="shared" si="29"/>
        <v>0</v>
      </c>
    </row>
    <row r="95" spans="1:51" s="874" customFormat="1">
      <c r="A95" s="1218" t="s">
        <v>234</v>
      </c>
      <c r="B95" s="1218" t="s">
        <v>235</v>
      </c>
      <c r="C95" s="1162" t="s">
        <v>268</v>
      </c>
      <c r="D95" s="1562">
        <f t="shared" si="17"/>
        <v>159.12</v>
      </c>
      <c r="E95" s="1562">
        <f t="shared" si="18"/>
        <v>844176.08</v>
      </c>
      <c r="F95" s="1562">
        <f t="shared" si="19"/>
        <v>211005.8</v>
      </c>
      <c r="G95" s="1564">
        <f t="shared" si="20"/>
        <v>7200</v>
      </c>
      <c r="H95" s="1567">
        <f t="shared" si="21"/>
        <v>218205.8</v>
      </c>
      <c r="I95" s="1568">
        <f t="shared" si="22"/>
        <v>1062541</v>
      </c>
      <c r="J95" s="1219">
        <v>0</v>
      </c>
      <c r="K95" s="1219">
        <v>844023.2</v>
      </c>
      <c r="L95" s="1219">
        <v>211005.8</v>
      </c>
      <c r="M95" s="1219">
        <v>0</v>
      </c>
      <c r="N95" s="1219">
        <v>0</v>
      </c>
      <c r="O95" s="1220">
        <f t="shared" si="23"/>
        <v>1055029</v>
      </c>
      <c r="P95" s="1607">
        <v>159.12</v>
      </c>
      <c r="Q95" s="1600">
        <v>152.88</v>
      </c>
      <c r="R95" s="1600">
        <v>0</v>
      </c>
      <c r="S95" s="1600">
        <v>0</v>
      </c>
      <c r="T95" s="1600">
        <v>0</v>
      </c>
      <c r="U95" s="1606">
        <f t="shared" si="24"/>
        <v>312</v>
      </c>
      <c r="V95" s="1600"/>
      <c r="W95" s="1600"/>
      <c r="X95" s="1600"/>
      <c r="Y95" s="1600"/>
      <c r="Z95" s="1600"/>
      <c r="AA95" s="1600">
        <f t="shared" si="25"/>
        <v>0</v>
      </c>
      <c r="AB95" s="1201">
        <v>0</v>
      </c>
      <c r="AC95" s="1202">
        <v>0</v>
      </c>
      <c r="AD95" s="1202">
        <v>0</v>
      </c>
      <c r="AE95" s="1202">
        <v>7200</v>
      </c>
      <c r="AF95" s="1202">
        <v>0</v>
      </c>
      <c r="AG95" s="1200">
        <f t="shared" si="26"/>
        <v>7200</v>
      </c>
      <c r="AH95" s="1198"/>
      <c r="AI95" s="1199"/>
      <c r="AJ95" s="1199"/>
      <c r="AK95" s="1199"/>
      <c r="AL95" s="1199"/>
      <c r="AM95" s="1203">
        <f t="shared" si="27"/>
        <v>0</v>
      </c>
      <c r="AN95" s="1198"/>
      <c r="AO95" s="1199"/>
      <c r="AP95" s="1199"/>
      <c r="AQ95" s="1199"/>
      <c r="AR95" s="1199"/>
      <c r="AS95" s="1203">
        <f t="shared" si="28"/>
        <v>0</v>
      </c>
      <c r="AT95" s="1198"/>
      <c r="AU95" s="1199"/>
      <c r="AV95" s="1199"/>
      <c r="AW95" s="1199"/>
      <c r="AX95" s="1199"/>
      <c r="AY95" s="1203">
        <f t="shared" si="29"/>
        <v>0</v>
      </c>
    </row>
    <row r="96" spans="1:51" s="874" customFormat="1">
      <c r="A96" s="1218" t="s">
        <v>236</v>
      </c>
      <c r="B96" s="1218" t="s">
        <v>237</v>
      </c>
      <c r="C96" s="1162" t="s">
        <v>266</v>
      </c>
      <c r="D96" s="1562">
        <f t="shared" si="17"/>
        <v>-123.42</v>
      </c>
      <c r="E96" s="1562">
        <f t="shared" si="18"/>
        <v>38311.369999999995</v>
      </c>
      <c r="F96" s="1562">
        <f t="shared" si="19"/>
        <v>9607.49</v>
      </c>
      <c r="G96" s="1564">
        <f t="shared" si="20"/>
        <v>0</v>
      </c>
      <c r="H96" s="1567">
        <f t="shared" si="21"/>
        <v>9607.49</v>
      </c>
      <c r="I96" s="1568">
        <f t="shared" si="22"/>
        <v>47795.439999999995</v>
      </c>
      <c r="J96" s="1219">
        <v>0</v>
      </c>
      <c r="K96" s="1219">
        <v>38429.949999999997</v>
      </c>
      <c r="L96" s="1219">
        <v>9607.49</v>
      </c>
      <c r="M96" s="1219">
        <v>0</v>
      </c>
      <c r="N96" s="1219">
        <v>0</v>
      </c>
      <c r="O96" s="1220">
        <f t="shared" si="23"/>
        <v>48037.439999999995</v>
      </c>
      <c r="P96" s="1607">
        <v>-123.42</v>
      </c>
      <c r="Q96" s="1600">
        <v>-118.58</v>
      </c>
      <c r="R96" s="1600">
        <v>0</v>
      </c>
      <c r="S96" s="1600">
        <v>0</v>
      </c>
      <c r="T96" s="1600">
        <v>0</v>
      </c>
      <c r="U96" s="1606">
        <f t="shared" si="24"/>
        <v>-242</v>
      </c>
      <c r="V96" s="1600"/>
      <c r="W96" s="1600"/>
      <c r="X96" s="1600"/>
      <c r="Y96" s="1600"/>
      <c r="Z96" s="1600"/>
      <c r="AA96" s="1600">
        <f t="shared" si="25"/>
        <v>0</v>
      </c>
      <c r="AB96" s="1198"/>
      <c r="AC96" s="1199"/>
      <c r="AD96" s="1199"/>
      <c r="AE96" s="1199"/>
      <c r="AF96" s="1199"/>
      <c r="AG96" s="1200">
        <f t="shared" si="26"/>
        <v>0</v>
      </c>
      <c r="AH96" s="1198"/>
      <c r="AI96" s="1199"/>
      <c r="AJ96" s="1199"/>
      <c r="AK96" s="1199"/>
      <c r="AL96" s="1199"/>
      <c r="AM96" s="1203">
        <f t="shared" si="27"/>
        <v>0</v>
      </c>
      <c r="AN96" s="1198"/>
      <c r="AO96" s="1199"/>
      <c r="AP96" s="1199"/>
      <c r="AQ96" s="1199"/>
      <c r="AR96" s="1199"/>
      <c r="AS96" s="1203">
        <f t="shared" si="28"/>
        <v>0</v>
      </c>
      <c r="AT96" s="1198"/>
      <c r="AU96" s="1199"/>
      <c r="AV96" s="1199"/>
      <c r="AW96" s="1199"/>
      <c r="AX96" s="1199"/>
      <c r="AY96" s="1203">
        <f t="shared" si="29"/>
        <v>0</v>
      </c>
    </row>
    <row r="97" spans="1:51" s="874" customFormat="1">
      <c r="A97" s="1218" t="s">
        <v>242</v>
      </c>
      <c r="B97" s="1218" t="s">
        <v>243</v>
      </c>
      <c r="C97" s="1162" t="s">
        <v>268</v>
      </c>
      <c r="D97" s="1562">
        <f t="shared" si="17"/>
        <v>-1099.1199999999999</v>
      </c>
      <c r="E97" s="1562">
        <f t="shared" si="18"/>
        <v>200419.16</v>
      </c>
      <c r="F97" s="1562">
        <f t="shared" si="19"/>
        <v>50368.800000000003</v>
      </c>
      <c r="G97" s="1564">
        <f t="shared" si="20"/>
        <v>0</v>
      </c>
      <c r="H97" s="1567">
        <f t="shared" si="21"/>
        <v>50368.800000000003</v>
      </c>
      <c r="I97" s="1568">
        <f t="shared" si="22"/>
        <v>249688.84000000003</v>
      </c>
      <c r="J97" s="1219">
        <v>0</v>
      </c>
      <c r="K97" s="1219">
        <v>201475.20000000001</v>
      </c>
      <c r="L97" s="1219">
        <v>50368.800000000003</v>
      </c>
      <c r="M97" s="1219">
        <v>0</v>
      </c>
      <c r="N97" s="1219">
        <v>0</v>
      </c>
      <c r="O97" s="1220">
        <f t="shared" si="23"/>
        <v>251844</v>
      </c>
      <c r="P97" s="1607">
        <v>-1099.1199999999999</v>
      </c>
      <c r="Q97" s="1600">
        <v>-1056.04</v>
      </c>
      <c r="R97" s="1600">
        <v>0</v>
      </c>
      <c r="S97" s="1600">
        <v>0</v>
      </c>
      <c r="T97" s="1600">
        <v>0</v>
      </c>
      <c r="U97" s="1606">
        <f t="shared" si="24"/>
        <v>-2155.16</v>
      </c>
      <c r="V97" s="1600"/>
      <c r="W97" s="1600"/>
      <c r="X97" s="1600"/>
      <c r="Y97" s="1600"/>
      <c r="Z97" s="1600"/>
      <c r="AA97" s="1600">
        <f t="shared" si="25"/>
        <v>0</v>
      </c>
      <c r="AB97" s="1198"/>
      <c r="AC97" s="1199"/>
      <c r="AD97" s="1199"/>
      <c r="AE97" s="1199"/>
      <c r="AF97" s="1199"/>
      <c r="AG97" s="1200">
        <f t="shared" si="26"/>
        <v>0</v>
      </c>
      <c r="AH97" s="1198"/>
      <c r="AI97" s="1199"/>
      <c r="AJ97" s="1199"/>
      <c r="AK97" s="1199"/>
      <c r="AL97" s="1199"/>
      <c r="AM97" s="1203">
        <f t="shared" si="27"/>
        <v>0</v>
      </c>
      <c r="AN97" s="1198"/>
      <c r="AO97" s="1199"/>
      <c r="AP97" s="1199"/>
      <c r="AQ97" s="1199"/>
      <c r="AR97" s="1199"/>
      <c r="AS97" s="1203">
        <f t="shared" si="28"/>
        <v>0</v>
      </c>
      <c r="AT97" s="1198"/>
      <c r="AU97" s="1199"/>
      <c r="AV97" s="1199"/>
      <c r="AW97" s="1199"/>
      <c r="AX97" s="1199"/>
      <c r="AY97" s="1203">
        <f t="shared" si="29"/>
        <v>0</v>
      </c>
    </row>
    <row r="98" spans="1:51" s="874" customFormat="1">
      <c r="A98" s="1218" t="s">
        <v>244</v>
      </c>
      <c r="B98" s="1218" t="s">
        <v>245</v>
      </c>
      <c r="C98" s="1162" t="s">
        <v>268</v>
      </c>
      <c r="D98" s="1562">
        <f t="shared" si="17"/>
        <v>-280.37</v>
      </c>
      <c r="E98" s="1562">
        <f t="shared" si="18"/>
        <v>106810.81999999999</v>
      </c>
      <c r="F98" s="1562">
        <f t="shared" si="19"/>
        <v>26643.599999999999</v>
      </c>
      <c r="G98" s="1564">
        <f t="shared" si="20"/>
        <v>0</v>
      </c>
      <c r="H98" s="1567">
        <f t="shared" si="21"/>
        <v>26643.599999999999</v>
      </c>
      <c r="I98" s="1568">
        <f t="shared" si="22"/>
        <v>133174.04999999999</v>
      </c>
      <c r="J98" s="1219">
        <v>0</v>
      </c>
      <c r="K98" s="1219">
        <v>106574.39999999999</v>
      </c>
      <c r="L98" s="1219">
        <v>26643.599999999999</v>
      </c>
      <c r="M98" s="1219">
        <v>0</v>
      </c>
      <c r="N98" s="1219">
        <v>0</v>
      </c>
      <c r="O98" s="1220">
        <f t="shared" si="23"/>
        <v>133218</v>
      </c>
      <c r="P98" s="1607">
        <v>-280.37</v>
      </c>
      <c r="Q98" s="1600">
        <v>-269.38</v>
      </c>
      <c r="R98" s="1600">
        <v>0</v>
      </c>
      <c r="S98" s="1600">
        <v>0</v>
      </c>
      <c r="T98" s="1600">
        <v>0</v>
      </c>
      <c r="U98" s="1606">
        <f t="shared" si="24"/>
        <v>-549.75</v>
      </c>
      <c r="V98" s="1600"/>
      <c r="W98" s="1600"/>
      <c r="X98" s="1600"/>
      <c r="Y98" s="1600"/>
      <c r="Z98" s="1600"/>
      <c r="AA98" s="1600">
        <f t="shared" si="25"/>
        <v>0</v>
      </c>
      <c r="AB98" s="1201"/>
      <c r="AC98" s="1202"/>
      <c r="AD98" s="1202"/>
      <c r="AE98" s="1202"/>
      <c r="AF98" s="1202"/>
      <c r="AG98" s="1200">
        <f t="shared" si="26"/>
        <v>0</v>
      </c>
      <c r="AH98" s="1198"/>
      <c r="AI98" s="1199"/>
      <c r="AJ98" s="1199"/>
      <c r="AK98" s="1199"/>
      <c r="AL98" s="1199"/>
      <c r="AM98" s="1203">
        <f t="shared" si="27"/>
        <v>0</v>
      </c>
      <c r="AN98" s="1198">
        <v>0</v>
      </c>
      <c r="AO98" s="1199">
        <v>505.8</v>
      </c>
      <c r="AP98" s="1199">
        <v>0</v>
      </c>
      <c r="AQ98" s="1199">
        <v>0</v>
      </c>
      <c r="AR98" s="1199">
        <v>0</v>
      </c>
      <c r="AS98" s="1203">
        <f t="shared" si="28"/>
        <v>505.8</v>
      </c>
      <c r="AT98" s="1198"/>
      <c r="AU98" s="1199"/>
      <c r="AV98" s="1199"/>
      <c r="AW98" s="1199"/>
      <c r="AX98" s="1199"/>
      <c r="AY98" s="1203">
        <f t="shared" si="29"/>
        <v>0</v>
      </c>
    </row>
    <row r="99" spans="1:51" s="874" customFormat="1">
      <c r="A99" s="1218" t="s">
        <v>246</v>
      </c>
      <c r="B99" s="1218" t="s">
        <v>310</v>
      </c>
      <c r="C99" s="1162" t="s">
        <v>264</v>
      </c>
      <c r="D99" s="1562">
        <f t="shared" si="17"/>
        <v>1210</v>
      </c>
      <c r="E99" s="1562">
        <f t="shared" si="18"/>
        <v>109420.28</v>
      </c>
      <c r="F99" s="1562">
        <f t="shared" si="19"/>
        <v>27910.68</v>
      </c>
      <c r="G99" s="1564">
        <f t="shared" si="20"/>
        <v>504.04</v>
      </c>
      <c r="H99" s="1567">
        <f t="shared" si="21"/>
        <v>28414.720000000001</v>
      </c>
      <c r="I99" s="1568">
        <f t="shared" si="22"/>
        <v>139045</v>
      </c>
      <c r="J99" s="1219">
        <v>0</v>
      </c>
      <c r="K99" s="1219">
        <v>107832.8</v>
      </c>
      <c r="L99" s="1219">
        <v>26958.2</v>
      </c>
      <c r="M99" s="1219">
        <v>0</v>
      </c>
      <c r="N99" s="1219">
        <v>0</v>
      </c>
      <c r="O99" s="1220">
        <f t="shared" si="23"/>
        <v>134791</v>
      </c>
      <c r="P99" s="1607"/>
      <c r="Q99" s="1600"/>
      <c r="R99" s="1600"/>
      <c r="S99" s="1600"/>
      <c r="T99" s="1600"/>
      <c r="U99" s="1606">
        <f t="shared" si="24"/>
        <v>0</v>
      </c>
      <c r="V99" s="1600"/>
      <c r="W99" s="1600"/>
      <c r="X99" s="1600"/>
      <c r="Y99" s="1600"/>
      <c r="Z99" s="1600"/>
      <c r="AA99" s="1600">
        <f t="shared" si="25"/>
        <v>0</v>
      </c>
      <c r="AB99" s="1201">
        <v>0</v>
      </c>
      <c r="AC99" s="1202">
        <v>1587.48</v>
      </c>
      <c r="AD99" s="1202">
        <v>952.48</v>
      </c>
      <c r="AE99" s="1202">
        <v>0.04</v>
      </c>
      <c r="AF99" s="1202">
        <v>504</v>
      </c>
      <c r="AG99" s="1200">
        <f t="shared" si="26"/>
        <v>3044</v>
      </c>
      <c r="AH99" s="1198">
        <v>1210</v>
      </c>
      <c r="AI99" s="1199">
        <v>0</v>
      </c>
      <c r="AJ99" s="1199">
        <v>0</v>
      </c>
      <c r="AK99" s="1199">
        <v>0</v>
      </c>
      <c r="AL99" s="1199">
        <v>0</v>
      </c>
      <c r="AM99" s="1203">
        <f t="shared" si="27"/>
        <v>1210</v>
      </c>
      <c r="AN99" s="1198"/>
      <c r="AO99" s="1199"/>
      <c r="AP99" s="1199"/>
      <c r="AQ99" s="1199"/>
      <c r="AR99" s="1199"/>
      <c r="AS99" s="1203">
        <f t="shared" si="28"/>
        <v>0</v>
      </c>
      <c r="AT99" s="1198"/>
      <c r="AU99" s="1199"/>
      <c r="AV99" s="1199"/>
      <c r="AW99" s="1199"/>
      <c r="AX99" s="1199"/>
      <c r="AY99" s="1203">
        <f t="shared" si="29"/>
        <v>0</v>
      </c>
    </row>
    <row r="100" spans="1:51" s="874" customFormat="1">
      <c r="A100" s="1218" t="s">
        <v>14</v>
      </c>
      <c r="B100" s="1218" t="s">
        <v>15</v>
      </c>
      <c r="C100" s="1162" t="s">
        <v>267</v>
      </c>
      <c r="D100" s="1562">
        <f t="shared" si="17"/>
        <v>178354.55</v>
      </c>
      <c r="E100" s="1562">
        <f t="shared" si="18"/>
        <v>215469.97</v>
      </c>
      <c r="F100" s="1562">
        <f t="shared" si="19"/>
        <v>60435.8</v>
      </c>
      <c r="G100" s="1564">
        <f t="shared" si="20"/>
        <v>0.02</v>
      </c>
      <c r="H100" s="1567">
        <f t="shared" si="21"/>
        <v>60435.82</v>
      </c>
      <c r="I100" s="1568">
        <f t="shared" si="22"/>
        <v>454260.34</v>
      </c>
      <c r="J100" s="1219">
        <v>0</v>
      </c>
      <c r="K100" s="1219">
        <v>201459.20000000001</v>
      </c>
      <c r="L100" s="1219">
        <v>50364.800000000003</v>
      </c>
      <c r="M100" s="1219">
        <v>0</v>
      </c>
      <c r="N100" s="1219">
        <v>0</v>
      </c>
      <c r="O100" s="1220">
        <f t="shared" si="23"/>
        <v>251824</v>
      </c>
      <c r="P100" s="1607">
        <v>-2887.45</v>
      </c>
      <c r="Q100" s="1600">
        <v>-2774.23</v>
      </c>
      <c r="R100" s="1600">
        <v>0</v>
      </c>
      <c r="S100" s="1600">
        <v>0.02</v>
      </c>
      <c r="T100" s="1600">
        <v>0</v>
      </c>
      <c r="U100" s="1606">
        <f t="shared" si="24"/>
        <v>-5661.66</v>
      </c>
      <c r="V100" s="1600"/>
      <c r="W100" s="1600"/>
      <c r="X100" s="1600"/>
      <c r="Y100" s="1600"/>
      <c r="Z100" s="1600"/>
      <c r="AA100" s="1600">
        <f t="shared" si="25"/>
        <v>0</v>
      </c>
      <c r="AB100" s="1201">
        <v>0</v>
      </c>
      <c r="AC100" s="1202">
        <v>16785</v>
      </c>
      <c r="AD100" s="1202">
        <v>10071</v>
      </c>
      <c r="AE100" s="1202">
        <v>0</v>
      </c>
      <c r="AF100" s="1202">
        <v>0</v>
      </c>
      <c r="AG100" s="1200">
        <f t="shared" si="26"/>
        <v>26856</v>
      </c>
      <c r="AH100" s="1201">
        <v>181242</v>
      </c>
      <c r="AI100" s="1202">
        <v>0</v>
      </c>
      <c r="AJ100" s="1202">
        <v>0</v>
      </c>
      <c r="AK100" s="1202">
        <v>0</v>
      </c>
      <c r="AL100" s="1202">
        <v>0</v>
      </c>
      <c r="AM100" s="1203">
        <f t="shared" si="27"/>
        <v>181242</v>
      </c>
      <c r="AN100" s="1201"/>
      <c r="AO100" s="1202"/>
      <c r="AP100" s="1202"/>
      <c r="AQ100" s="1202"/>
      <c r="AR100" s="1202"/>
      <c r="AS100" s="1203">
        <f t="shared" si="28"/>
        <v>0</v>
      </c>
      <c r="AT100" s="1201"/>
      <c r="AU100" s="1202"/>
      <c r="AV100" s="1202"/>
      <c r="AW100" s="1202"/>
      <c r="AX100" s="1202"/>
      <c r="AY100" s="1203">
        <f t="shared" si="29"/>
        <v>0</v>
      </c>
    </row>
    <row r="101" spans="1:51" s="874" customFormat="1">
      <c r="A101" s="1218" t="s">
        <v>34</v>
      </c>
      <c r="B101" s="1218" t="s">
        <v>35</v>
      </c>
      <c r="C101" s="1162" t="s">
        <v>268</v>
      </c>
      <c r="D101" s="1562">
        <f t="shared" si="17"/>
        <v>73.44</v>
      </c>
      <c r="E101" s="1562">
        <f t="shared" si="18"/>
        <v>210451.36</v>
      </c>
      <c r="F101" s="1562">
        <f t="shared" si="19"/>
        <v>52802.2</v>
      </c>
      <c r="G101" s="1564">
        <f t="shared" si="20"/>
        <v>0</v>
      </c>
      <c r="H101" s="1567">
        <f t="shared" si="21"/>
        <v>52802.2</v>
      </c>
      <c r="I101" s="1568">
        <f t="shared" si="22"/>
        <v>263327</v>
      </c>
      <c r="J101" s="1219">
        <v>0</v>
      </c>
      <c r="K101" s="1219">
        <v>211208.8</v>
      </c>
      <c r="L101" s="1219">
        <v>52802.2</v>
      </c>
      <c r="M101" s="1219">
        <v>0</v>
      </c>
      <c r="N101" s="1219">
        <v>0</v>
      </c>
      <c r="O101" s="1220">
        <f t="shared" si="23"/>
        <v>264011</v>
      </c>
      <c r="P101" s="1607">
        <v>73.44</v>
      </c>
      <c r="Q101" s="1600">
        <v>70.56</v>
      </c>
      <c r="R101" s="1600">
        <v>0</v>
      </c>
      <c r="S101" s="1600">
        <v>0</v>
      </c>
      <c r="T101" s="1600">
        <v>0</v>
      </c>
      <c r="U101" s="1606">
        <f t="shared" si="24"/>
        <v>144</v>
      </c>
      <c r="V101" s="1600"/>
      <c r="W101" s="1600"/>
      <c r="X101" s="1600"/>
      <c r="Y101" s="1600"/>
      <c r="Z101" s="1600"/>
      <c r="AA101" s="1600">
        <f t="shared" si="25"/>
        <v>0</v>
      </c>
      <c r="AB101" s="1198"/>
      <c r="AC101" s="1199"/>
      <c r="AD101" s="1199"/>
      <c r="AE101" s="1199"/>
      <c r="AF101" s="1199"/>
      <c r="AG101" s="1200">
        <f t="shared" si="26"/>
        <v>0</v>
      </c>
      <c r="AH101" s="1198"/>
      <c r="AI101" s="1199"/>
      <c r="AJ101" s="1199"/>
      <c r="AK101" s="1199"/>
      <c r="AL101" s="1199"/>
      <c r="AM101" s="1203">
        <f t="shared" si="27"/>
        <v>0</v>
      </c>
      <c r="AN101" s="1198">
        <v>0</v>
      </c>
      <c r="AO101" s="1199">
        <v>-828</v>
      </c>
      <c r="AP101" s="1199">
        <v>0</v>
      </c>
      <c r="AQ101" s="1199">
        <v>0</v>
      </c>
      <c r="AR101" s="1199">
        <v>0</v>
      </c>
      <c r="AS101" s="1203">
        <f t="shared" si="28"/>
        <v>-828</v>
      </c>
      <c r="AT101" s="1198"/>
      <c r="AU101" s="1199"/>
      <c r="AV101" s="1199"/>
      <c r="AW101" s="1199"/>
      <c r="AX101" s="1199"/>
      <c r="AY101" s="1203">
        <f t="shared" si="29"/>
        <v>0</v>
      </c>
    </row>
    <row r="102" spans="1:51" s="874" customFormat="1">
      <c r="A102" s="1218" t="s">
        <v>52</v>
      </c>
      <c r="B102" s="1218" t="s">
        <v>53</v>
      </c>
      <c r="C102" s="1162" t="s">
        <v>265</v>
      </c>
      <c r="D102" s="1562">
        <f t="shared" si="17"/>
        <v>4561.72</v>
      </c>
      <c r="E102" s="1562">
        <f t="shared" si="18"/>
        <v>234590.43999999997</v>
      </c>
      <c r="F102" s="1562">
        <f t="shared" si="19"/>
        <v>61312.25</v>
      </c>
      <c r="G102" s="1564">
        <f t="shared" si="20"/>
        <v>8916.5499999999993</v>
      </c>
      <c r="H102" s="1567">
        <f t="shared" si="21"/>
        <v>70228.800000000003</v>
      </c>
      <c r="I102" s="1568">
        <f t="shared" si="22"/>
        <v>309380.95999999996</v>
      </c>
      <c r="J102" s="1219">
        <v>0</v>
      </c>
      <c r="K102" s="1219">
        <v>236490.4</v>
      </c>
      <c r="L102" s="1219">
        <v>59122.6</v>
      </c>
      <c r="M102" s="1219">
        <v>0</v>
      </c>
      <c r="N102" s="1219">
        <v>0</v>
      </c>
      <c r="O102" s="1220">
        <f t="shared" si="23"/>
        <v>295613</v>
      </c>
      <c r="P102" s="1607">
        <v>-6160.28</v>
      </c>
      <c r="Q102" s="1600">
        <v>-5918.72</v>
      </c>
      <c r="R102" s="1600">
        <v>0</v>
      </c>
      <c r="S102" s="1600">
        <v>7706.6</v>
      </c>
      <c r="T102" s="1600">
        <v>0</v>
      </c>
      <c r="U102" s="1606">
        <f t="shared" si="24"/>
        <v>-4372.3999999999996</v>
      </c>
      <c r="V102" s="1600"/>
      <c r="W102" s="1600"/>
      <c r="X102" s="1600"/>
      <c r="Y102" s="1600"/>
      <c r="Z102" s="1600"/>
      <c r="AA102" s="1600">
        <f t="shared" si="25"/>
        <v>0</v>
      </c>
      <c r="AB102" s="1201">
        <v>0</v>
      </c>
      <c r="AC102" s="1202">
        <v>3649.4</v>
      </c>
      <c r="AD102" s="1202">
        <v>2189.65</v>
      </c>
      <c r="AE102" s="1202">
        <v>221.95</v>
      </c>
      <c r="AF102" s="1202">
        <v>988</v>
      </c>
      <c r="AG102" s="1200">
        <f t="shared" si="26"/>
        <v>7049</v>
      </c>
      <c r="AH102" s="1201">
        <v>10722</v>
      </c>
      <c r="AI102" s="1202">
        <v>0</v>
      </c>
      <c r="AJ102" s="1202">
        <v>0</v>
      </c>
      <c r="AK102" s="1202">
        <v>0</v>
      </c>
      <c r="AL102" s="1202">
        <v>0</v>
      </c>
      <c r="AM102" s="1203">
        <f t="shared" si="27"/>
        <v>10722</v>
      </c>
      <c r="AN102" s="1201">
        <v>0</v>
      </c>
      <c r="AO102" s="1202">
        <v>369.36</v>
      </c>
      <c r="AP102" s="1202">
        <v>0</v>
      </c>
      <c r="AQ102" s="1202">
        <v>0</v>
      </c>
      <c r="AR102" s="1202">
        <v>0</v>
      </c>
      <c r="AS102" s="1203">
        <f t="shared" si="28"/>
        <v>369.36</v>
      </c>
      <c r="AT102" s="1201"/>
      <c r="AU102" s="1202"/>
      <c r="AV102" s="1202"/>
      <c r="AW102" s="1202"/>
      <c r="AX102" s="1202"/>
      <c r="AY102" s="1203">
        <f t="shared" si="29"/>
        <v>0</v>
      </c>
    </row>
    <row r="103" spans="1:51" s="874" customFormat="1">
      <c r="A103" s="1218" t="s">
        <v>54</v>
      </c>
      <c r="B103" s="1218" t="s">
        <v>55</v>
      </c>
      <c r="C103" s="1162" t="s">
        <v>264</v>
      </c>
      <c r="D103" s="1562">
        <f t="shared" si="17"/>
        <v>-2858.99</v>
      </c>
      <c r="E103" s="1562">
        <f t="shared" si="18"/>
        <v>543213.61</v>
      </c>
      <c r="F103" s="1562">
        <f t="shared" si="19"/>
        <v>136614.78</v>
      </c>
      <c r="G103" s="1564">
        <f t="shared" si="20"/>
        <v>-2954.26</v>
      </c>
      <c r="H103" s="1567">
        <f t="shared" si="21"/>
        <v>133660.51999999999</v>
      </c>
      <c r="I103" s="1568">
        <f t="shared" si="22"/>
        <v>674015.14</v>
      </c>
      <c r="J103" s="1219">
        <v>0</v>
      </c>
      <c r="K103" s="1219">
        <v>546459.11</v>
      </c>
      <c r="L103" s="1219">
        <v>136614.78</v>
      </c>
      <c r="M103" s="1219">
        <v>0</v>
      </c>
      <c r="N103" s="1219">
        <v>0</v>
      </c>
      <c r="O103" s="1220">
        <f t="shared" si="23"/>
        <v>683073.89</v>
      </c>
      <c r="P103" s="1607">
        <v>-3377.99</v>
      </c>
      <c r="Q103" s="1600">
        <v>-3245.5</v>
      </c>
      <c r="R103" s="1600">
        <v>0</v>
      </c>
      <c r="S103" s="1600">
        <v>-2954.26</v>
      </c>
      <c r="T103" s="1600">
        <v>0</v>
      </c>
      <c r="U103" s="1606">
        <f t="shared" si="24"/>
        <v>-9577.75</v>
      </c>
      <c r="V103" s="1600"/>
      <c r="W103" s="1600"/>
      <c r="X103" s="1600"/>
      <c r="Y103" s="1600"/>
      <c r="Z103" s="1600"/>
      <c r="AA103" s="1600">
        <f t="shared" si="25"/>
        <v>0</v>
      </c>
      <c r="AB103" s="1201"/>
      <c r="AC103" s="1202"/>
      <c r="AD103" s="1202"/>
      <c r="AE103" s="1202"/>
      <c r="AF103" s="1202"/>
      <c r="AG103" s="1200">
        <f t="shared" si="26"/>
        <v>0</v>
      </c>
      <c r="AH103" s="1201">
        <v>519</v>
      </c>
      <c r="AI103" s="1202">
        <v>0</v>
      </c>
      <c r="AJ103" s="1202">
        <v>0</v>
      </c>
      <c r="AK103" s="1202">
        <v>0</v>
      </c>
      <c r="AL103" s="1202">
        <v>0</v>
      </c>
      <c r="AM103" s="1203">
        <f t="shared" si="27"/>
        <v>519</v>
      </c>
      <c r="AN103" s="1201"/>
      <c r="AO103" s="1202"/>
      <c r="AP103" s="1202"/>
      <c r="AQ103" s="1202"/>
      <c r="AR103" s="1202"/>
      <c r="AS103" s="1203">
        <f t="shared" si="28"/>
        <v>0</v>
      </c>
      <c r="AT103" s="1201"/>
      <c r="AU103" s="1202"/>
      <c r="AV103" s="1202"/>
      <c r="AW103" s="1202"/>
      <c r="AX103" s="1202"/>
      <c r="AY103" s="1203">
        <f t="shared" si="29"/>
        <v>0</v>
      </c>
    </row>
    <row r="104" spans="1:51" s="874" customFormat="1">
      <c r="A104" s="1218" t="s">
        <v>66</v>
      </c>
      <c r="B104" s="1218" t="s">
        <v>67</v>
      </c>
      <c r="C104" s="1162" t="s">
        <v>265</v>
      </c>
      <c r="D104" s="1562">
        <f t="shared" si="17"/>
        <v>-830.64</v>
      </c>
      <c r="E104" s="1562">
        <f t="shared" si="18"/>
        <v>300527.52999999997</v>
      </c>
      <c r="F104" s="1562">
        <f t="shared" si="19"/>
        <v>75331.399999999994</v>
      </c>
      <c r="G104" s="1564">
        <f t="shared" si="20"/>
        <v>0</v>
      </c>
      <c r="H104" s="1567">
        <f t="shared" si="21"/>
        <v>75331.399999999994</v>
      </c>
      <c r="I104" s="1568">
        <f t="shared" si="22"/>
        <v>375028.28999999992</v>
      </c>
      <c r="J104" s="1219">
        <v>0</v>
      </c>
      <c r="K104" s="1219">
        <v>301325.59999999998</v>
      </c>
      <c r="L104" s="1219">
        <v>75331.399999999994</v>
      </c>
      <c r="M104" s="1219">
        <v>0</v>
      </c>
      <c r="N104" s="1219">
        <v>0</v>
      </c>
      <c r="O104" s="1220">
        <f t="shared" si="23"/>
        <v>376657</v>
      </c>
      <c r="P104" s="1607">
        <v>-830.64</v>
      </c>
      <c r="Q104" s="1600">
        <v>-798.07</v>
      </c>
      <c r="R104" s="1600">
        <v>0</v>
      </c>
      <c r="S104" s="1600">
        <v>0</v>
      </c>
      <c r="T104" s="1600">
        <v>0</v>
      </c>
      <c r="U104" s="1606">
        <f t="shared" si="24"/>
        <v>-1628.71</v>
      </c>
      <c r="V104" s="1600"/>
      <c r="W104" s="1600"/>
      <c r="X104" s="1600"/>
      <c r="Y104" s="1600"/>
      <c r="Z104" s="1600"/>
      <c r="AA104" s="1600">
        <f t="shared" si="25"/>
        <v>0</v>
      </c>
      <c r="AB104" s="1198"/>
      <c r="AC104" s="1199"/>
      <c r="AD104" s="1199"/>
      <c r="AE104" s="1199"/>
      <c r="AF104" s="1199"/>
      <c r="AG104" s="1200">
        <f t="shared" si="26"/>
        <v>0</v>
      </c>
      <c r="AH104" s="1198"/>
      <c r="AI104" s="1199"/>
      <c r="AJ104" s="1199"/>
      <c r="AK104" s="1199"/>
      <c r="AL104" s="1199"/>
      <c r="AM104" s="1203">
        <f t="shared" si="27"/>
        <v>0</v>
      </c>
      <c r="AN104" s="1198"/>
      <c r="AO104" s="1199"/>
      <c r="AP104" s="1199"/>
      <c r="AQ104" s="1199"/>
      <c r="AR104" s="1199"/>
      <c r="AS104" s="1203">
        <f t="shared" si="28"/>
        <v>0</v>
      </c>
      <c r="AT104" s="1198"/>
      <c r="AU104" s="1199"/>
      <c r="AV104" s="1199"/>
      <c r="AW104" s="1199"/>
      <c r="AX104" s="1199"/>
      <c r="AY104" s="1203">
        <f t="shared" si="29"/>
        <v>0</v>
      </c>
    </row>
    <row r="105" spans="1:51" s="874" customFormat="1">
      <c r="A105" s="1218" t="s">
        <v>82</v>
      </c>
      <c r="B105" s="1218" t="s">
        <v>311</v>
      </c>
      <c r="C105" s="1162" t="s">
        <v>264</v>
      </c>
      <c r="D105" s="1562">
        <f t="shared" si="17"/>
        <v>0</v>
      </c>
      <c r="E105" s="1562">
        <f t="shared" si="18"/>
        <v>32620.799999999999</v>
      </c>
      <c r="F105" s="1562">
        <f t="shared" si="19"/>
        <v>8155.2</v>
      </c>
      <c r="G105" s="1564">
        <f t="shared" si="20"/>
        <v>0</v>
      </c>
      <c r="H105" s="1567">
        <f t="shared" si="21"/>
        <v>8155.2</v>
      </c>
      <c r="I105" s="1568">
        <f t="shared" si="22"/>
        <v>40776</v>
      </c>
      <c r="J105" s="1219">
        <v>0</v>
      </c>
      <c r="K105" s="1219">
        <v>32620.799999999999</v>
      </c>
      <c r="L105" s="1219">
        <v>8155.2</v>
      </c>
      <c r="M105" s="1219">
        <v>0</v>
      </c>
      <c r="N105" s="1219">
        <v>0</v>
      </c>
      <c r="O105" s="1220">
        <f t="shared" si="23"/>
        <v>40776</v>
      </c>
      <c r="P105" s="1607"/>
      <c r="Q105" s="1600"/>
      <c r="R105" s="1600"/>
      <c r="S105" s="1600"/>
      <c r="T105" s="1600"/>
      <c r="U105" s="1606">
        <f t="shared" si="24"/>
        <v>0</v>
      </c>
      <c r="V105" s="1600"/>
      <c r="W105" s="1600"/>
      <c r="X105" s="1600"/>
      <c r="Y105" s="1600"/>
      <c r="Z105" s="1600"/>
      <c r="AA105" s="1600">
        <f t="shared" si="25"/>
        <v>0</v>
      </c>
      <c r="AB105" s="1198"/>
      <c r="AC105" s="1199"/>
      <c r="AD105" s="1199"/>
      <c r="AE105" s="1199"/>
      <c r="AF105" s="1199"/>
      <c r="AG105" s="1200">
        <f t="shared" si="26"/>
        <v>0</v>
      </c>
      <c r="AH105" s="1198"/>
      <c r="AI105" s="1199"/>
      <c r="AJ105" s="1199"/>
      <c r="AK105" s="1199"/>
      <c r="AL105" s="1199"/>
      <c r="AM105" s="1203">
        <f t="shared" si="27"/>
        <v>0</v>
      </c>
      <c r="AN105" s="1198"/>
      <c r="AO105" s="1199"/>
      <c r="AP105" s="1199"/>
      <c r="AQ105" s="1199"/>
      <c r="AR105" s="1199"/>
      <c r="AS105" s="1203">
        <f t="shared" si="28"/>
        <v>0</v>
      </c>
      <c r="AT105" s="1198"/>
      <c r="AU105" s="1199"/>
      <c r="AV105" s="1199"/>
      <c r="AW105" s="1199"/>
      <c r="AX105" s="1199"/>
      <c r="AY105" s="1203">
        <f t="shared" si="29"/>
        <v>0</v>
      </c>
    </row>
    <row r="106" spans="1:51" s="874" customFormat="1">
      <c r="A106" s="1218" t="s">
        <v>88</v>
      </c>
      <c r="B106" s="1218" t="s">
        <v>89</v>
      </c>
      <c r="C106" s="1162" t="s">
        <v>267</v>
      </c>
      <c r="D106" s="1562">
        <f t="shared" si="17"/>
        <v>9016.49</v>
      </c>
      <c r="E106" s="1562">
        <f t="shared" si="18"/>
        <v>87817.59</v>
      </c>
      <c r="F106" s="1562">
        <f t="shared" si="19"/>
        <v>22038.799999999999</v>
      </c>
      <c r="G106" s="1564">
        <f t="shared" si="20"/>
        <v>0</v>
      </c>
      <c r="H106" s="1567">
        <f t="shared" si="21"/>
        <v>22038.799999999999</v>
      </c>
      <c r="I106" s="1568">
        <f t="shared" si="22"/>
        <v>118872.88</v>
      </c>
      <c r="J106" s="1219">
        <v>0</v>
      </c>
      <c r="K106" s="1219">
        <v>88155.199999999997</v>
      </c>
      <c r="L106" s="1219">
        <v>22038.799999999999</v>
      </c>
      <c r="M106" s="1219">
        <v>0</v>
      </c>
      <c r="N106" s="1219">
        <v>0</v>
      </c>
      <c r="O106" s="1220">
        <f t="shared" si="23"/>
        <v>110194</v>
      </c>
      <c r="P106" s="1607">
        <v>-351.39</v>
      </c>
      <c r="Q106" s="1600">
        <v>-337.61</v>
      </c>
      <c r="R106" s="1600">
        <v>0</v>
      </c>
      <c r="S106" s="1600">
        <v>0</v>
      </c>
      <c r="T106" s="1600">
        <v>0</v>
      </c>
      <c r="U106" s="1606">
        <f t="shared" si="24"/>
        <v>-689</v>
      </c>
      <c r="V106" s="1600"/>
      <c r="W106" s="1600"/>
      <c r="X106" s="1600"/>
      <c r="Y106" s="1600"/>
      <c r="Z106" s="1600"/>
      <c r="AA106" s="1600">
        <f t="shared" si="25"/>
        <v>0</v>
      </c>
      <c r="AB106" s="1198"/>
      <c r="AC106" s="1199"/>
      <c r="AD106" s="1199"/>
      <c r="AE106" s="1199"/>
      <c r="AF106" s="1199"/>
      <c r="AG106" s="1200">
        <f t="shared" si="26"/>
        <v>0</v>
      </c>
      <c r="AH106" s="1198">
        <v>9367.8799999999992</v>
      </c>
      <c r="AI106" s="1199">
        <v>0</v>
      </c>
      <c r="AJ106" s="1199">
        <v>0</v>
      </c>
      <c r="AK106" s="1199">
        <v>0</v>
      </c>
      <c r="AL106" s="1199">
        <v>0</v>
      </c>
      <c r="AM106" s="1203">
        <f t="shared" si="27"/>
        <v>9367.8799999999992</v>
      </c>
      <c r="AN106" s="1198"/>
      <c r="AO106" s="1199"/>
      <c r="AP106" s="1199"/>
      <c r="AQ106" s="1199"/>
      <c r="AR106" s="1199"/>
      <c r="AS106" s="1203">
        <f t="shared" si="28"/>
        <v>0</v>
      </c>
      <c r="AT106" s="1198"/>
      <c r="AU106" s="1199"/>
      <c r="AV106" s="1199"/>
      <c r="AW106" s="1199"/>
      <c r="AX106" s="1199"/>
      <c r="AY106" s="1203">
        <f t="shared" si="29"/>
        <v>0</v>
      </c>
    </row>
    <row r="107" spans="1:51" s="874" customFormat="1">
      <c r="A107" s="1218" t="s">
        <v>90</v>
      </c>
      <c r="B107" s="1218" t="s">
        <v>91</v>
      </c>
      <c r="C107" s="1162" t="s">
        <v>268</v>
      </c>
      <c r="D107" s="1562">
        <f t="shared" si="17"/>
        <v>-15.3</v>
      </c>
      <c r="E107" s="1562">
        <f t="shared" si="18"/>
        <v>53957.3</v>
      </c>
      <c r="F107" s="1562">
        <f t="shared" si="19"/>
        <v>13493</v>
      </c>
      <c r="G107" s="1564">
        <f t="shared" si="20"/>
        <v>0</v>
      </c>
      <c r="H107" s="1567">
        <f t="shared" si="21"/>
        <v>13493</v>
      </c>
      <c r="I107" s="1568">
        <f t="shared" si="22"/>
        <v>67435</v>
      </c>
      <c r="J107" s="1219">
        <v>0</v>
      </c>
      <c r="K107" s="1219">
        <v>53972</v>
      </c>
      <c r="L107" s="1219">
        <v>13493</v>
      </c>
      <c r="M107" s="1219">
        <v>0</v>
      </c>
      <c r="N107" s="1219">
        <v>0</v>
      </c>
      <c r="O107" s="1220">
        <f t="shared" si="23"/>
        <v>67465</v>
      </c>
      <c r="P107" s="1607">
        <v>-15.3</v>
      </c>
      <c r="Q107" s="1600">
        <v>-14.7</v>
      </c>
      <c r="R107" s="1600">
        <v>0</v>
      </c>
      <c r="S107" s="1600">
        <v>0</v>
      </c>
      <c r="T107" s="1600">
        <v>0</v>
      </c>
      <c r="U107" s="1606">
        <f t="shared" si="24"/>
        <v>-30</v>
      </c>
      <c r="V107" s="1600"/>
      <c r="W107" s="1600"/>
      <c r="X107" s="1600"/>
      <c r="Y107" s="1600"/>
      <c r="Z107" s="1600"/>
      <c r="AA107" s="1600">
        <f t="shared" si="25"/>
        <v>0</v>
      </c>
      <c r="AB107" s="1198"/>
      <c r="AC107" s="1199"/>
      <c r="AD107" s="1199"/>
      <c r="AE107" s="1199"/>
      <c r="AF107" s="1199"/>
      <c r="AG107" s="1200">
        <f t="shared" si="26"/>
        <v>0</v>
      </c>
      <c r="AH107" s="1198"/>
      <c r="AI107" s="1199"/>
      <c r="AJ107" s="1199"/>
      <c r="AK107" s="1199"/>
      <c r="AL107" s="1199"/>
      <c r="AM107" s="1203">
        <f t="shared" si="27"/>
        <v>0</v>
      </c>
      <c r="AN107" s="1198"/>
      <c r="AO107" s="1199"/>
      <c r="AP107" s="1199"/>
      <c r="AQ107" s="1199"/>
      <c r="AR107" s="1199"/>
      <c r="AS107" s="1203">
        <f t="shared" si="28"/>
        <v>0</v>
      </c>
      <c r="AT107" s="1198"/>
      <c r="AU107" s="1199"/>
      <c r="AV107" s="1199"/>
      <c r="AW107" s="1199"/>
      <c r="AX107" s="1199"/>
      <c r="AY107" s="1203">
        <f t="shared" si="29"/>
        <v>0</v>
      </c>
    </row>
    <row r="108" spans="1:51" s="874" customFormat="1">
      <c r="A108" s="1218" t="s">
        <v>106</v>
      </c>
      <c r="B108" s="1218" t="s">
        <v>107</v>
      </c>
      <c r="C108" s="1162" t="s">
        <v>264</v>
      </c>
      <c r="D108" s="1562">
        <f t="shared" si="17"/>
        <v>6240.61</v>
      </c>
      <c r="E108" s="1562">
        <f t="shared" si="18"/>
        <v>460387.67000000004</v>
      </c>
      <c r="F108" s="1562">
        <f t="shared" si="19"/>
        <v>126639.86</v>
      </c>
      <c r="G108" s="1564">
        <f t="shared" si="20"/>
        <v>6839.08</v>
      </c>
      <c r="H108" s="1567">
        <f t="shared" si="21"/>
        <v>133478.94</v>
      </c>
      <c r="I108" s="1568">
        <f t="shared" si="22"/>
        <v>600107.22</v>
      </c>
      <c r="J108" s="1219">
        <v>0</v>
      </c>
      <c r="K108" s="1219">
        <v>439122.4</v>
      </c>
      <c r="L108" s="1219">
        <v>109780.6</v>
      </c>
      <c r="M108" s="1219">
        <v>0</v>
      </c>
      <c r="N108" s="1219">
        <v>0</v>
      </c>
      <c r="O108" s="1220">
        <f t="shared" si="23"/>
        <v>548903</v>
      </c>
      <c r="P108" s="1607">
        <v>-7163.39</v>
      </c>
      <c r="Q108" s="1600">
        <v>-6882.48</v>
      </c>
      <c r="R108" s="1600">
        <v>0</v>
      </c>
      <c r="S108" s="1600">
        <v>0</v>
      </c>
      <c r="T108" s="1600">
        <v>0</v>
      </c>
      <c r="U108" s="1606">
        <f t="shared" si="24"/>
        <v>-14045.869999999999</v>
      </c>
      <c r="V108" s="1600">
        <v>51</v>
      </c>
      <c r="W108" s="1600">
        <v>49</v>
      </c>
      <c r="X108" s="1600">
        <v>0</v>
      </c>
      <c r="Y108" s="1600">
        <v>2766.49</v>
      </c>
      <c r="Z108" s="1600">
        <v>0</v>
      </c>
      <c r="AA108" s="1600">
        <f t="shared" si="25"/>
        <v>2866.49</v>
      </c>
      <c r="AB108" s="1201">
        <v>0</v>
      </c>
      <c r="AC108" s="1202">
        <v>28098.75</v>
      </c>
      <c r="AD108" s="1202">
        <v>16859.259999999998</v>
      </c>
      <c r="AE108" s="1202">
        <v>-0.01</v>
      </c>
      <c r="AF108" s="1202">
        <v>4072.6</v>
      </c>
      <c r="AG108" s="1200">
        <f t="shared" si="26"/>
        <v>49030.599999999991</v>
      </c>
      <c r="AH108" s="1201">
        <v>13353</v>
      </c>
      <c r="AI108" s="1202">
        <v>0</v>
      </c>
      <c r="AJ108" s="1202">
        <v>0</v>
      </c>
      <c r="AK108" s="1202">
        <v>0</v>
      </c>
      <c r="AL108" s="1202">
        <v>0</v>
      </c>
      <c r="AM108" s="1203">
        <f t="shared" si="27"/>
        <v>13353</v>
      </c>
      <c r="AN108" s="1201"/>
      <c r="AO108" s="1202"/>
      <c r="AP108" s="1202"/>
      <c r="AQ108" s="1202"/>
      <c r="AR108" s="1202"/>
      <c r="AS108" s="1203">
        <f t="shared" si="28"/>
        <v>0</v>
      </c>
      <c r="AT108" s="1201"/>
      <c r="AU108" s="1202"/>
      <c r="AV108" s="1202"/>
      <c r="AW108" s="1202"/>
      <c r="AX108" s="1202"/>
      <c r="AY108" s="1203">
        <f t="shared" si="29"/>
        <v>0</v>
      </c>
    </row>
    <row r="109" spans="1:51" s="874" customFormat="1">
      <c r="A109" s="1218" t="s">
        <v>116</v>
      </c>
      <c r="B109" s="1218" t="s">
        <v>117</v>
      </c>
      <c r="C109" s="1162" t="s">
        <v>266</v>
      </c>
      <c r="D109" s="1562">
        <f t="shared" si="17"/>
        <v>255</v>
      </c>
      <c r="E109" s="1562">
        <f t="shared" si="18"/>
        <v>64480.2</v>
      </c>
      <c r="F109" s="1562">
        <f t="shared" si="19"/>
        <v>16058.8</v>
      </c>
      <c r="G109" s="1564">
        <f t="shared" si="20"/>
        <v>0</v>
      </c>
      <c r="H109" s="1567">
        <f t="shared" si="21"/>
        <v>16058.8</v>
      </c>
      <c r="I109" s="1568">
        <f t="shared" si="22"/>
        <v>80794</v>
      </c>
      <c r="J109" s="1219">
        <v>0</v>
      </c>
      <c r="K109" s="1219">
        <v>64235.199999999997</v>
      </c>
      <c r="L109" s="1219">
        <v>16058.8</v>
      </c>
      <c r="M109" s="1219">
        <v>0</v>
      </c>
      <c r="N109" s="1219">
        <v>0</v>
      </c>
      <c r="O109" s="1220">
        <f t="shared" si="23"/>
        <v>80294</v>
      </c>
      <c r="P109" s="1607"/>
      <c r="Q109" s="1600"/>
      <c r="R109" s="1600"/>
      <c r="S109" s="1600"/>
      <c r="T109" s="1600"/>
      <c r="U109" s="1606">
        <f t="shared" si="24"/>
        <v>0</v>
      </c>
      <c r="V109" s="1600">
        <v>255</v>
      </c>
      <c r="W109" s="1600">
        <v>245</v>
      </c>
      <c r="X109" s="1600">
        <v>0</v>
      </c>
      <c r="Y109" s="1600">
        <v>0</v>
      </c>
      <c r="Z109" s="1600">
        <v>0</v>
      </c>
      <c r="AA109" s="1600">
        <f t="shared" si="25"/>
        <v>500</v>
      </c>
      <c r="AB109" s="1198"/>
      <c r="AC109" s="1199"/>
      <c r="AD109" s="1199"/>
      <c r="AE109" s="1199"/>
      <c r="AF109" s="1199"/>
      <c r="AG109" s="1200">
        <f t="shared" si="26"/>
        <v>0</v>
      </c>
      <c r="AH109" s="1198"/>
      <c r="AI109" s="1199"/>
      <c r="AJ109" s="1199"/>
      <c r="AK109" s="1199"/>
      <c r="AL109" s="1199"/>
      <c r="AM109" s="1203">
        <f t="shared" si="27"/>
        <v>0</v>
      </c>
      <c r="AN109" s="1198"/>
      <c r="AO109" s="1199"/>
      <c r="AP109" s="1199"/>
      <c r="AQ109" s="1199"/>
      <c r="AR109" s="1199"/>
      <c r="AS109" s="1203">
        <f t="shared" si="28"/>
        <v>0</v>
      </c>
      <c r="AT109" s="1198"/>
      <c r="AU109" s="1199"/>
      <c r="AV109" s="1199"/>
      <c r="AW109" s="1199"/>
      <c r="AX109" s="1199"/>
      <c r="AY109" s="1203">
        <f t="shared" si="29"/>
        <v>0</v>
      </c>
    </row>
    <row r="110" spans="1:51" s="874" customFormat="1">
      <c r="A110" s="1218" t="s">
        <v>138</v>
      </c>
      <c r="B110" s="1218" t="s">
        <v>139</v>
      </c>
      <c r="C110" s="1162" t="s">
        <v>265</v>
      </c>
      <c r="D110" s="1562">
        <f t="shared" si="17"/>
        <v>9721.83</v>
      </c>
      <c r="E110" s="1562">
        <f t="shared" si="18"/>
        <v>407120.93000000005</v>
      </c>
      <c r="F110" s="1562">
        <f t="shared" si="19"/>
        <v>101660.6</v>
      </c>
      <c r="G110" s="1564">
        <f t="shared" si="20"/>
        <v>-1865.5</v>
      </c>
      <c r="H110" s="1567">
        <f t="shared" si="21"/>
        <v>99795.1</v>
      </c>
      <c r="I110" s="1568">
        <f t="shared" si="22"/>
        <v>516637.8600000001</v>
      </c>
      <c r="J110" s="1219">
        <v>0</v>
      </c>
      <c r="K110" s="1219">
        <v>406642.4</v>
      </c>
      <c r="L110" s="1219">
        <v>101660.6</v>
      </c>
      <c r="M110" s="1219">
        <v>0</v>
      </c>
      <c r="N110" s="1219">
        <v>0</v>
      </c>
      <c r="O110" s="1220">
        <f t="shared" si="23"/>
        <v>508303</v>
      </c>
      <c r="P110" s="1607">
        <v>498.07</v>
      </c>
      <c r="Q110" s="1600">
        <v>478.53</v>
      </c>
      <c r="R110" s="1600">
        <v>0</v>
      </c>
      <c r="S110" s="1600">
        <v>-1865.5</v>
      </c>
      <c r="T110" s="1600">
        <v>0</v>
      </c>
      <c r="U110" s="1606">
        <f t="shared" si="24"/>
        <v>-888.90000000000009</v>
      </c>
      <c r="V110" s="1600"/>
      <c r="W110" s="1600"/>
      <c r="X110" s="1600"/>
      <c r="Y110" s="1600"/>
      <c r="Z110" s="1600"/>
      <c r="AA110" s="1600">
        <f t="shared" si="25"/>
        <v>0</v>
      </c>
      <c r="AB110" s="1201"/>
      <c r="AC110" s="1202"/>
      <c r="AD110" s="1202"/>
      <c r="AE110" s="1202"/>
      <c r="AF110" s="1202"/>
      <c r="AG110" s="1200">
        <f t="shared" si="26"/>
        <v>0</v>
      </c>
      <c r="AH110" s="1201"/>
      <c r="AI110" s="1202"/>
      <c r="AJ110" s="1202"/>
      <c r="AK110" s="1202"/>
      <c r="AL110" s="1202"/>
      <c r="AM110" s="1203">
        <f t="shared" si="27"/>
        <v>0</v>
      </c>
      <c r="AN110" s="1201"/>
      <c r="AO110" s="1202"/>
      <c r="AP110" s="1202"/>
      <c r="AQ110" s="1202"/>
      <c r="AR110" s="1202"/>
      <c r="AS110" s="1203">
        <f t="shared" si="28"/>
        <v>0</v>
      </c>
      <c r="AT110" s="1201">
        <v>9223.76</v>
      </c>
      <c r="AU110" s="1202">
        <v>0</v>
      </c>
      <c r="AV110" s="1202">
        <v>0</v>
      </c>
      <c r="AW110" s="1202">
        <v>0</v>
      </c>
      <c r="AX110" s="1202">
        <v>0</v>
      </c>
      <c r="AY110" s="1203">
        <f t="shared" si="29"/>
        <v>9223.76</v>
      </c>
    </row>
    <row r="111" spans="1:51" s="874" customFormat="1">
      <c r="A111" s="1218" t="s">
        <v>142</v>
      </c>
      <c r="B111" s="1218" t="s">
        <v>143</v>
      </c>
      <c r="C111" s="1162" t="s">
        <v>267</v>
      </c>
      <c r="D111" s="1562">
        <f t="shared" si="17"/>
        <v>4224.93</v>
      </c>
      <c r="E111" s="1562">
        <f t="shared" si="18"/>
        <v>17816.47</v>
      </c>
      <c r="F111" s="1562">
        <f t="shared" si="19"/>
        <v>4485.6000000000004</v>
      </c>
      <c r="G111" s="1564">
        <f t="shared" si="20"/>
        <v>389</v>
      </c>
      <c r="H111" s="1567">
        <f t="shared" si="21"/>
        <v>4874.6000000000004</v>
      </c>
      <c r="I111" s="1568">
        <f t="shared" si="22"/>
        <v>26916</v>
      </c>
      <c r="J111" s="1219">
        <v>0</v>
      </c>
      <c r="K111" s="1219">
        <v>17942.400000000001</v>
      </c>
      <c r="L111" s="1219">
        <v>4485.6000000000004</v>
      </c>
      <c r="M111" s="1219">
        <v>0</v>
      </c>
      <c r="N111" s="1219">
        <v>0</v>
      </c>
      <c r="O111" s="1220">
        <f t="shared" si="23"/>
        <v>22428</v>
      </c>
      <c r="P111" s="1607">
        <v>-131.07</v>
      </c>
      <c r="Q111" s="1600">
        <v>-125.93</v>
      </c>
      <c r="R111" s="1600">
        <v>0</v>
      </c>
      <c r="S111" s="1600">
        <v>389</v>
      </c>
      <c r="T111" s="1600">
        <v>0</v>
      </c>
      <c r="U111" s="1606">
        <f t="shared" si="24"/>
        <v>132</v>
      </c>
      <c r="V111" s="1600"/>
      <c r="W111" s="1600"/>
      <c r="X111" s="1600"/>
      <c r="Y111" s="1600"/>
      <c r="Z111" s="1600"/>
      <c r="AA111" s="1600">
        <f t="shared" si="25"/>
        <v>0</v>
      </c>
      <c r="AB111" s="1201"/>
      <c r="AC111" s="1202"/>
      <c r="AD111" s="1202"/>
      <c r="AE111" s="1202"/>
      <c r="AF111" s="1202"/>
      <c r="AG111" s="1200">
        <f t="shared" si="26"/>
        <v>0</v>
      </c>
      <c r="AH111" s="1201">
        <v>4356</v>
      </c>
      <c r="AI111" s="1202">
        <v>0</v>
      </c>
      <c r="AJ111" s="1202">
        <v>0</v>
      </c>
      <c r="AK111" s="1202">
        <v>0</v>
      </c>
      <c r="AL111" s="1202">
        <v>0</v>
      </c>
      <c r="AM111" s="1203">
        <f t="shared" si="27"/>
        <v>4356</v>
      </c>
      <c r="AN111" s="1201"/>
      <c r="AO111" s="1202"/>
      <c r="AP111" s="1202"/>
      <c r="AQ111" s="1202"/>
      <c r="AR111" s="1202"/>
      <c r="AS111" s="1203">
        <f t="shared" si="28"/>
        <v>0</v>
      </c>
      <c r="AT111" s="1201"/>
      <c r="AU111" s="1202"/>
      <c r="AV111" s="1202"/>
      <c r="AW111" s="1202"/>
      <c r="AX111" s="1202"/>
      <c r="AY111" s="1203">
        <f t="shared" si="29"/>
        <v>0</v>
      </c>
    </row>
    <row r="112" spans="1:51" s="874" customFormat="1">
      <c r="A112" s="1218" t="s">
        <v>144</v>
      </c>
      <c r="B112" s="1218" t="s">
        <v>145</v>
      </c>
      <c r="C112" s="1162" t="s">
        <v>267</v>
      </c>
      <c r="D112" s="1562">
        <f t="shared" si="17"/>
        <v>3630</v>
      </c>
      <c r="E112" s="1562">
        <f t="shared" si="18"/>
        <v>12036.8</v>
      </c>
      <c r="F112" s="1562">
        <f t="shared" si="19"/>
        <v>3009.2</v>
      </c>
      <c r="G112" s="1564">
        <f t="shared" si="20"/>
        <v>0</v>
      </c>
      <c r="H112" s="1567">
        <f t="shared" si="21"/>
        <v>3009.2</v>
      </c>
      <c r="I112" s="1568">
        <f t="shared" si="22"/>
        <v>18676</v>
      </c>
      <c r="J112" s="1219">
        <v>0</v>
      </c>
      <c r="K112" s="1219">
        <v>12036.8</v>
      </c>
      <c r="L112" s="1219">
        <v>3009.2</v>
      </c>
      <c r="M112" s="1219">
        <v>0</v>
      </c>
      <c r="N112" s="1219">
        <v>0</v>
      </c>
      <c r="O112" s="1220">
        <f t="shared" si="23"/>
        <v>15046</v>
      </c>
      <c r="P112" s="1607"/>
      <c r="Q112" s="1600"/>
      <c r="R112" s="1600"/>
      <c r="S112" s="1600"/>
      <c r="T112" s="1600"/>
      <c r="U112" s="1606">
        <f t="shared" si="24"/>
        <v>0</v>
      </c>
      <c r="V112" s="1600"/>
      <c r="W112" s="1600"/>
      <c r="X112" s="1600"/>
      <c r="Y112" s="1600"/>
      <c r="Z112" s="1600"/>
      <c r="AA112" s="1600">
        <f t="shared" si="25"/>
        <v>0</v>
      </c>
      <c r="AB112" s="1198"/>
      <c r="AC112" s="1199"/>
      <c r="AD112" s="1199"/>
      <c r="AE112" s="1199"/>
      <c r="AF112" s="1199"/>
      <c r="AG112" s="1200">
        <f t="shared" si="26"/>
        <v>0</v>
      </c>
      <c r="AH112" s="1198">
        <v>3630</v>
      </c>
      <c r="AI112" s="1199">
        <v>0</v>
      </c>
      <c r="AJ112" s="1199">
        <v>0</v>
      </c>
      <c r="AK112" s="1199">
        <v>0</v>
      </c>
      <c r="AL112" s="1199">
        <v>0</v>
      </c>
      <c r="AM112" s="1203">
        <f t="shared" si="27"/>
        <v>3630</v>
      </c>
      <c r="AN112" s="1198"/>
      <c r="AO112" s="1199"/>
      <c r="AP112" s="1199"/>
      <c r="AQ112" s="1199"/>
      <c r="AR112" s="1199"/>
      <c r="AS112" s="1203">
        <f t="shared" si="28"/>
        <v>0</v>
      </c>
      <c r="AT112" s="1198"/>
      <c r="AU112" s="1199"/>
      <c r="AV112" s="1199"/>
      <c r="AW112" s="1199"/>
      <c r="AX112" s="1199"/>
      <c r="AY112" s="1203">
        <f t="shared" si="29"/>
        <v>0</v>
      </c>
    </row>
    <row r="113" spans="1:51" s="874" customFormat="1">
      <c r="A113" s="1218" t="s">
        <v>158</v>
      </c>
      <c r="B113" s="1218" t="s">
        <v>159</v>
      </c>
      <c r="C113" s="1162" t="s">
        <v>264</v>
      </c>
      <c r="D113" s="1562">
        <f t="shared" si="17"/>
        <v>90186.280000000013</v>
      </c>
      <c r="E113" s="1562">
        <f t="shared" si="18"/>
        <v>493419.38</v>
      </c>
      <c r="F113" s="1562">
        <f t="shared" si="19"/>
        <v>124693.11</v>
      </c>
      <c r="G113" s="1564">
        <f t="shared" si="20"/>
        <v>7588.08</v>
      </c>
      <c r="H113" s="1567">
        <f t="shared" si="21"/>
        <v>132281.19</v>
      </c>
      <c r="I113" s="1568">
        <f t="shared" si="22"/>
        <v>715886.85</v>
      </c>
      <c r="J113" s="1219">
        <v>0</v>
      </c>
      <c r="K113" s="1219">
        <v>494257.6</v>
      </c>
      <c r="L113" s="1219">
        <v>123564.4</v>
      </c>
      <c r="M113" s="1219">
        <v>0</v>
      </c>
      <c r="N113" s="1219">
        <v>0</v>
      </c>
      <c r="O113" s="1220">
        <f t="shared" si="23"/>
        <v>617822</v>
      </c>
      <c r="P113" s="1607">
        <v>-4044.04</v>
      </c>
      <c r="Q113" s="1600">
        <v>-3885.43</v>
      </c>
      <c r="R113" s="1600">
        <v>0</v>
      </c>
      <c r="S113" s="1600">
        <v>0</v>
      </c>
      <c r="T113" s="1600">
        <v>0</v>
      </c>
      <c r="U113" s="1606">
        <f t="shared" si="24"/>
        <v>-7929.4699999999993</v>
      </c>
      <c r="V113" s="1600">
        <v>765</v>
      </c>
      <c r="W113" s="1600">
        <v>735</v>
      </c>
      <c r="X113" s="1600">
        <v>0</v>
      </c>
      <c r="Y113" s="1600">
        <v>0</v>
      </c>
      <c r="Z113" s="1600">
        <v>0</v>
      </c>
      <c r="AA113" s="1600">
        <f t="shared" si="25"/>
        <v>1500</v>
      </c>
      <c r="AB113" s="1201">
        <v>0</v>
      </c>
      <c r="AC113" s="1202">
        <v>1881.21</v>
      </c>
      <c r="AD113" s="1202">
        <v>1128.71</v>
      </c>
      <c r="AE113" s="1202">
        <v>0.08</v>
      </c>
      <c r="AF113" s="1202">
        <v>7588</v>
      </c>
      <c r="AG113" s="1200">
        <f t="shared" si="26"/>
        <v>10598</v>
      </c>
      <c r="AH113" s="1201">
        <v>93465.32</v>
      </c>
      <c r="AI113" s="1202">
        <v>0</v>
      </c>
      <c r="AJ113" s="1202">
        <v>0</v>
      </c>
      <c r="AK113" s="1202">
        <v>0</v>
      </c>
      <c r="AL113" s="1202">
        <v>0</v>
      </c>
      <c r="AM113" s="1203">
        <f t="shared" si="27"/>
        <v>93465.32</v>
      </c>
      <c r="AN113" s="1201">
        <v>0</v>
      </c>
      <c r="AO113" s="1202">
        <v>431</v>
      </c>
      <c r="AP113" s="1202">
        <v>0</v>
      </c>
      <c r="AQ113" s="1202">
        <v>0</v>
      </c>
      <c r="AR113" s="1202">
        <v>0</v>
      </c>
      <c r="AS113" s="1203">
        <f t="shared" si="28"/>
        <v>431</v>
      </c>
      <c r="AT113" s="1201"/>
      <c r="AU113" s="1202"/>
      <c r="AV113" s="1202"/>
      <c r="AW113" s="1202"/>
      <c r="AX113" s="1202"/>
      <c r="AY113" s="1203">
        <f t="shared" si="29"/>
        <v>0</v>
      </c>
    </row>
    <row r="114" spans="1:51" s="874" customFormat="1">
      <c r="A114" s="1218" t="s">
        <v>160</v>
      </c>
      <c r="B114" s="1218" t="s">
        <v>161</v>
      </c>
      <c r="C114" s="1162" t="s">
        <v>264</v>
      </c>
      <c r="D114" s="1562">
        <f t="shared" si="17"/>
        <v>275109.41000000003</v>
      </c>
      <c r="E114" s="1562">
        <f t="shared" si="18"/>
        <v>946224.71000000008</v>
      </c>
      <c r="F114" s="1562">
        <f t="shared" si="19"/>
        <v>269969.86</v>
      </c>
      <c r="G114" s="1564">
        <f t="shared" si="20"/>
        <v>-633.14</v>
      </c>
      <c r="H114" s="1567">
        <f t="shared" si="21"/>
        <v>269336.71999999997</v>
      </c>
      <c r="I114" s="1568">
        <f t="shared" si="22"/>
        <v>1490670.84</v>
      </c>
      <c r="J114" s="1219">
        <v>0</v>
      </c>
      <c r="K114" s="1219">
        <v>847559.39</v>
      </c>
      <c r="L114" s="1219">
        <v>211889.85</v>
      </c>
      <c r="M114" s="1219">
        <v>0</v>
      </c>
      <c r="N114" s="1219">
        <v>0</v>
      </c>
      <c r="O114" s="1220">
        <f t="shared" si="23"/>
        <v>1059449.24</v>
      </c>
      <c r="P114" s="1607">
        <v>-4129.92</v>
      </c>
      <c r="Q114" s="1600">
        <v>-3967.99</v>
      </c>
      <c r="R114" s="1600">
        <v>0</v>
      </c>
      <c r="S114" s="1600">
        <v>-633.14</v>
      </c>
      <c r="T114" s="1600">
        <v>0</v>
      </c>
      <c r="U114" s="1606">
        <f t="shared" si="24"/>
        <v>-8731.0499999999993</v>
      </c>
      <c r="V114" s="1600">
        <v>255</v>
      </c>
      <c r="W114" s="1600">
        <v>245</v>
      </c>
      <c r="X114" s="1600">
        <v>0</v>
      </c>
      <c r="Y114" s="1600">
        <v>0</v>
      </c>
      <c r="Z114" s="1600">
        <v>0</v>
      </c>
      <c r="AA114" s="1600">
        <f t="shared" si="25"/>
        <v>500</v>
      </c>
      <c r="AB114" s="1201">
        <v>0</v>
      </c>
      <c r="AC114" s="1202">
        <v>96800.01</v>
      </c>
      <c r="AD114" s="1202">
        <v>58080.01</v>
      </c>
      <c r="AE114" s="1202">
        <v>0</v>
      </c>
      <c r="AF114" s="1202">
        <v>0</v>
      </c>
      <c r="AG114" s="1200">
        <f t="shared" si="26"/>
        <v>154880.01999999999</v>
      </c>
      <c r="AH114" s="1201">
        <v>1211</v>
      </c>
      <c r="AI114" s="1202">
        <v>0</v>
      </c>
      <c r="AJ114" s="1202">
        <v>0</v>
      </c>
      <c r="AK114" s="1202">
        <v>0</v>
      </c>
      <c r="AL114" s="1202">
        <v>0</v>
      </c>
      <c r="AM114" s="1203">
        <f t="shared" si="27"/>
        <v>1211</v>
      </c>
      <c r="AN114" s="1201"/>
      <c r="AO114" s="1202"/>
      <c r="AP114" s="1202"/>
      <c r="AQ114" s="1202"/>
      <c r="AR114" s="1202"/>
      <c r="AS114" s="1203">
        <f t="shared" si="28"/>
        <v>0</v>
      </c>
      <c r="AT114" s="1201">
        <v>277773.33</v>
      </c>
      <c r="AU114" s="1202">
        <v>5588.3</v>
      </c>
      <c r="AV114" s="1202">
        <v>0</v>
      </c>
      <c r="AW114" s="1202">
        <v>0</v>
      </c>
      <c r="AX114" s="1202">
        <v>0</v>
      </c>
      <c r="AY114" s="1203">
        <f t="shared" si="29"/>
        <v>283361.63</v>
      </c>
    </row>
    <row r="115" spans="1:51" s="874" customFormat="1">
      <c r="A115" s="1218" t="s">
        <v>166</v>
      </c>
      <c r="B115" s="1218" t="s">
        <v>167</v>
      </c>
      <c r="C115" s="1162" t="s">
        <v>268</v>
      </c>
      <c r="D115" s="1562">
        <f t="shared" si="17"/>
        <v>0</v>
      </c>
      <c r="E115" s="1562">
        <f t="shared" si="18"/>
        <v>25564</v>
      </c>
      <c r="F115" s="1562">
        <f t="shared" si="19"/>
        <v>6391</v>
      </c>
      <c r="G115" s="1564">
        <f t="shared" si="20"/>
        <v>0</v>
      </c>
      <c r="H115" s="1567">
        <f t="shared" si="21"/>
        <v>6391</v>
      </c>
      <c r="I115" s="1568">
        <f t="shared" si="22"/>
        <v>31955</v>
      </c>
      <c r="J115" s="1219">
        <v>0</v>
      </c>
      <c r="K115" s="1219">
        <v>25564</v>
      </c>
      <c r="L115" s="1219">
        <v>6391</v>
      </c>
      <c r="M115" s="1219">
        <v>0</v>
      </c>
      <c r="N115" s="1219">
        <v>0</v>
      </c>
      <c r="O115" s="1220">
        <f t="shared" si="23"/>
        <v>31955</v>
      </c>
      <c r="P115" s="1607"/>
      <c r="Q115" s="1600"/>
      <c r="R115" s="1600"/>
      <c r="S115" s="1600"/>
      <c r="T115" s="1600"/>
      <c r="U115" s="1606">
        <f t="shared" si="24"/>
        <v>0</v>
      </c>
      <c r="V115" s="1600"/>
      <c r="W115" s="1600"/>
      <c r="X115" s="1600"/>
      <c r="Y115" s="1600"/>
      <c r="Z115" s="1600"/>
      <c r="AA115" s="1600">
        <f t="shared" si="25"/>
        <v>0</v>
      </c>
      <c r="AB115" s="1198"/>
      <c r="AC115" s="1199"/>
      <c r="AD115" s="1199"/>
      <c r="AE115" s="1199"/>
      <c r="AF115" s="1199"/>
      <c r="AG115" s="1200">
        <f t="shared" si="26"/>
        <v>0</v>
      </c>
      <c r="AH115" s="1198"/>
      <c r="AI115" s="1199"/>
      <c r="AJ115" s="1199"/>
      <c r="AK115" s="1199"/>
      <c r="AL115" s="1199"/>
      <c r="AM115" s="1203">
        <f t="shared" si="27"/>
        <v>0</v>
      </c>
      <c r="AN115" s="1198"/>
      <c r="AO115" s="1199"/>
      <c r="AP115" s="1199"/>
      <c r="AQ115" s="1199"/>
      <c r="AR115" s="1199"/>
      <c r="AS115" s="1203">
        <f t="shared" si="28"/>
        <v>0</v>
      </c>
      <c r="AT115" s="1198"/>
      <c r="AU115" s="1199"/>
      <c r="AV115" s="1199"/>
      <c r="AW115" s="1199"/>
      <c r="AX115" s="1199"/>
      <c r="AY115" s="1203">
        <f t="shared" si="29"/>
        <v>0</v>
      </c>
    </row>
    <row r="116" spans="1:51" s="874" customFormat="1">
      <c r="A116" s="1218" t="s">
        <v>176</v>
      </c>
      <c r="B116" s="1218" t="s">
        <v>177</v>
      </c>
      <c r="C116" s="1162" t="s">
        <v>266</v>
      </c>
      <c r="D116" s="1562">
        <f t="shared" si="17"/>
        <v>-4551.55</v>
      </c>
      <c r="E116" s="1562">
        <f t="shared" si="18"/>
        <v>421822.52</v>
      </c>
      <c r="F116" s="1562">
        <f t="shared" si="19"/>
        <v>106582.6</v>
      </c>
      <c r="G116" s="1564">
        <f t="shared" si="20"/>
        <v>-671.6</v>
      </c>
      <c r="H116" s="1567">
        <f t="shared" si="21"/>
        <v>105911</v>
      </c>
      <c r="I116" s="1568">
        <f t="shared" si="22"/>
        <v>523181.97000000009</v>
      </c>
      <c r="J116" s="1219">
        <v>0</v>
      </c>
      <c r="K116" s="1219">
        <v>426330.4</v>
      </c>
      <c r="L116" s="1219">
        <v>106582.6</v>
      </c>
      <c r="M116" s="1219">
        <v>0</v>
      </c>
      <c r="N116" s="1219">
        <v>0</v>
      </c>
      <c r="O116" s="1220">
        <f t="shared" si="23"/>
        <v>532913</v>
      </c>
      <c r="P116" s="1607">
        <v>-4551.55</v>
      </c>
      <c r="Q116" s="1600">
        <v>-4373.04</v>
      </c>
      <c r="R116" s="1600">
        <v>0</v>
      </c>
      <c r="S116" s="1600">
        <v>-671.6</v>
      </c>
      <c r="T116" s="1600">
        <v>0</v>
      </c>
      <c r="U116" s="1606">
        <f t="shared" si="24"/>
        <v>-9596.19</v>
      </c>
      <c r="V116" s="1600"/>
      <c r="W116" s="1600"/>
      <c r="X116" s="1600"/>
      <c r="Y116" s="1600"/>
      <c r="Z116" s="1600"/>
      <c r="AA116" s="1600">
        <f t="shared" si="25"/>
        <v>0</v>
      </c>
      <c r="AB116" s="1198"/>
      <c r="AC116" s="1199"/>
      <c r="AD116" s="1199"/>
      <c r="AE116" s="1199"/>
      <c r="AF116" s="1199"/>
      <c r="AG116" s="1200">
        <f t="shared" si="26"/>
        <v>0</v>
      </c>
      <c r="AH116" s="1198"/>
      <c r="AI116" s="1199"/>
      <c r="AJ116" s="1199"/>
      <c r="AK116" s="1199"/>
      <c r="AL116" s="1199"/>
      <c r="AM116" s="1203">
        <f t="shared" si="27"/>
        <v>0</v>
      </c>
      <c r="AN116" s="1198">
        <v>0</v>
      </c>
      <c r="AO116" s="1199">
        <v>-134.84</v>
      </c>
      <c r="AP116" s="1199">
        <v>0</v>
      </c>
      <c r="AQ116" s="1199">
        <v>0</v>
      </c>
      <c r="AR116" s="1199">
        <v>0</v>
      </c>
      <c r="AS116" s="1203">
        <f t="shared" si="28"/>
        <v>-134.84</v>
      </c>
      <c r="AT116" s="1198"/>
      <c r="AU116" s="1199"/>
      <c r="AV116" s="1199"/>
      <c r="AW116" s="1199"/>
      <c r="AX116" s="1199"/>
      <c r="AY116" s="1203">
        <f t="shared" si="29"/>
        <v>0</v>
      </c>
    </row>
    <row r="117" spans="1:51" s="874" customFormat="1">
      <c r="A117" s="1218" t="s">
        <v>180</v>
      </c>
      <c r="B117" s="1218" t="s">
        <v>181</v>
      </c>
      <c r="C117" s="1162" t="s">
        <v>264</v>
      </c>
      <c r="D117" s="1562">
        <f t="shared" si="17"/>
        <v>53604.68</v>
      </c>
      <c r="E117" s="1562">
        <f t="shared" si="18"/>
        <v>503045.95</v>
      </c>
      <c r="F117" s="1562">
        <f t="shared" si="19"/>
        <v>146219.14000000001</v>
      </c>
      <c r="G117" s="1564">
        <f t="shared" si="20"/>
        <v>2076.44</v>
      </c>
      <c r="H117" s="1567">
        <f t="shared" si="21"/>
        <v>148295.58000000002</v>
      </c>
      <c r="I117" s="1568">
        <f t="shared" si="22"/>
        <v>704946.21</v>
      </c>
      <c r="J117" s="1219">
        <v>0</v>
      </c>
      <c r="K117" s="1219">
        <v>452522.4</v>
      </c>
      <c r="L117" s="1219">
        <v>113130.6</v>
      </c>
      <c r="M117" s="1219">
        <v>0</v>
      </c>
      <c r="N117" s="1219">
        <v>0</v>
      </c>
      <c r="O117" s="1220">
        <f t="shared" si="23"/>
        <v>565653</v>
      </c>
      <c r="P117" s="1607">
        <v>-4812.71</v>
      </c>
      <c r="Q117" s="1600">
        <v>-4623.99</v>
      </c>
      <c r="R117" s="1600">
        <v>0</v>
      </c>
      <c r="S117" s="1600">
        <v>2076.52</v>
      </c>
      <c r="T117" s="1600">
        <v>0</v>
      </c>
      <c r="U117" s="1606">
        <f t="shared" si="24"/>
        <v>-7360.18</v>
      </c>
      <c r="V117" s="1600"/>
      <c r="W117" s="1600"/>
      <c r="X117" s="1600"/>
      <c r="Y117" s="1600"/>
      <c r="Z117" s="1600"/>
      <c r="AA117" s="1600">
        <f t="shared" si="25"/>
        <v>0</v>
      </c>
      <c r="AB117" s="1201">
        <v>0</v>
      </c>
      <c r="AC117" s="1202">
        <v>55147.54</v>
      </c>
      <c r="AD117" s="1202">
        <v>33088.54</v>
      </c>
      <c r="AE117" s="1202">
        <v>-0.08</v>
      </c>
      <c r="AF117" s="1202">
        <v>0</v>
      </c>
      <c r="AG117" s="1200">
        <f t="shared" si="26"/>
        <v>88236</v>
      </c>
      <c r="AH117" s="1198"/>
      <c r="AI117" s="1199"/>
      <c r="AJ117" s="1199"/>
      <c r="AK117" s="1199"/>
      <c r="AL117" s="1199"/>
      <c r="AM117" s="1203">
        <f t="shared" si="27"/>
        <v>0</v>
      </c>
      <c r="AN117" s="1198"/>
      <c r="AO117" s="1199"/>
      <c r="AP117" s="1199"/>
      <c r="AQ117" s="1199"/>
      <c r="AR117" s="1199"/>
      <c r="AS117" s="1203">
        <f t="shared" si="28"/>
        <v>0</v>
      </c>
      <c r="AT117" s="1198">
        <v>58417.39</v>
      </c>
      <c r="AU117" s="1199">
        <v>0</v>
      </c>
      <c r="AV117" s="1199">
        <v>0</v>
      </c>
      <c r="AW117" s="1199">
        <v>0</v>
      </c>
      <c r="AX117" s="1199">
        <v>0</v>
      </c>
      <c r="AY117" s="1203">
        <f t="shared" si="29"/>
        <v>58417.39</v>
      </c>
    </row>
    <row r="118" spans="1:51" s="874" customFormat="1">
      <c r="A118" s="1218" t="s">
        <v>192</v>
      </c>
      <c r="B118" s="1218" t="s">
        <v>193</v>
      </c>
      <c r="C118" s="1162" t="s">
        <v>268</v>
      </c>
      <c r="D118" s="1562">
        <f t="shared" si="17"/>
        <v>-3.57</v>
      </c>
      <c r="E118" s="1562">
        <f t="shared" si="18"/>
        <v>117156.57</v>
      </c>
      <c r="F118" s="1562">
        <f t="shared" si="19"/>
        <v>29290</v>
      </c>
      <c r="G118" s="1564">
        <f t="shared" si="20"/>
        <v>0</v>
      </c>
      <c r="H118" s="1567">
        <f t="shared" si="21"/>
        <v>29290</v>
      </c>
      <c r="I118" s="1568">
        <f t="shared" si="22"/>
        <v>146443</v>
      </c>
      <c r="J118" s="1219">
        <v>0</v>
      </c>
      <c r="K118" s="1219">
        <v>117160</v>
      </c>
      <c r="L118" s="1219">
        <v>29290</v>
      </c>
      <c r="M118" s="1219">
        <v>0</v>
      </c>
      <c r="N118" s="1219">
        <v>0</v>
      </c>
      <c r="O118" s="1220">
        <f t="shared" si="23"/>
        <v>146450</v>
      </c>
      <c r="P118" s="1607">
        <v>-3.57</v>
      </c>
      <c r="Q118" s="1600">
        <v>-3.43</v>
      </c>
      <c r="R118" s="1600">
        <v>0</v>
      </c>
      <c r="S118" s="1600">
        <v>0</v>
      </c>
      <c r="T118" s="1600">
        <v>0</v>
      </c>
      <c r="U118" s="1606">
        <f t="shared" si="24"/>
        <v>-7</v>
      </c>
      <c r="V118" s="1600"/>
      <c r="W118" s="1600"/>
      <c r="X118" s="1600"/>
      <c r="Y118" s="1600"/>
      <c r="Z118" s="1600"/>
      <c r="AA118" s="1600">
        <f t="shared" si="25"/>
        <v>0</v>
      </c>
      <c r="AB118" s="1198"/>
      <c r="AC118" s="1199"/>
      <c r="AD118" s="1199"/>
      <c r="AE118" s="1199"/>
      <c r="AF118" s="1199"/>
      <c r="AG118" s="1200">
        <f t="shared" si="26"/>
        <v>0</v>
      </c>
      <c r="AH118" s="1198"/>
      <c r="AI118" s="1199"/>
      <c r="AJ118" s="1199"/>
      <c r="AK118" s="1199"/>
      <c r="AL118" s="1199"/>
      <c r="AM118" s="1203">
        <f t="shared" si="27"/>
        <v>0</v>
      </c>
      <c r="AN118" s="1198"/>
      <c r="AO118" s="1199"/>
      <c r="AP118" s="1199"/>
      <c r="AQ118" s="1199"/>
      <c r="AR118" s="1199"/>
      <c r="AS118" s="1203">
        <f t="shared" si="28"/>
        <v>0</v>
      </c>
      <c r="AT118" s="1198"/>
      <c r="AU118" s="1199"/>
      <c r="AV118" s="1199"/>
      <c r="AW118" s="1199"/>
      <c r="AX118" s="1199"/>
      <c r="AY118" s="1203">
        <f t="shared" si="29"/>
        <v>0</v>
      </c>
    </row>
    <row r="119" spans="1:51" s="874" customFormat="1">
      <c r="A119" s="1218" t="s">
        <v>196</v>
      </c>
      <c r="B119" s="1218" t="s">
        <v>312</v>
      </c>
      <c r="C119" s="1162" t="s">
        <v>266</v>
      </c>
      <c r="D119" s="1562">
        <f t="shared" si="17"/>
        <v>14615.28</v>
      </c>
      <c r="E119" s="1562">
        <f t="shared" si="18"/>
        <v>2490837.2599999998</v>
      </c>
      <c r="F119" s="1562">
        <f t="shared" si="19"/>
        <v>639252.54</v>
      </c>
      <c r="G119" s="1564">
        <f t="shared" si="20"/>
        <v>446370.5</v>
      </c>
      <c r="H119" s="1567">
        <f t="shared" si="21"/>
        <v>1085623.04</v>
      </c>
      <c r="I119" s="1568">
        <f t="shared" si="22"/>
        <v>3591075.5799999996</v>
      </c>
      <c r="J119" s="1219">
        <v>0</v>
      </c>
      <c r="K119" s="1219">
        <v>2448836.12</v>
      </c>
      <c r="L119" s="1219">
        <v>612209.03</v>
      </c>
      <c r="M119" s="1219">
        <v>0</v>
      </c>
      <c r="N119" s="1219">
        <v>0</v>
      </c>
      <c r="O119" s="1220">
        <f t="shared" si="23"/>
        <v>3061045.1500000004</v>
      </c>
      <c r="P119" s="1607">
        <v>-3196.72</v>
      </c>
      <c r="Q119" s="1600">
        <v>-3071.37</v>
      </c>
      <c r="R119" s="1600">
        <v>0</v>
      </c>
      <c r="S119" s="1600">
        <v>0.02</v>
      </c>
      <c r="T119" s="1600">
        <v>0</v>
      </c>
      <c r="U119" s="1606">
        <f t="shared" si="24"/>
        <v>-6268.07</v>
      </c>
      <c r="V119" s="1600"/>
      <c r="W119" s="1600"/>
      <c r="X119" s="1600"/>
      <c r="Y119" s="1600"/>
      <c r="Z119" s="1600"/>
      <c r="AA119" s="1600">
        <f t="shared" si="25"/>
        <v>0</v>
      </c>
      <c r="AB119" s="1201">
        <v>0</v>
      </c>
      <c r="AC119" s="1202">
        <v>45072.51</v>
      </c>
      <c r="AD119" s="1202">
        <v>27043.51</v>
      </c>
      <c r="AE119" s="1202">
        <v>447835.48</v>
      </c>
      <c r="AF119" s="1202">
        <v>0</v>
      </c>
      <c r="AG119" s="1200">
        <f t="shared" si="26"/>
        <v>519951.5</v>
      </c>
      <c r="AH119" s="1201">
        <v>17812</v>
      </c>
      <c r="AI119" s="1202">
        <v>0</v>
      </c>
      <c r="AJ119" s="1202">
        <v>0</v>
      </c>
      <c r="AK119" s="1202">
        <v>-5525</v>
      </c>
      <c r="AL119" s="1202">
        <v>4060</v>
      </c>
      <c r="AM119" s="1203">
        <f t="shared" si="27"/>
        <v>16347</v>
      </c>
      <c r="AN119" s="1201"/>
      <c r="AO119" s="1202"/>
      <c r="AP119" s="1202"/>
      <c r="AQ119" s="1202"/>
      <c r="AR119" s="1202"/>
      <c r="AS119" s="1203">
        <f t="shared" si="28"/>
        <v>0</v>
      </c>
      <c r="AT119" s="1201"/>
      <c r="AU119" s="1202"/>
      <c r="AV119" s="1202"/>
      <c r="AW119" s="1202"/>
      <c r="AX119" s="1202"/>
      <c r="AY119" s="1203">
        <f t="shared" si="29"/>
        <v>0</v>
      </c>
    </row>
    <row r="120" spans="1:51" s="874" customFormat="1">
      <c r="A120" s="1218" t="s">
        <v>200</v>
      </c>
      <c r="B120" s="1218" t="s">
        <v>313</v>
      </c>
      <c r="C120" s="1162" t="s">
        <v>265</v>
      </c>
      <c r="D120" s="1562">
        <f t="shared" si="17"/>
        <v>412420.88</v>
      </c>
      <c r="E120" s="1562">
        <f t="shared" si="18"/>
        <v>739387.95</v>
      </c>
      <c r="F120" s="1562">
        <f t="shared" si="19"/>
        <v>190354.38999999998</v>
      </c>
      <c r="G120" s="1564">
        <f t="shared" si="20"/>
        <v>3655.86</v>
      </c>
      <c r="H120" s="1567">
        <f t="shared" si="21"/>
        <v>194010.24999999997</v>
      </c>
      <c r="I120" s="1568">
        <f t="shared" si="22"/>
        <v>1345819.08</v>
      </c>
      <c r="J120" s="1219">
        <v>0</v>
      </c>
      <c r="K120" s="1219">
        <v>735773.49</v>
      </c>
      <c r="L120" s="1219">
        <v>183943.37</v>
      </c>
      <c r="M120" s="1219">
        <v>0</v>
      </c>
      <c r="N120" s="1219">
        <v>0</v>
      </c>
      <c r="O120" s="1220">
        <f t="shared" si="23"/>
        <v>919716.86</v>
      </c>
      <c r="P120" s="1607">
        <v>-7614.18</v>
      </c>
      <c r="Q120" s="1600">
        <v>-7315.56</v>
      </c>
      <c r="R120" s="1600">
        <v>0</v>
      </c>
      <c r="S120" s="1600">
        <v>-1079.0999999999999</v>
      </c>
      <c r="T120" s="1600">
        <v>0</v>
      </c>
      <c r="U120" s="1606">
        <f t="shared" si="24"/>
        <v>-16008.840000000002</v>
      </c>
      <c r="V120" s="1600">
        <v>255</v>
      </c>
      <c r="W120" s="1600">
        <v>245</v>
      </c>
      <c r="X120" s="1600">
        <v>0</v>
      </c>
      <c r="Y120" s="1600">
        <v>0</v>
      </c>
      <c r="Z120" s="1600">
        <v>164</v>
      </c>
      <c r="AA120" s="1600">
        <f t="shared" si="25"/>
        <v>664</v>
      </c>
      <c r="AB120" s="1201">
        <v>0</v>
      </c>
      <c r="AC120" s="1202">
        <v>10685.02</v>
      </c>
      <c r="AD120" s="1202">
        <v>6411.02</v>
      </c>
      <c r="AE120" s="1202">
        <v>-0.04</v>
      </c>
      <c r="AF120" s="1202">
        <v>0</v>
      </c>
      <c r="AG120" s="1200">
        <f t="shared" si="26"/>
        <v>17096</v>
      </c>
      <c r="AH120" s="1201">
        <v>76463</v>
      </c>
      <c r="AI120" s="1202">
        <v>0</v>
      </c>
      <c r="AJ120" s="1202">
        <v>0</v>
      </c>
      <c r="AK120" s="1202">
        <v>0</v>
      </c>
      <c r="AL120" s="1202">
        <v>4571</v>
      </c>
      <c r="AM120" s="1203">
        <f t="shared" si="27"/>
        <v>81034</v>
      </c>
      <c r="AN120" s="1201"/>
      <c r="AO120" s="1202"/>
      <c r="AP120" s="1202"/>
      <c r="AQ120" s="1202"/>
      <c r="AR120" s="1202"/>
      <c r="AS120" s="1203">
        <f t="shared" si="28"/>
        <v>0</v>
      </c>
      <c r="AT120" s="1201">
        <v>343317.06</v>
      </c>
      <c r="AU120" s="1202">
        <v>0</v>
      </c>
      <c r="AV120" s="1202">
        <v>0</v>
      </c>
      <c r="AW120" s="1202">
        <v>0</v>
      </c>
      <c r="AX120" s="1202">
        <v>0</v>
      </c>
      <c r="AY120" s="1203">
        <f t="shared" si="29"/>
        <v>343317.06</v>
      </c>
    </row>
    <row r="121" spans="1:51" s="874" customFormat="1">
      <c r="A121" s="1218" t="s">
        <v>222</v>
      </c>
      <c r="B121" s="1218" t="s">
        <v>223</v>
      </c>
      <c r="C121" s="1162" t="s">
        <v>264</v>
      </c>
      <c r="D121" s="1562">
        <f t="shared" si="17"/>
        <v>68029.38</v>
      </c>
      <c r="E121" s="1562">
        <f t="shared" si="18"/>
        <v>207172.98</v>
      </c>
      <c r="F121" s="1562">
        <f t="shared" si="19"/>
        <v>52426.8</v>
      </c>
      <c r="G121" s="1564">
        <f t="shared" si="20"/>
        <v>14679.96</v>
      </c>
      <c r="H121" s="1567">
        <f t="shared" si="21"/>
        <v>67106.760000000009</v>
      </c>
      <c r="I121" s="1568">
        <f t="shared" si="22"/>
        <v>342309.12</v>
      </c>
      <c r="J121" s="1219">
        <v>0</v>
      </c>
      <c r="K121" s="1219">
        <v>209707.2</v>
      </c>
      <c r="L121" s="1219">
        <v>52426.8</v>
      </c>
      <c r="M121" s="1219">
        <v>0</v>
      </c>
      <c r="N121" s="1219">
        <v>0</v>
      </c>
      <c r="O121" s="1220">
        <f t="shared" si="23"/>
        <v>262134</v>
      </c>
      <c r="P121" s="1607">
        <v>-3656.44</v>
      </c>
      <c r="Q121" s="1600">
        <v>-3513.05</v>
      </c>
      <c r="R121" s="1600">
        <v>0</v>
      </c>
      <c r="S121" s="1600">
        <v>0</v>
      </c>
      <c r="T121" s="1600">
        <v>0</v>
      </c>
      <c r="U121" s="1606">
        <f t="shared" si="24"/>
        <v>-7169.49</v>
      </c>
      <c r="V121" s="1600">
        <v>1018.79</v>
      </c>
      <c r="W121" s="1600">
        <v>978.83</v>
      </c>
      <c r="X121" s="1600">
        <v>0</v>
      </c>
      <c r="Y121" s="1600">
        <v>0</v>
      </c>
      <c r="Z121" s="1600">
        <v>0</v>
      </c>
      <c r="AA121" s="1600">
        <f t="shared" si="25"/>
        <v>1997.62</v>
      </c>
      <c r="AB121" s="1201">
        <v>0</v>
      </c>
      <c r="AC121" s="1202">
        <v>0</v>
      </c>
      <c r="AD121" s="1202">
        <v>0</v>
      </c>
      <c r="AE121" s="1202">
        <v>0</v>
      </c>
      <c r="AF121" s="1202">
        <v>14679.96</v>
      </c>
      <c r="AG121" s="1200">
        <f t="shared" si="26"/>
        <v>14679.96</v>
      </c>
      <c r="AH121" s="1198"/>
      <c r="AI121" s="1199"/>
      <c r="AJ121" s="1199"/>
      <c r="AK121" s="1199"/>
      <c r="AL121" s="1199"/>
      <c r="AM121" s="1203">
        <f t="shared" si="27"/>
        <v>0</v>
      </c>
      <c r="AN121" s="1198"/>
      <c r="AO121" s="1199"/>
      <c r="AP121" s="1199"/>
      <c r="AQ121" s="1199"/>
      <c r="AR121" s="1199"/>
      <c r="AS121" s="1203">
        <f t="shared" si="28"/>
        <v>0</v>
      </c>
      <c r="AT121" s="1198">
        <v>70667.03</v>
      </c>
      <c r="AU121" s="1199">
        <v>0</v>
      </c>
      <c r="AV121" s="1199">
        <v>0</v>
      </c>
      <c r="AW121" s="1199">
        <v>0</v>
      </c>
      <c r="AX121" s="1199">
        <v>0</v>
      </c>
      <c r="AY121" s="1203">
        <f t="shared" si="29"/>
        <v>70667.03</v>
      </c>
    </row>
    <row r="122" spans="1:51" s="874" customFormat="1">
      <c r="A122" s="1218" t="s">
        <v>230</v>
      </c>
      <c r="B122" s="1218" t="s">
        <v>231</v>
      </c>
      <c r="C122" s="1162" t="s">
        <v>264</v>
      </c>
      <c r="D122" s="1562">
        <f t="shared" si="17"/>
        <v>216065.07</v>
      </c>
      <c r="E122" s="1562">
        <f t="shared" si="18"/>
        <v>792698.25</v>
      </c>
      <c r="F122" s="1562">
        <f t="shared" si="19"/>
        <v>216011.47999999998</v>
      </c>
      <c r="G122" s="1564">
        <f t="shared" si="20"/>
        <v>65365.970000000008</v>
      </c>
      <c r="H122" s="1567">
        <f t="shared" si="21"/>
        <v>281377.45</v>
      </c>
      <c r="I122" s="1568">
        <f t="shared" si="22"/>
        <v>1290140.77</v>
      </c>
      <c r="J122" s="1219">
        <v>0</v>
      </c>
      <c r="K122" s="1219">
        <v>751020.82</v>
      </c>
      <c r="L122" s="1219">
        <v>187755.21</v>
      </c>
      <c r="M122" s="1219">
        <v>0</v>
      </c>
      <c r="N122" s="1219">
        <v>0</v>
      </c>
      <c r="O122" s="1220">
        <f t="shared" si="23"/>
        <v>938776.02999999991</v>
      </c>
      <c r="P122" s="1607">
        <v>-5637.41</v>
      </c>
      <c r="Q122" s="1600">
        <v>-5416.34</v>
      </c>
      <c r="R122" s="1600">
        <v>0</v>
      </c>
      <c r="S122" s="1600">
        <v>-751.99</v>
      </c>
      <c r="T122" s="1600">
        <v>0</v>
      </c>
      <c r="U122" s="1606">
        <f t="shared" si="24"/>
        <v>-11805.74</v>
      </c>
      <c r="V122" s="1600"/>
      <c r="W122" s="1600"/>
      <c r="X122" s="1600"/>
      <c r="Y122" s="1600"/>
      <c r="Z122" s="1600"/>
      <c r="AA122" s="1600">
        <f t="shared" si="25"/>
        <v>0</v>
      </c>
      <c r="AB122" s="1201">
        <v>0</v>
      </c>
      <c r="AC122" s="1202">
        <v>47093.77</v>
      </c>
      <c r="AD122" s="1202">
        <v>28256.27</v>
      </c>
      <c r="AE122" s="1202">
        <v>65867.960000000006</v>
      </c>
      <c r="AF122" s="1202">
        <v>0</v>
      </c>
      <c r="AG122" s="1200">
        <f t="shared" si="26"/>
        <v>141218</v>
      </c>
      <c r="AH122" s="1201">
        <v>6055</v>
      </c>
      <c r="AI122" s="1202">
        <v>0</v>
      </c>
      <c r="AJ122" s="1202">
        <v>0</v>
      </c>
      <c r="AK122" s="1202">
        <v>0</v>
      </c>
      <c r="AL122" s="1202">
        <v>0</v>
      </c>
      <c r="AM122" s="1203">
        <f t="shared" si="27"/>
        <v>6055</v>
      </c>
      <c r="AN122" s="1201"/>
      <c r="AO122" s="1202"/>
      <c r="AP122" s="1202"/>
      <c r="AQ122" s="1202"/>
      <c r="AR122" s="1202"/>
      <c r="AS122" s="1203">
        <f t="shared" si="28"/>
        <v>0</v>
      </c>
      <c r="AT122" s="1201">
        <v>215647.48</v>
      </c>
      <c r="AU122" s="1202">
        <v>0</v>
      </c>
      <c r="AV122" s="1202">
        <v>0</v>
      </c>
      <c r="AW122" s="1202">
        <v>250</v>
      </c>
      <c r="AX122" s="1202">
        <v>0</v>
      </c>
      <c r="AY122" s="1203">
        <f t="shared" si="29"/>
        <v>215897.48</v>
      </c>
    </row>
    <row r="123" spans="1:51" s="874" customFormat="1">
      <c r="A123" s="1221" t="s">
        <v>238</v>
      </c>
      <c r="B123" s="1221" t="s">
        <v>239</v>
      </c>
      <c r="C123" s="1162" t="s">
        <v>264</v>
      </c>
      <c r="D123" s="1562">
        <f t="shared" si="17"/>
        <v>58100.789999999994</v>
      </c>
      <c r="E123" s="1562">
        <f t="shared" si="18"/>
        <v>97228</v>
      </c>
      <c r="F123" s="1562">
        <f t="shared" si="19"/>
        <v>24292.799999999999</v>
      </c>
      <c r="G123" s="1564">
        <f t="shared" si="20"/>
        <v>18510.64</v>
      </c>
      <c r="H123" s="1567">
        <f t="shared" si="21"/>
        <v>42803.44</v>
      </c>
      <c r="I123" s="1568">
        <f t="shared" si="22"/>
        <v>198132.22999999998</v>
      </c>
      <c r="J123" s="1219">
        <v>0</v>
      </c>
      <c r="K123" s="1219">
        <v>97171.199999999997</v>
      </c>
      <c r="L123" s="1219">
        <v>24292.799999999999</v>
      </c>
      <c r="M123" s="1219">
        <v>0</v>
      </c>
      <c r="N123" s="1219">
        <v>0</v>
      </c>
      <c r="O123" s="1220">
        <f t="shared" si="23"/>
        <v>121464</v>
      </c>
      <c r="P123" s="1607">
        <v>163.19999999999999</v>
      </c>
      <c r="Q123" s="1600">
        <v>156.80000000000001</v>
      </c>
      <c r="R123" s="1600">
        <v>0</v>
      </c>
      <c r="S123" s="1600">
        <v>0</v>
      </c>
      <c r="T123" s="1600">
        <v>0</v>
      </c>
      <c r="U123" s="1606">
        <f t="shared" si="24"/>
        <v>320</v>
      </c>
      <c r="V123" s="1600"/>
      <c r="W123" s="1600"/>
      <c r="X123" s="1600"/>
      <c r="Y123" s="1600"/>
      <c r="Z123" s="1600"/>
      <c r="AA123" s="1600">
        <f t="shared" si="25"/>
        <v>0</v>
      </c>
      <c r="AB123" s="1201">
        <v>0</v>
      </c>
      <c r="AC123" s="1202">
        <v>0</v>
      </c>
      <c r="AD123" s="1202">
        <v>0</v>
      </c>
      <c r="AE123" s="1202">
        <v>0</v>
      </c>
      <c r="AF123" s="1202">
        <v>17968.03</v>
      </c>
      <c r="AG123" s="1200">
        <f t="shared" si="26"/>
        <v>17968.03</v>
      </c>
      <c r="AH123" s="1198"/>
      <c r="AI123" s="1199"/>
      <c r="AJ123" s="1199"/>
      <c r="AK123" s="1199"/>
      <c r="AL123" s="1199"/>
      <c r="AM123" s="1203">
        <f t="shared" si="27"/>
        <v>0</v>
      </c>
      <c r="AN123" s="1198">
        <v>0</v>
      </c>
      <c r="AO123" s="1199">
        <v>-100</v>
      </c>
      <c r="AP123" s="1199">
        <v>0</v>
      </c>
      <c r="AQ123" s="1199">
        <v>0</v>
      </c>
      <c r="AR123" s="1199">
        <v>0</v>
      </c>
      <c r="AS123" s="1203">
        <f t="shared" si="28"/>
        <v>-100</v>
      </c>
      <c r="AT123" s="1198">
        <v>57937.59</v>
      </c>
      <c r="AU123" s="1199">
        <v>0</v>
      </c>
      <c r="AV123" s="1199">
        <v>0</v>
      </c>
      <c r="AW123" s="1199">
        <v>542.61</v>
      </c>
      <c r="AX123" s="1199">
        <v>0</v>
      </c>
      <c r="AY123" s="1203">
        <f t="shared" si="29"/>
        <v>58480.2</v>
      </c>
    </row>
    <row r="124" spans="1:51" s="874" customFormat="1">
      <c r="A124" s="1221" t="s">
        <v>240</v>
      </c>
      <c r="B124" s="1221" t="s">
        <v>241</v>
      </c>
      <c r="C124" s="1222" t="s">
        <v>267</v>
      </c>
      <c r="D124" s="1562">
        <f t="shared" si="17"/>
        <v>-34.53</v>
      </c>
      <c r="E124" s="1562">
        <f t="shared" si="18"/>
        <v>139733.22999999998</v>
      </c>
      <c r="F124" s="1562">
        <f t="shared" si="19"/>
        <v>34941.599999999999</v>
      </c>
      <c r="G124" s="1564">
        <f t="shared" si="20"/>
        <v>10055.700000000001</v>
      </c>
      <c r="H124" s="1567">
        <f t="shared" si="21"/>
        <v>44997.3</v>
      </c>
      <c r="I124" s="1568">
        <f t="shared" si="22"/>
        <v>184696</v>
      </c>
      <c r="J124" s="1219">
        <v>0</v>
      </c>
      <c r="K124" s="1219">
        <v>139766.39999999999</v>
      </c>
      <c r="L124" s="1219">
        <v>34941.599999999999</v>
      </c>
      <c r="M124" s="1219">
        <v>0</v>
      </c>
      <c r="N124" s="1219">
        <v>0</v>
      </c>
      <c r="O124" s="1220">
        <f t="shared" si="23"/>
        <v>174708</v>
      </c>
      <c r="P124" s="1608">
        <v>-34.53</v>
      </c>
      <c r="Q124" s="1609">
        <v>-33.17</v>
      </c>
      <c r="R124" s="1609">
        <v>0</v>
      </c>
      <c r="S124" s="1609">
        <v>-47.3</v>
      </c>
      <c r="T124" s="1609">
        <v>0</v>
      </c>
      <c r="U124" s="1610">
        <f t="shared" si="24"/>
        <v>-115</v>
      </c>
      <c r="V124" s="1600"/>
      <c r="W124" s="1600"/>
      <c r="X124" s="1600"/>
      <c r="Y124" s="1600"/>
      <c r="Z124" s="1600"/>
      <c r="AA124" s="1600">
        <f t="shared" si="25"/>
        <v>0</v>
      </c>
      <c r="AB124" s="1201">
        <v>0</v>
      </c>
      <c r="AC124" s="1202">
        <v>0</v>
      </c>
      <c r="AD124" s="1202">
        <v>0</v>
      </c>
      <c r="AE124" s="1202">
        <v>0</v>
      </c>
      <c r="AF124" s="1202">
        <v>10103</v>
      </c>
      <c r="AG124" s="1200">
        <f t="shared" si="26"/>
        <v>10103</v>
      </c>
      <c r="AH124" s="1201"/>
      <c r="AI124" s="1202"/>
      <c r="AJ124" s="1202"/>
      <c r="AK124" s="1202"/>
      <c r="AL124" s="1202"/>
      <c r="AM124" s="1203">
        <f t="shared" si="27"/>
        <v>0</v>
      </c>
      <c r="AN124" s="1201"/>
      <c r="AO124" s="1202"/>
      <c r="AP124" s="1202"/>
      <c r="AQ124" s="1202"/>
      <c r="AR124" s="1202"/>
      <c r="AS124" s="1203">
        <f t="shared" si="28"/>
        <v>0</v>
      </c>
      <c r="AT124" s="1201"/>
      <c r="AU124" s="1202"/>
      <c r="AV124" s="1202"/>
      <c r="AW124" s="1202"/>
      <c r="AX124" s="1202"/>
      <c r="AY124" s="1203">
        <f t="shared" si="29"/>
        <v>0</v>
      </c>
    </row>
    <row r="125" spans="1:51">
      <c r="J125" s="836"/>
      <c r="K125" s="836"/>
      <c r="L125" s="836"/>
      <c r="M125" s="836"/>
      <c r="N125" s="836"/>
      <c r="O125" s="836"/>
      <c r="P125" s="836"/>
      <c r="Q125" s="836"/>
      <c r="R125" s="836"/>
      <c r="S125" s="836"/>
      <c r="T125" s="836"/>
      <c r="U125" s="836"/>
      <c r="V125" s="836"/>
      <c r="W125" s="836"/>
      <c r="X125" s="836"/>
      <c r="Y125" s="836"/>
      <c r="Z125" s="836"/>
      <c r="AA125" s="836"/>
      <c r="AB125" s="836"/>
      <c r="AC125" s="836"/>
      <c r="AD125" s="836"/>
      <c r="AE125" s="836"/>
      <c r="AF125" s="836"/>
      <c r="AG125" s="836"/>
      <c r="AH125" s="836"/>
      <c r="AI125" s="836"/>
      <c r="AJ125" s="836"/>
      <c r="AK125" s="836"/>
      <c r="AL125" s="836"/>
      <c r="AM125" s="836"/>
      <c r="AN125" s="836"/>
      <c r="AO125" s="836"/>
      <c r="AP125" s="836"/>
      <c r="AQ125" s="836"/>
      <c r="AR125" s="836"/>
      <c r="AS125" s="836"/>
      <c r="AT125" s="836"/>
      <c r="AU125" s="836"/>
      <c r="AV125" s="836"/>
      <c r="AW125" s="836"/>
      <c r="AX125" s="836"/>
      <c r="AY125" s="836"/>
    </row>
    <row r="126" spans="1:51" s="403" customFormat="1">
      <c r="A126" s="403" t="s">
        <v>822</v>
      </c>
      <c r="B126" s="742"/>
      <c r="C126" s="742"/>
      <c r="D126" s="692"/>
    </row>
    <row r="127" spans="1:51" s="403" customFormat="1"/>
    <row r="128" spans="1:51" s="428" customFormat="1">
      <c r="A128" s="428" t="s">
        <v>248</v>
      </c>
    </row>
    <row r="129" spans="1:51">
      <c r="A129" s="429" t="s">
        <v>249</v>
      </c>
      <c r="B129" s="430" t="s">
        <v>250</v>
      </c>
      <c r="C129" s="430"/>
      <c r="L129" s="271"/>
      <c r="M129" s="271"/>
      <c r="N129" s="271"/>
      <c r="O129" s="271"/>
      <c r="P129" s="271"/>
      <c r="Q129" s="271"/>
      <c r="R129" s="271"/>
      <c r="S129" s="271"/>
      <c r="T129" s="271"/>
      <c r="U129" s="271"/>
      <c r="V129" s="271"/>
      <c r="W129" s="271"/>
      <c r="X129" s="271"/>
      <c r="Y129" s="271"/>
      <c r="Z129" s="271"/>
      <c r="AA129" s="271"/>
      <c r="AB129" s="271"/>
      <c r="AC129" s="271"/>
      <c r="AD129" s="271"/>
      <c r="AE129" s="271"/>
      <c r="AF129" s="271"/>
      <c r="AG129" s="271"/>
      <c r="AH129" s="271"/>
      <c r="AI129" s="271"/>
      <c r="AJ129" s="271"/>
      <c r="AK129" s="271"/>
      <c r="AL129" s="271"/>
      <c r="AM129" s="271"/>
      <c r="AN129" s="271"/>
      <c r="AO129" s="271"/>
      <c r="AP129" s="271"/>
      <c r="AQ129" s="271"/>
      <c r="AR129" s="271"/>
      <c r="AS129" s="271"/>
      <c r="AT129" s="271"/>
      <c r="AU129" s="271"/>
      <c r="AV129" s="271"/>
      <c r="AW129" s="271"/>
      <c r="AX129" s="271"/>
      <c r="AY129" s="271"/>
    </row>
  </sheetData>
  <autoFilter ref="A3:C3"/>
  <hyperlinks>
    <hyperlink ref="B129" r:id="rId1"/>
  </hyperlinks>
  <pageMargins left="0.7" right="0.7" top="0.75" bottom="0.75" header="0.3" footer="0.3"/>
  <pageSetup orientation="portrait" r:id="rId2"/>
  <legacyDrawing r:id="rId3"/>
</worksheet>
</file>

<file path=xl/worksheets/sheet56.xml><?xml version="1.0" encoding="utf-8"?>
<worksheet xmlns="http://schemas.openxmlformats.org/spreadsheetml/2006/main" xmlns:r="http://schemas.openxmlformats.org/officeDocument/2006/relationships">
  <dimension ref="A1:I130"/>
  <sheetViews>
    <sheetView workbookViewId="0">
      <selection activeCell="E2" sqref="E2"/>
    </sheetView>
  </sheetViews>
  <sheetFormatPr defaultRowHeight="15.75"/>
  <cols>
    <col min="1" max="1" width="6.125" style="134" bestFit="1" customWidth="1"/>
    <col min="2" max="2" width="29.375" style="157" customWidth="1"/>
    <col min="3" max="3" width="9.25" style="157" customWidth="1"/>
    <col min="4" max="5" width="17.375" bestFit="1" customWidth="1"/>
    <col min="6" max="6" width="13.375" customWidth="1"/>
    <col min="7" max="7" width="11.875" customWidth="1"/>
    <col min="8" max="9" width="13.875" customWidth="1"/>
  </cols>
  <sheetData>
    <row r="1" spans="1:9">
      <c r="A1" s="757" t="s">
        <v>1184</v>
      </c>
      <c r="B1" s="758"/>
      <c r="C1" s="758"/>
    </row>
    <row r="4" spans="1:9">
      <c r="A4" s="759" t="s">
        <v>4</v>
      </c>
      <c r="B4" s="182" t="s">
        <v>5</v>
      </c>
      <c r="C4" s="182" t="s">
        <v>251</v>
      </c>
      <c r="D4" s="64" t="s">
        <v>314</v>
      </c>
      <c r="E4" s="64" t="s">
        <v>315</v>
      </c>
      <c r="F4" s="64" t="s">
        <v>316</v>
      </c>
      <c r="G4" s="64" t="s">
        <v>304</v>
      </c>
      <c r="H4" s="64" t="s">
        <v>281</v>
      </c>
      <c r="I4" s="64" t="s">
        <v>682</v>
      </c>
    </row>
    <row r="5" spans="1:9">
      <c r="A5" s="807" t="s">
        <v>8</v>
      </c>
      <c r="B5" s="808" t="s">
        <v>9</v>
      </c>
      <c r="C5" s="808"/>
      <c r="D5" s="1596">
        <f>SUM(D6:D125)</f>
        <v>5257251969.4774408</v>
      </c>
      <c r="E5" s="1596">
        <f t="shared" ref="E5:I5" si="0">SUM(E6:E125)</f>
        <v>3942581464.5117202</v>
      </c>
      <c r="F5" s="1596">
        <f t="shared" si="0"/>
        <v>130284447.75885414</v>
      </c>
      <c r="G5" s="1596">
        <f t="shared" si="0"/>
        <v>1623101.8099999998</v>
      </c>
      <c r="H5" s="1596">
        <f t="shared" si="0"/>
        <v>9331740983.558012</v>
      </c>
      <c r="I5" s="1596">
        <f t="shared" si="0"/>
        <v>131907549.56885414</v>
      </c>
    </row>
    <row r="6" spans="1:9">
      <c r="A6" s="767" t="s">
        <v>10</v>
      </c>
      <c r="B6" s="618" t="s">
        <v>11</v>
      </c>
      <c r="C6" s="768" t="s">
        <v>264</v>
      </c>
      <c r="D6" s="1597">
        <f>'Medicaid &amp; FAMIS - LASER'!E5+'SNAP LASER'!E5+'TANF LASER'!D5+'Energy Assistance LASER'!E5+'FC &amp; Adoptions LASER'!D5+'CSA LASER'!D5+'ChildCare LASER'!I5+'Other Benefits LASER'!D5</f>
        <v>35572274.463896006</v>
      </c>
      <c r="E6" s="1597">
        <f>'Medicaid &amp; FAMIS - LASER'!F5+'TANF LASER'!F5+'Energy Assistance LASER'!G5+'CSA LASER'!E5+'ChildCare LASER'!J5+'FC &amp; Adoptions LASER'!E5+'Other Benefits LASER'!E5</f>
        <v>24654984.577014998</v>
      </c>
      <c r="F6" s="1597">
        <f>'Medicaid &amp; FAMIS - LASER'!G5+'TANF LASER'!G5+'Energy Assistance LASER'!H5+'FC &amp; Adoptions LASER'!F5+'CSA LASER'!F5+'Other Benefits LASER'!F5</f>
        <v>250113.27888899998</v>
      </c>
      <c r="G6" s="1597">
        <f>'TANF LASER'!H5+'Energy Assistance LASER'!J5+'FC &amp; Adoptions LASER'!G5+'CSA LASER'!G5+'Other Benefits LASER'!G5</f>
        <v>-7.0000000000000007E-2</v>
      </c>
      <c r="H6" s="1597">
        <f>'Medicaid &amp; FAMIS - LASER'!D5+'SNAP LASER'!D5+'TANF LASER'!I5+'Energy Assistance LASER'!D5+'FC &amp; Adoptions LASER'!I5+'CSA LASER'!H5+'ChildCare LASER'!K5+'Other Benefits LASER'!I5</f>
        <v>60477372.249800004</v>
      </c>
      <c r="I6" s="1597">
        <f t="shared" ref="I6:I69" si="1">F6+G6</f>
        <v>250113.20888899997</v>
      </c>
    </row>
    <row r="7" spans="1:9">
      <c r="A7" s="767" t="s">
        <v>12</v>
      </c>
      <c r="B7" s="618" t="s">
        <v>13</v>
      </c>
      <c r="C7" s="768" t="s">
        <v>265</v>
      </c>
      <c r="D7" s="1597">
        <f>'Medicaid &amp; FAMIS - LASER'!E6+'SNAP LASER'!E6+'TANF LASER'!D6+'Energy Assistance LASER'!E6+'FC &amp; Adoptions LASER'!D6+'CSA LASER'!D6+'ChildCare LASER'!I6+'Other Benefits LASER'!D6</f>
        <v>40585778.297008999</v>
      </c>
      <c r="E7" s="1597">
        <f>'Medicaid &amp; FAMIS - LASER'!F6+'TANF LASER'!F6+'Energy Assistance LASER'!G6+'CSA LASER'!E6+'ChildCare LASER'!J6+'FC &amp; Adoptions LASER'!E6+'Other Benefits LASER'!E6</f>
        <v>34100017.9957745</v>
      </c>
      <c r="F7" s="1597">
        <f>'Medicaid &amp; FAMIS - LASER'!G6+'TANF LASER'!G6+'Energy Assistance LASER'!H6+'FC &amp; Adoptions LASER'!F6+'CSA LASER'!F6+'Other Benefits LASER'!F6</f>
        <v>4002439.3269165005</v>
      </c>
      <c r="G7" s="1597">
        <f>'TANF LASER'!H6+'Energy Assistance LASER'!J6+'FC &amp; Adoptions LASER'!G6+'CSA LASER'!G6+'Other Benefits LASER'!G6</f>
        <v>-0.39</v>
      </c>
      <c r="H7" s="1597">
        <f>'Medicaid &amp; FAMIS - LASER'!D6+'SNAP LASER'!D6+'TANF LASER'!I6+'Energy Assistance LASER'!D6+'FC &amp; Adoptions LASER'!I6+'CSA LASER'!H6+'ChildCare LASER'!K6+'Other Benefits LASER'!I6</f>
        <v>78688235.229699999</v>
      </c>
      <c r="I7" s="1597">
        <f t="shared" si="1"/>
        <v>4002438.9369165003</v>
      </c>
    </row>
    <row r="8" spans="1:9">
      <c r="A8" s="767" t="s">
        <v>16</v>
      </c>
      <c r="B8" s="618" t="s">
        <v>297</v>
      </c>
      <c r="C8" s="768" t="s">
        <v>265</v>
      </c>
      <c r="D8" s="1597">
        <f>'Medicaid &amp; FAMIS - LASER'!E7+'SNAP LASER'!E7+'TANF LASER'!D7+'Energy Assistance LASER'!E7+'FC &amp; Adoptions LASER'!D7+'CSA LASER'!D7+'ChildCare LASER'!I7+'Other Benefits LASER'!D7</f>
        <v>20615552.590402003</v>
      </c>
      <c r="E8" s="1597">
        <f>'Medicaid &amp; FAMIS - LASER'!F7+'TANF LASER'!F7+'Energy Assistance LASER'!G7+'CSA LASER'!E7+'ChildCare LASER'!J7+'FC &amp; Adoptions LASER'!E7+'Other Benefits LASER'!E7</f>
        <v>16797956.265560497</v>
      </c>
      <c r="F8" s="1597">
        <f>'Medicaid &amp; FAMIS - LASER'!G7+'TANF LASER'!G7+'Energy Assistance LASER'!H7+'FC &amp; Adoptions LASER'!F7+'CSA LASER'!F7+'Other Benefits LASER'!F7</f>
        <v>544398.91393749998</v>
      </c>
      <c r="G8" s="1597">
        <f>'TANF LASER'!H7+'Energy Assistance LASER'!J7+'FC &amp; Adoptions LASER'!G7+'CSA LASER'!G7+'Other Benefits LASER'!G7</f>
        <v>411.6</v>
      </c>
      <c r="H8" s="1597">
        <f>'Medicaid &amp; FAMIS - LASER'!D7+'SNAP LASER'!D7+'TANF LASER'!I7+'Energy Assistance LASER'!D7+'FC &amp; Adoptions LASER'!I7+'CSA LASER'!H7+'ChildCare LASER'!K7+'Other Benefits LASER'!I7</f>
        <v>37958319.369900003</v>
      </c>
      <c r="I8" s="1597">
        <f t="shared" si="1"/>
        <v>544810.51393749996</v>
      </c>
    </row>
    <row r="9" spans="1:9">
      <c r="A9" s="767" t="s">
        <v>18</v>
      </c>
      <c r="B9" s="618" t="s">
        <v>19</v>
      </c>
      <c r="C9" s="768" t="s">
        <v>266</v>
      </c>
      <c r="D9" s="1597">
        <f>'Medicaid &amp; FAMIS - LASER'!E8+'SNAP LASER'!E8+'TANF LASER'!D8+'Energy Assistance LASER'!E8+'FC &amp; Adoptions LASER'!D8+'CSA LASER'!D8+'ChildCare LASER'!I8+'Other Benefits LASER'!D8</f>
        <v>10650735.932615999</v>
      </c>
      <c r="E9" s="1597">
        <f>'Medicaid &amp; FAMIS - LASER'!F8+'TANF LASER'!F8+'Energy Assistance LASER'!G8+'CSA LASER'!E8+'ChildCare LASER'!J8+'FC &amp; Adoptions LASER'!E8+'Other Benefits LASER'!E8</f>
        <v>7888146.2764840005</v>
      </c>
      <c r="F9" s="1597">
        <f>'Medicaid &amp; FAMIS - LASER'!G8+'TANF LASER'!G8+'Energy Assistance LASER'!H8+'FC &amp; Adoptions LASER'!F8+'CSA LASER'!F8+'Other Benefits LASER'!F8</f>
        <v>103815.8508</v>
      </c>
      <c r="G9" s="1597">
        <f>'TANF LASER'!H8+'Energy Assistance LASER'!J8+'FC &amp; Adoptions LASER'!G8+'CSA LASER'!G8+'Other Benefits LASER'!G8</f>
        <v>0</v>
      </c>
      <c r="H9" s="1597">
        <f>'Medicaid &amp; FAMIS - LASER'!D8+'SNAP LASER'!D8+'TANF LASER'!I8+'Energy Assistance LASER'!D8+'FC &amp; Adoptions LASER'!I8+'CSA LASER'!H8+'ChildCare LASER'!K8+'Other Benefits LASER'!I8</f>
        <v>18642698.059899997</v>
      </c>
      <c r="I9" s="1597">
        <f t="shared" si="1"/>
        <v>103815.8508</v>
      </c>
    </row>
    <row r="10" spans="1:9">
      <c r="A10" s="767" t="s">
        <v>20</v>
      </c>
      <c r="B10" s="618" t="s">
        <v>21</v>
      </c>
      <c r="C10" s="768" t="s">
        <v>265</v>
      </c>
      <c r="D10" s="1597">
        <f>'Medicaid &amp; FAMIS - LASER'!E9+'SNAP LASER'!E9+'TANF LASER'!D9+'Energy Assistance LASER'!E9+'FC &amp; Adoptions LASER'!D9+'CSA LASER'!D9+'ChildCare LASER'!I9+'Other Benefits LASER'!D9</f>
        <v>26230270.916700002</v>
      </c>
      <c r="E10" s="1597">
        <f>'Medicaid &amp; FAMIS - LASER'!F9+'TANF LASER'!F9+'Energy Assistance LASER'!G9+'CSA LASER'!E9+'ChildCare LASER'!J9+'FC &amp; Adoptions LASER'!E9+'Other Benefits LASER'!E9</f>
        <v>20969274.320624001</v>
      </c>
      <c r="F10" s="1597">
        <f>'Medicaid &amp; FAMIS - LASER'!G9+'TANF LASER'!G9+'Energy Assistance LASER'!H9+'FC &amp; Adoptions LASER'!F9+'CSA LASER'!F9+'Other Benefits LASER'!F9</f>
        <v>358639.85247600003</v>
      </c>
      <c r="G10" s="1597">
        <f>'TANF LASER'!H9+'Energy Assistance LASER'!J9+'FC &amp; Adoptions LASER'!G9+'CSA LASER'!G9+'Other Benefits LASER'!G9</f>
        <v>-0.03</v>
      </c>
      <c r="H10" s="1597">
        <f>'Medicaid &amp; FAMIS - LASER'!D9+'SNAP LASER'!D9+'TANF LASER'!I9+'Energy Assistance LASER'!D9+'FC &amp; Adoptions LASER'!I9+'CSA LASER'!H9+'ChildCare LASER'!K9+'Other Benefits LASER'!I9</f>
        <v>47558185.059799999</v>
      </c>
      <c r="I10" s="1597">
        <f t="shared" si="1"/>
        <v>358639.822476</v>
      </c>
    </row>
    <row r="11" spans="1:9">
      <c r="A11" s="767" t="s">
        <v>22</v>
      </c>
      <c r="B11" s="618" t="s">
        <v>23</v>
      </c>
      <c r="C11" s="768" t="s">
        <v>265</v>
      </c>
      <c r="D11" s="1597">
        <f>'Medicaid &amp; FAMIS - LASER'!E10+'SNAP LASER'!E10+'TANF LASER'!D10+'Energy Assistance LASER'!E10+'FC &amp; Adoptions LASER'!D10+'CSA LASER'!D10+'ChildCare LASER'!I10+'Other Benefits LASER'!D10</f>
        <v>14805973.542799998</v>
      </c>
      <c r="E11" s="1597">
        <f>'Medicaid &amp; FAMIS - LASER'!F10+'TANF LASER'!F10+'Energy Assistance LASER'!G10+'CSA LASER'!E10+'ChildCare LASER'!J10+'FC &amp; Adoptions LASER'!E10+'Other Benefits LASER'!E10</f>
        <v>11433573.861401251</v>
      </c>
      <c r="F11" s="1597">
        <f>'Medicaid &amp; FAMIS - LASER'!G10+'TANF LASER'!G10+'Energy Assistance LASER'!H10+'FC &amp; Adoptions LASER'!F10+'CSA LASER'!F10+'Other Benefits LASER'!F10</f>
        <v>326837.64569875004</v>
      </c>
      <c r="G11" s="1597">
        <f>'TANF LASER'!H10+'Energy Assistance LASER'!J10+'FC &amp; Adoptions LASER'!G10+'CSA LASER'!G10+'Other Benefits LASER'!G10</f>
        <v>-0.04</v>
      </c>
      <c r="H11" s="1597">
        <f>'Medicaid &amp; FAMIS - LASER'!D10+'SNAP LASER'!D10+'TANF LASER'!I10+'Energy Assistance LASER'!D10+'FC &amp; Adoptions LASER'!I10+'CSA LASER'!H10+'ChildCare LASER'!K10+'Other Benefits LASER'!I10</f>
        <v>26566385.009900007</v>
      </c>
      <c r="I11" s="1597">
        <f t="shared" si="1"/>
        <v>326837.60569875006</v>
      </c>
    </row>
    <row r="12" spans="1:9">
      <c r="A12" s="767" t="s">
        <v>24</v>
      </c>
      <c r="B12" s="618" t="s">
        <v>25</v>
      </c>
      <c r="C12" s="768" t="s">
        <v>267</v>
      </c>
      <c r="D12" s="1597">
        <f>'Medicaid &amp; FAMIS - LASER'!E11+'SNAP LASER'!E11+'TANF LASER'!D11+'Energy Assistance LASER'!E11+'FC &amp; Adoptions LASER'!D11+'CSA LASER'!D11+'ChildCare LASER'!I11+'Other Benefits LASER'!D11</f>
        <v>62462629.755630009</v>
      </c>
      <c r="E12" s="1597">
        <f>'Medicaid &amp; FAMIS - LASER'!F11+'TANF LASER'!F11+'Energy Assistance LASER'!G11+'CSA LASER'!E11+'ChildCare LASER'!J11+'FC &amp; Adoptions LASER'!E11+'Other Benefits LASER'!E11</f>
        <v>51770931.87323676</v>
      </c>
      <c r="F12" s="1597">
        <f>'Medicaid &amp; FAMIS - LASER'!G11+'TANF LASER'!G11+'Energy Assistance LASER'!H11+'FC &amp; Adoptions LASER'!F11+'CSA LASER'!F11+'Other Benefits LASER'!F11</f>
        <v>3764621.3407332501</v>
      </c>
      <c r="G12" s="1597">
        <f>'TANF LASER'!H11+'Energy Assistance LASER'!J11+'FC &amp; Adoptions LASER'!G11+'CSA LASER'!G11+'Other Benefits LASER'!G11</f>
        <v>471681.1</v>
      </c>
      <c r="H12" s="1597">
        <f>'Medicaid &amp; FAMIS - LASER'!D11+'SNAP LASER'!D11+'TANF LASER'!I11+'Energy Assistance LASER'!D11+'FC &amp; Adoptions LASER'!I11+'CSA LASER'!H11+'ChildCare LASER'!K11+'Other Benefits LASER'!I11</f>
        <v>118469864.06960002</v>
      </c>
      <c r="I12" s="1597">
        <f t="shared" si="1"/>
        <v>4236302.4407332502</v>
      </c>
    </row>
    <row r="13" spans="1:9">
      <c r="A13" s="767" t="s">
        <v>26</v>
      </c>
      <c r="B13" s="618" t="s">
        <v>298</v>
      </c>
      <c r="C13" s="768" t="s">
        <v>265</v>
      </c>
      <c r="D13" s="1597">
        <f>'Medicaid &amp; FAMIS - LASER'!E12+'SNAP LASER'!E12+'TANF LASER'!D12+'Energy Assistance LASER'!E12+'FC &amp; Adoptions LASER'!D12+'CSA LASER'!D12+'ChildCare LASER'!I12+'Other Benefits LASER'!D12</f>
        <v>83463267.099483013</v>
      </c>
      <c r="E13" s="1597">
        <f>'Medicaid &amp; FAMIS - LASER'!F12+'TANF LASER'!F12+'Energy Assistance LASER'!G12+'CSA LASER'!E12+'ChildCare LASER'!J12+'FC &amp; Adoptions LASER'!E12+'Other Benefits LASER'!E12</f>
        <v>66783418.744234748</v>
      </c>
      <c r="F13" s="1597">
        <f>'Medicaid &amp; FAMIS - LASER'!G12+'TANF LASER'!G12+'Energy Assistance LASER'!H12+'FC &amp; Adoptions LASER'!F12+'CSA LASER'!F12+'Other Benefits LASER'!F12</f>
        <v>2927179.5457822504</v>
      </c>
      <c r="G13" s="1597">
        <f>'TANF LASER'!H12+'Energy Assistance LASER'!J12+'FC &amp; Adoptions LASER'!G12+'CSA LASER'!G12+'Other Benefits LASER'!G12</f>
        <v>21909.629999999997</v>
      </c>
      <c r="H13" s="1597">
        <f>'Medicaid &amp; FAMIS - LASER'!D12+'SNAP LASER'!D12+'TANF LASER'!I12+'Energy Assistance LASER'!D12+'FC &amp; Adoptions LASER'!I12+'CSA LASER'!H12+'ChildCare LASER'!K12+'Other Benefits LASER'!I12</f>
        <v>153195775.01950002</v>
      </c>
      <c r="I13" s="1597">
        <f t="shared" si="1"/>
        <v>2949089.1757822502</v>
      </c>
    </row>
    <row r="14" spans="1:9">
      <c r="A14" s="767" t="s">
        <v>27</v>
      </c>
      <c r="B14" s="618" t="s">
        <v>28</v>
      </c>
      <c r="C14" s="768" t="s">
        <v>265</v>
      </c>
      <c r="D14" s="1597">
        <f>'Medicaid &amp; FAMIS - LASER'!E13+'SNAP LASER'!E13+'TANF LASER'!D13+'Energy Assistance LASER'!E13+'FC &amp; Adoptions LASER'!D13+'CSA LASER'!D13+'ChildCare LASER'!I13+'Other Benefits LASER'!D13</f>
        <v>2509825.4035</v>
      </c>
      <c r="E14" s="1597">
        <f>'Medicaid &amp; FAMIS - LASER'!F13+'TANF LASER'!F13+'Energy Assistance LASER'!G13+'CSA LASER'!E13+'ChildCare LASER'!J13+'FC &amp; Adoptions LASER'!E13+'Other Benefits LASER'!E13</f>
        <v>1975792.4898000003</v>
      </c>
      <c r="F14" s="1597">
        <f>'Medicaid &amp; FAMIS - LASER'!G13+'TANF LASER'!G13+'Energy Assistance LASER'!H13+'FC &amp; Adoptions LASER'!F13+'CSA LASER'!F13+'Other Benefits LASER'!F13</f>
        <v>51130.576699999998</v>
      </c>
      <c r="G14" s="1597">
        <f>'TANF LASER'!H13+'Energy Assistance LASER'!J13+'FC &amp; Adoptions LASER'!G13+'CSA LASER'!G13+'Other Benefits LASER'!G13</f>
        <v>71.52</v>
      </c>
      <c r="H14" s="1597">
        <f>'Medicaid &amp; FAMIS - LASER'!D13+'SNAP LASER'!D13+'TANF LASER'!I13+'Energy Assistance LASER'!D13+'FC &amp; Adoptions LASER'!I13+'CSA LASER'!H13+'ChildCare LASER'!K13+'Other Benefits LASER'!I13</f>
        <v>4536819.9900000012</v>
      </c>
      <c r="I14" s="1597">
        <f t="shared" si="1"/>
        <v>51202.096699999995</v>
      </c>
    </row>
    <row r="15" spans="1:9">
      <c r="A15" s="767" t="s">
        <v>29</v>
      </c>
      <c r="B15" s="618" t="s">
        <v>1012</v>
      </c>
      <c r="C15" s="768" t="s">
        <v>265</v>
      </c>
      <c r="D15" s="1597">
        <f>'Medicaid &amp; FAMIS - LASER'!E14+'SNAP LASER'!E14+'TANF LASER'!D14+'Energy Assistance LASER'!E14+'FC &amp; Adoptions LASER'!D14+'CSA LASER'!D14+'ChildCare LASER'!I14+'Other Benefits LASER'!D14</f>
        <v>42728412.924259998</v>
      </c>
      <c r="E15" s="1597">
        <f>'Medicaid &amp; FAMIS - LASER'!F14+'TANF LASER'!F14+'Energy Assistance LASER'!G14+'CSA LASER'!E14+'ChildCare LASER'!J14+'FC &amp; Adoptions LASER'!E14+'Other Benefits LASER'!E14</f>
        <v>33436230.620988004</v>
      </c>
      <c r="F15" s="1597">
        <f>'Medicaid &amp; FAMIS - LASER'!G14+'TANF LASER'!G14+'Energy Assistance LASER'!H14+'FC &amp; Adoptions LASER'!F14+'CSA LASER'!F14+'Other Benefits LASER'!F14</f>
        <v>517297.51445200003</v>
      </c>
      <c r="G15" s="1597">
        <f>'TANF LASER'!H14+'Energy Assistance LASER'!J14+'FC &amp; Adoptions LASER'!G14+'CSA LASER'!G14+'Other Benefits LASER'!G14</f>
        <v>-0.17</v>
      </c>
      <c r="H15" s="1597">
        <f>'Medicaid &amp; FAMIS - LASER'!D14+'SNAP LASER'!D14+'TANF LASER'!I14+'Energy Assistance LASER'!D14+'FC &amp; Adoptions LASER'!I14+'CSA LASER'!H14+'ChildCare LASER'!K14+'Other Benefits LASER'!I14</f>
        <v>76681940.889699996</v>
      </c>
      <c r="I15" s="1597">
        <f t="shared" si="1"/>
        <v>517297.34445200005</v>
      </c>
    </row>
    <row r="16" spans="1:9">
      <c r="A16" s="767" t="s">
        <v>30</v>
      </c>
      <c r="B16" s="618" t="s">
        <v>31</v>
      </c>
      <c r="C16" s="768" t="s">
        <v>268</v>
      </c>
      <c r="D16" s="1597">
        <f>'Medicaid &amp; FAMIS - LASER'!E15+'SNAP LASER'!E15+'TANF LASER'!D15+'Energy Assistance LASER'!E15+'FC &amp; Adoptions LASER'!D15+'CSA LASER'!D15+'ChildCare LASER'!I15+'Other Benefits LASER'!D15</f>
        <v>4131706.5211999998</v>
      </c>
      <c r="E16" s="1597">
        <f>'Medicaid &amp; FAMIS - LASER'!F15+'TANF LASER'!F15+'Energy Assistance LASER'!G15+'CSA LASER'!E15+'ChildCare LASER'!J15+'FC &amp; Adoptions LASER'!E15+'Other Benefits LASER'!E15</f>
        <v>3571258.4613529998</v>
      </c>
      <c r="F16" s="1597">
        <f>'Medicaid &amp; FAMIS - LASER'!G15+'TANF LASER'!G15+'Energy Assistance LASER'!H15+'FC &amp; Adoptions LASER'!F15+'CSA LASER'!F15+'Other Benefits LASER'!F15</f>
        <v>105558.75744699998</v>
      </c>
      <c r="G16" s="1597">
        <f>'TANF LASER'!H15+'Energy Assistance LASER'!J15+'FC &amp; Adoptions LASER'!G15+'CSA LASER'!G15+'Other Benefits LASER'!G15</f>
        <v>-0.08</v>
      </c>
      <c r="H16" s="1597">
        <f>'Medicaid &amp; FAMIS - LASER'!D15+'SNAP LASER'!D15+'TANF LASER'!I15+'Energy Assistance LASER'!D15+'FC &amp; Adoptions LASER'!I15+'CSA LASER'!H15+'ChildCare LASER'!K15+'Other Benefits LASER'!I15</f>
        <v>7808523.6600000001</v>
      </c>
      <c r="I16" s="1597">
        <f t="shared" si="1"/>
        <v>105558.67744699998</v>
      </c>
    </row>
    <row r="17" spans="1:9">
      <c r="A17" s="767" t="s">
        <v>32</v>
      </c>
      <c r="B17" s="618" t="s">
        <v>33</v>
      </c>
      <c r="C17" s="768" t="s">
        <v>265</v>
      </c>
      <c r="D17" s="1597">
        <f>'Medicaid &amp; FAMIS - LASER'!E16+'SNAP LASER'!E16+'TANF LASER'!D16+'Energy Assistance LASER'!E16+'FC &amp; Adoptions LASER'!D16+'CSA LASER'!D16+'ChildCare LASER'!I16+'Other Benefits LASER'!D16</f>
        <v>14095736.532046</v>
      </c>
      <c r="E17" s="1597">
        <f>'Medicaid &amp; FAMIS - LASER'!F16+'TANF LASER'!F16+'Energy Assistance LASER'!G16+'CSA LASER'!E16+'ChildCare LASER'!J16+'FC &amp; Adoptions LASER'!E16+'Other Benefits LASER'!E16</f>
        <v>12010564.578182751</v>
      </c>
      <c r="F17" s="1597">
        <f>'Medicaid &amp; FAMIS - LASER'!G16+'TANF LASER'!G16+'Energy Assistance LASER'!H16+'FC &amp; Adoptions LASER'!F16+'CSA LASER'!F16+'Other Benefits LASER'!F16</f>
        <v>471400.79967124999</v>
      </c>
      <c r="G17" s="1597">
        <f>'TANF LASER'!H16+'Energy Assistance LASER'!J16+'FC &amp; Adoptions LASER'!G16+'CSA LASER'!G16+'Other Benefits LASER'!G16</f>
        <v>-0.04</v>
      </c>
      <c r="H17" s="1597">
        <f>'Medicaid &amp; FAMIS - LASER'!D16+'SNAP LASER'!D16+'TANF LASER'!I16+'Energy Assistance LASER'!D16+'FC &amp; Adoptions LASER'!I16+'CSA LASER'!H16+'ChildCare LASER'!K16+'Other Benefits LASER'!I16</f>
        <v>26577701.869899996</v>
      </c>
      <c r="I17" s="1597">
        <f t="shared" si="1"/>
        <v>471400.75967125001</v>
      </c>
    </row>
    <row r="18" spans="1:9">
      <c r="A18" s="767" t="s">
        <v>36</v>
      </c>
      <c r="B18" s="618" t="s">
        <v>37</v>
      </c>
      <c r="C18" s="768" t="s">
        <v>264</v>
      </c>
      <c r="D18" s="1597">
        <f>'Medicaid &amp; FAMIS - LASER'!E17+'SNAP LASER'!E17+'TANF LASER'!D17+'Energy Assistance LASER'!E17+'FC &amp; Adoptions LASER'!D17+'CSA LASER'!D17+'ChildCare LASER'!I17+'Other Benefits LASER'!D17</f>
        <v>21000227.793099996</v>
      </c>
      <c r="E18" s="1597">
        <f>'Medicaid &amp; FAMIS - LASER'!F17+'TANF LASER'!F17+'Energy Assistance LASER'!G17+'CSA LASER'!E17+'ChildCare LASER'!J17+'FC &amp; Adoptions LASER'!E17+'Other Benefits LASER'!E17</f>
        <v>15394215.751662502</v>
      </c>
      <c r="F18" s="1597">
        <f>'Medicaid &amp; FAMIS - LASER'!G17+'TANF LASER'!G17+'Energy Assistance LASER'!H17+'FC &amp; Adoptions LASER'!F17+'CSA LASER'!F17+'Other Benefits LASER'!F17</f>
        <v>191405.59513750003</v>
      </c>
      <c r="G18" s="1597">
        <f>'TANF LASER'!H17+'Energy Assistance LASER'!J17+'FC &amp; Adoptions LASER'!G17+'CSA LASER'!G17+'Other Benefits LASER'!G17</f>
        <v>0</v>
      </c>
      <c r="H18" s="1597">
        <f>'Medicaid &amp; FAMIS - LASER'!D17+'SNAP LASER'!D17+'TANF LASER'!I17+'Energy Assistance LASER'!D17+'FC &amp; Adoptions LASER'!I17+'CSA LASER'!H17+'ChildCare LASER'!K17+'Other Benefits LASER'!I17</f>
        <v>36585849.139899991</v>
      </c>
      <c r="I18" s="1597">
        <f t="shared" si="1"/>
        <v>191405.59513750003</v>
      </c>
    </row>
    <row r="19" spans="1:9">
      <c r="A19" s="767" t="s">
        <v>38</v>
      </c>
      <c r="B19" s="618" t="s">
        <v>39</v>
      </c>
      <c r="C19" s="768" t="s">
        <v>268</v>
      </c>
      <c r="D19" s="1597">
        <f>'Medicaid &amp; FAMIS - LASER'!E18+'SNAP LASER'!E18+'TANF LASER'!D18+'Energy Assistance LASER'!E18+'FC &amp; Adoptions LASER'!D18+'CSA LASER'!D18+'ChildCare LASER'!I18+'Other Benefits LASER'!D18</f>
        <v>26081978.358999997</v>
      </c>
      <c r="E19" s="1597">
        <f>'Medicaid &amp; FAMIS - LASER'!F18+'TANF LASER'!F18+'Energy Assistance LASER'!G18+'CSA LASER'!E18+'ChildCare LASER'!J18+'FC &amp; Adoptions LASER'!E18+'Other Benefits LASER'!E18</f>
        <v>19374278.3299575</v>
      </c>
      <c r="F19" s="1597">
        <f>'Medicaid &amp; FAMIS - LASER'!G18+'TANF LASER'!G18+'Energy Assistance LASER'!H18+'FC &amp; Adoptions LASER'!F18+'CSA LASER'!F18+'Other Benefits LASER'!F18</f>
        <v>479704.63084249996</v>
      </c>
      <c r="G19" s="1597">
        <f>'TANF LASER'!H18+'Energy Assistance LASER'!J18+'FC &amp; Adoptions LASER'!G18+'CSA LASER'!G18+'Other Benefits LASER'!G18</f>
        <v>-0.13</v>
      </c>
      <c r="H19" s="1597">
        <f>'Medicaid &amp; FAMIS - LASER'!D18+'SNAP LASER'!D18+'TANF LASER'!I18+'Energy Assistance LASER'!D18+'FC &amp; Adoptions LASER'!I18+'CSA LASER'!H18+'ChildCare LASER'!K18+'Other Benefits LASER'!I18</f>
        <v>45935961.189799994</v>
      </c>
      <c r="I19" s="1597">
        <f t="shared" si="1"/>
        <v>479704.50084249995</v>
      </c>
    </row>
    <row r="20" spans="1:9">
      <c r="A20" s="767" t="s">
        <v>40</v>
      </c>
      <c r="B20" s="618" t="s">
        <v>41</v>
      </c>
      <c r="C20" s="768" t="s">
        <v>266</v>
      </c>
      <c r="D20" s="1597">
        <f>'Medicaid &amp; FAMIS - LASER'!E19+'SNAP LASER'!E19+'TANF LASER'!D19+'Energy Assistance LASER'!E19+'FC &amp; Adoptions LASER'!D19+'CSA LASER'!D19+'ChildCare LASER'!I19+'Other Benefits LASER'!D19</f>
        <v>15857098.033143003</v>
      </c>
      <c r="E20" s="1597">
        <f>'Medicaid &amp; FAMIS - LASER'!F19+'TANF LASER'!F19+'Energy Assistance LASER'!G19+'CSA LASER'!E19+'ChildCare LASER'!J19+'FC &amp; Adoptions LASER'!E19+'Other Benefits LASER'!E19</f>
        <v>11813809.448869314</v>
      </c>
      <c r="F20" s="1597">
        <f>'Medicaid &amp; FAMIS - LASER'!G19+'TANF LASER'!G19+'Energy Assistance LASER'!H19+'FC &amp; Adoptions LASER'!F19+'CSA LASER'!F19+'Other Benefits LASER'!F19</f>
        <v>335231.00788768753</v>
      </c>
      <c r="G20" s="1597">
        <f>'TANF LASER'!H19+'Energy Assistance LASER'!J19+'FC &amp; Adoptions LASER'!G19+'CSA LASER'!G19+'Other Benefits LASER'!G19</f>
        <v>-0.05</v>
      </c>
      <c r="H20" s="1597">
        <f>'Medicaid &amp; FAMIS - LASER'!D19+'SNAP LASER'!D19+'TANF LASER'!I19+'Energy Assistance LASER'!D19+'FC &amp; Adoptions LASER'!I19+'CSA LASER'!H19+'ChildCare LASER'!K19+'Other Benefits LASER'!I19</f>
        <v>28006138.439900003</v>
      </c>
      <c r="I20" s="1597">
        <f t="shared" si="1"/>
        <v>335230.95788768755</v>
      </c>
    </row>
    <row r="21" spans="1:9">
      <c r="A21" s="767" t="s">
        <v>42</v>
      </c>
      <c r="B21" s="618" t="s">
        <v>43</v>
      </c>
      <c r="C21" s="768" t="s">
        <v>265</v>
      </c>
      <c r="D21" s="1597">
        <f>'Medicaid &amp; FAMIS - LASER'!E20+'SNAP LASER'!E20+'TANF LASER'!D20+'Energy Assistance LASER'!E20+'FC &amp; Adoptions LASER'!D20+'CSA LASER'!D20+'ChildCare LASER'!I20+'Other Benefits LASER'!D20</f>
        <v>46061679.752217993</v>
      </c>
      <c r="E21" s="1597">
        <f>'Medicaid &amp; FAMIS - LASER'!F20+'TANF LASER'!F20+'Energy Assistance LASER'!G20+'CSA LASER'!E20+'ChildCare LASER'!J20+'FC &amp; Adoptions LASER'!E20+'Other Benefits LASER'!E20</f>
        <v>35273991.702908874</v>
      </c>
      <c r="F21" s="1597">
        <f>'Medicaid &amp; FAMIS - LASER'!G20+'TANF LASER'!G20+'Energy Assistance LASER'!H20+'FC &amp; Adoptions LASER'!F20+'CSA LASER'!F20+'Other Benefits LASER'!F20</f>
        <v>788184.60457312502</v>
      </c>
      <c r="G21" s="1597">
        <f>'TANF LASER'!H20+'Energy Assistance LASER'!J20+'FC &amp; Adoptions LASER'!G20+'CSA LASER'!G20+'Other Benefits LASER'!G20</f>
        <v>9017.8300000000017</v>
      </c>
      <c r="H21" s="1597">
        <f>'Medicaid &amp; FAMIS - LASER'!D20+'SNAP LASER'!D20+'TANF LASER'!I20+'Energy Assistance LASER'!D20+'FC &amp; Adoptions LASER'!I20+'CSA LASER'!H20+'ChildCare LASER'!K20+'Other Benefits LASER'!I20</f>
        <v>82132873.889699996</v>
      </c>
      <c r="I21" s="1597">
        <f t="shared" si="1"/>
        <v>797202.43457312498</v>
      </c>
    </row>
    <row r="22" spans="1:9">
      <c r="A22" s="767" t="s">
        <v>44</v>
      </c>
      <c r="B22" s="618" t="s">
        <v>45</v>
      </c>
      <c r="C22" s="768" t="s">
        <v>266</v>
      </c>
      <c r="D22" s="1597">
        <f>'Medicaid &amp; FAMIS - LASER'!E21+'SNAP LASER'!E21+'TANF LASER'!D21+'Energy Assistance LASER'!E21+'FC &amp; Adoptions LASER'!D21+'CSA LASER'!D21+'ChildCare LASER'!I21+'Other Benefits LASER'!D21</f>
        <v>23068459.986299999</v>
      </c>
      <c r="E22" s="1597">
        <f>'Medicaid &amp; FAMIS - LASER'!F21+'TANF LASER'!F21+'Energy Assistance LASER'!G21+'CSA LASER'!E21+'ChildCare LASER'!J21+'FC &amp; Adoptions LASER'!E21+'Other Benefits LASER'!E21</f>
        <v>16202794.230791003</v>
      </c>
      <c r="F22" s="1597">
        <f>'Medicaid &amp; FAMIS - LASER'!G21+'TANF LASER'!G21+'Energy Assistance LASER'!H21+'FC &amp; Adoptions LASER'!F21+'CSA LASER'!F21+'Other Benefits LASER'!F21</f>
        <v>861521.27280899999</v>
      </c>
      <c r="G22" s="1597">
        <f>'TANF LASER'!H21+'Energy Assistance LASER'!J21+'FC &amp; Adoptions LASER'!G21+'CSA LASER'!G21+'Other Benefits LASER'!G21</f>
        <v>-7.0000000000000007E-2</v>
      </c>
      <c r="H22" s="1597">
        <f>'Medicaid &amp; FAMIS - LASER'!D21+'SNAP LASER'!D21+'TANF LASER'!I21+'Energy Assistance LASER'!D21+'FC &amp; Adoptions LASER'!I21+'CSA LASER'!H21+'ChildCare LASER'!K21+'Other Benefits LASER'!I21</f>
        <v>40132775.4199</v>
      </c>
      <c r="I22" s="1597">
        <f t="shared" si="1"/>
        <v>861521.20280900004</v>
      </c>
    </row>
    <row r="23" spans="1:9">
      <c r="A23" s="767" t="s">
        <v>46</v>
      </c>
      <c r="B23" s="618" t="s">
        <v>47</v>
      </c>
      <c r="C23" s="768" t="s">
        <v>268</v>
      </c>
      <c r="D23" s="1597">
        <f>'Medicaid &amp; FAMIS - LASER'!E22+'SNAP LASER'!E22+'TANF LASER'!D22+'Energy Assistance LASER'!E22+'FC &amp; Adoptions LASER'!D22+'CSA LASER'!D22+'ChildCare LASER'!I22+'Other Benefits LASER'!D22</f>
        <v>29660606.672710001</v>
      </c>
      <c r="E23" s="1597">
        <f>'Medicaid &amp; FAMIS - LASER'!F22+'TANF LASER'!F22+'Energy Assistance LASER'!G22+'CSA LASER'!E22+'ChildCare LASER'!J22+'FC &amp; Adoptions LASER'!E22+'Other Benefits LASER'!E22</f>
        <v>22271835.322239999</v>
      </c>
      <c r="F23" s="1597">
        <f>'Medicaid &amp; FAMIS - LASER'!G22+'TANF LASER'!G22+'Energy Assistance LASER'!H22+'FC &amp; Adoptions LASER'!F22+'CSA LASER'!F22+'Other Benefits LASER'!F22</f>
        <v>552803.68484999996</v>
      </c>
      <c r="G23" s="1597">
        <f>'TANF LASER'!H22+'Energy Assistance LASER'!J22+'FC &amp; Adoptions LASER'!G22+'CSA LASER'!G22+'Other Benefits LASER'!G22</f>
        <v>-0.09</v>
      </c>
      <c r="H23" s="1597">
        <f>'Medicaid &amp; FAMIS - LASER'!D22+'SNAP LASER'!D22+'TANF LASER'!I22+'Energy Assistance LASER'!D22+'FC &amp; Adoptions LASER'!I22+'CSA LASER'!H22+'ChildCare LASER'!K22+'Other Benefits LASER'!I22</f>
        <v>52485245.5898</v>
      </c>
      <c r="I23" s="1597">
        <f t="shared" si="1"/>
        <v>552803.59484999999</v>
      </c>
    </row>
    <row r="24" spans="1:9">
      <c r="A24" s="767" t="s">
        <v>48</v>
      </c>
      <c r="B24" s="618" t="s">
        <v>269</v>
      </c>
      <c r="C24" s="768" t="s">
        <v>266</v>
      </c>
      <c r="D24" s="1597">
        <f>'Medicaid &amp; FAMIS - LASER'!E23+'SNAP LASER'!E23+'TANF LASER'!D23+'Energy Assistance LASER'!E23+'FC &amp; Adoptions LASER'!D23+'CSA LASER'!D23+'ChildCare LASER'!I23+'Other Benefits LASER'!D23</f>
        <v>5381193.6517999992</v>
      </c>
      <c r="E24" s="1597">
        <f>'Medicaid &amp; FAMIS - LASER'!F23+'TANF LASER'!F23+'Energy Assistance LASER'!G23+'CSA LASER'!E23+'ChildCare LASER'!J23+'FC &amp; Adoptions LASER'!E23+'Other Benefits LASER'!E23</f>
        <v>3692740.8281999999</v>
      </c>
      <c r="F24" s="1597">
        <f>'Medicaid &amp; FAMIS - LASER'!G23+'TANF LASER'!G23+'Energy Assistance LASER'!H23+'FC &amp; Adoptions LASER'!F23+'CSA LASER'!F23+'Other Benefits LASER'!F23</f>
        <v>51386.020000000004</v>
      </c>
      <c r="G24" s="1597">
        <f>'TANF LASER'!H23+'Energy Assistance LASER'!J23+'FC &amp; Adoptions LASER'!G23+'CSA LASER'!G23+'Other Benefits LASER'!G23</f>
        <v>0</v>
      </c>
      <c r="H24" s="1597">
        <f>'Medicaid &amp; FAMIS - LASER'!D23+'SNAP LASER'!D23+'TANF LASER'!I23+'Energy Assistance LASER'!D23+'FC &amp; Adoptions LASER'!I23+'CSA LASER'!H23+'ChildCare LASER'!K23+'Other Benefits LASER'!I23</f>
        <v>9125320.5</v>
      </c>
      <c r="I24" s="1597">
        <f t="shared" si="1"/>
        <v>51386.020000000004</v>
      </c>
    </row>
    <row r="25" spans="1:9">
      <c r="A25" s="767" t="s">
        <v>50</v>
      </c>
      <c r="B25" s="618" t="s">
        <v>51</v>
      </c>
      <c r="C25" s="768" t="s">
        <v>265</v>
      </c>
      <c r="D25" s="1597">
        <f>'Medicaid &amp; FAMIS - LASER'!E24+'SNAP LASER'!E24+'TANF LASER'!D24+'Energy Assistance LASER'!E24+'FC &amp; Adoptions LASER'!D24+'CSA LASER'!D24+'ChildCare LASER'!I24+'Other Benefits LASER'!D24</f>
        <v>12698060.822290001</v>
      </c>
      <c r="E25" s="1597">
        <f>'Medicaid &amp; FAMIS - LASER'!F24+'TANF LASER'!F24+'Energy Assistance LASER'!G24+'CSA LASER'!E24+'ChildCare LASER'!J24+'FC &amp; Adoptions LASER'!E24+'Other Benefits LASER'!E24</f>
        <v>9821036.0450524986</v>
      </c>
      <c r="F25" s="1597">
        <f>'Medicaid &amp; FAMIS - LASER'!G24+'TANF LASER'!G24+'Energy Assistance LASER'!H24+'FC &amp; Adoptions LASER'!F24+'CSA LASER'!F24+'Other Benefits LASER'!F24</f>
        <v>243587.56255750003</v>
      </c>
      <c r="G25" s="1597">
        <f>'TANF LASER'!H24+'Energy Assistance LASER'!J24+'FC &amp; Adoptions LASER'!G24+'CSA LASER'!G24+'Other Benefits LASER'!G24</f>
        <v>-0.08</v>
      </c>
      <c r="H25" s="1597">
        <f>'Medicaid &amp; FAMIS - LASER'!D24+'SNAP LASER'!D24+'TANF LASER'!I24+'Energy Assistance LASER'!D24+'FC &amp; Adoptions LASER'!I24+'CSA LASER'!H24+'ChildCare LASER'!K24+'Other Benefits LASER'!I24</f>
        <v>22762684.3499</v>
      </c>
      <c r="I25" s="1597">
        <f t="shared" si="1"/>
        <v>243587.48255750004</v>
      </c>
    </row>
    <row r="26" spans="1:9">
      <c r="A26" s="767" t="s">
        <v>56</v>
      </c>
      <c r="B26" s="618" t="s">
        <v>295</v>
      </c>
      <c r="C26" s="768" t="s">
        <v>266</v>
      </c>
      <c r="D26" s="1597">
        <f>'Medicaid &amp; FAMIS - LASER'!E25+'SNAP LASER'!E25+'TANF LASER'!D25+'Energy Assistance LASER'!E25+'FC &amp; Adoptions LASER'!D25+'CSA LASER'!D25+'ChildCare LASER'!I25+'Other Benefits LASER'!D25</f>
        <v>192477734.94484401</v>
      </c>
      <c r="E26" s="1597">
        <f>'Medicaid &amp; FAMIS - LASER'!F25+'TANF LASER'!F25+'Energy Assistance LASER'!G25+'CSA LASER'!E25+'ChildCare LASER'!J25+'FC &amp; Adoptions LASER'!E25+'Other Benefits LASER'!E25</f>
        <v>141435700.92245799</v>
      </c>
      <c r="F26" s="1597">
        <f>'Medicaid &amp; FAMIS - LASER'!G25+'TANF LASER'!G25+'Energy Assistance LASER'!H25+'FC &amp; Adoptions LASER'!F25+'CSA LASER'!F25+'Other Benefits LASER'!F25</f>
        <v>3703661.241498</v>
      </c>
      <c r="G26" s="1597">
        <f>'TANF LASER'!H25+'Energy Assistance LASER'!J25+'FC &amp; Adoptions LASER'!G25+'CSA LASER'!G25+'Other Benefits LASER'!G25</f>
        <v>157692.83000000002</v>
      </c>
      <c r="H26" s="1597">
        <f>'Medicaid &amp; FAMIS - LASER'!D25+'SNAP LASER'!D25+'TANF LASER'!I25+'Energy Assistance LASER'!D25+'FC &amp; Adoptions LASER'!I25+'CSA LASER'!H25+'ChildCare LASER'!K25+'Other Benefits LASER'!I25</f>
        <v>337774789.93879998</v>
      </c>
      <c r="I26" s="1597">
        <f t="shared" si="1"/>
        <v>3861354.0714980001</v>
      </c>
    </row>
    <row r="27" spans="1:9">
      <c r="A27" s="767" t="s">
        <v>58</v>
      </c>
      <c r="B27" s="618" t="s">
        <v>59</v>
      </c>
      <c r="C27" s="768" t="s">
        <v>267</v>
      </c>
      <c r="D27" s="1597">
        <f>'Medicaid &amp; FAMIS - LASER'!E26+'SNAP LASER'!E26+'TANF LASER'!D26+'Energy Assistance LASER'!E26+'FC &amp; Adoptions LASER'!D26+'CSA LASER'!D26+'ChildCare LASER'!I26+'Other Benefits LASER'!D26</f>
        <v>6189611.3725000005</v>
      </c>
      <c r="E27" s="1597">
        <f>'Medicaid &amp; FAMIS - LASER'!F26+'TANF LASER'!F26+'Energy Assistance LASER'!G26+'CSA LASER'!E26+'ChildCare LASER'!J26+'FC &amp; Adoptions LASER'!E26+'Other Benefits LASER'!E26</f>
        <v>5347872.2434931248</v>
      </c>
      <c r="F27" s="1597">
        <f>'Medicaid &amp; FAMIS - LASER'!G26+'TANF LASER'!G26+'Energy Assistance LASER'!H26+'FC &amp; Adoptions LASER'!F26+'CSA LASER'!F26+'Other Benefits LASER'!F26</f>
        <v>263872.68400687503</v>
      </c>
      <c r="G27" s="1597">
        <f>'TANF LASER'!H26+'Energy Assistance LASER'!J26+'FC &amp; Adoptions LASER'!G26+'CSA LASER'!G26+'Other Benefits LASER'!G26</f>
        <v>0</v>
      </c>
      <c r="H27" s="1597">
        <f>'Medicaid &amp; FAMIS - LASER'!D26+'SNAP LASER'!D26+'TANF LASER'!I26+'Energy Assistance LASER'!D26+'FC &amp; Adoptions LASER'!I26+'CSA LASER'!H26+'ChildCare LASER'!K26+'Other Benefits LASER'!I26</f>
        <v>11801356.300000004</v>
      </c>
      <c r="I27" s="1597">
        <f t="shared" si="1"/>
        <v>263872.68400687503</v>
      </c>
    </row>
    <row r="28" spans="1:9">
      <c r="A28" s="767" t="s">
        <v>60</v>
      </c>
      <c r="B28" s="618" t="s">
        <v>61</v>
      </c>
      <c r="C28" s="768" t="s">
        <v>265</v>
      </c>
      <c r="D28" s="1597">
        <f>'Medicaid &amp; FAMIS - LASER'!E27+'SNAP LASER'!E27+'TANF LASER'!D27+'Energy Assistance LASER'!E27+'FC &amp; Adoptions LASER'!D27+'CSA LASER'!D27+'ChildCare LASER'!I27+'Other Benefits LASER'!D27</f>
        <v>3165407.3791000005</v>
      </c>
      <c r="E28" s="1597">
        <f>'Medicaid &amp; FAMIS - LASER'!F27+'TANF LASER'!F27+'Energy Assistance LASER'!G27+'CSA LASER'!E27+'ChildCare LASER'!J27+'FC &amp; Adoptions LASER'!E27+'Other Benefits LASER'!E27</f>
        <v>2546784.4228225001</v>
      </c>
      <c r="F28" s="1597">
        <f>'Medicaid &amp; FAMIS - LASER'!G27+'TANF LASER'!G27+'Energy Assistance LASER'!H27+'FC &amp; Adoptions LASER'!F27+'CSA LASER'!F27+'Other Benefits LASER'!F27</f>
        <v>116138.23807749999</v>
      </c>
      <c r="G28" s="1597">
        <f>'TANF LASER'!H27+'Energy Assistance LASER'!J27+'FC &amp; Adoptions LASER'!G27+'CSA LASER'!G27+'Other Benefits LASER'!G27</f>
        <v>-0.03</v>
      </c>
      <c r="H28" s="1597">
        <f>'Medicaid &amp; FAMIS - LASER'!D27+'SNAP LASER'!D27+'TANF LASER'!I27+'Energy Assistance LASER'!D27+'FC &amp; Adoptions LASER'!I27+'CSA LASER'!H27+'ChildCare LASER'!K27+'Other Benefits LASER'!I27</f>
        <v>5828330.0100000007</v>
      </c>
      <c r="I28" s="1597">
        <f t="shared" si="1"/>
        <v>116138.20807749999</v>
      </c>
    </row>
    <row r="29" spans="1:9">
      <c r="A29" s="767" t="s">
        <v>62</v>
      </c>
      <c r="B29" s="618" t="s">
        <v>63</v>
      </c>
      <c r="C29" s="768" t="s">
        <v>267</v>
      </c>
      <c r="D29" s="1597">
        <f>'Medicaid &amp; FAMIS - LASER'!E28+'SNAP LASER'!E28+'TANF LASER'!D28+'Energy Assistance LASER'!E28+'FC &amp; Adoptions LASER'!D28+'CSA LASER'!D28+'ChildCare LASER'!I28+'Other Benefits LASER'!D28</f>
        <v>34599013.927337997</v>
      </c>
      <c r="E29" s="1597">
        <f>'Medicaid &amp; FAMIS - LASER'!F28+'TANF LASER'!F28+'Energy Assistance LASER'!G28+'CSA LASER'!E28+'ChildCare LASER'!J28+'FC &amp; Adoptions LASER'!E28+'Other Benefits LASER'!E28</f>
        <v>26995595.60734725</v>
      </c>
      <c r="F29" s="1597">
        <f>'Medicaid &amp; FAMIS - LASER'!G28+'TANF LASER'!G28+'Energy Assistance LASER'!H28+'FC &amp; Adoptions LASER'!F28+'CSA LASER'!F28+'Other Benefits LASER'!F28</f>
        <v>1766973.8651147499</v>
      </c>
      <c r="G29" s="1597">
        <f>'TANF LASER'!H28+'Energy Assistance LASER'!J28+'FC &amp; Adoptions LASER'!G28+'CSA LASER'!G28+'Other Benefits LASER'!G28</f>
        <v>6436.87</v>
      </c>
      <c r="H29" s="1597">
        <f>'Medicaid &amp; FAMIS - LASER'!D28+'SNAP LASER'!D28+'TANF LASER'!I28+'Energy Assistance LASER'!D28+'FC &amp; Adoptions LASER'!I28+'CSA LASER'!H28+'ChildCare LASER'!K28+'Other Benefits LASER'!I28</f>
        <v>63368020.269800007</v>
      </c>
      <c r="I29" s="1597">
        <f t="shared" si="1"/>
        <v>1773410.73511475</v>
      </c>
    </row>
    <row r="30" spans="1:9">
      <c r="A30" s="767" t="s">
        <v>64</v>
      </c>
      <c r="B30" s="618" t="s">
        <v>65</v>
      </c>
      <c r="C30" s="768" t="s">
        <v>266</v>
      </c>
      <c r="D30" s="1597">
        <f>'Medicaid &amp; FAMIS - LASER'!E29+'SNAP LASER'!E29+'TANF LASER'!D29+'Energy Assistance LASER'!E29+'FC &amp; Adoptions LASER'!D29+'CSA LASER'!D29+'ChildCare LASER'!I29+'Other Benefits LASER'!D29</f>
        <v>11862446.413679</v>
      </c>
      <c r="E30" s="1597">
        <f>'Medicaid &amp; FAMIS - LASER'!F29+'TANF LASER'!F29+'Energy Assistance LASER'!G29+'CSA LASER'!E29+'ChildCare LASER'!J29+'FC &amp; Adoptions LASER'!E29+'Other Benefits LASER'!E29</f>
        <v>8716732.4029209986</v>
      </c>
      <c r="F30" s="1597">
        <f>'Medicaid &amp; FAMIS - LASER'!G29+'TANF LASER'!G29+'Energy Assistance LASER'!H29+'FC &amp; Adoptions LASER'!F29+'CSA LASER'!F29+'Other Benefits LASER'!F29</f>
        <v>211842.34330000001</v>
      </c>
      <c r="G30" s="1597">
        <f>'TANF LASER'!H29+'Energy Assistance LASER'!J29+'FC &amp; Adoptions LASER'!G29+'CSA LASER'!G29+'Other Benefits LASER'!G29</f>
        <v>-0.02</v>
      </c>
      <c r="H30" s="1597">
        <f>'Medicaid &amp; FAMIS - LASER'!D29+'SNAP LASER'!D29+'TANF LASER'!I29+'Energy Assistance LASER'!D29+'FC &amp; Adoptions LASER'!I29+'CSA LASER'!H29+'ChildCare LASER'!K29+'Other Benefits LASER'!I29</f>
        <v>20791021.139899999</v>
      </c>
      <c r="I30" s="1597">
        <f t="shared" si="1"/>
        <v>211842.32330000002</v>
      </c>
    </row>
    <row r="31" spans="1:9">
      <c r="A31" s="767" t="s">
        <v>68</v>
      </c>
      <c r="B31" s="618" t="s">
        <v>69</v>
      </c>
      <c r="C31" s="768" t="s">
        <v>268</v>
      </c>
      <c r="D31" s="1597">
        <f>'Medicaid &amp; FAMIS - LASER'!E30+'SNAP LASER'!E30+'TANF LASER'!D30+'Energy Assistance LASER'!E30+'FC &amp; Adoptions LASER'!D30+'CSA LASER'!D30+'ChildCare LASER'!I30+'Other Benefits LASER'!D30</f>
        <v>17732050.448239997</v>
      </c>
      <c r="E31" s="1597">
        <f>'Medicaid &amp; FAMIS - LASER'!F30+'TANF LASER'!F30+'Energy Assistance LASER'!G30+'CSA LASER'!E30+'ChildCare LASER'!J30+'FC &amp; Adoptions LASER'!E30+'Other Benefits LASER'!E30</f>
        <v>13997549.006819999</v>
      </c>
      <c r="F31" s="1597">
        <f>'Medicaid &amp; FAMIS - LASER'!G30+'TANF LASER'!G30+'Energy Assistance LASER'!H30+'FC &amp; Adoptions LASER'!F30+'CSA LASER'!F30+'Other Benefits LASER'!F30</f>
        <v>504956.87484</v>
      </c>
      <c r="G31" s="1597">
        <f>'TANF LASER'!H30+'Energy Assistance LASER'!J30+'FC &amp; Adoptions LASER'!G30+'CSA LASER'!G30+'Other Benefits LASER'!G30</f>
        <v>1083.55</v>
      </c>
      <c r="H31" s="1597">
        <f>'Medicaid &amp; FAMIS - LASER'!D30+'SNAP LASER'!D30+'TANF LASER'!I30+'Energy Assistance LASER'!D30+'FC &amp; Adoptions LASER'!I30+'CSA LASER'!H30+'ChildCare LASER'!K30+'Other Benefits LASER'!I30</f>
        <v>32235639.879900001</v>
      </c>
      <c r="I31" s="1597">
        <f t="shared" si="1"/>
        <v>506040.42483999999</v>
      </c>
    </row>
    <row r="32" spans="1:9">
      <c r="A32" s="767" t="s">
        <v>70</v>
      </c>
      <c r="B32" s="618" t="s">
        <v>71</v>
      </c>
      <c r="C32" s="768" t="s">
        <v>264</v>
      </c>
      <c r="D32" s="1597">
        <f>'Medicaid &amp; FAMIS - LASER'!E31+'SNAP LASER'!E31+'TANF LASER'!D31+'Energy Assistance LASER'!E31+'FC &amp; Adoptions LASER'!D31+'CSA LASER'!D31+'ChildCare LASER'!I31+'Other Benefits LASER'!D31</f>
        <v>24610773.915750004</v>
      </c>
      <c r="E32" s="1597">
        <f>'Medicaid &amp; FAMIS - LASER'!F31+'TANF LASER'!F31+'Energy Assistance LASER'!G31+'CSA LASER'!E31+'ChildCare LASER'!J31+'FC &amp; Adoptions LASER'!E31+'Other Benefits LASER'!E31</f>
        <v>17705015.949584249</v>
      </c>
      <c r="F32" s="1597">
        <f>'Medicaid &amp; FAMIS - LASER'!G31+'TANF LASER'!G31+'Energy Assistance LASER'!H31+'FC &amp; Adoptions LASER'!F31+'CSA LASER'!F31+'Other Benefits LASER'!F31</f>
        <v>593170.02456575003</v>
      </c>
      <c r="G32" s="1597">
        <f>'TANF LASER'!H31+'Energy Assistance LASER'!J31+'FC &amp; Adoptions LASER'!G31+'CSA LASER'!G31+'Other Benefits LASER'!G31</f>
        <v>1402.8700000000001</v>
      </c>
      <c r="H32" s="1597">
        <f>'Medicaid &amp; FAMIS - LASER'!D31+'SNAP LASER'!D31+'TANF LASER'!I31+'Energy Assistance LASER'!D31+'FC &amp; Adoptions LASER'!I31+'CSA LASER'!H31+'ChildCare LASER'!K31+'Other Benefits LASER'!I31</f>
        <v>42910362.759900004</v>
      </c>
      <c r="I32" s="1597">
        <f t="shared" si="1"/>
        <v>594572.89456575003</v>
      </c>
    </row>
    <row r="33" spans="1:9">
      <c r="A33" s="767" t="s">
        <v>72</v>
      </c>
      <c r="B33" s="618" t="s">
        <v>73</v>
      </c>
      <c r="C33" s="768" t="s">
        <v>266</v>
      </c>
      <c r="D33" s="1597">
        <f>'Medicaid &amp; FAMIS - LASER'!E32+'SNAP LASER'!E32+'TANF LASER'!D32+'Energy Assistance LASER'!E32+'FC &amp; Adoptions LASER'!D32+'CSA LASER'!D32+'ChildCare LASER'!I32+'Other Benefits LASER'!D32</f>
        <v>11894553.94373</v>
      </c>
      <c r="E33" s="1597">
        <f>'Medicaid &amp; FAMIS - LASER'!F32+'TANF LASER'!F32+'Energy Assistance LASER'!G32+'CSA LASER'!E32+'ChildCare LASER'!J32+'FC &amp; Adoptions LASER'!E32+'Other Benefits LASER'!E32</f>
        <v>7945072.0455462513</v>
      </c>
      <c r="F33" s="1597">
        <f>'Medicaid &amp; FAMIS - LASER'!G32+'TANF LASER'!G32+'Energy Assistance LASER'!H32+'FC &amp; Adoptions LASER'!F32+'CSA LASER'!F32+'Other Benefits LASER'!F32</f>
        <v>325203.03062374995</v>
      </c>
      <c r="G33" s="1597">
        <f>'TANF LASER'!H32+'Energy Assistance LASER'!J32+'FC &amp; Adoptions LASER'!G32+'CSA LASER'!G32+'Other Benefits LASER'!G32</f>
        <v>-0.01</v>
      </c>
      <c r="H33" s="1597">
        <f>'Medicaid &amp; FAMIS - LASER'!D32+'SNAP LASER'!D32+'TANF LASER'!I32+'Energy Assistance LASER'!D32+'FC &amp; Adoptions LASER'!I32+'CSA LASER'!H32+'ChildCare LASER'!K32+'Other Benefits LASER'!I32</f>
        <v>20164829.0099</v>
      </c>
      <c r="I33" s="1597">
        <f t="shared" si="1"/>
        <v>325203.02062374994</v>
      </c>
    </row>
    <row r="34" spans="1:9">
      <c r="A34" s="767" t="s">
        <v>74</v>
      </c>
      <c r="B34" s="618" t="s">
        <v>618</v>
      </c>
      <c r="C34" s="768" t="s">
        <v>267</v>
      </c>
      <c r="D34" s="1597">
        <f>'Medicaid &amp; FAMIS - LASER'!E33+'SNAP LASER'!E33+'TANF LASER'!D33+'Energy Assistance LASER'!E33+'FC &amp; Adoptions LASER'!D33+'CSA LASER'!D33+'ChildCare LASER'!I33+'Other Benefits LASER'!D33</f>
        <v>359927838.73032498</v>
      </c>
      <c r="E34" s="1597">
        <f>'Medicaid &amp; FAMIS - LASER'!F33+'TANF LASER'!F33+'Energy Assistance LASER'!G33+'CSA LASER'!E33+'ChildCare LASER'!J33+'FC &amp; Adoptions LASER'!E33+'Other Benefits LASER'!E33</f>
        <v>287254204.81501466</v>
      </c>
      <c r="F34" s="1597">
        <f>'Medicaid &amp; FAMIS - LASER'!G33+'TANF LASER'!G33+'Energy Assistance LASER'!H33+'FC &amp; Adoptions LASER'!F33+'CSA LASER'!F33+'Other Benefits LASER'!F33</f>
        <v>18410517.76266044</v>
      </c>
      <c r="G34" s="1597">
        <f>'TANF LASER'!H33+'Energy Assistance LASER'!J33+'FC &amp; Adoptions LASER'!G33+'CSA LASER'!G33+'Other Benefits LASER'!G33</f>
        <v>60503.46</v>
      </c>
      <c r="H34" s="1597">
        <f>'Medicaid &amp; FAMIS - LASER'!D33+'SNAP LASER'!D33+'TANF LASER'!I33+'Energy Assistance LASER'!D33+'FC &amp; Adoptions LASER'!I33+'CSA LASER'!H33+'ChildCare LASER'!K33+'Other Benefits LASER'!I33</f>
        <v>665653064.76800013</v>
      </c>
      <c r="I34" s="1597">
        <f t="shared" si="1"/>
        <v>18471021.222660441</v>
      </c>
    </row>
    <row r="35" spans="1:9">
      <c r="A35" s="767" t="s">
        <v>76</v>
      </c>
      <c r="B35" s="618" t="s">
        <v>77</v>
      </c>
      <c r="C35" s="768" t="s">
        <v>267</v>
      </c>
      <c r="D35" s="1597">
        <f>'Medicaid &amp; FAMIS - LASER'!E34+'SNAP LASER'!E34+'TANF LASER'!D34+'Energy Assistance LASER'!E34+'FC &amp; Adoptions LASER'!D34+'CSA LASER'!D34+'ChildCare LASER'!I34+'Other Benefits LASER'!D34</f>
        <v>29139154.783790004</v>
      </c>
      <c r="E35" s="1597">
        <f>'Medicaid &amp; FAMIS - LASER'!F34+'TANF LASER'!F34+'Energy Assistance LASER'!G34+'CSA LASER'!E34+'ChildCare LASER'!J34+'FC &amp; Adoptions LASER'!E34+'Other Benefits LASER'!E34</f>
        <v>24459675.21074</v>
      </c>
      <c r="F35" s="1597">
        <f>'Medicaid &amp; FAMIS - LASER'!G34+'TANF LASER'!G34+'Energy Assistance LASER'!H34+'FC &amp; Adoptions LASER'!F34+'CSA LASER'!F34+'Other Benefits LASER'!F34</f>
        <v>2028306.67527</v>
      </c>
      <c r="G35" s="1597">
        <f>'TANF LASER'!H34+'Energy Assistance LASER'!J34+'FC &amp; Adoptions LASER'!G34+'CSA LASER'!G34+'Other Benefits LASER'!G34</f>
        <v>-237.56999999999962</v>
      </c>
      <c r="H35" s="1597">
        <f>'Medicaid &amp; FAMIS - LASER'!D34+'SNAP LASER'!D34+'TANF LASER'!I34+'Energy Assistance LASER'!D34+'FC &amp; Adoptions LASER'!I34+'CSA LASER'!H34+'ChildCare LASER'!K34+'Other Benefits LASER'!I34</f>
        <v>55626899.099799998</v>
      </c>
      <c r="I35" s="1597">
        <f t="shared" si="1"/>
        <v>2028069.1052699999</v>
      </c>
    </row>
    <row r="36" spans="1:9">
      <c r="A36" s="767" t="s">
        <v>78</v>
      </c>
      <c r="B36" s="618" t="s">
        <v>79</v>
      </c>
      <c r="C36" s="768" t="s">
        <v>268</v>
      </c>
      <c r="D36" s="1597">
        <f>'Medicaid &amp; FAMIS - LASER'!E35+'SNAP LASER'!E35+'TANF LASER'!D35+'Energy Assistance LASER'!E35+'FC &amp; Adoptions LASER'!D35+'CSA LASER'!D35+'ChildCare LASER'!I35+'Other Benefits LASER'!D35</f>
        <v>11642167.105046999</v>
      </c>
      <c r="E36" s="1597">
        <f>'Medicaid &amp; FAMIS - LASER'!F35+'TANF LASER'!F35+'Energy Assistance LASER'!G35+'CSA LASER'!E35+'ChildCare LASER'!J35+'FC &amp; Adoptions LASER'!E35+'Other Benefits LASER'!E35</f>
        <v>9190251.531428</v>
      </c>
      <c r="F36" s="1597">
        <f>'Medicaid &amp; FAMIS - LASER'!G35+'TANF LASER'!G35+'Energy Assistance LASER'!H35+'FC &amp; Adoptions LASER'!F35+'CSA LASER'!F35+'Other Benefits LASER'!F35</f>
        <v>191784.83342499999</v>
      </c>
      <c r="G36" s="1597">
        <f>'TANF LASER'!H35+'Energy Assistance LASER'!J35+'FC &amp; Adoptions LASER'!G35+'CSA LASER'!G35+'Other Benefits LASER'!G35</f>
        <v>-0.06</v>
      </c>
      <c r="H36" s="1597">
        <f>'Medicaid &amp; FAMIS - LASER'!D35+'SNAP LASER'!D35+'TANF LASER'!I35+'Energy Assistance LASER'!D35+'FC &amp; Adoptions LASER'!I35+'CSA LASER'!H35+'ChildCare LASER'!K35+'Other Benefits LASER'!I35</f>
        <v>21024203.409900002</v>
      </c>
      <c r="I36" s="1597">
        <f t="shared" si="1"/>
        <v>191784.77342499999</v>
      </c>
    </row>
    <row r="37" spans="1:9">
      <c r="A37" s="767" t="s">
        <v>80</v>
      </c>
      <c r="B37" s="618" t="s">
        <v>81</v>
      </c>
      <c r="C37" s="768" t="s">
        <v>266</v>
      </c>
      <c r="D37" s="1597">
        <f>'Medicaid &amp; FAMIS - LASER'!E36+'SNAP LASER'!E36+'TANF LASER'!D36+'Energy Assistance LASER'!E36+'FC &amp; Adoptions LASER'!D36+'CSA LASER'!D36+'ChildCare LASER'!I36+'Other Benefits LASER'!D36</f>
        <v>11273501.437750001</v>
      </c>
      <c r="E37" s="1597">
        <f>'Medicaid &amp; FAMIS - LASER'!F36+'TANF LASER'!F36+'Energy Assistance LASER'!G36+'CSA LASER'!E36+'ChildCare LASER'!J36+'FC &amp; Adoptions LASER'!E36+'Other Benefits LASER'!E36</f>
        <v>9636629.2447341252</v>
      </c>
      <c r="F37" s="1597">
        <f>'Medicaid &amp; FAMIS - LASER'!G36+'TANF LASER'!G36+'Energy Assistance LASER'!H36+'FC &amp; Adoptions LASER'!F36+'CSA LASER'!F36+'Other Benefits LASER'!F36</f>
        <v>873145.08741587505</v>
      </c>
      <c r="G37" s="1597">
        <f>'TANF LASER'!H36+'Energy Assistance LASER'!J36+'FC &amp; Adoptions LASER'!G36+'CSA LASER'!G36+'Other Benefits LASER'!G36</f>
        <v>0</v>
      </c>
      <c r="H37" s="1597">
        <f>'Medicaid &amp; FAMIS - LASER'!D36+'SNAP LASER'!D36+'TANF LASER'!I36+'Energy Assistance LASER'!D36+'FC &amp; Adoptions LASER'!I36+'CSA LASER'!H36+'ChildCare LASER'!K36+'Other Benefits LASER'!I36</f>
        <v>21783275.769900002</v>
      </c>
      <c r="I37" s="1597">
        <f t="shared" si="1"/>
        <v>873145.08741587505</v>
      </c>
    </row>
    <row r="38" spans="1:9">
      <c r="A38" s="767" t="s">
        <v>84</v>
      </c>
      <c r="B38" s="618" t="s">
        <v>308</v>
      </c>
      <c r="C38" s="768" t="s">
        <v>265</v>
      </c>
      <c r="D38" s="1597">
        <f>'Medicaid &amp; FAMIS - LASER'!E37+'SNAP LASER'!E37+'TANF LASER'!D37+'Energy Assistance LASER'!E37+'FC &amp; Adoptions LASER'!D37+'CSA LASER'!D37+'ChildCare LASER'!I37+'Other Benefits LASER'!D37</f>
        <v>43162822.590614006</v>
      </c>
      <c r="E38" s="1597">
        <f>'Medicaid &amp; FAMIS - LASER'!F37+'TANF LASER'!F37+'Energy Assistance LASER'!G37+'CSA LASER'!E37+'ChildCare LASER'!J37+'FC &amp; Adoptions LASER'!E37+'Other Benefits LASER'!E37</f>
        <v>33541951.0698235</v>
      </c>
      <c r="F38" s="1597">
        <f>'Medicaid &amp; FAMIS - LASER'!G37+'TANF LASER'!G37+'Energy Assistance LASER'!H37+'FC &amp; Adoptions LASER'!F37+'CSA LASER'!F37+'Other Benefits LASER'!F37</f>
        <v>1407684.6792625</v>
      </c>
      <c r="G38" s="1597">
        <f>'TANF LASER'!H37+'Energy Assistance LASER'!J37+'FC &amp; Adoptions LASER'!G37+'CSA LASER'!G37+'Other Benefits LASER'!G37</f>
        <v>34795.149999999994</v>
      </c>
      <c r="H38" s="1597">
        <f>'Medicaid &amp; FAMIS - LASER'!D37+'SNAP LASER'!D37+'TANF LASER'!I37+'Energy Assistance LASER'!D37+'FC &amp; Adoptions LASER'!I37+'CSA LASER'!H37+'ChildCare LASER'!K37+'Other Benefits LASER'!I37</f>
        <v>78147253.48969999</v>
      </c>
      <c r="I38" s="1597">
        <f t="shared" si="1"/>
        <v>1442479.8292624999</v>
      </c>
    </row>
    <row r="39" spans="1:9">
      <c r="A39" s="767" t="s">
        <v>86</v>
      </c>
      <c r="B39" s="618" t="s">
        <v>87</v>
      </c>
      <c r="C39" s="768" t="s">
        <v>267</v>
      </c>
      <c r="D39" s="1597">
        <f>'Medicaid &amp; FAMIS - LASER'!E38+'SNAP LASER'!E38+'TANF LASER'!D38+'Energy Assistance LASER'!E38+'FC &amp; Adoptions LASER'!D38+'CSA LASER'!D38+'ChildCare LASER'!I38+'Other Benefits LASER'!D38</f>
        <v>38020293.760396987</v>
      </c>
      <c r="E39" s="1597">
        <f>'Medicaid &amp; FAMIS - LASER'!F38+'TANF LASER'!F38+'Energy Assistance LASER'!G38+'CSA LASER'!E38+'ChildCare LASER'!J38+'FC &amp; Adoptions LASER'!E38+'Other Benefits LASER'!E38</f>
        <v>28013617.824515503</v>
      </c>
      <c r="F39" s="1597">
        <f>'Medicaid &amp; FAMIS - LASER'!G38+'TANF LASER'!G38+'Energy Assistance LASER'!H38+'FC &amp; Adoptions LASER'!F38+'CSA LASER'!F38+'Other Benefits LASER'!F38</f>
        <v>760710.33488750004</v>
      </c>
      <c r="G39" s="1597">
        <f>'TANF LASER'!H38+'Energy Assistance LASER'!J38+'FC &amp; Adoptions LASER'!G38+'CSA LASER'!G38+'Other Benefits LASER'!G38</f>
        <v>6016.9699999999993</v>
      </c>
      <c r="H39" s="1597">
        <f>'Medicaid &amp; FAMIS - LASER'!D38+'SNAP LASER'!D38+'TANF LASER'!I38+'Energy Assistance LASER'!D38+'FC &amp; Adoptions LASER'!I38+'CSA LASER'!H38+'ChildCare LASER'!K38+'Other Benefits LASER'!I38</f>
        <v>66800638.88979999</v>
      </c>
      <c r="I39" s="1597">
        <f t="shared" si="1"/>
        <v>766727.30488750001</v>
      </c>
    </row>
    <row r="40" spans="1:9">
      <c r="A40" s="767" t="s">
        <v>92</v>
      </c>
      <c r="B40" s="618" t="s">
        <v>93</v>
      </c>
      <c r="C40" s="768" t="s">
        <v>268</v>
      </c>
      <c r="D40" s="1597">
        <f>'Medicaid &amp; FAMIS - LASER'!E39+'SNAP LASER'!E39+'TANF LASER'!D39+'Energy Assistance LASER'!E39+'FC &amp; Adoptions LASER'!D39+'CSA LASER'!D39+'ChildCare LASER'!I39+'Other Benefits LASER'!D39</f>
        <v>14790277.707970001</v>
      </c>
      <c r="E40" s="1597">
        <f>'Medicaid &amp; FAMIS - LASER'!F39+'TANF LASER'!F39+'Energy Assistance LASER'!G39+'CSA LASER'!E39+'ChildCare LASER'!J39+'FC &amp; Adoptions LASER'!E39+'Other Benefits LASER'!E39</f>
        <v>12172623.925902501</v>
      </c>
      <c r="F40" s="1597">
        <f>'Medicaid &amp; FAMIS - LASER'!G39+'TANF LASER'!G39+'Energy Assistance LASER'!H39+'FC &amp; Adoptions LASER'!F39+'CSA LASER'!F39+'Other Benefits LASER'!F39</f>
        <v>412447.08602749999</v>
      </c>
      <c r="G40" s="1597">
        <f>'TANF LASER'!H39+'Energy Assistance LASER'!J39+'FC &amp; Adoptions LASER'!G39+'CSA LASER'!G39+'Other Benefits LASER'!G39</f>
        <v>524.73</v>
      </c>
      <c r="H40" s="1597">
        <f>'Medicaid &amp; FAMIS - LASER'!D39+'SNAP LASER'!D39+'TANF LASER'!I39+'Energy Assistance LASER'!D39+'FC &amp; Adoptions LASER'!I39+'CSA LASER'!H39+'ChildCare LASER'!K39+'Other Benefits LASER'!I39</f>
        <v>27375873.449899994</v>
      </c>
      <c r="I40" s="1597">
        <f t="shared" si="1"/>
        <v>412971.81602749997</v>
      </c>
    </row>
    <row r="41" spans="1:9">
      <c r="A41" s="767" t="s">
        <v>94</v>
      </c>
      <c r="B41" s="618" t="s">
        <v>95</v>
      </c>
      <c r="C41" s="768" t="s">
        <v>264</v>
      </c>
      <c r="D41" s="1597">
        <f>'Medicaid &amp; FAMIS - LASER'!E40+'SNAP LASER'!E40+'TANF LASER'!D40+'Energy Assistance LASER'!E40+'FC &amp; Adoptions LASER'!D40+'CSA LASER'!D40+'ChildCare LASER'!I40+'Other Benefits LASER'!D40</f>
        <v>23881927.821651999</v>
      </c>
      <c r="E41" s="1597">
        <f>'Medicaid &amp; FAMIS - LASER'!F40+'TANF LASER'!F40+'Energy Assistance LASER'!G40+'CSA LASER'!E40+'ChildCare LASER'!J40+'FC &amp; Adoptions LASER'!E40+'Other Benefits LASER'!E40</f>
        <v>17891734.694522623</v>
      </c>
      <c r="F41" s="1597">
        <f>'Medicaid &amp; FAMIS - LASER'!G40+'TANF LASER'!G40+'Energy Assistance LASER'!H40+'FC &amp; Adoptions LASER'!F40+'CSA LASER'!F40+'Other Benefits LASER'!F40</f>
        <v>540095.99372537504</v>
      </c>
      <c r="G41" s="1597">
        <f>'TANF LASER'!H40+'Energy Assistance LASER'!J40+'FC &amp; Adoptions LASER'!G40+'CSA LASER'!G40+'Other Benefits LASER'!G40</f>
        <v>1226.4000000000001</v>
      </c>
      <c r="H41" s="1597">
        <f>'Medicaid &amp; FAMIS - LASER'!D40+'SNAP LASER'!D40+'TANF LASER'!I40+'Energy Assistance LASER'!D40+'FC &amp; Adoptions LASER'!I40+'CSA LASER'!H40+'ChildCare LASER'!K40+'Other Benefits LASER'!I40</f>
        <v>42314984.909899995</v>
      </c>
      <c r="I41" s="1597">
        <f t="shared" si="1"/>
        <v>541322.39372537506</v>
      </c>
    </row>
    <row r="42" spans="1:9">
      <c r="A42" s="767" t="s">
        <v>96</v>
      </c>
      <c r="B42" s="618" t="s">
        <v>97</v>
      </c>
      <c r="C42" s="768" t="s">
        <v>266</v>
      </c>
      <c r="D42" s="1597">
        <f>'Medicaid &amp; FAMIS - LASER'!E41+'SNAP LASER'!E41+'TANF LASER'!D41+'Energy Assistance LASER'!E41+'FC &amp; Adoptions LASER'!D41+'CSA LASER'!D41+'ChildCare LASER'!I41+'Other Benefits LASER'!D41</f>
        <v>8364226.2638499998</v>
      </c>
      <c r="E42" s="1597">
        <f>'Medicaid &amp; FAMIS - LASER'!F41+'TANF LASER'!F41+'Energy Assistance LASER'!G41+'CSA LASER'!E41+'ChildCare LASER'!J41+'FC &amp; Adoptions LASER'!E41+'Other Benefits LASER'!E41</f>
        <v>6577984.7005962506</v>
      </c>
      <c r="F42" s="1597">
        <f>'Medicaid &amp; FAMIS - LASER'!G41+'TANF LASER'!G41+'Energy Assistance LASER'!H41+'FC &amp; Adoptions LASER'!F41+'CSA LASER'!F41+'Other Benefits LASER'!F41</f>
        <v>464167.43545375002</v>
      </c>
      <c r="G42" s="1597">
        <f>'TANF LASER'!H41+'Energy Assistance LASER'!J41+'FC &amp; Adoptions LASER'!G41+'CSA LASER'!G41+'Other Benefits LASER'!G41</f>
        <v>72849.759999999995</v>
      </c>
      <c r="H42" s="1597">
        <f>'Medicaid &amp; FAMIS - LASER'!D41+'SNAP LASER'!D41+'TANF LASER'!I41+'Energy Assistance LASER'!D41+'FC &amp; Adoptions LASER'!I41+'CSA LASER'!H41+'ChildCare LASER'!K41+'Other Benefits LASER'!I41</f>
        <v>15479228.1599</v>
      </c>
      <c r="I42" s="1597">
        <f t="shared" si="1"/>
        <v>537017.19545374997</v>
      </c>
    </row>
    <row r="43" spans="1:9">
      <c r="A43" s="767" t="s">
        <v>98</v>
      </c>
      <c r="B43" s="618" t="s">
        <v>99</v>
      </c>
      <c r="C43" s="768" t="s">
        <v>268</v>
      </c>
      <c r="D43" s="1597">
        <f>'Medicaid &amp; FAMIS - LASER'!E42+'SNAP LASER'!E42+'TANF LASER'!D42+'Energy Assistance LASER'!E42+'FC &amp; Adoptions LASER'!D42+'CSA LASER'!D42+'ChildCare LASER'!I42+'Other Benefits LASER'!D42</f>
        <v>16000041.553270001</v>
      </c>
      <c r="E43" s="1597">
        <f>'Medicaid &amp; FAMIS - LASER'!F42+'TANF LASER'!F42+'Energy Assistance LASER'!G42+'CSA LASER'!E42+'ChildCare LASER'!J42+'FC &amp; Adoptions LASER'!E42+'Other Benefits LASER'!E42</f>
        <v>11942528.579061247</v>
      </c>
      <c r="F43" s="1597">
        <f>'Medicaid &amp; FAMIS - LASER'!G42+'TANF LASER'!G42+'Energy Assistance LASER'!H42+'FC &amp; Adoptions LASER'!F42+'CSA LASER'!F42+'Other Benefits LASER'!F42</f>
        <v>197206.45756874999</v>
      </c>
      <c r="G43" s="1597">
        <f>'TANF LASER'!H42+'Energy Assistance LASER'!J42+'FC &amp; Adoptions LASER'!G42+'CSA LASER'!G42+'Other Benefits LASER'!G42</f>
        <v>-0.05</v>
      </c>
      <c r="H43" s="1597">
        <f>'Medicaid &amp; FAMIS - LASER'!D42+'SNAP LASER'!D42+'TANF LASER'!I42+'Energy Assistance LASER'!D42+'FC &amp; Adoptions LASER'!I42+'CSA LASER'!H42+'ChildCare LASER'!K42+'Other Benefits LASER'!I42</f>
        <v>28139776.539899994</v>
      </c>
      <c r="I43" s="1597">
        <f t="shared" si="1"/>
        <v>197206.40756875</v>
      </c>
    </row>
    <row r="44" spans="1:9">
      <c r="A44" s="767" t="s">
        <v>100</v>
      </c>
      <c r="B44" s="618" t="s">
        <v>101</v>
      </c>
      <c r="C44" s="768" t="s">
        <v>267</v>
      </c>
      <c r="D44" s="1597">
        <f>'Medicaid &amp; FAMIS - LASER'!E43+'SNAP LASER'!E43+'TANF LASER'!D43+'Energy Assistance LASER'!E43+'FC &amp; Adoptions LASER'!D43+'CSA LASER'!D43+'ChildCare LASER'!I43+'Other Benefits LASER'!D43</f>
        <v>11851724.9856</v>
      </c>
      <c r="E44" s="1597">
        <f>'Medicaid &amp; FAMIS - LASER'!F43+'TANF LASER'!F43+'Energy Assistance LASER'!G43+'CSA LASER'!E43+'ChildCare LASER'!J43+'FC &amp; Adoptions LASER'!E43+'Other Benefits LASER'!E43</f>
        <v>9352027.57245625</v>
      </c>
      <c r="F44" s="1597">
        <f>'Medicaid &amp; FAMIS - LASER'!G43+'TANF LASER'!G43+'Energy Assistance LASER'!H43+'FC &amp; Adoptions LASER'!F43+'CSA LASER'!F43+'Other Benefits LASER'!F43</f>
        <v>506359.73184375005</v>
      </c>
      <c r="G44" s="1597">
        <f>'TANF LASER'!H43+'Energy Assistance LASER'!J43+'FC &amp; Adoptions LASER'!G43+'CSA LASER'!G43+'Other Benefits LASER'!G43</f>
        <v>-0.08</v>
      </c>
      <c r="H44" s="1597">
        <f>'Medicaid &amp; FAMIS - LASER'!D43+'SNAP LASER'!D43+'TANF LASER'!I43+'Energy Assistance LASER'!D43+'FC &amp; Adoptions LASER'!I43+'CSA LASER'!H43+'ChildCare LASER'!K43+'Other Benefits LASER'!I43</f>
        <v>21710112.209899999</v>
      </c>
      <c r="I44" s="1597">
        <f t="shared" si="1"/>
        <v>506359.65184375003</v>
      </c>
    </row>
    <row r="45" spans="1:9">
      <c r="A45" s="767" t="s">
        <v>102</v>
      </c>
      <c r="B45" s="618" t="s">
        <v>282</v>
      </c>
      <c r="C45" s="768" t="s">
        <v>264</v>
      </c>
      <c r="D45" s="1597">
        <f>'Medicaid &amp; FAMIS - LASER'!E44+'SNAP LASER'!E44+'TANF LASER'!D44+'Energy Assistance LASER'!E44+'FC &amp; Adoptions LASER'!D44+'CSA LASER'!D44+'ChildCare LASER'!I44+'Other Benefits LASER'!D44</f>
        <v>24102930.807799995</v>
      </c>
      <c r="E45" s="1597">
        <f>'Medicaid &amp; FAMIS - LASER'!F44+'TANF LASER'!F44+'Energy Assistance LASER'!G44+'CSA LASER'!E44+'ChildCare LASER'!J44+'FC &amp; Adoptions LASER'!E44+'Other Benefits LASER'!E44</f>
        <v>17708148.478966251</v>
      </c>
      <c r="F45" s="1597">
        <f>'Medicaid &amp; FAMIS - LASER'!G44+'TANF LASER'!G44+'Energy Assistance LASER'!H44+'FC &amp; Adoptions LASER'!F44+'CSA LASER'!F44+'Other Benefits LASER'!F44</f>
        <v>229734.21303374998</v>
      </c>
      <c r="G45" s="1597">
        <f>'TANF LASER'!H44+'Energy Assistance LASER'!J44+'FC &amp; Adoptions LASER'!G44+'CSA LASER'!G44+'Other Benefits LASER'!G44</f>
        <v>-0.05</v>
      </c>
      <c r="H45" s="1597">
        <f>'Medicaid &amp; FAMIS - LASER'!D44+'SNAP LASER'!D44+'TANF LASER'!I44+'Energy Assistance LASER'!D44+'FC &amp; Adoptions LASER'!I44+'CSA LASER'!H44+'ChildCare LASER'!K44+'Other Benefits LASER'!I44</f>
        <v>42040813.449799992</v>
      </c>
      <c r="I45" s="1597">
        <f t="shared" si="1"/>
        <v>229734.16303375</v>
      </c>
    </row>
    <row r="46" spans="1:9">
      <c r="A46" s="767" t="s">
        <v>104</v>
      </c>
      <c r="B46" s="618" t="s">
        <v>607</v>
      </c>
      <c r="C46" s="768" t="s">
        <v>265</v>
      </c>
      <c r="D46" s="1597">
        <f>'Medicaid &amp; FAMIS - LASER'!E45+'SNAP LASER'!E45+'TANF LASER'!D45+'Energy Assistance LASER'!E45+'FC &amp; Adoptions LASER'!D45+'CSA LASER'!D45+'ChildCare LASER'!I45+'Other Benefits LASER'!D45</f>
        <v>41193070.766566999</v>
      </c>
      <c r="E46" s="1597">
        <f>'Medicaid &amp; FAMIS - LASER'!F45+'TANF LASER'!F45+'Energy Assistance LASER'!G45+'CSA LASER'!E45+'ChildCare LASER'!J45+'FC &amp; Adoptions LASER'!E45+'Other Benefits LASER'!E45</f>
        <v>32203469.456342373</v>
      </c>
      <c r="F46" s="1597">
        <f>'Medicaid &amp; FAMIS - LASER'!G45+'TANF LASER'!G45+'Energy Assistance LASER'!H45+'FC &amp; Adoptions LASER'!F45+'CSA LASER'!F45+'Other Benefits LASER'!F45</f>
        <v>634722.62679062504</v>
      </c>
      <c r="G46" s="1597">
        <f>'TANF LASER'!H45+'Energy Assistance LASER'!J45+'FC &amp; Adoptions LASER'!G45+'CSA LASER'!G45+'Other Benefits LASER'!G45</f>
        <v>-0.11</v>
      </c>
      <c r="H46" s="1597">
        <f>'Medicaid &amp; FAMIS - LASER'!D45+'SNAP LASER'!D45+'TANF LASER'!I45+'Energy Assistance LASER'!D45+'FC &amp; Adoptions LASER'!I45+'CSA LASER'!H45+'ChildCare LASER'!K45+'Other Benefits LASER'!I45</f>
        <v>74031262.739699975</v>
      </c>
      <c r="I46" s="1597">
        <f t="shared" si="1"/>
        <v>634722.51679062506</v>
      </c>
    </row>
    <row r="47" spans="1:9">
      <c r="A47" s="767" t="s">
        <v>108</v>
      </c>
      <c r="B47" s="618" t="s">
        <v>109</v>
      </c>
      <c r="C47" s="768" t="s">
        <v>266</v>
      </c>
      <c r="D47" s="1597">
        <f>'Medicaid &amp; FAMIS - LASER'!E46+'SNAP LASER'!E46+'TANF LASER'!D46+'Energy Assistance LASER'!E46+'FC &amp; Adoptions LASER'!D46+'CSA LASER'!D46+'ChildCare LASER'!I46+'Other Benefits LASER'!D46</f>
        <v>37378871.790744998</v>
      </c>
      <c r="E47" s="1597">
        <f>'Medicaid &amp; FAMIS - LASER'!F46+'TANF LASER'!F46+'Energy Assistance LASER'!G46+'CSA LASER'!E46+'ChildCare LASER'!J46+'FC &amp; Adoptions LASER'!E46+'Other Benefits LASER'!E46</f>
        <v>29589395.197342504</v>
      </c>
      <c r="F47" s="1597">
        <f>'Medicaid &amp; FAMIS - LASER'!G46+'TANF LASER'!G46+'Energy Assistance LASER'!H46+'FC &amp; Adoptions LASER'!F46+'CSA LASER'!F46+'Other Benefits LASER'!F46</f>
        <v>1694766.5617124999</v>
      </c>
      <c r="G47" s="1597">
        <f>'TANF LASER'!H46+'Energy Assistance LASER'!J46+'FC &amp; Adoptions LASER'!G46+'CSA LASER'!G46+'Other Benefits LASER'!G46</f>
        <v>-0.18</v>
      </c>
      <c r="H47" s="1597">
        <f>'Medicaid &amp; FAMIS - LASER'!D46+'SNAP LASER'!D46+'TANF LASER'!I46+'Energy Assistance LASER'!D46+'FC &amp; Adoptions LASER'!I46+'CSA LASER'!H46+'ChildCare LASER'!K46+'Other Benefits LASER'!I46</f>
        <v>68663033.369800001</v>
      </c>
      <c r="I47" s="1597">
        <f t="shared" si="1"/>
        <v>1694766.3817125</v>
      </c>
    </row>
    <row r="48" spans="1:9">
      <c r="A48" s="767" t="s">
        <v>110</v>
      </c>
      <c r="B48" s="618" t="s">
        <v>111</v>
      </c>
      <c r="C48" s="768" t="s">
        <v>266</v>
      </c>
      <c r="D48" s="1597">
        <f>'Medicaid &amp; FAMIS - LASER'!E47+'SNAP LASER'!E47+'TANF LASER'!D47+'Energy Assistance LASER'!E47+'FC &amp; Adoptions LASER'!D47+'CSA LASER'!D47+'ChildCare LASER'!I47+'Other Benefits LASER'!D47</f>
        <v>195269493.07920897</v>
      </c>
      <c r="E48" s="1597">
        <f>'Medicaid &amp; FAMIS - LASER'!F47+'TANF LASER'!F47+'Energy Assistance LASER'!G47+'CSA LASER'!E47+'ChildCare LASER'!J47+'FC &amp; Adoptions LASER'!E47+'Other Benefits LASER'!E47</f>
        <v>140949190.95279288</v>
      </c>
      <c r="F48" s="1597">
        <f>'Medicaid &amp; FAMIS - LASER'!G47+'TANF LASER'!G47+'Energy Assistance LASER'!H47+'FC &amp; Adoptions LASER'!F47+'CSA LASER'!F47+'Other Benefits LASER'!F47</f>
        <v>3363193.0667981249</v>
      </c>
      <c r="G48" s="1597">
        <f>'TANF LASER'!H47+'Energy Assistance LASER'!J47+'FC &amp; Adoptions LASER'!G47+'CSA LASER'!G47+'Other Benefits LASER'!G47</f>
        <v>15862.68</v>
      </c>
      <c r="H48" s="1597">
        <f>'Medicaid &amp; FAMIS - LASER'!D47+'SNAP LASER'!D47+'TANF LASER'!I47+'Energy Assistance LASER'!D47+'FC &amp; Adoptions LASER'!I47+'CSA LASER'!H47+'ChildCare LASER'!K47+'Other Benefits LASER'!I47</f>
        <v>339597739.77880007</v>
      </c>
      <c r="I48" s="1597">
        <f t="shared" si="1"/>
        <v>3379055.7467981251</v>
      </c>
    </row>
    <row r="49" spans="1:9">
      <c r="A49" s="767" t="s">
        <v>112</v>
      </c>
      <c r="B49" s="618" t="s">
        <v>300</v>
      </c>
      <c r="C49" s="768" t="s">
        <v>265</v>
      </c>
      <c r="D49" s="1597">
        <f>'Medicaid &amp; FAMIS - LASER'!E48+'SNAP LASER'!E48+'TANF LASER'!D48+'Energy Assistance LASER'!E48+'FC &amp; Adoptions LASER'!D48+'CSA LASER'!D48+'ChildCare LASER'!I48+'Other Benefits LASER'!D48</f>
        <v>86228298.043373004</v>
      </c>
      <c r="E49" s="1597">
        <f>'Medicaid &amp; FAMIS - LASER'!F48+'TANF LASER'!F48+'Energy Assistance LASER'!G48+'CSA LASER'!E48+'ChildCare LASER'!J48+'FC &amp; Adoptions LASER'!E48+'Other Benefits LASER'!E48</f>
        <v>60658188.654288255</v>
      </c>
      <c r="F49" s="1597">
        <f>'Medicaid &amp; FAMIS - LASER'!G48+'TANF LASER'!G48+'Energy Assistance LASER'!H48+'FC &amp; Adoptions LASER'!F48+'CSA LASER'!F48+'Other Benefits LASER'!F48</f>
        <v>398686.14173874992</v>
      </c>
      <c r="G49" s="1597">
        <f>'TANF LASER'!H48+'Energy Assistance LASER'!J48+'FC &amp; Adoptions LASER'!G48+'CSA LASER'!G48+'Other Benefits LASER'!G48</f>
        <v>-0.1</v>
      </c>
      <c r="H49" s="1597">
        <f>'Medicaid &amp; FAMIS - LASER'!D48+'SNAP LASER'!D48+'TANF LASER'!I48+'Energy Assistance LASER'!D48+'FC &amp; Adoptions LASER'!I48+'CSA LASER'!H48+'ChildCare LASER'!K48+'Other Benefits LASER'!I48</f>
        <v>147285172.7394</v>
      </c>
      <c r="I49" s="1597">
        <f t="shared" si="1"/>
        <v>398686.04173874995</v>
      </c>
    </row>
    <row r="50" spans="1:9">
      <c r="A50" s="767" t="s">
        <v>114</v>
      </c>
      <c r="B50" s="618" t="s">
        <v>115</v>
      </c>
      <c r="C50" s="768" t="s">
        <v>265</v>
      </c>
      <c r="D50" s="1597">
        <f>'Medicaid &amp; FAMIS - LASER'!E49+'SNAP LASER'!E49+'TANF LASER'!D49+'Energy Assistance LASER'!E49+'FC &amp; Adoptions LASER'!D49+'CSA LASER'!D49+'ChildCare LASER'!I49+'Other Benefits LASER'!D49</f>
        <v>1218075.2898999997</v>
      </c>
      <c r="E50" s="1597">
        <f>'Medicaid &amp; FAMIS - LASER'!F49+'TANF LASER'!F49+'Energy Assistance LASER'!G49+'CSA LASER'!E49+'ChildCare LASER'!J49+'FC &amp; Adoptions LASER'!E49+'Other Benefits LASER'!E49</f>
        <v>993467.27510999981</v>
      </c>
      <c r="F50" s="1597">
        <f>'Medicaid &amp; FAMIS - LASER'!G49+'TANF LASER'!G49+'Energy Assistance LASER'!H49+'FC &amp; Adoptions LASER'!F49+'CSA LASER'!F49+'Other Benefits LASER'!F49</f>
        <v>14807.214989999999</v>
      </c>
      <c r="G50" s="1597">
        <f>'TANF LASER'!H49+'Energy Assistance LASER'!J49+'FC &amp; Adoptions LASER'!G49+'CSA LASER'!G49+'Other Benefits LASER'!G49</f>
        <v>0</v>
      </c>
      <c r="H50" s="1597">
        <f>'Medicaid &amp; FAMIS - LASER'!D49+'SNAP LASER'!D49+'TANF LASER'!I49+'Energy Assistance LASER'!D49+'FC &amp; Adoptions LASER'!I49+'CSA LASER'!H49+'ChildCare LASER'!K49+'Other Benefits LASER'!I49</f>
        <v>2226349.7800000003</v>
      </c>
      <c r="I50" s="1597">
        <f t="shared" si="1"/>
        <v>14807.214989999999</v>
      </c>
    </row>
    <row r="51" spans="1:9">
      <c r="A51" s="767" t="s">
        <v>118</v>
      </c>
      <c r="B51" s="618" t="s">
        <v>119</v>
      </c>
      <c r="C51" s="768" t="s">
        <v>264</v>
      </c>
      <c r="D51" s="1597">
        <f>'Medicaid &amp; FAMIS - LASER'!E50+'SNAP LASER'!E50+'TANF LASER'!D50+'Energy Assistance LASER'!E50+'FC &amp; Adoptions LASER'!D50+'CSA LASER'!D50+'ChildCare LASER'!I50+'Other Benefits LASER'!D50</f>
        <v>22519929.785557002</v>
      </c>
      <c r="E51" s="1597">
        <f>'Medicaid &amp; FAMIS - LASER'!F50+'TANF LASER'!F50+'Energy Assistance LASER'!G50+'CSA LASER'!E50+'ChildCare LASER'!J50+'FC &amp; Adoptions LASER'!E50+'Other Benefits LASER'!E50</f>
        <v>16244081.554112125</v>
      </c>
      <c r="F51" s="1597">
        <f>'Medicaid &amp; FAMIS - LASER'!G50+'TANF LASER'!G50+'Energy Assistance LASER'!H50+'FC &amp; Adoptions LASER'!F50+'CSA LASER'!F50+'Other Benefits LASER'!F50</f>
        <v>202058.81023087498</v>
      </c>
      <c r="G51" s="1597">
        <f>'TANF LASER'!H50+'Energy Assistance LASER'!J50+'FC &amp; Adoptions LASER'!G50+'CSA LASER'!G50+'Other Benefits LASER'!G50</f>
        <v>1566.3899999999999</v>
      </c>
      <c r="H51" s="1597">
        <f>'Medicaid &amp; FAMIS - LASER'!D50+'SNAP LASER'!D50+'TANF LASER'!I50+'Energy Assistance LASER'!D50+'FC &amp; Adoptions LASER'!I50+'CSA LASER'!H50+'ChildCare LASER'!K50+'Other Benefits LASER'!I50</f>
        <v>38967636.539899997</v>
      </c>
      <c r="I51" s="1597">
        <f t="shared" si="1"/>
        <v>203625.20023087499</v>
      </c>
    </row>
    <row r="52" spans="1:9">
      <c r="A52" s="767" t="s">
        <v>120</v>
      </c>
      <c r="B52" s="618" t="s">
        <v>121</v>
      </c>
      <c r="C52" s="768" t="s">
        <v>264</v>
      </c>
      <c r="D52" s="1597">
        <f>'Medicaid &amp; FAMIS - LASER'!E51+'SNAP LASER'!E51+'TANF LASER'!D51+'Energy Assistance LASER'!E51+'FC &amp; Adoptions LASER'!D51+'CSA LASER'!D51+'ChildCare LASER'!I51+'Other Benefits LASER'!D51</f>
        <v>22971485.585063007</v>
      </c>
      <c r="E52" s="1597">
        <f>'Medicaid &amp; FAMIS - LASER'!F51+'TANF LASER'!F51+'Energy Assistance LASER'!G51+'CSA LASER'!E51+'ChildCare LASER'!J51+'FC &amp; Adoptions LASER'!E51+'Other Benefits LASER'!E51</f>
        <v>15178973.272353876</v>
      </c>
      <c r="F52" s="1597">
        <f>'Medicaid &amp; FAMIS - LASER'!G51+'TANF LASER'!G51+'Energy Assistance LASER'!H51+'FC &amp; Adoptions LASER'!F51+'CSA LASER'!F51+'Other Benefits LASER'!F51</f>
        <v>294371.47248312505</v>
      </c>
      <c r="G52" s="1597">
        <f>'TANF LASER'!H51+'Energy Assistance LASER'!J51+'FC &amp; Adoptions LASER'!G51+'CSA LASER'!G51+'Other Benefits LASER'!G51</f>
        <v>812.84999999999991</v>
      </c>
      <c r="H52" s="1597">
        <f>'Medicaid &amp; FAMIS - LASER'!D51+'SNAP LASER'!D51+'TANF LASER'!I51+'Energy Assistance LASER'!D51+'FC &amp; Adoptions LASER'!I51+'CSA LASER'!H51+'ChildCare LASER'!K51+'Other Benefits LASER'!I51</f>
        <v>38445643.179900005</v>
      </c>
      <c r="I52" s="1597">
        <f t="shared" si="1"/>
        <v>295184.32248312503</v>
      </c>
    </row>
    <row r="53" spans="1:9">
      <c r="A53" s="767" t="s">
        <v>122</v>
      </c>
      <c r="B53" s="618" t="s">
        <v>271</v>
      </c>
      <c r="C53" s="768" t="s">
        <v>266</v>
      </c>
      <c r="D53" s="1597">
        <f>'Medicaid &amp; FAMIS - LASER'!E52+'SNAP LASER'!E52+'TANF LASER'!D52+'Energy Assistance LASER'!E52+'FC &amp; Adoptions LASER'!D52+'CSA LASER'!D52+'ChildCare LASER'!I52+'Other Benefits LASER'!D52</f>
        <v>6480621.7084029997</v>
      </c>
      <c r="E53" s="1597">
        <f>'Medicaid &amp; FAMIS - LASER'!F52+'TANF LASER'!F52+'Energy Assistance LASER'!G52+'CSA LASER'!E52+'ChildCare LASER'!J52+'FC &amp; Adoptions LASER'!E52+'Other Benefits LASER'!E52</f>
        <v>4755380.9446819993</v>
      </c>
      <c r="F53" s="1597">
        <f>'Medicaid &amp; FAMIS - LASER'!G52+'TANF LASER'!G52+'Energy Assistance LASER'!H52+'FC &amp; Adoptions LASER'!F52+'CSA LASER'!F52+'Other Benefits LASER'!F52</f>
        <v>149747.82691500001</v>
      </c>
      <c r="G53" s="1597">
        <f>'TANF LASER'!H52+'Energy Assistance LASER'!J52+'FC &amp; Adoptions LASER'!G52+'CSA LASER'!G52+'Other Benefits LASER'!G52</f>
        <v>7.99</v>
      </c>
      <c r="H53" s="1597">
        <f>'Medicaid &amp; FAMIS - LASER'!D52+'SNAP LASER'!D52+'TANF LASER'!I52+'Energy Assistance LASER'!D52+'FC &amp; Adoptions LASER'!I52+'CSA LASER'!H52+'ChildCare LASER'!K52+'Other Benefits LASER'!I52</f>
        <v>11385758.469999999</v>
      </c>
      <c r="I53" s="1597">
        <f t="shared" si="1"/>
        <v>149755.816915</v>
      </c>
    </row>
    <row r="54" spans="1:9">
      <c r="A54" s="767" t="s">
        <v>124</v>
      </c>
      <c r="B54" s="618" t="s">
        <v>125</v>
      </c>
      <c r="C54" s="768" t="s">
        <v>267</v>
      </c>
      <c r="D54" s="1597">
        <f>'Medicaid &amp; FAMIS - LASER'!E53+'SNAP LASER'!E53+'TANF LASER'!D53+'Energy Assistance LASER'!E53+'FC &amp; Adoptions LASER'!D53+'CSA LASER'!D53+'ChildCare LASER'!I53+'Other Benefits LASER'!D53</f>
        <v>13834432.829569001</v>
      </c>
      <c r="E54" s="1597">
        <f>'Medicaid &amp; FAMIS - LASER'!F53+'TANF LASER'!F53+'Energy Assistance LASER'!G53+'CSA LASER'!E53+'ChildCare LASER'!J53+'FC &amp; Adoptions LASER'!E53+'Other Benefits LASER'!E53</f>
        <v>9679695.0460678749</v>
      </c>
      <c r="F54" s="1597">
        <f>'Medicaid &amp; FAMIS - LASER'!G53+'TANF LASER'!G53+'Energy Assistance LASER'!H53+'FC &amp; Adoptions LASER'!F53+'CSA LASER'!F53+'Other Benefits LASER'!F53</f>
        <v>807878.85426312499</v>
      </c>
      <c r="G54" s="1597">
        <f>'TANF LASER'!H53+'Energy Assistance LASER'!J53+'FC &amp; Adoptions LASER'!G53+'CSA LASER'!G53+'Other Benefits LASER'!G53</f>
        <v>-0.04</v>
      </c>
      <c r="H54" s="1597">
        <f>'Medicaid &amp; FAMIS - LASER'!D53+'SNAP LASER'!D53+'TANF LASER'!I53+'Energy Assistance LASER'!D53+'FC &amp; Adoptions LASER'!I53+'CSA LASER'!H53+'ChildCare LASER'!K53+'Other Benefits LASER'!I53</f>
        <v>24322006.689899996</v>
      </c>
      <c r="I54" s="1597">
        <f t="shared" si="1"/>
        <v>807878.81426312495</v>
      </c>
    </row>
    <row r="55" spans="1:9">
      <c r="A55" s="767" t="s">
        <v>126</v>
      </c>
      <c r="B55" s="618" t="s">
        <v>127</v>
      </c>
      <c r="C55" s="768" t="s">
        <v>266</v>
      </c>
      <c r="D55" s="1597">
        <f>'Medicaid &amp; FAMIS - LASER'!E54+'SNAP LASER'!E54+'TANF LASER'!D54+'Energy Assistance LASER'!E54+'FC &amp; Adoptions LASER'!D54+'CSA LASER'!D54+'ChildCare LASER'!I54+'Other Benefits LASER'!D54</f>
        <v>9230877.593305001</v>
      </c>
      <c r="E55" s="1597">
        <f>'Medicaid &amp; FAMIS - LASER'!F54+'TANF LASER'!F54+'Energy Assistance LASER'!G54+'CSA LASER'!E54+'ChildCare LASER'!J54+'FC &amp; Adoptions LASER'!E54+'Other Benefits LASER'!E54</f>
        <v>6381524.2394387498</v>
      </c>
      <c r="F55" s="1597">
        <f>'Medicaid &amp; FAMIS - LASER'!G54+'TANF LASER'!G54+'Energy Assistance LASER'!H54+'FC &amp; Adoptions LASER'!F54+'CSA LASER'!F54+'Other Benefits LASER'!F54</f>
        <v>385808.20715625002</v>
      </c>
      <c r="G55" s="1597">
        <f>'TANF LASER'!H54+'Energy Assistance LASER'!J54+'FC &amp; Adoptions LASER'!G54+'CSA LASER'!G54+'Other Benefits LASER'!G54</f>
        <v>0</v>
      </c>
      <c r="H55" s="1597">
        <f>'Medicaid &amp; FAMIS - LASER'!D54+'SNAP LASER'!D54+'TANF LASER'!I54+'Energy Assistance LASER'!D54+'FC &amp; Adoptions LASER'!I54+'CSA LASER'!H54+'ChildCare LASER'!K54+'Other Benefits LASER'!I54</f>
        <v>15998210.039900001</v>
      </c>
      <c r="I55" s="1597">
        <f t="shared" si="1"/>
        <v>385808.20715625002</v>
      </c>
    </row>
    <row r="56" spans="1:9">
      <c r="A56" s="767" t="s">
        <v>128</v>
      </c>
      <c r="B56" s="618" t="s">
        <v>129</v>
      </c>
      <c r="C56" s="768" t="s">
        <v>266</v>
      </c>
      <c r="D56" s="1597">
        <f>'Medicaid &amp; FAMIS - LASER'!E55+'SNAP LASER'!E55+'TANF LASER'!D55+'Energy Assistance LASER'!E55+'FC &amp; Adoptions LASER'!D55+'CSA LASER'!D55+'ChildCare LASER'!I55+'Other Benefits LASER'!D55</f>
        <v>9189207.8430580031</v>
      </c>
      <c r="E56" s="1597">
        <f>'Medicaid &amp; FAMIS - LASER'!F55+'TANF LASER'!F55+'Energy Assistance LASER'!G55+'CSA LASER'!E55+'ChildCare LASER'!J55+'FC &amp; Adoptions LASER'!E55+'Other Benefits LASER'!E55</f>
        <v>6698625.6604944998</v>
      </c>
      <c r="F56" s="1597">
        <f>'Medicaid &amp; FAMIS - LASER'!G55+'TANF LASER'!G55+'Energy Assistance LASER'!H55+'FC &amp; Adoptions LASER'!F55+'CSA LASER'!F55+'Other Benefits LASER'!F55</f>
        <v>432372.74634750001</v>
      </c>
      <c r="G56" s="1597">
        <f>'TANF LASER'!H55+'Energy Assistance LASER'!J55+'FC &amp; Adoptions LASER'!G55+'CSA LASER'!G55+'Other Benefits LASER'!G55</f>
        <v>3431.9799999999996</v>
      </c>
      <c r="H56" s="1597">
        <f>'Medicaid &amp; FAMIS - LASER'!D55+'SNAP LASER'!D55+'TANF LASER'!I55+'Energy Assistance LASER'!D55+'FC &amp; Adoptions LASER'!I55+'CSA LASER'!H55+'ChildCare LASER'!K55+'Other Benefits LASER'!I55</f>
        <v>16323638.229899999</v>
      </c>
      <c r="I56" s="1597">
        <f t="shared" si="1"/>
        <v>435804.72634749999</v>
      </c>
    </row>
    <row r="57" spans="1:9">
      <c r="A57" s="767" t="s">
        <v>130</v>
      </c>
      <c r="B57" s="618" t="s">
        <v>131</v>
      </c>
      <c r="C57" s="768" t="s">
        <v>268</v>
      </c>
      <c r="D57" s="1597">
        <f>'Medicaid &amp; FAMIS - LASER'!E56+'SNAP LASER'!E56+'TANF LASER'!D56+'Energy Assistance LASER'!E56+'FC &amp; Adoptions LASER'!D56+'CSA LASER'!D56+'ChildCare LASER'!I56+'Other Benefits LASER'!D56</f>
        <v>33861257.677270994</v>
      </c>
      <c r="E57" s="1597">
        <f>'Medicaid &amp; FAMIS - LASER'!F56+'TANF LASER'!F56+'Energy Assistance LASER'!G56+'CSA LASER'!E56+'ChildCare LASER'!J56+'FC &amp; Adoptions LASER'!E56+'Other Benefits LASER'!E56</f>
        <v>25172057.711529002</v>
      </c>
      <c r="F57" s="1597">
        <f>'Medicaid &amp; FAMIS - LASER'!G56+'TANF LASER'!G56+'Energy Assistance LASER'!H56+'FC &amp; Adoptions LASER'!F56+'CSA LASER'!F56+'Other Benefits LASER'!F56</f>
        <v>314081.59100000001</v>
      </c>
      <c r="G57" s="1597">
        <f>'TANF LASER'!H56+'Energy Assistance LASER'!J56+'FC &amp; Adoptions LASER'!G56+'CSA LASER'!G56+'Other Benefits LASER'!G56</f>
        <v>-0.2</v>
      </c>
      <c r="H57" s="1597">
        <f>'Medicaid &amp; FAMIS - LASER'!D56+'SNAP LASER'!D56+'TANF LASER'!I56+'Energy Assistance LASER'!D56+'FC &amp; Adoptions LASER'!I56+'CSA LASER'!H56+'ChildCare LASER'!K56+'Other Benefits LASER'!I56</f>
        <v>59347396.779800005</v>
      </c>
      <c r="I57" s="1597">
        <f t="shared" si="1"/>
        <v>314081.391</v>
      </c>
    </row>
    <row r="58" spans="1:9">
      <c r="A58" s="767" t="s">
        <v>132</v>
      </c>
      <c r="B58" s="618" t="s">
        <v>133</v>
      </c>
      <c r="C58" s="768" t="s">
        <v>267</v>
      </c>
      <c r="D58" s="1597">
        <f>'Medicaid &amp; FAMIS - LASER'!E57+'SNAP LASER'!E57+'TANF LASER'!D57+'Energy Assistance LASER'!E57+'FC &amp; Adoptions LASER'!D57+'CSA LASER'!D57+'ChildCare LASER'!I57+'Other Benefits LASER'!D57</f>
        <v>71722851.629685</v>
      </c>
      <c r="E58" s="1597">
        <f>'Medicaid &amp; FAMIS - LASER'!F57+'TANF LASER'!F57+'Energy Assistance LASER'!G57+'CSA LASER'!E57+'ChildCare LASER'!J57+'FC &amp; Adoptions LASER'!E57+'Other Benefits LASER'!E57</f>
        <v>56702272.819160752</v>
      </c>
      <c r="F58" s="1597">
        <f>'Medicaid &amp; FAMIS - LASER'!G57+'TANF LASER'!G57+'Energy Assistance LASER'!H57+'FC &amp; Adoptions LASER'!F57+'CSA LASER'!F57+'Other Benefits LASER'!F57</f>
        <v>2580664.5007542497</v>
      </c>
      <c r="G58" s="1597">
        <f>'TANF LASER'!H57+'Energy Assistance LASER'!J57+'FC &amp; Adoptions LASER'!G57+'CSA LASER'!G57+'Other Benefits LASER'!G57</f>
        <v>14749.9</v>
      </c>
      <c r="H58" s="1597">
        <f>'Medicaid &amp; FAMIS - LASER'!D57+'SNAP LASER'!D57+'TANF LASER'!I57+'Energy Assistance LASER'!D57+'FC &amp; Adoptions LASER'!I57+'CSA LASER'!H57+'ChildCare LASER'!K57+'Other Benefits LASER'!I57</f>
        <v>131020538.84959999</v>
      </c>
      <c r="I58" s="1597">
        <f t="shared" si="1"/>
        <v>2595414.4007542497</v>
      </c>
    </row>
    <row r="59" spans="1:9">
      <c r="A59" s="767" t="s">
        <v>134</v>
      </c>
      <c r="B59" s="618" t="s">
        <v>135</v>
      </c>
      <c r="C59" s="768" t="s">
        <v>267</v>
      </c>
      <c r="D59" s="1597">
        <f>'Medicaid &amp; FAMIS - LASER'!E58+'SNAP LASER'!E58+'TANF LASER'!D58+'Energy Assistance LASER'!E58+'FC &amp; Adoptions LASER'!D58+'CSA LASER'!D58+'ChildCare LASER'!I58+'Other Benefits LASER'!D58</f>
        <v>24851350.710487999</v>
      </c>
      <c r="E59" s="1597">
        <f>'Medicaid &amp; FAMIS - LASER'!F58+'TANF LASER'!F58+'Energy Assistance LASER'!G58+'CSA LASER'!E58+'ChildCare LASER'!J58+'FC &amp; Adoptions LASER'!E58+'Other Benefits LASER'!E58</f>
        <v>18991351.535595749</v>
      </c>
      <c r="F59" s="1597">
        <f>'Medicaid &amp; FAMIS - LASER'!G58+'TANF LASER'!G58+'Energy Assistance LASER'!H58+'FC &amp; Adoptions LASER'!F58+'CSA LASER'!F58+'Other Benefits LASER'!F58</f>
        <v>961409.55371625</v>
      </c>
      <c r="G59" s="1597">
        <f>'TANF LASER'!H58+'Energy Assistance LASER'!J58+'FC &amp; Adoptions LASER'!G58+'CSA LASER'!G58+'Other Benefits LASER'!G58</f>
        <v>-0.14000000000000001</v>
      </c>
      <c r="H59" s="1597">
        <f>'Medicaid &amp; FAMIS - LASER'!D58+'SNAP LASER'!D58+'TANF LASER'!I58+'Energy Assistance LASER'!D58+'FC &amp; Adoptions LASER'!I58+'CSA LASER'!H58+'ChildCare LASER'!K58+'Other Benefits LASER'!I58</f>
        <v>44804111.659799993</v>
      </c>
      <c r="I59" s="1597">
        <f t="shared" si="1"/>
        <v>961409.41371624998</v>
      </c>
    </row>
    <row r="60" spans="1:9">
      <c r="A60" s="767" t="s">
        <v>136</v>
      </c>
      <c r="B60" s="618" t="s">
        <v>137</v>
      </c>
      <c r="C60" s="768" t="s">
        <v>266</v>
      </c>
      <c r="D60" s="1597">
        <f>'Medicaid &amp; FAMIS - LASER'!E59+'SNAP LASER'!E59+'TANF LASER'!D59+'Energy Assistance LASER'!E59+'FC &amp; Adoptions LASER'!D59+'CSA LASER'!D59+'ChildCare LASER'!I59+'Other Benefits LASER'!D59</f>
        <v>12832215.121279998</v>
      </c>
      <c r="E60" s="1597">
        <f>'Medicaid &amp; FAMIS - LASER'!F59+'TANF LASER'!F59+'Energy Assistance LASER'!G59+'CSA LASER'!E59+'ChildCare LASER'!J59+'FC &amp; Adoptions LASER'!E59+'Other Benefits LASER'!E59</f>
        <v>9943521.6773412488</v>
      </c>
      <c r="F60" s="1597">
        <f>'Medicaid &amp; FAMIS - LASER'!G59+'TANF LASER'!G59+'Energy Assistance LASER'!H59+'FC &amp; Adoptions LASER'!F59+'CSA LASER'!F59+'Other Benefits LASER'!F59</f>
        <v>234901.71127875004</v>
      </c>
      <c r="G60" s="1597">
        <f>'TANF LASER'!H59+'Energy Assistance LASER'!J59+'FC &amp; Adoptions LASER'!G59+'CSA LASER'!G59+'Other Benefits LASER'!G59</f>
        <v>-0.08</v>
      </c>
      <c r="H60" s="1597">
        <f>'Medicaid &amp; FAMIS - LASER'!D59+'SNAP LASER'!D59+'TANF LASER'!I59+'Energy Assistance LASER'!D59+'FC &amp; Adoptions LASER'!I59+'CSA LASER'!H59+'ChildCare LASER'!K59+'Other Benefits LASER'!I59</f>
        <v>23010638.429900002</v>
      </c>
      <c r="I60" s="1597">
        <f t="shared" si="1"/>
        <v>234901.63127875005</v>
      </c>
    </row>
    <row r="61" spans="1:9">
      <c r="A61" s="767" t="s">
        <v>140</v>
      </c>
      <c r="B61" s="618" t="s">
        <v>141</v>
      </c>
      <c r="C61" s="768" t="s">
        <v>267</v>
      </c>
      <c r="D61" s="1597">
        <f>'Medicaid &amp; FAMIS - LASER'!E60+'SNAP LASER'!E60+'TANF LASER'!D60+'Energy Assistance LASER'!E60+'FC &amp; Adoptions LASER'!D60+'CSA LASER'!D60+'ChildCare LASER'!I60+'Other Benefits LASER'!D60</f>
        <v>9343757.6329500005</v>
      </c>
      <c r="E61" s="1597">
        <f>'Medicaid &amp; FAMIS - LASER'!F60+'TANF LASER'!F60+'Energy Assistance LASER'!G60+'CSA LASER'!E60+'ChildCare LASER'!J60+'FC &amp; Adoptions LASER'!E60+'Other Benefits LASER'!E60</f>
        <v>8749248.5737156253</v>
      </c>
      <c r="F61" s="1597">
        <f>'Medicaid &amp; FAMIS - LASER'!G60+'TANF LASER'!G60+'Energy Assistance LASER'!H60+'FC &amp; Adoptions LASER'!F60+'CSA LASER'!F60+'Other Benefits LASER'!F60</f>
        <v>931240.03323437495</v>
      </c>
      <c r="G61" s="1597">
        <f>'TANF LASER'!H60+'Energy Assistance LASER'!J60+'FC &amp; Adoptions LASER'!G60+'CSA LASER'!G60+'Other Benefits LASER'!G60</f>
        <v>999.86</v>
      </c>
      <c r="H61" s="1597">
        <f>'Medicaid &amp; FAMIS - LASER'!D60+'SNAP LASER'!D60+'TANF LASER'!I60+'Energy Assistance LASER'!D60+'FC &amp; Adoptions LASER'!I60+'CSA LASER'!H60+'ChildCare LASER'!K60+'Other Benefits LASER'!I60</f>
        <v>19025246.0999</v>
      </c>
      <c r="I61" s="1597">
        <f t="shared" si="1"/>
        <v>932239.89323437493</v>
      </c>
    </row>
    <row r="62" spans="1:9">
      <c r="A62" s="767" t="s">
        <v>146</v>
      </c>
      <c r="B62" s="618" t="s">
        <v>147</v>
      </c>
      <c r="C62" s="768" t="s">
        <v>264</v>
      </c>
      <c r="D62" s="1597">
        <f>'Medicaid &amp; FAMIS - LASER'!E61+'SNAP LASER'!E61+'TANF LASER'!D61+'Energy Assistance LASER'!E61+'FC &amp; Adoptions LASER'!D61+'CSA LASER'!D61+'ChildCare LASER'!I61+'Other Benefits LASER'!D61</f>
        <v>6845549.4860249991</v>
      </c>
      <c r="E62" s="1597">
        <f>'Medicaid &amp; FAMIS - LASER'!F61+'TANF LASER'!F61+'Energy Assistance LASER'!G61+'CSA LASER'!E61+'ChildCare LASER'!J61+'FC &amp; Adoptions LASER'!E61+'Other Benefits LASER'!E61</f>
        <v>5410473.5310175009</v>
      </c>
      <c r="F62" s="1597">
        <f>'Medicaid &amp; FAMIS - LASER'!G61+'TANF LASER'!G61+'Energy Assistance LASER'!H61+'FC &amp; Adoptions LASER'!F61+'CSA LASER'!F61+'Other Benefits LASER'!F61</f>
        <v>164541.37295750002</v>
      </c>
      <c r="G62" s="1597">
        <f>'TANF LASER'!H61+'Energy Assistance LASER'!J61+'FC &amp; Adoptions LASER'!G61+'CSA LASER'!G61+'Other Benefits LASER'!G61</f>
        <v>2784.6</v>
      </c>
      <c r="H62" s="1597">
        <f>'Medicaid &amp; FAMIS - LASER'!D61+'SNAP LASER'!D61+'TANF LASER'!I61+'Energy Assistance LASER'!D61+'FC &amp; Adoptions LASER'!I61+'CSA LASER'!H61+'ChildCare LASER'!K61+'Other Benefits LASER'!I61</f>
        <v>12423348.99</v>
      </c>
      <c r="I62" s="1597">
        <f t="shared" si="1"/>
        <v>167325.97295750002</v>
      </c>
    </row>
    <row r="63" spans="1:9">
      <c r="A63" s="767" t="s">
        <v>148</v>
      </c>
      <c r="B63" s="618" t="s">
        <v>149</v>
      </c>
      <c r="C63" s="768" t="s">
        <v>265</v>
      </c>
      <c r="D63" s="1597">
        <f>'Medicaid &amp; FAMIS - LASER'!E62+'SNAP LASER'!E62+'TANF LASER'!D62+'Energy Assistance LASER'!E62+'FC &amp; Adoptions LASER'!D62+'CSA LASER'!D62+'ChildCare LASER'!I62+'Other Benefits LASER'!D62</f>
        <v>32736541.050903</v>
      </c>
      <c r="E63" s="1597">
        <f>'Medicaid &amp; FAMIS - LASER'!F62+'TANF LASER'!F62+'Energy Assistance LASER'!G62+'CSA LASER'!E62+'ChildCare LASER'!J62+'FC &amp; Adoptions LASER'!E62+'Other Benefits LASER'!E62</f>
        <v>25389872.453130748</v>
      </c>
      <c r="F63" s="1597">
        <f>'Medicaid &amp; FAMIS - LASER'!G62+'TANF LASER'!G62+'Energy Assistance LASER'!H62+'FC &amp; Adoptions LASER'!F62+'CSA LASER'!F62+'Other Benefits LASER'!F62</f>
        <v>427860.69576624996</v>
      </c>
      <c r="G63" s="1597">
        <f>'TANF LASER'!H62+'Energy Assistance LASER'!J62+'FC &amp; Adoptions LASER'!G62+'CSA LASER'!G62+'Other Benefits LASER'!G62</f>
        <v>-0.05</v>
      </c>
      <c r="H63" s="1597">
        <f>'Medicaid &amp; FAMIS - LASER'!D62+'SNAP LASER'!D62+'TANF LASER'!I62+'Energy Assistance LASER'!D62+'FC &amp; Adoptions LASER'!I62+'CSA LASER'!H62+'ChildCare LASER'!K62+'Other Benefits LASER'!I62</f>
        <v>58554274.149800003</v>
      </c>
      <c r="I63" s="1597">
        <f t="shared" si="1"/>
        <v>427860.64576624997</v>
      </c>
    </row>
    <row r="64" spans="1:9">
      <c r="A64" s="767" t="s">
        <v>150</v>
      </c>
      <c r="B64" s="618" t="s">
        <v>151</v>
      </c>
      <c r="C64" s="768" t="s">
        <v>266</v>
      </c>
      <c r="D64" s="1597">
        <f>'Medicaid &amp; FAMIS - LASER'!E63+'SNAP LASER'!E63+'TANF LASER'!D63+'Energy Assistance LASER'!E63+'FC &amp; Adoptions LASER'!D63+'CSA LASER'!D63+'ChildCare LASER'!I63+'Other Benefits LASER'!D63</f>
        <v>9407206.1566100027</v>
      </c>
      <c r="E64" s="1597">
        <f>'Medicaid &amp; FAMIS - LASER'!F63+'TANF LASER'!F63+'Energy Assistance LASER'!G63+'CSA LASER'!E63+'ChildCare LASER'!J63+'FC &amp; Adoptions LASER'!E63+'Other Benefits LASER'!E63</f>
        <v>6932344.5948100006</v>
      </c>
      <c r="F64" s="1597">
        <f>'Medicaid &amp; FAMIS - LASER'!G63+'TANF LASER'!G63+'Energy Assistance LASER'!H63+'FC &amp; Adoptions LASER'!F63+'CSA LASER'!F63+'Other Benefits LASER'!F63</f>
        <v>206158.03848000002</v>
      </c>
      <c r="G64" s="1597">
        <f>'TANF LASER'!H63+'Energy Assistance LASER'!J63+'FC &amp; Adoptions LASER'!G63+'CSA LASER'!G63+'Other Benefits LASER'!G63</f>
        <v>-0.02</v>
      </c>
      <c r="H64" s="1597">
        <f>'Medicaid &amp; FAMIS - LASER'!D63+'SNAP LASER'!D63+'TANF LASER'!I63+'Energy Assistance LASER'!D63+'FC &amp; Adoptions LASER'!I63+'CSA LASER'!H63+'ChildCare LASER'!K63+'Other Benefits LASER'!I63</f>
        <v>16545708.7699</v>
      </c>
      <c r="I64" s="1597">
        <f t="shared" si="1"/>
        <v>206158.01848000003</v>
      </c>
    </row>
    <row r="65" spans="1:9">
      <c r="A65" s="767" t="s">
        <v>152</v>
      </c>
      <c r="B65" s="618" t="s">
        <v>153</v>
      </c>
      <c r="C65" s="768" t="s">
        <v>268</v>
      </c>
      <c r="D65" s="1597">
        <f>'Medicaid &amp; FAMIS - LASER'!E64+'SNAP LASER'!E64+'TANF LASER'!D64+'Energy Assistance LASER'!E64+'FC &amp; Adoptions LASER'!D64+'CSA LASER'!D64+'ChildCare LASER'!I64+'Other Benefits LASER'!D64</f>
        <v>43244392.426460996</v>
      </c>
      <c r="E65" s="1597">
        <f>'Medicaid &amp; FAMIS - LASER'!F64+'TANF LASER'!F64+'Energy Assistance LASER'!G64+'CSA LASER'!E64+'ChildCare LASER'!J64+'FC &amp; Adoptions LASER'!E64+'Other Benefits LASER'!E64</f>
        <v>31349819.285747755</v>
      </c>
      <c r="F65" s="1597">
        <f>'Medicaid &amp; FAMIS - LASER'!G64+'TANF LASER'!G64+'Energy Assistance LASER'!H64+'FC &amp; Adoptions LASER'!F64+'CSA LASER'!F64+'Other Benefits LASER'!F64</f>
        <v>317417.95759125001</v>
      </c>
      <c r="G65" s="1597">
        <f>'TANF LASER'!H64+'Energy Assistance LASER'!J64+'FC &amp; Adoptions LASER'!G64+'CSA LASER'!G64+'Other Benefits LASER'!G64</f>
        <v>-0.15</v>
      </c>
      <c r="H65" s="1597">
        <f>'Medicaid &amp; FAMIS - LASER'!D64+'SNAP LASER'!D64+'TANF LASER'!I64+'Energy Assistance LASER'!D64+'FC &amp; Adoptions LASER'!I64+'CSA LASER'!H64+'ChildCare LASER'!K64+'Other Benefits LASER'!I64</f>
        <v>74911629.519800022</v>
      </c>
      <c r="I65" s="1597">
        <f t="shared" si="1"/>
        <v>317417.80759124999</v>
      </c>
    </row>
    <row r="66" spans="1:9">
      <c r="A66" s="767" t="s">
        <v>154</v>
      </c>
      <c r="B66" s="618" t="s">
        <v>155</v>
      </c>
      <c r="C66" s="768" t="s">
        <v>265</v>
      </c>
      <c r="D66" s="1597">
        <f>'Medicaid &amp; FAMIS - LASER'!E65+'SNAP LASER'!E65+'TANF LASER'!D65+'Energy Assistance LASER'!E65+'FC &amp; Adoptions LASER'!D65+'CSA LASER'!D65+'ChildCare LASER'!I65+'Other Benefits LASER'!D65</f>
        <v>12799073.85169</v>
      </c>
      <c r="E66" s="1597">
        <f>'Medicaid &amp; FAMIS - LASER'!F65+'TANF LASER'!F65+'Energy Assistance LASER'!G65+'CSA LASER'!E65+'ChildCare LASER'!J65+'FC &amp; Adoptions LASER'!E65+'Other Benefits LASER'!E65</f>
        <v>9499208.5638025012</v>
      </c>
      <c r="F66" s="1597">
        <f>'Medicaid &amp; FAMIS - LASER'!G65+'TANF LASER'!G65+'Energy Assistance LASER'!H65+'FC &amp; Adoptions LASER'!F65+'CSA LASER'!F65+'Other Benefits LASER'!F65</f>
        <v>237459.95440749999</v>
      </c>
      <c r="G66" s="1597">
        <f>'TANF LASER'!H65+'Energy Assistance LASER'!J65+'FC &amp; Adoptions LASER'!G65+'CSA LASER'!G65+'Other Benefits LASER'!G65</f>
        <v>278.88</v>
      </c>
      <c r="H66" s="1597">
        <f>'Medicaid &amp; FAMIS - LASER'!D65+'SNAP LASER'!D65+'TANF LASER'!I65+'Energy Assistance LASER'!D65+'FC &amp; Adoptions LASER'!I65+'CSA LASER'!H65+'ChildCare LASER'!K65+'Other Benefits LASER'!I65</f>
        <v>22536021.249899995</v>
      </c>
      <c r="I66" s="1597">
        <f t="shared" si="1"/>
        <v>237738.83440749999</v>
      </c>
    </row>
    <row r="67" spans="1:9">
      <c r="A67" s="767" t="s">
        <v>156</v>
      </c>
      <c r="B67" s="618" t="s">
        <v>157</v>
      </c>
      <c r="C67" s="768" t="s">
        <v>266</v>
      </c>
      <c r="D67" s="1597">
        <f>'Medicaid &amp; FAMIS - LASER'!E66+'SNAP LASER'!E66+'TANF LASER'!D66+'Energy Assistance LASER'!E66+'FC &amp; Adoptions LASER'!D66+'CSA LASER'!D66+'ChildCare LASER'!I66+'Other Benefits LASER'!D66</f>
        <v>6999259.5373</v>
      </c>
      <c r="E67" s="1597">
        <f>'Medicaid &amp; FAMIS - LASER'!F66+'TANF LASER'!F66+'Energy Assistance LASER'!G66+'CSA LASER'!E66+'ChildCare LASER'!J66+'FC &amp; Adoptions LASER'!E66+'Other Benefits LASER'!E66</f>
        <v>5456879.5820525</v>
      </c>
      <c r="F67" s="1597">
        <f>'Medicaid &amp; FAMIS - LASER'!G66+'TANF LASER'!G66+'Energy Assistance LASER'!H66+'FC &amp; Adoptions LASER'!F66+'CSA LASER'!F66+'Other Benefits LASER'!F66</f>
        <v>439546.89064749994</v>
      </c>
      <c r="G67" s="1597">
        <f>'TANF LASER'!H66+'Energy Assistance LASER'!J66+'FC &amp; Adoptions LASER'!G66+'CSA LASER'!G66+'Other Benefits LASER'!G66</f>
        <v>-0.01</v>
      </c>
      <c r="H67" s="1597">
        <f>'Medicaid &amp; FAMIS - LASER'!D66+'SNAP LASER'!D66+'TANF LASER'!I66+'Energy Assistance LASER'!D66+'FC &amp; Adoptions LASER'!I66+'CSA LASER'!H66+'ChildCare LASER'!K66+'Other Benefits LASER'!I66</f>
        <v>12895685.999999996</v>
      </c>
      <c r="I67" s="1597">
        <f t="shared" si="1"/>
        <v>439546.88064749993</v>
      </c>
    </row>
    <row r="68" spans="1:9">
      <c r="A68" s="767" t="s">
        <v>162</v>
      </c>
      <c r="B68" s="618" t="s">
        <v>163</v>
      </c>
      <c r="C68" s="768" t="s">
        <v>264</v>
      </c>
      <c r="D68" s="1597">
        <f>'Medicaid &amp; FAMIS - LASER'!E67+'SNAP LASER'!E67+'TANF LASER'!D67+'Energy Assistance LASER'!E67+'FC &amp; Adoptions LASER'!D67+'CSA LASER'!D67+'ChildCare LASER'!I67+'Other Benefits LASER'!D67</f>
        <v>17721571.692169998</v>
      </c>
      <c r="E68" s="1597">
        <f>'Medicaid &amp; FAMIS - LASER'!F67+'TANF LASER'!F67+'Energy Assistance LASER'!G67+'CSA LASER'!E67+'ChildCare LASER'!J67+'FC &amp; Adoptions LASER'!E67+'Other Benefits LASER'!E67</f>
        <v>13375139.091245623</v>
      </c>
      <c r="F68" s="1597">
        <f>'Medicaid &amp; FAMIS - LASER'!G67+'TANF LASER'!G67+'Energy Assistance LASER'!H67+'FC &amp; Adoptions LASER'!F67+'CSA LASER'!F67+'Other Benefits LASER'!F67</f>
        <v>150286.79648437499</v>
      </c>
      <c r="G68" s="1597">
        <f>'TANF LASER'!H67+'Energy Assistance LASER'!J67+'FC &amp; Adoptions LASER'!G67+'CSA LASER'!G67+'Other Benefits LASER'!G67</f>
        <v>-0.03</v>
      </c>
      <c r="H68" s="1597">
        <f>'Medicaid &amp; FAMIS - LASER'!D67+'SNAP LASER'!D67+'TANF LASER'!I67+'Energy Assistance LASER'!D67+'FC &amp; Adoptions LASER'!I67+'CSA LASER'!H67+'ChildCare LASER'!K67+'Other Benefits LASER'!I67</f>
        <v>31246997.549899999</v>
      </c>
      <c r="I68" s="1597">
        <f t="shared" si="1"/>
        <v>150286.766484375</v>
      </c>
    </row>
    <row r="69" spans="1:9">
      <c r="A69" s="767" t="s">
        <v>164</v>
      </c>
      <c r="B69" s="618" t="s">
        <v>165</v>
      </c>
      <c r="C69" s="768" t="s">
        <v>266</v>
      </c>
      <c r="D69" s="1597">
        <f>'Medicaid &amp; FAMIS - LASER'!E68+'SNAP LASER'!E68+'TANF LASER'!D68+'Energy Assistance LASER'!E68+'FC &amp; Adoptions LASER'!D68+'CSA LASER'!D68+'ChildCare LASER'!I68+'Other Benefits LASER'!D68</f>
        <v>8685029.1785199996</v>
      </c>
      <c r="E69" s="1597">
        <f>'Medicaid &amp; FAMIS - LASER'!F68+'TANF LASER'!F68+'Energy Assistance LASER'!G68+'CSA LASER'!E68+'ChildCare LASER'!J68+'FC &amp; Adoptions LASER'!E68+'Other Benefits LASER'!E68</f>
        <v>5904478.3761299998</v>
      </c>
      <c r="F69" s="1597">
        <f>'Medicaid &amp; FAMIS - LASER'!G68+'TANF LASER'!G68+'Energy Assistance LASER'!H68+'FC &amp; Adoptions LASER'!F68+'CSA LASER'!F68+'Other Benefits LASER'!F68</f>
        <v>4072.0752499999971</v>
      </c>
      <c r="G69" s="1597">
        <f>'TANF LASER'!H68+'Energy Assistance LASER'!J68+'FC &amp; Adoptions LASER'!G68+'CSA LASER'!G68+'Other Benefits LASER'!G68</f>
        <v>499.97</v>
      </c>
      <c r="H69" s="1597">
        <f>'Medicaid &amp; FAMIS - LASER'!D68+'SNAP LASER'!D68+'TANF LASER'!I68+'Energy Assistance LASER'!D68+'FC &amp; Adoptions LASER'!I68+'CSA LASER'!H68+'ChildCare LASER'!K68+'Other Benefits LASER'!I68</f>
        <v>14594079.599899998</v>
      </c>
      <c r="I69" s="1597">
        <f t="shared" si="1"/>
        <v>4572.0452499999974</v>
      </c>
    </row>
    <row r="70" spans="1:9">
      <c r="A70" s="767" t="s">
        <v>168</v>
      </c>
      <c r="B70" s="618" t="s">
        <v>169</v>
      </c>
      <c r="C70" s="768" t="s">
        <v>266</v>
      </c>
      <c r="D70" s="1597">
        <f>'Medicaid &amp; FAMIS - LASER'!E69+'SNAP LASER'!E69+'TANF LASER'!D69+'Energy Assistance LASER'!E69+'FC &amp; Adoptions LASER'!D69+'CSA LASER'!D69+'ChildCare LASER'!I69+'Other Benefits LASER'!D69</f>
        <v>17762342.575443</v>
      </c>
      <c r="E70" s="1597">
        <f>'Medicaid &amp; FAMIS - LASER'!F69+'TANF LASER'!F69+'Energy Assistance LASER'!G69+'CSA LASER'!E69+'ChildCare LASER'!J69+'FC &amp; Adoptions LASER'!E69+'Other Benefits LASER'!E69</f>
        <v>12441823.036226002</v>
      </c>
      <c r="F70" s="1597">
        <f>'Medicaid &amp; FAMIS - LASER'!G69+'TANF LASER'!G69+'Energy Assistance LASER'!H69+'FC &amp; Adoptions LASER'!F69+'CSA LASER'!F69+'Other Benefits LASER'!F69</f>
        <v>319698.66823099996</v>
      </c>
      <c r="G70" s="1597">
        <f>'TANF LASER'!H69+'Energy Assistance LASER'!J69+'FC &amp; Adoptions LASER'!G69+'CSA LASER'!G69+'Other Benefits LASER'!G69</f>
        <v>0</v>
      </c>
      <c r="H70" s="1597">
        <f>'Medicaid &amp; FAMIS - LASER'!D69+'SNAP LASER'!D69+'TANF LASER'!I69+'Energy Assistance LASER'!D69+'FC &amp; Adoptions LASER'!I69+'CSA LASER'!H69+'ChildCare LASER'!K69+'Other Benefits LASER'!I69</f>
        <v>30523864.279899999</v>
      </c>
      <c r="I70" s="1597">
        <f t="shared" ref="I70:I125" si="2">F70+G70</f>
        <v>319698.66823099996</v>
      </c>
    </row>
    <row r="71" spans="1:9">
      <c r="A71" s="767" t="s">
        <v>170</v>
      </c>
      <c r="B71" s="618" t="s">
        <v>171</v>
      </c>
      <c r="C71" s="768" t="s">
        <v>267</v>
      </c>
      <c r="D71" s="1597">
        <f>'Medicaid &amp; FAMIS - LASER'!E70+'SNAP LASER'!E70+'TANF LASER'!D70+'Energy Assistance LASER'!E70+'FC &amp; Adoptions LASER'!D70+'CSA LASER'!D70+'ChildCare LASER'!I70+'Other Benefits LASER'!D70</f>
        <v>21472062.720409002</v>
      </c>
      <c r="E71" s="1597">
        <f>'Medicaid &amp; FAMIS - LASER'!F70+'TANF LASER'!F70+'Energy Assistance LASER'!G70+'CSA LASER'!E70+'ChildCare LASER'!J70+'FC &amp; Adoptions LASER'!E70+'Other Benefits LASER'!E70</f>
        <v>16795315.175727874</v>
      </c>
      <c r="F71" s="1597">
        <f>'Medicaid &amp; FAMIS - LASER'!G70+'TANF LASER'!G70+'Energy Assistance LASER'!H70+'FC &amp; Adoptions LASER'!F70+'CSA LASER'!F70+'Other Benefits LASER'!F70</f>
        <v>746872.70376312512</v>
      </c>
      <c r="G71" s="1597">
        <f>'TANF LASER'!H70+'Energy Assistance LASER'!J70+'FC &amp; Adoptions LASER'!G70+'CSA LASER'!G70+'Other Benefits LASER'!G70</f>
        <v>60870.359999999993</v>
      </c>
      <c r="H71" s="1597">
        <f>'Medicaid &amp; FAMIS - LASER'!D70+'SNAP LASER'!D70+'TANF LASER'!I70+'Energy Assistance LASER'!D70+'FC &amp; Adoptions LASER'!I70+'CSA LASER'!H70+'ChildCare LASER'!K70+'Other Benefits LASER'!I70</f>
        <v>39075120.959900007</v>
      </c>
      <c r="I71" s="1597">
        <f t="shared" si="2"/>
        <v>807743.0637631251</v>
      </c>
    </row>
    <row r="72" spans="1:9">
      <c r="A72" s="767" t="s">
        <v>172</v>
      </c>
      <c r="B72" s="618" t="s">
        <v>173</v>
      </c>
      <c r="C72" s="768" t="s">
        <v>267</v>
      </c>
      <c r="D72" s="1597">
        <f>'Medicaid &amp; FAMIS - LASER'!E71+'SNAP LASER'!E71+'TANF LASER'!D71+'Energy Assistance LASER'!E71+'FC &amp; Adoptions LASER'!D71+'CSA LASER'!D71+'ChildCare LASER'!I71+'Other Benefits LASER'!D71</f>
        <v>19018188.209450003</v>
      </c>
      <c r="E72" s="1597">
        <f>'Medicaid &amp; FAMIS - LASER'!F71+'TANF LASER'!F71+'Energy Assistance LASER'!G71+'CSA LASER'!E71+'ChildCare LASER'!J71+'FC &amp; Adoptions LASER'!E71+'Other Benefits LASER'!E71</f>
        <v>13347878.250717498</v>
      </c>
      <c r="F72" s="1597">
        <f>'Medicaid &amp; FAMIS - LASER'!G71+'TANF LASER'!G71+'Energy Assistance LASER'!H71+'FC &amp; Adoptions LASER'!F71+'CSA LASER'!F71+'Other Benefits LASER'!F71</f>
        <v>208644.28973250001</v>
      </c>
      <c r="G72" s="1597">
        <f>'TANF LASER'!H71+'Energy Assistance LASER'!J71+'FC &amp; Adoptions LASER'!G71+'CSA LASER'!G71+'Other Benefits LASER'!G71</f>
        <v>-0.02</v>
      </c>
      <c r="H72" s="1597">
        <f>'Medicaid &amp; FAMIS - LASER'!D71+'SNAP LASER'!D71+'TANF LASER'!I71+'Energy Assistance LASER'!D71+'FC &amp; Adoptions LASER'!I71+'CSA LASER'!H71+'ChildCare LASER'!K71+'Other Benefits LASER'!I71</f>
        <v>32574710.729900002</v>
      </c>
      <c r="I72" s="1597">
        <f t="shared" si="2"/>
        <v>208644.26973250002</v>
      </c>
    </row>
    <row r="73" spans="1:9">
      <c r="A73" s="767" t="s">
        <v>174</v>
      </c>
      <c r="B73" s="618" t="s">
        <v>175</v>
      </c>
      <c r="C73" s="768" t="s">
        <v>268</v>
      </c>
      <c r="D73" s="1597">
        <f>'Medicaid &amp; FAMIS - LASER'!E72+'SNAP LASER'!E72+'TANF LASER'!D72+'Energy Assistance LASER'!E72+'FC &amp; Adoptions LASER'!D72+'CSA LASER'!D72+'ChildCare LASER'!I72+'Other Benefits LASER'!D72</f>
        <v>16959611.440547001</v>
      </c>
      <c r="E73" s="1597">
        <f>'Medicaid &amp; FAMIS - LASER'!F72+'TANF LASER'!F72+'Energy Assistance LASER'!G72+'CSA LASER'!E72+'ChildCare LASER'!J72+'FC &amp; Adoptions LASER'!E72+'Other Benefits LASER'!E72</f>
        <v>12051430.457603002</v>
      </c>
      <c r="F73" s="1597">
        <f>'Medicaid &amp; FAMIS - LASER'!G72+'TANF LASER'!G72+'Energy Assistance LASER'!H72+'FC &amp; Adoptions LASER'!F72+'CSA LASER'!F72+'Other Benefits LASER'!F72</f>
        <v>30128.611749999996</v>
      </c>
      <c r="G73" s="1597">
        <f>'TANF LASER'!H72+'Energy Assistance LASER'!J72+'FC &amp; Adoptions LASER'!G72+'CSA LASER'!G72+'Other Benefits LASER'!G72</f>
        <v>-0.05</v>
      </c>
      <c r="H73" s="1597">
        <f>'Medicaid &amp; FAMIS - LASER'!D72+'SNAP LASER'!D72+'TANF LASER'!I72+'Energy Assistance LASER'!D72+'FC &amp; Adoptions LASER'!I72+'CSA LASER'!H72+'ChildCare LASER'!K72+'Other Benefits LASER'!I72</f>
        <v>29041170.459899999</v>
      </c>
      <c r="I73" s="1597">
        <f t="shared" si="2"/>
        <v>30128.561749999997</v>
      </c>
    </row>
    <row r="74" spans="1:9">
      <c r="A74" s="767" t="s">
        <v>178</v>
      </c>
      <c r="B74" s="618" t="s">
        <v>179</v>
      </c>
      <c r="C74" s="768" t="s">
        <v>265</v>
      </c>
      <c r="D74" s="1597">
        <f>'Medicaid &amp; FAMIS - LASER'!E73+'SNAP LASER'!E73+'TANF LASER'!D73+'Energy Assistance LASER'!E73+'FC &amp; Adoptions LASER'!D73+'CSA LASER'!D73+'ChildCare LASER'!I73+'Other Benefits LASER'!D73</f>
        <v>57676133.285405003</v>
      </c>
      <c r="E74" s="1597">
        <f>'Medicaid &amp; FAMIS - LASER'!F73+'TANF LASER'!F73+'Energy Assistance LASER'!G73+'CSA LASER'!E73+'ChildCare LASER'!J73+'FC &amp; Adoptions LASER'!E73+'Other Benefits LASER'!E73</f>
        <v>44513903.047648124</v>
      </c>
      <c r="F74" s="1597">
        <f>'Medicaid &amp; FAMIS - LASER'!G73+'TANF LASER'!G73+'Energy Assistance LASER'!H73+'FC &amp; Adoptions LASER'!F73+'CSA LASER'!F73+'Other Benefits LASER'!F73</f>
        <v>1000039.186546875</v>
      </c>
      <c r="G74" s="1597">
        <f>'TANF LASER'!H73+'Energy Assistance LASER'!J73+'FC &amp; Adoptions LASER'!G73+'CSA LASER'!G73+'Other Benefits LASER'!G73</f>
        <v>3062.95</v>
      </c>
      <c r="H74" s="1597">
        <f>'Medicaid &amp; FAMIS - LASER'!D73+'SNAP LASER'!D73+'TANF LASER'!I73+'Energy Assistance LASER'!D73+'FC &amp; Adoptions LASER'!I73+'CSA LASER'!H73+'ChildCare LASER'!K73+'Other Benefits LASER'!I73</f>
        <v>103193138.46960002</v>
      </c>
      <c r="I74" s="1597">
        <f t="shared" si="2"/>
        <v>1003102.136546875</v>
      </c>
    </row>
    <row r="75" spans="1:9">
      <c r="A75" s="767" t="s">
        <v>182</v>
      </c>
      <c r="B75" s="618" t="s">
        <v>183</v>
      </c>
      <c r="C75" s="768" t="s">
        <v>266</v>
      </c>
      <c r="D75" s="1597">
        <f>'Medicaid &amp; FAMIS - LASER'!E74+'SNAP LASER'!E74+'TANF LASER'!D74+'Energy Assistance LASER'!E74+'FC &amp; Adoptions LASER'!D74+'CSA LASER'!D74+'ChildCare LASER'!I74+'Other Benefits LASER'!D74</f>
        <v>8746140.4274000004</v>
      </c>
      <c r="E75" s="1597">
        <f>'Medicaid &amp; FAMIS - LASER'!F74+'TANF LASER'!F74+'Energy Assistance LASER'!G74+'CSA LASER'!E74+'ChildCare LASER'!J74+'FC &amp; Adoptions LASER'!E74+'Other Benefits LASER'!E74</f>
        <v>7287851.1681674998</v>
      </c>
      <c r="F75" s="1597">
        <f>'Medicaid &amp; FAMIS - LASER'!G74+'TANF LASER'!G74+'Energy Assistance LASER'!H74+'FC &amp; Adoptions LASER'!F74+'CSA LASER'!F74+'Other Benefits LASER'!F74</f>
        <v>861502.42433249997</v>
      </c>
      <c r="G75" s="1597">
        <f>'TANF LASER'!H74+'Energy Assistance LASER'!J74+'FC &amp; Adoptions LASER'!G74+'CSA LASER'!G74+'Other Benefits LASER'!G74</f>
        <v>34999.409999999996</v>
      </c>
      <c r="H75" s="1597">
        <f>'Medicaid &amp; FAMIS - LASER'!D74+'SNAP LASER'!D74+'TANF LASER'!I74+'Energy Assistance LASER'!D74+'FC &amp; Adoptions LASER'!I74+'CSA LASER'!H74+'ChildCare LASER'!K74+'Other Benefits LASER'!I74</f>
        <v>16930493.429899998</v>
      </c>
      <c r="I75" s="1597">
        <f t="shared" si="2"/>
        <v>896501.8343325</v>
      </c>
    </row>
    <row r="76" spans="1:9">
      <c r="A76" s="767" t="s">
        <v>184</v>
      </c>
      <c r="B76" s="618" t="s">
        <v>185</v>
      </c>
      <c r="C76" s="768" t="s">
        <v>266</v>
      </c>
      <c r="D76" s="1597">
        <f>'Medicaid &amp; FAMIS - LASER'!E75+'SNAP LASER'!E75+'TANF LASER'!D75+'Energy Assistance LASER'!E75+'FC &amp; Adoptions LASER'!D75+'CSA LASER'!D75+'ChildCare LASER'!I75+'Other Benefits LASER'!D75</f>
        <v>20756170.387829997</v>
      </c>
      <c r="E76" s="1597">
        <f>'Medicaid &amp; FAMIS - LASER'!F75+'TANF LASER'!F75+'Energy Assistance LASER'!G75+'CSA LASER'!E75+'ChildCare LASER'!J75+'FC &amp; Adoptions LASER'!E75+'Other Benefits LASER'!E75</f>
        <v>15865069.429099999</v>
      </c>
      <c r="F76" s="1597">
        <f>'Medicaid &amp; FAMIS - LASER'!G75+'TANF LASER'!G75+'Energy Assistance LASER'!H75+'FC &amp; Adoptions LASER'!F75+'CSA LASER'!F75+'Other Benefits LASER'!F75</f>
        <v>224202.00297</v>
      </c>
      <c r="G76" s="1597">
        <f>'TANF LASER'!H75+'Energy Assistance LASER'!J75+'FC &amp; Adoptions LASER'!G75+'CSA LASER'!G75+'Other Benefits LASER'!G75</f>
        <v>-0.05</v>
      </c>
      <c r="H76" s="1597">
        <f>'Medicaid &amp; FAMIS - LASER'!D75+'SNAP LASER'!D75+'TANF LASER'!I75+'Energy Assistance LASER'!D75+'FC &amp; Adoptions LASER'!I75+'CSA LASER'!H75+'ChildCare LASER'!K75+'Other Benefits LASER'!I75</f>
        <v>36845441.769899994</v>
      </c>
      <c r="I76" s="1597">
        <f t="shared" si="2"/>
        <v>224201.95297000001</v>
      </c>
    </row>
    <row r="77" spans="1:9">
      <c r="A77" s="767" t="s">
        <v>186</v>
      </c>
      <c r="B77" s="618" t="s">
        <v>187</v>
      </c>
      <c r="C77" s="768" t="s">
        <v>264</v>
      </c>
      <c r="D77" s="1597">
        <f>'Medicaid &amp; FAMIS - LASER'!E76+'SNAP LASER'!E76+'TANF LASER'!D76+'Energy Assistance LASER'!E76+'FC &amp; Adoptions LASER'!D76+'CSA LASER'!D76+'ChildCare LASER'!I76+'Other Benefits LASER'!D76</f>
        <v>14788648.562449999</v>
      </c>
      <c r="E77" s="1597">
        <f>'Medicaid &amp; FAMIS - LASER'!F76+'TANF LASER'!F76+'Energy Assistance LASER'!G76+'CSA LASER'!E76+'ChildCare LASER'!J76+'FC &amp; Adoptions LASER'!E76+'Other Benefits LASER'!E76</f>
        <v>10624913.575309999</v>
      </c>
      <c r="F77" s="1597">
        <f>'Medicaid &amp; FAMIS - LASER'!G76+'TANF LASER'!G76+'Energy Assistance LASER'!H76+'FC &amp; Adoptions LASER'!F76+'CSA LASER'!F76+'Other Benefits LASER'!F76</f>
        <v>500778.91213999997</v>
      </c>
      <c r="G77" s="1597">
        <f>'TANF LASER'!H76+'Energy Assistance LASER'!J76+'FC &amp; Adoptions LASER'!G76+'CSA LASER'!G76+'Other Benefits LASER'!G76</f>
        <v>-0.04</v>
      </c>
      <c r="H77" s="1597">
        <f>'Medicaid &amp; FAMIS - LASER'!D76+'SNAP LASER'!D76+'TANF LASER'!I76+'Energy Assistance LASER'!D76+'FC &amp; Adoptions LASER'!I76+'CSA LASER'!H76+'ChildCare LASER'!K76+'Other Benefits LASER'!I76</f>
        <v>25914341.0099</v>
      </c>
      <c r="I77" s="1597">
        <f t="shared" si="2"/>
        <v>500778.87213999999</v>
      </c>
    </row>
    <row r="78" spans="1:9">
      <c r="A78" s="767" t="s">
        <v>188</v>
      </c>
      <c r="B78" s="618" t="s">
        <v>189</v>
      </c>
      <c r="C78" s="768" t="s">
        <v>267</v>
      </c>
      <c r="D78" s="1597">
        <f>'Medicaid &amp; FAMIS - LASER'!E77+'SNAP LASER'!E77+'TANF LASER'!D77+'Energy Assistance LASER'!E77+'FC &amp; Adoptions LASER'!D77+'CSA LASER'!D77+'ChildCare LASER'!I77+'Other Benefits LASER'!D77</f>
        <v>179212949.04987898</v>
      </c>
      <c r="E78" s="1597">
        <f>'Medicaid &amp; FAMIS - LASER'!F77+'TANF LASER'!F77+'Energy Assistance LASER'!G77+'CSA LASER'!E77+'ChildCare LASER'!J77+'FC &amp; Adoptions LASER'!E77+'Other Benefits LASER'!E77</f>
        <v>130076298.67258725</v>
      </c>
      <c r="F78" s="1597">
        <f>'Medicaid &amp; FAMIS - LASER'!G77+'TANF LASER'!G77+'Energy Assistance LASER'!H77+'FC &amp; Adoptions LASER'!F77+'CSA LASER'!F77+'Other Benefits LASER'!F77</f>
        <v>2745545.7764337501</v>
      </c>
      <c r="G78" s="1597">
        <f>'TANF LASER'!H77+'Energy Assistance LASER'!J77+'FC &amp; Adoptions LASER'!G77+'CSA LASER'!G77+'Other Benefits LASER'!G77</f>
        <v>3.83</v>
      </c>
      <c r="H78" s="1597">
        <f>'Medicaid &amp; FAMIS - LASER'!D77+'SNAP LASER'!D77+'TANF LASER'!I77+'Energy Assistance LASER'!D77+'FC &amp; Adoptions LASER'!I77+'CSA LASER'!H77+'ChildCare LASER'!K77+'Other Benefits LASER'!I77</f>
        <v>312034797.32889998</v>
      </c>
      <c r="I78" s="1597">
        <f t="shared" si="2"/>
        <v>2745549.6064337501</v>
      </c>
    </row>
    <row r="79" spans="1:9">
      <c r="A79" s="767" t="s">
        <v>190</v>
      </c>
      <c r="B79" s="618" t="s">
        <v>191</v>
      </c>
      <c r="C79" s="768" t="s">
        <v>268</v>
      </c>
      <c r="D79" s="1597">
        <f>'Medicaid &amp; FAMIS - LASER'!E78+'SNAP LASER'!E78+'TANF LASER'!D78+'Energy Assistance LASER'!E78+'FC &amp; Adoptions LASER'!D78+'CSA LASER'!D78+'ChildCare LASER'!I78+'Other Benefits LASER'!D78</f>
        <v>32140159.325879999</v>
      </c>
      <c r="E79" s="1597">
        <f>'Medicaid &amp; FAMIS - LASER'!F78+'TANF LASER'!F78+'Energy Assistance LASER'!G78+'CSA LASER'!E78+'ChildCare LASER'!J78+'FC &amp; Adoptions LASER'!E78+'Other Benefits LASER'!E78</f>
        <v>25281832.096203875</v>
      </c>
      <c r="F79" s="1597">
        <f>'Medicaid &amp; FAMIS - LASER'!G78+'TANF LASER'!G78+'Energy Assistance LASER'!H78+'FC &amp; Adoptions LASER'!F78+'CSA LASER'!F78+'Other Benefits LASER'!F78</f>
        <v>1127684.867716125</v>
      </c>
      <c r="G79" s="1597">
        <f>'TANF LASER'!H78+'Energy Assistance LASER'!J78+'FC &amp; Adoptions LASER'!G78+'CSA LASER'!G78+'Other Benefits LASER'!G78</f>
        <v>6859.74</v>
      </c>
      <c r="H79" s="1597">
        <f>'Medicaid &amp; FAMIS - LASER'!D78+'SNAP LASER'!D78+'TANF LASER'!I78+'Energy Assistance LASER'!D78+'FC &amp; Adoptions LASER'!I78+'CSA LASER'!H78+'ChildCare LASER'!K78+'Other Benefits LASER'!I78</f>
        <v>58556536.029799983</v>
      </c>
      <c r="I79" s="1597">
        <f t="shared" si="2"/>
        <v>1134544.607716125</v>
      </c>
    </row>
    <row r="80" spans="1:9">
      <c r="A80" s="767" t="s">
        <v>194</v>
      </c>
      <c r="B80" s="618" t="s">
        <v>195</v>
      </c>
      <c r="C80" s="768" t="s">
        <v>267</v>
      </c>
      <c r="D80" s="1597">
        <f>'Medicaid &amp; FAMIS - LASER'!E79+'SNAP LASER'!E79+'TANF LASER'!D79+'Energy Assistance LASER'!E79+'FC &amp; Adoptions LASER'!D79+'CSA LASER'!D79+'ChildCare LASER'!I79+'Other Benefits LASER'!D79</f>
        <v>3193635.3644000003</v>
      </c>
      <c r="E80" s="1597">
        <f>'Medicaid &amp; FAMIS - LASER'!F79+'TANF LASER'!F79+'Energy Assistance LASER'!G79+'CSA LASER'!E79+'ChildCare LASER'!J79+'FC &amp; Adoptions LASER'!E79+'Other Benefits LASER'!E79</f>
        <v>2998958.9982718751</v>
      </c>
      <c r="F80" s="1597">
        <f>'Medicaid &amp; FAMIS - LASER'!G79+'TANF LASER'!G79+'Energy Assistance LASER'!H79+'FC &amp; Adoptions LASER'!F79+'CSA LASER'!F79+'Other Benefits LASER'!F79</f>
        <v>681478.13732812495</v>
      </c>
      <c r="G80" s="1597">
        <f>'TANF LASER'!H79+'Energy Assistance LASER'!J79+'FC &amp; Adoptions LASER'!G79+'CSA LASER'!G79+'Other Benefits LASER'!G79</f>
        <v>578.58999999999992</v>
      </c>
      <c r="H80" s="1597">
        <f>'Medicaid &amp; FAMIS - LASER'!D79+'SNAP LASER'!D79+'TANF LASER'!I79+'Energy Assistance LASER'!D79+'FC &amp; Adoptions LASER'!I79+'CSA LASER'!H79+'ChildCare LASER'!K79+'Other Benefits LASER'!I79</f>
        <v>6874651.0899999999</v>
      </c>
      <c r="I80" s="1597">
        <f t="shared" si="2"/>
        <v>682056.72732812492</v>
      </c>
    </row>
    <row r="81" spans="1:9">
      <c r="A81" s="767" t="s">
        <v>198</v>
      </c>
      <c r="B81" s="618" t="s">
        <v>199</v>
      </c>
      <c r="C81" s="768" t="s">
        <v>266</v>
      </c>
      <c r="D81" s="1597">
        <f>'Medicaid &amp; FAMIS - LASER'!E80+'SNAP LASER'!E80+'TANF LASER'!D80+'Energy Assistance LASER'!E80+'FC &amp; Adoptions LASER'!D80+'CSA LASER'!D80+'ChildCare LASER'!I80+'Other Benefits LASER'!D80</f>
        <v>7838561.6954500005</v>
      </c>
      <c r="E81" s="1597">
        <f>'Medicaid &amp; FAMIS - LASER'!F80+'TANF LASER'!F80+'Energy Assistance LASER'!G80+'CSA LASER'!E80+'ChildCare LASER'!J80+'FC &amp; Adoptions LASER'!E80+'Other Benefits LASER'!E80</f>
        <v>5416074.9919787506</v>
      </c>
      <c r="F81" s="1597">
        <f>'Medicaid &amp; FAMIS - LASER'!G80+'TANF LASER'!G80+'Energy Assistance LASER'!H80+'FC &amp; Adoptions LASER'!F80+'CSA LASER'!F80+'Other Benefits LASER'!F80</f>
        <v>162975.23247124997</v>
      </c>
      <c r="G81" s="1597">
        <f>'TANF LASER'!H80+'Energy Assistance LASER'!J80+'FC &amp; Adoptions LASER'!G80+'CSA LASER'!G80+'Other Benefits LASER'!G80</f>
        <v>-0.03</v>
      </c>
      <c r="H81" s="1597">
        <f>'Medicaid &amp; FAMIS - LASER'!D80+'SNAP LASER'!D80+'TANF LASER'!I80+'Energy Assistance LASER'!D80+'FC &amp; Adoptions LASER'!I80+'CSA LASER'!H80+'ChildCare LASER'!K80+'Other Benefits LASER'!I80</f>
        <v>13417611.889900001</v>
      </c>
      <c r="I81" s="1597">
        <f t="shared" si="2"/>
        <v>162975.20247124997</v>
      </c>
    </row>
    <row r="82" spans="1:9">
      <c r="A82" s="767" t="s">
        <v>202</v>
      </c>
      <c r="B82" s="618" t="s">
        <v>620</v>
      </c>
      <c r="C82" s="768" t="s">
        <v>265</v>
      </c>
      <c r="D82" s="1597">
        <f>'Medicaid &amp; FAMIS - LASER'!E81+'SNAP LASER'!E81+'TANF LASER'!D81+'Energy Assistance LASER'!E81+'FC &amp; Adoptions LASER'!D81+'CSA LASER'!D81+'ChildCare LASER'!I81+'Other Benefits LASER'!D81</f>
        <v>57999866.82952401</v>
      </c>
      <c r="E82" s="1597">
        <f>'Medicaid &amp; FAMIS - LASER'!F81+'TANF LASER'!F81+'Energy Assistance LASER'!G81+'CSA LASER'!E81+'ChildCare LASER'!J81+'FC &amp; Adoptions LASER'!E81+'Other Benefits LASER'!E81</f>
        <v>48674746.028335877</v>
      </c>
      <c r="F82" s="1597">
        <f>'Medicaid &amp; FAMIS - LASER'!G81+'TANF LASER'!G81+'Energy Assistance LASER'!H81+'FC &amp; Adoptions LASER'!F81+'CSA LASER'!F81+'Other Benefits LASER'!F81</f>
        <v>2830314.941740125</v>
      </c>
      <c r="G82" s="1597">
        <f>'TANF LASER'!H81+'Energy Assistance LASER'!J81+'FC &amp; Adoptions LASER'!G81+'CSA LASER'!G81+'Other Benefits LASER'!G81</f>
        <v>40730.92</v>
      </c>
      <c r="H82" s="1597">
        <f>'Medicaid &amp; FAMIS - LASER'!D81+'SNAP LASER'!D81+'TANF LASER'!I81+'Energy Assistance LASER'!D81+'FC &amp; Adoptions LASER'!I81+'CSA LASER'!H81+'ChildCare LASER'!K81+'Other Benefits LASER'!I81</f>
        <v>109545658.71959998</v>
      </c>
      <c r="I82" s="1597">
        <f t="shared" si="2"/>
        <v>2871045.8617401249</v>
      </c>
    </row>
    <row r="83" spans="1:9">
      <c r="A83" s="767" t="s">
        <v>204</v>
      </c>
      <c r="B83" s="618" t="s">
        <v>293</v>
      </c>
      <c r="C83" s="768" t="s">
        <v>265</v>
      </c>
      <c r="D83" s="1597">
        <f>'Medicaid &amp; FAMIS - LASER'!E82+'SNAP LASER'!E82+'TANF LASER'!D82+'Energy Assistance LASER'!E82+'FC &amp; Adoptions LASER'!D82+'CSA LASER'!D82+'ChildCare LASER'!I82+'Other Benefits LASER'!D82</f>
        <v>23864087.423752002</v>
      </c>
      <c r="E83" s="1597">
        <f>'Medicaid &amp; FAMIS - LASER'!F82+'TANF LASER'!F82+'Energy Assistance LASER'!G82+'CSA LASER'!E82+'ChildCare LASER'!J82+'FC &amp; Adoptions LASER'!E82+'Other Benefits LASER'!E82</f>
        <v>19897657.508415498</v>
      </c>
      <c r="F83" s="1597">
        <f>'Medicaid &amp; FAMIS - LASER'!G82+'TANF LASER'!G82+'Energy Assistance LASER'!H82+'FC &amp; Adoptions LASER'!F82+'CSA LASER'!F82+'Other Benefits LASER'!F82</f>
        <v>1048499.8277325</v>
      </c>
      <c r="G83" s="1597">
        <f>'TANF LASER'!H82+'Energy Assistance LASER'!J82+'FC &amp; Adoptions LASER'!G82+'CSA LASER'!G82+'Other Benefits LASER'!G82</f>
        <v>649.92999999999995</v>
      </c>
      <c r="H83" s="1597">
        <f>'Medicaid &amp; FAMIS - LASER'!D82+'SNAP LASER'!D82+'TANF LASER'!I82+'Energy Assistance LASER'!D82+'FC &amp; Adoptions LASER'!I82+'CSA LASER'!H82+'ChildCare LASER'!K82+'Other Benefits LASER'!I82</f>
        <v>44810894.689900003</v>
      </c>
      <c r="I83" s="1597">
        <f t="shared" si="2"/>
        <v>1049149.7577325001</v>
      </c>
    </row>
    <row r="84" spans="1:9">
      <c r="A84" s="767" t="s">
        <v>206</v>
      </c>
      <c r="B84" s="618" t="s">
        <v>294</v>
      </c>
      <c r="C84" s="768" t="s">
        <v>267</v>
      </c>
      <c r="D84" s="1597">
        <f>'Medicaid &amp; FAMIS - LASER'!E83+'SNAP LASER'!E83+'TANF LASER'!D83+'Energy Assistance LASER'!E83+'FC &amp; Adoptions LASER'!D83+'CSA LASER'!D83+'ChildCare LASER'!I83+'Other Benefits LASER'!D83</f>
        <v>65699765.968850002</v>
      </c>
      <c r="E84" s="1597">
        <f>'Medicaid &amp; FAMIS - LASER'!F83+'TANF LASER'!F83+'Energy Assistance LASER'!G83+'CSA LASER'!E83+'ChildCare LASER'!J83+'FC &amp; Adoptions LASER'!E83+'Other Benefits LASER'!E83</f>
        <v>54719717.730472244</v>
      </c>
      <c r="F84" s="1597">
        <f>'Medicaid &amp; FAMIS - LASER'!G83+'TANF LASER'!G83+'Energy Assistance LASER'!H83+'FC &amp; Adoptions LASER'!F83+'CSA LASER'!F83+'Other Benefits LASER'!F83</f>
        <v>3393930.4502777494</v>
      </c>
      <c r="G84" s="1597">
        <f>'TANF LASER'!H83+'Energy Assistance LASER'!J83+'FC &amp; Adoptions LASER'!G83+'CSA LASER'!G83+'Other Benefits LASER'!G83</f>
        <v>-0.2</v>
      </c>
      <c r="H84" s="1597">
        <f>'Medicaid &amp; FAMIS - LASER'!D83+'SNAP LASER'!D83+'TANF LASER'!I83+'Energy Assistance LASER'!D83+'FC &amp; Adoptions LASER'!I83+'CSA LASER'!H83+'ChildCare LASER'!K83+'Other Benefits LASER'!I83</f>
        <v>123813413.9496</v>
      </c>
      <c r="I84" s="1597">
        <f t="shared" si="2"/>
        <v>3393930.2502777493</v>
      </c>
    </row>
    <row r="85" spans="1:9">
      <c r="A85" s="767" t="s">
        <v>208</v>
      </c>
      <c r="B85" s="618" t="s">
        <v>209</v>
      </c>
      <c r="C85" s="768" t="s">
        <v>268</v>
      </c>
      <c r="D85" s="1597">
        <f>'Medicaid &amp; FAMIS - LASER'!E84+'SNAP LASER'!E84+'TANF LASER'!D84+'Energy Assistance LASER'!E84+'FC &amp; Adoptions LASER'!D84+'CSA LASER'!D84+'ChildCare LASER'!I84+'Other Benefits LASER'!D84</f>
        <v>30874044.032529999</v>
      </c>
      <c r="E85" s="1597">
        <f>'Medicaid &amp; FAMIS - LASER'!F84+'TANF LASER'!F84+'Energy Assistance LASER'!G84+'CSA LASER'!E84+'ChildCare LASER'!J84+'FC &amp; Adoptions LASER'!E84+'Other Benefits LASER'!E84</f>
        <v>22201668.804202002</v>
      </c>
      <c r="F85" s="1597">
        <f>'Medicaid &amp; FAMIS - LASER'!G84+'TANF LASER'!G84+'Energy Assistance LASER'!H84+'FC &amp; Adoptions LASER'!F84+'CSA LASER'!F84+'Other Benefits LASER'!F84</f>
        <v>282486.75306800002</v>
      </c>
      <c r="G85" s="1597">
        <f>'TANF LASER'!H84+'Energy Assistance LASER'!J84+'FC &amp; Adoptions LASER'!G84+'CSA LASER'!G84+'Other Benefits LASER'!G84</f>
        <v>-0.13</v>
      </c>
      <c r="H85" s="1597">
        <f>'Medicaid &amp; FAMIS - LASER'!D84+'SNAP LASER'!D84+'TANF LASER'!I84+'Energy Assistance LASER'!D84+'FC &amp; Adoptions LASER'!I84+'CSA LASER'!H84+'ChildCare LASER'!K84+'Other Benefits LASER'!I84</f>
        <v>53358199.459799998</v>
      </c>
      <c r="I85" s="1597">
        <f t="shared" si="2"/>
        <v>282486.62306800002</v>
      </c>
    </row>
    <row r="86" spans="1:9">
      <c r="A86" s="767" t="s">
        <v>210</v>
      </c>
      <c r="B86" s="618" t="s">
        <v>211</v>
      </c>
      <c r="C86" s="768" t="s">
        <v>268</v>
      </c>
      <c r="D86" s="1597">
        <f>'Medicaid &amp; FAMIS - LASER'!E85+'SNAP LASER'!E85+'TANF LASER'!D85+'Energy Assistance LASER'!E85+'FC &amp; Adoptions LASER'!D85+'CSA LASER'!D85+'ChildCare LASER'!I85+'Other Benefits LASER'!D85</f>
        <v>21539526.670059998</v>
      </c>
      <c r="E86" s="1597">
        <f>'Medicaid &amp; FAMIS - LASER'!F85+'TANF LASER'!F85+'Energy Assistance LASER'!G85+'CSA LASER'!E85+'ChildCare LASER'!J85+'FC &amp; Adoptions LASER'!E85+'Other Benefits LASER'!E85</f>
        <v>16100659.983970001</v>
      </c>
      <c r="F86" s="1597">
        <f>'Medicaid &amp; FAMIS - LASER'!G85+'TANF LASER'!G85+'Energy Assistance LASER'!H85+'FC &amp; Adoptions LASER'!F85+'CSA LASER'!F85+'Other Benefits LASER'!F85</f>
        <v>280222.68586999999</v>
      </c>
      <c r="G86" s="1597">
        <f>'TANF LASER'!H85+'Energy Assistance LASER'!J85+'FC &amp; Adoptions LASER'!G85+'CSA LASER'!G85+'Other Benefits LASER'!G85</f>
        <v>-0.12</v>
      </c>
      <c r="H86" s="1597">
        <f>'Medicaid &amp; FAMIS - LASER'!D85+'SNAP LASER'!D85+'TANF LASER'!I85+'Energy Assistance LASER'!D85+'FC &amp; Adoptions LASER'!I85+'CSA LASER'!H85+'ChildCare LASER'!K85+'Other Benefits LASER'!I85</f>
        <v>37920409.219900005</v>
      </c>
      <c r="I86" s="1597">
        <f t="shared" si="2"/>
        <v>280222.56586999999</v>
      </c>
    </row>
    <row r="87" spans="1:9">
      <c r="A87" s="767" t="s">
        <v>212</v>
      </c>
      <c r="B87" s="618" t="s">
        <v>213</v>
      </c>
      <c r="C87" s="768" t="s">
        <v>267</v>
      </c>
      <c r="D87" s="1597">
        <f>'Medicaid &amp; FAMIS - LASER'!E86+'SNAP LASER'!E86+'TANF LASER'!D86+'Energy Assistance LASER'!E86+'FC &amp; Adoptions LASER'!D86+'CSA LASER'!D86+'ChildCare LASER'!I86+'Other Benefits LASER'!D86</f>
        <v>29094770.112199999</v>
      </c>
      <c r="E87" s="1597">
        <f>'Medicaid &amp; FAMIS - LASER'!F86+'TANF LASER'!F86+'Energy Assistance LASER'!G86+'CSA LASER'!E86+'ChildCare LASER'!J86+'FC &amp; Adoptions LASER'!E86+'Other Benefits LASER'!E86</f>
        <v>21605883.045674749</v>
      </c>
      <c r="F87" s="1597">
        <f>'Medicaid &amp; FAMIS - LASER'!G86+'TANF LASER'!G86+'Energy Assistance LASER'!H86+'FC &amp; Adoptions LASER'!F86+'CSA LASER'!F86+'Other Benefits LASER'!F86</f>
        <v>624802.60192525003</v>
      </c>
      <c r="G87" s="1597">
        <f>'TANF LASER'!H86+'Energy Assistance LASER'!J86+'FC &amp; Adoptions LASER'!G86+'CSA LASER'!G86+'Other Benefits LASER'!G86</f>
        <v>-0.1</v>
      </c>
      <c r="H87" s="1597">
        <f>'Medicaid &amp; FAMIS - LASER'!D86+'SNAP LASER'!D86+'TANF LASER'!I86+'Energy Assistance LASER'!D86+'FC &amp; Adoptions LASER'!I86+'CSA LASER'!H86+'ChildCare LASER'!K86+'Other Benefits LASER'!I86</f>
        <v>51325455.659799993</v>
      </c>
      <c r="I87" s="1597">
        <f t="shared" si="2"/>
        <v>624802.50192525005</v>
      </c>
    </row>
    <row r="88" spans="1:9">
      <c r="A88" s="767" t="s">
        <v>214</v>
      </c>
      <c r="B88" s="618" t="s">
        <v>215</v>
      </c>
      <c r="C88" s="768" t="s">
        <v>268</v>
      </c>
      <c r="D88" s="1597">
        <f>'Medicaid &amp; FAMIS - LASER'!E87+'SNAP LASER'!E87+'TANF LASER'!D87+'Energy Assistance LASER'!E87+'FC &amp; Adoptions LASER'!D87+'CSA LASER'!D87+'ChildCare LASER'!I87+'Other Benefits LASER'!D87</f>
        <v>32681099.322889999</v>
      </c>
      <c r="E88" s="1597">
        <f>'Medicaid &amp; FAMIS - LASER'!F87+'TANF LASER'!F87+'Energy Assistance LASER'!G87+'CSA LASER'!E87+'ChildCare LASER'!J87+'FC &amp; Adoptions LASER'!E87+'Other Benefits LASER'!E87</f>
        <v>23252429.618634377</v>
      </c>
      <c r="F88" s="1597">
        <f>'Medicaid &amp; FAMIS - LASER'!G87+'TANF LASER'!G87+'Energy Assistance LASER'!H87+'FC &amp; Adoptions LASER'!F87+'CSA LASER'!F87+'Other Benefits LASER'!F87</f>
        <v>261352.46827562503</v>
      </c>
      <c r="G88" s="1597">
        <f>'TANF LASER'!H87+'Energy Assistance LASER'!J87+'FC &amp; Adoptions LASER'!G87+'CSA LASER'!G87+'Other Benefits LASER'!G87</f>
        <v>499.83</v>
      </c>
      <c r="H88" s="1597">
        <f>'Medicaid &amp; FAMIS - LASER'!D87+'SNAP LASER'!D87+'TANF LASER'!I87+'Energy Assistance LASER'!D87+'FC &amp; Adoptions LASER'!I87+'CSA LASER'!H87+'ChildCare LASER'!K87+'Other Benefits LASER'!I87</f>
        <v>56195381.239799999</v>
      </c>
      <c r="I88" s="1597">
        <f t="shared" si="2"/>
        <v>261852.29827562501</v>
      </c>
    </row>
    <row r="89" spans="1:9">
      <c r="A89" s="767" t="s">
        <v>216</v>
      </c>
      <c r="B89" s="618" t="s">
        <v>217</v>
      </c>
      <c r="C89" s="768" t="s">
        <v>264</v>
      </c>
      <c r="D89" s="1597">
        <f>'Medicaid &amp; FAMIS - LASER'!E88+'SNAP LASER'!E88+'TANF LASER'!D88+'Energy Assistance LASER'!E88+'FC &amp; Adoptions LASER'!D88+'CSA LASER'!D88+'ChildCare LASER'!I88+'Other Benefits LASER'!D88</f>
        <v>16178900.38297</v>
      </c>
      <c r="E89" s="1597">
        <f>'Medicaid &amp; FAMIS - LASER'!F88+'TANF LASER'!F88+'Energy Assistance LASER'!G88+'CSA LASER'!E88+'ChildCare LASER'!J88+'FC &amp; Adoptions LASER'!E88+'Other Benefits LASER'!E88</f>
        <v>11695032.235204998</v>
      </c>
      <c r="F89" s="1597">
        <f>'Medicaid &amp; FAMIS - LASER'!G88+'TANF LASER'!G88+'Energy Assistance LASER'!H88+'FC &amp; Adoptions LASER'!F88+'CSA LASER'!F88+'Other Benefits LASER'!F88</f>
        <v>180988.78172500001</v>
      </c>
      <c r="G89" s="1597">
        <f>'TANF LASER'!H88+'Energy Assistance LASER'!J88+'FC &amp; Adoptions LASER'!G88+'CSA LASER'!G88+'Other Benefits LASER'!G88</f>
        <v>0.04</v>
      </c>
      <c r="H89" s="1597">
        <f>'Medicaid &amp; FAMIS - LASER'!D88+'SNAP LASER'!D88+'TANF LASER'!I88+'Energy Assistance LASER'!D88+'FC &amp; Adoptions LASER'!I88+'CSA LASER'!H88+'ChildCare LASER'!K88+'Other Benefits LASER'!I88</f>
        <v>28054921.4399</v>
      </c>
      <c r="I89" s="1597">
        <f t="shared" si="2"/>
        <v>180988.82172500002</v>
      </c>
    </row>
    <row r="90" spans="1:9">
      <c r="A90" s="767" t="s">
        <v>218</v>
      </c>
      <c r="B90" s="618" t="s">
        <v>219</v>
      </c>
      <c r="C90" s="768" t="s">
        <v>267</v>
      </c>
      <c r="D90" s="1597">
        <f>'Medicaid &amp; FAMIS - LASER'!E89+'SNAP LASER'!E89+'TANF LASER'!D89+'Energy Assistance LASER'!E89+'FC &amp; Adoptions LASER'!D89+'CSA LASER'!D89+'ChildCare LASER'!I89+'Other Benefits LASER'!D89</f>
        <v>69856913.614714995</v>
      </c>
      <c r="E90" s="1597">
        <f>'Medicaid &amp; FAMIS - LASER'!F89+'TANF LASER'!F89+'Energy Assistance LASER'!G89+'CSA LASER'!E89+'ChildCare LASER'!J89+'FC &amp; Adoptions LASER'!E89+'Other Benefits LASER'!E89</f>
        <v>53562477.835424498</v>
      </c>
      <c r="F90" s="1597">
        <f>'Medicaid &amp; FAMIS - LASER'!G89+'TANF LASER'!G89+'Energy Assistance LASER'!H89+'FC &amp; Adoptions LASER'!F89+'CSA LASER'!F89+'Other Benefits LASER'!F89</f>
        <v>3883947.6994604999</v>
      </c>
      <c r="G90" s="1597">
        <f>'TANF LASER'!H89+'Energy Assistance LASER'!J89+'FC &amp; Adoptions LASER'!G89+'CSA LASER'!G89+'Other Benefits LASER'!G89</f>
        <v>38.31</v>
      </c>
      <c r="H90" s="1597">
        <f>'Medicaid &amp; FAMIS - LASER'!D89+'SNAP LASER'!D89+'TANF LASER'!I89+'Energy Assistance LASER'!D89+'FC &amp; Adoptions LASER'!I89+'CSA LASER'!H89+'ChildCare LASER'!K89+'Other Benefits LASER'!I89</f>
        <v>127303377.45959997</v>
      </c>
      <c r="I90" s="1597">
        <f t="shared" si="2"/>
        <v>3883986.0094605</v>
      </c>
    </row>
    <row r="91" spans="1:9">
      <c r="A91" s="767" t="s">
        <v>220</v>
      </c>
      <c r="B91" s="618" t="s">
        <v>221</v>
      </c>
      <c r="C91" s="768" t="s">
        <v>267</v>
      </c>
      <c r="D91" s="1597">
        <f>'Medicaid &amp; FAMIS - LASER'!E90+'SNAP LASER'!E90+'TANF LASER'!D90+'Energy Assistance LASER'!E90+'FC &amp; Adoptions LASER'!D90+'CSA LASER'!D90+'ChildCare LASER'!I90+'Other Benefits LASER'!D90</f>
        <v>55033289.646798998</v>
      </c>
      <c r="E91" s="1597">
        <f>'Medicaid &amp; FAMIS - LASER'!F90+'TANF LASER'!F90+'Energy Assistance LASER'!G90+'CSA LASER'!E90+'ChildCare LASER'!J90+'FC &amp; Adoptions LASER'!E90+'Other Benefits LASER'!E90</f>
        <v>40501418.962193504</v>
      </c>
      <c r="F91" s="1597">
        <f>'Medicaid &amp; FAMIS - LASER'!G90+'TANF LASER'!G90+'Energy Assistance LASER'!H90+'FC &amp; Adoptions LASER'!F90+'CSA LASER'!F90+'Other Benefits LASER'!F90</f>
        <v>1959494.2207074999</v>
      </c>
      <c r="G91" s="1597">
        <f>'TANF LASER'!H90+'Energy Assistance LASER'!J90+'FC &amp; Adoptions LASER'!G90+'CSA LASER'!G90+'Other Benefits LASER'!G90</f>
        <v>-0.03</v>
      </c>
      <c r="H91" s="1597">
        <f>'Medicaid &amp; FAMIS - LASER'!D90+'SNAP LASER'!D90+'TANF LASER'!I90+'Energy Assistance LASER'!D90+'FC &amp; Adoptions LASER'!I90+'CSA LASER'!H90+'ChildCare LASER'!K90+'Other Benefits LASER'!I90</f>
        <v>97494202.799700007</v>
      </c>
      <c r="I91" s="1597">
        <f t="shared" si="2"/>
        <v>1959494.1907074999</v>
      </c>
    </row>
    <row r="92" spans="1:9">
      <c r="A92" s="767" t="s">
        <v>224</v>
      </c>
      <c r="B92" s="618" t="s">
        <v>225</v>
      </c>
      <c r="C92" s="768" t="s">
        <v>264</v>
      </c>
      <c r="D92" s="1597">
        <f>'Medicaid &amp; FAMIS - LASER'!E91+'SNAP LASER'!E91+'TANF LASER'!D91+'Energy Assistance LASER'!E91+'FC &amp; Adoptions LASER'!D91+'CSA LASER'!D91+'ChildCare LASER'!I91+'Other Benefits LASER'!D91</f>
        <v>5776949.1196930008</v>
      </c>
      <c r="E92" s="1597">
        <f>'Medicaid &amp; FAMIS - LASER'!F91+'TANF LASER'!F91+'Energy Assistance LASER'!G91+'CSA LASER'!E91+'ChildCare LASER'!J91+'FC &amp; Adoptions LASER'!E91+'Other Benefits LASER'!E91</f>
        <v>4090266.9100965001</v>
      </c>
      <c r="F92" s="1597">
        <f>'Medicaid &amp; FAMIS - LASER'!G91+'TANF LASER'!G91+'Energy Assistance LASER'!H91+'FC &amp; Adoptions LASER'!F91+'CSA LASER'!F91+'Other Benefits LASER'!F91</f>
        <v>114540.30021050001</v>
      </c>
      <c r="G92" s="1597">
        <f>'TANF LASER'!H91+'Energy Assistance LASER'!J91+'FC &amp; Adoptions LASER'!G91+'CSA LASER'!G91+'Other Benefits LASER'!G91</f>
        <v>0</v>
      </c>
      <c r="H92" s="1597">
        <f>'Medicaid &amp; FAMIS - LASER'!D91+'SNAP LASER'!D91+'TANF LASER'!I91+'Energy Assistance LASER'!D91+'FC &amp; Adoptions LASER'!I91+'CSA LASER'!H91+'ChildCare LASER'!K91+'Other Benefits LASER'!I91</f>
        <v>9981756.3300000001</v>
      </c>
      <c r="I92" s="1597">
        <f t="shared" si="2"/>
        <v>114540.30021050001</v>
      </c>
    </row>
    <row r="93" spans="1:9">
      <c r="A93" s="767" t="s">
        <v>226</v>
      </c>
      <c r="B93" s="618" t="s">
        <v>227</v>
      </c>
      <c r="C93" s="768" t="s">
        <v>264</v>
      </c>
      <c r="D93" s="1597">
        <f>'Medicaid &amp; FAMIS - LASER'!E92+'SNAP LASER'!E92+'TANF LASER'!D92+'Energy Assistance LASER'!E92+'FC &amp; Adoptions LASER'!D92+'CSA LASER'!D92+'ChildCare LASER'!I92+'Other Benefits LASER'!D92</f>
        <v>11922328.833077999</v>
      </c>
      <c r="E93" s="1597">
        <f>'Medicaid &amp; FAMIS - LASER'!F92+'TANF LASER'!F92+'Energy Assistance LASER'!G92+'CSA LASER'!E92+'ChildCare LASER'!J92+'FC &amp; Adoptions LASER'!E92+'Other Benefits LASER'!E92</f>
        <v>9544647.828533249</v>
      </c>
      <c r="F93" s="1597">
        <f>'Medicaid &amp; FAMIS - LASER'!G92+'TANF LASER'!G92+'Energy Assistance LASER'!H92+'FC &amp; Adoptions LASER'!F92+'CSA LASER'!F92+'Other Benefits LASER'!F92</f>
        <v>272968.58828874998</v>
      </c>
      <c r="G93" s="1597">
        <f>'TANF LASER'!H92+'Energy Assistance LASER'!J92+'FC &amp; Adoptions LASER'!G92+'CSA LASER'!G92+'Other Benefits LASER'!G92</f>
        <v>-4.9999999999999996E-2</v>
      </c>
      <c r="H93" s="1597">
        <f>'Medicaid &amp; FAMIS - LASER'!D92+'SNAP LASER'!D92+'TANF LASER'!I92+'Energy Assistance LASER'!D92+'FC &amp; Adoptions LASER'!I92+'CSA LASER'!H92+'ChildCare LASER'!K92+'Other Benefits LASER'!I92</f>
        <v>21739945.199899998</v>
      </c>
      <c r="I93" s="1597">
        <f t="shared" si="2"/>
        <v>272968.53828874999</v>
      </c>
    </row>
    <row r="94" spans="1:9">
      <c r="A94" s="767" t="s">
        <v>228</v>
      </c>
      <c r="B94" s="618" t="s">
        <v>229</v>
      </c>
      <c r="C94" s="768" t="s">
        <v>268</v>
      </c>
      <c r="D94" s="1597">
        <f>'Medicaid &amp; FAMIS - LASER'!E93+'SNAP LASER'!E93+'TANF LASER'!D93+'Energy Assistance LASER'!E93+'FC &amp; Adoptions LASER'!D93+'CSA LASER'!D93+'ChildCare LASER'!I93+'Other Benefits LASER'!D93</f>
        <v>40980882.320014</v>
      </c>
      <c r="E94" s="1597">
        <f>'Medicaid &amp; FAMIS - LASER'!F93+'TANF LASER'!F93+'Energy Assistance LASER'!G93+'CSA LASER'!E93+'ChildCare LASER'!J93+'FC &amp; Adoptions LASER'!E93+'Other Benefits LASER'!E93</f>
        <v>29416878.178498495</v>
      </c>
      <c r="F94" s="1597">
        <f>'Medicaid &amp; FAMIS - LASER'!G93+'TANF LASER'!G93+'Energy Assistance LASER'!H93+'FC &amp; Adoptions LASER'!F93+'CSA LASER'!F93+'Other Benefits LASER'!F93</f>
        <v>522713.57118749997</v>
      </c>
      <c r="G94" s="1597">
        <f>'TANF LASER'!H93+'Energy Assistance LASER'!J93+'FC &amp; Adoptions LASER'!G93+'CSA LASER'!G93+'Other Benefits LASER'!G93</f>
        <v>36617.68</v>
      </c>
      <c r="H94" s="1597">
        <f>'Medicaid &amp; FAMIS - LASER'!D93+'SNAP LASER'!D93+'TANF LASER'!I93+'Energy Assistance LASER'!D93+'FC &amp; Adoptions LASER'!I93+'CSA LASER'!H93+'ChildCare LASER'!K93+'Other Benefits LASER'!I93</f>
        <v>70957091.749699995</v>
      </c>
      <c r="I94" s="1597">
        <f t="shared" si="2"/>
        <v>559331.25118749996</v>
      </c>
    </row>
    <row r="95" spans="1:9">
      <c r="A95" s="767" t="s">
        <v>232</v>
      </c>
      <c r="B95" s="618" t="s">
        <v>233</v>
      </c>
      <c r="C95" s="768" t="s">
        <v>267</v>
      </c>
      <c r="D95" s="1597">
        <f>'Medicaid &amp; FAMIS - LASER'!E94+'SNAP LASER'!E94+'TANF LASER'!D94+'Energy Assistance LASER'!E94+'FC &amp; Adoptions LASER'!D94+'CSA LASER'!D94+'ChildCare LASER'!I94+'Other Benefits LASER'!D94</f>
        <v>27364593.920187</v>
      </c>
      <c r="E95" s="1597">
        <f>'Medicaid &amp; FAMIS - LASER'!F94+'TANF LASER'!F94+'Energy Assistance LASER'!G94+'CSA LASER'!E94+'ChildCare LASER'!J94+'FC &amp; Adoptions LASER'!E94+'Other Benefits LASER'!E94</f>
        <v>19999340.533603624</v>
      </c>
      <c r="F95" s="1597">
        <f>'Medicaid &amp; FAMIS - LASER'!G94+'TANF LASER'!G94+'Energy Assistance LASER'!H94+'FC &amp; Adoptions LASER'!F94+'CSA LASER'!F94+'Other Benefits LASER'!F94</f>
        <v>655965.14610937494</v>
      </c>
      <c r="G95" s="1597">
        <f>'TANF LASER'!H94+'Energy Assistance LASER'!J94+'FC &amp; Adoptions LASER'!G94+'CSA LASER'!G94+'Other Benefits LASER'!G94</f>
        <v>-0.14000000000000001</v>
      </c>
      <c r="H95" s="1597">
        <f>'Medicaid &amp; FAMIS - LASER'!D94+'SNAP LASER'!D94+'TANF LASER'!I94+'Energy Assistance LASER'!D94+'FC &amp; Adoptions LASER'!I94+'CSA LASER'!H94+'ChildCare LASER'!K94+'Other Benefits LASER'!I94</f>
        <v>48019899.459899992</v>
      </c>
      <c r="I95" s="1597">
        <f t="shared" si="2"/>
        <v>655965.00610937492</v>
      </c>
    </row>
    <row r="96" spans="1:9">
      <c r="A96" s="767" t="s">
        <v>234</v>
      </c>
      <c r="B96" s="618" t="s">
        <v>235</v>
      </c>
      <c r="C96" s="768" t="s">
        <v>268</v>
      </c>
      <c r="D96" s="1597">
        <f>'Medicaid &amp; FAMIS - LASER'!E95+'SNAP LASER'!E95+'TANF LASER'!D95+'Energy Assistance LASER'!E95+'FC &amp; Adoptions LASER'!D95+'CSA LASER'!D95+'ChildCare LASER'!I95+'Other Benefits LASER'!D95</f>
        <v>40270484.408434995</v>
      </c>
      <c r="E96" s="1597">
        <f>'Medicaid &amp; FAMIS - LASER'!F95+'TANF LASER'!F95+'Energy Assistance LASER'!G95+'CSA LASER'!E95+'ChildCare LASER'!J95+'FC &amp; Adoptions LASER'!E95+'Other Benefits LASER'!E95</f>
        <v>29582535.249465</v>
      </c>
      <c r="F96" s="1597">
        <f>'Medicaid &amp; FAMIS - LASER'!G95+'TANF LASER'!G95+'Energy Assistance LASER'!H95+'FC &amp; Adoptions LASER'!F95+'CSA LASER'!F95+'Other Benefits LASER'!F95</f>
        <v>645664.80189999996</v>
      </c>
      <c r="G96" s="1597">
        <f>'TANF LASER'!H95+'Energy Assistance LASER'!J95+'FC &amp; Adoptions LASER'!G95+'CSA LASER'!G95+'Other Benefits LASER'!G95</f>
        <v>7199.78</v>
      </c>
      <c r="H96" s="1597">
        <f>'Medicaid &amp; FAMIS - LASER'!D95+'SNAP LASER'!D95+'TANF LASER'!I95+'Energy Assistance LASER'!D95+'FC &amp; Adoptions LASER'!I95+'CSA LASER'!H95+'ChildCare LASER'!K95+'Other Benefits LASER'!I95</f>
        <v>70505884.239800006</v>
      </c>
      <c r="I96" s="1597">
        <f t="shared" si="2"/>
        <v>652864.58189999999</v>
      </c>
    </row>
    <row r="97" spans="1:9">
      <c r="A97" s="767" t="s">
        <v>236</v>
      </c>
      <c r="B97" s="618" t="s">
        <v>237</v>
      </c>
      <c r="C97" s="768" t="s">
        <v>266</v>
      </c>
      <c r="D97" s="1597">
        <f>'Medicaid &amp; FAMIS - LASER'!E96+'SNAP LASER'!E96+'TANF LASER'!D96+'Energy Assistance LASER'!E96+'FC &amp; Adoptions LASER'!D96+'CSA LASER'!D96+'ChildCare LASER'!I96+'Other Benefits LASER'!D96</f>
        <v>15583495.320799001</v>
      </c>
      <c r="E97" s="1597">
        <f>'Medicaid &amp; FAMIS - LASER'!F96+'TANF LASER'!F96+'Energy Assistance LASER'!G96+'CSA LASER'!E96+'ChildCare LASER'!J96+'FC &amp; Adoptions LASER'!E96+'Other Benefits LASER'!E96</f>
        <v>11265411.27073225</v>
      </c>
      <c r="F97" s="1597">
        <f>'Medicaid &amp; FAMIS - LASER'!G96+'TANF LASER'!G96+'Energy Assistance LASER'!H96+'FC &amp; Adoptions LASER'!F96+'CSA LASER'!F96+'Other Benefits LASER'!F96</f>
        <v>567773.53836875001</v>
      </c>
      <c r="G97" s="1597">
        <f>'TANF LASER'!H96+'Energy Assistance LASER'!J96+'FC &amp; Adoptions LASER'!G96+'CSA LASER'!G96+'Other Benefits LASER'!G96</f>
        <v>-0.05</v>
      </c>
      <c r="H97" s="1597">
        <f>'Medicaid &amp; FAMIS - LASER'!D96+'SNAP LASER'!D96+'TANF LASER'!I96+'Energy Assistance LASER'!D96+'FC &amp; Adoptions LASER'!I96+'CSA LASER'!H96+'ChildCare LASER'!K96+'Other Benefits LASER'!I96</f>
        <v>27416680.079900008</v>
      </c>
      <c r="I97" s="1597">
        <f t="shared" si="2"/>
        <v>567773.48836874997</v>
      </c>
    </row>
    <row r="98" spans="1:9">
      <c r="A98" s="767" t="s">
        <v>242</v>
      </c>
      <c r="B98" s="618" t="s">
        <v>243</v>
      </c>
      <c r="C98" s="768" t="s">
        <v>268</v>
      </c>
      <c r="D98" s="1597">
        <f>'Medicaid &amp; FAMIS - LASER'!E97+'SNAP LASER'!E97+'TANF LASER'!D97+'Energy Assistance LASER'!E97+'FC &amp; Adoptions LASER'!D97+'CSA LASER'!D97+'ChildCare LASER'!I97+'Other Benefits LASER'!D97</f>
        <v>47438400.675634995</v>
      </c>
      <c r="E98" s="1597">
        <f>'Medicaid &amp; FAMIS - LASER'!F97+'TANF LASER'!F97+'Energy Assistance LASER'!G97+'CSA LASER'!E97+'ChildCare LASER'!J97+'FC &amp; Adoptions LASER'!E97+'Other Benefits LASER'!E97</f>
        <v>35067879.13808687</v>
      </c>
      <c r="F98" s="1597">
        <f>'Medicaid &amp; FAMIS - LASER'!G97+'TANF LASER'!G97+'Energy Assistance LASER'!H97+'FC &amp; Adoptions LASER'!F97+'CSA LASER'!F97+'Other Benefits LASER'!F97</f>
        <v>650211.90597812505</v>
      </c>
      <c r="G98" s="1597">
        <f>'TANF LASER'!H97+'Energy Assistance LASER'!J97+'FC &amp; Adoptions LASER'!G97+'CSA LASER'!G97+'Other Benefits LASER'!G97</f>
        <v>-0.18</v>
      </c>
      <c r="H98" s="1597">
        <f>'Medicaid &amp; FAMIS - LASER'!D97+'SNAP LASER'!D97+'TANF LASER'!I97+'Energy Assistance LASER'!D97+'FC &amp; Adoptions LASER'!I97+'CSA LASER'!H97+'ChildCare LASER'!K97+'Other Benefits LASER'!I97</f>
        <v>83156491.539700001</v>
      </c>
      <c r="I98" s="1597">
        <f t="shared" si="2"/>
        <v>650211.725978125</v>
      </c>
    </row>
    <row r="99" spans="1:9">
      <c r="A99" s="767" t="s">
        <v>244</v>
      </c>
      <c r="B99" s="618" t="s">
        <v>245</v>
      </c>
      <c r="C99" s="768" t="s">
        <v>268</v>
      </c>
      <c r="D99" s="1597">
        <f>'Medicaid &amp; FAMIS - LASER'!E98+'SNAP LASER'!E98+'TANF LASER'!D98+'Energy Assistance LASER'!E98+'FC &amp; Adoptions LASER'!D98+'CSA LASER'!D98+'ChildCare LASER'!I98+'Other Benefits LASER'!D98</f>
        <v>25411714.631329995</v>
      </c>
      <c r="E99" s="1597">
        <f>'Medicaid &amp; FAMIS - LASER'!F98+'TANF LASER'!F98+'Energy Assistance LASER'!G98+'CSA LASER'!E98+'ChildCare LASER'!J98+'FC &amp; Adoptions LASER'!E98+'Other Benefits LASER'!E98</f>
        <v>20072988.427804999</v>
      </c>
      <c r="F99" s="1597">
        <f>'Medicaid &amp; FAMIS - LASER'!G98+'TANF LASER'!G98+'Energy Assistance LASER'!H98+'FC &amp; Adoptions LASER'!F98+'CSA LASER'!F98+'Other Benefits LASER'!F98</f>
        <v>572945.38066499995</v>
      </c>
      <c r="G99" s="1597">
        <f>'TANF LASER'!H98+'Energy Assistance LASER'!J98+'FC &amp; Adoptions LASER'!G98+'CSA LASER'!G98+'Other Benefits LASER'!G98</f>
        <v>481.21000000000004</v>
      </c>
      <c r="H99" s="1597">
        <f>'Medicaid &amp; FAMIS - LASER'!D98+'SNAP LASER'!D98+'TANF LASER'!I98+'Energy Assistance LASER'!D98+'FC &amp; Adoptions LASER'!I98+'CSA LASER'!H98+'ChildCare LASER'!K98+'Other Benefits LASER'!I98</f>
        <v>46058129.649799988</v>
      </c>
      <c r="I99" s="1597">
        <f t="shared" si="2"/>
        <v>573426.59066499991</v>
      </c>
    </row>
    <row r="100" spans="1:9">
      <c r="A100" s="767" t="s">
        <v>246</v>
      </c>
      <c r="B100" s="618" t="s">
        <v>247</v>
      </c>
      <c r="C100" s="768" t="s">
        <v>264</v>
      </c>
      <c r="D100" s="1597">
        <f>'Medicaid &amp; FAMIS - LASER'!E99+'SNAP LASER'!E99+'TANF LASER'!D99+'Energy Assistance LASER'!E99+'FC &amp; Adoptions LASER'!D99+'CSA LASER'!D99+'ChildCare LASER'!I99+'Other Benefits LASER'!D99</f>
        <v>20246477.787082002</v>
      </c>
      <c r="E100" s="1597">
        <f>'Medicaid &amp; FAMIS - LASER'!F99+'TANF LASER'!F99+'Energy Assistance LASER'!G99+'CSA LASER'!E99+'ChildCare LASER'!J99+'FC &amp; Adoptions LASER'!E99+'Other Benefits LASER'!E99</f>
        <v>15435788.903598001</v>
      </c>
      <c r="F100" s="1597">
        <f>'Medicaid &amp; FAMIS - LASER'!G99+'TANF LASER'!G99+'Energy Assistance LASER'!H99+'FC &amp; Adoptions LASER'!F99+'CSA LASER'!F99+'Other Benefits LASER'!F99</f>
        <v>483596.41921999998</v>
      </c>
      <c r="G100" s="1597">
        <f>'TANF LASER'!H99+'Energy Assistance LASER'!J99+'FC &amp; Adoptions LASER'!G99+'CSA LASER'!G99+'Other Benefits LASER'!G99</f>
        <v>927.98</v>
      </c>
      <c r="H100" s="1597">
        <f>'Medicaid &amp; FAMIS - LASER'!D99+'SNAP LASER'!D99+'TANF LASER'!I99+'Energy Assistance LASER'!D99+'FC &amp; Adoptions LASER'!I99+'CSA LASER'!H99+'ChildCare LASER'!K99+'Other Benefits LASER'!I99</f>
        <v>36166791.089900002</v>
      </c>
      <c r="I100" s="1597">
        <f t="shared" si="2"/>
        <v>484524.39921999996</v>
      </c>
    </row>
    <row r="101" spans="1:9">
      <c r="A101" s="767" t="s">
        <v>14</v>
      </c>
      <c r="B101" s="618" t="s">
        <v>15</v>
      </c>
      <c r="C101" s="768" t="s">
        <v>267</v>
      </c>
      <c r="D101" s="1597">
        <f>'Medicaid &amp; FAMIS - LASER'!E100+'SNAP LASER'!E100+'TANF LASER'!D100+'Energy Assistance LASER'!E100+'FC &amp; Adoptions LASER'!D100+'CSA LASER'!D100+'ChildCare LASER'!I100+'Other Benefits LASER'!D100</f>
        <v>62321037.311974004</v>
      </c>
      <c r="E101" s="1597">
        <f>'Medicaid &amp; FAMIS - LASER'!F100+'TANF LASER'!F100+'Energy Assistance LASER'!G100+'CSA LASER'!E100+'ChildCare LASER'!J100+'FC &amp; Adoptions LASER'!E100+'Other Benefits LASER'!E100</f>
        <v>50303682.764650509</v>
      </c>
      <c r="F101" s="1597">
        <f>'Medicaid &amp; FAMIS - LASER'!G100+'TANF LASER'!G100+'Energy Assistance LASER'!H100+'FC &amp; Adoptions LASER'!F100+'CSA LASER'!F100+'Other Benefits LASER'!F100</f>
        <v>3678607.7730754996</v>
      </c>
      <c r="G101" s="1597">
        <f>'TANF LASER'!H100+'Energy Assistance LASER'!J100+'FC &amp; Adoptions LASER'!G100+'CSA LASER'!G100+'Other Benefits LASER'!G100</f>
        <v>-47441.570000000007</v>
      </c>
      <c r="H101" s="1597">
        <f>'Medicaid &amp; FAMIS - LASER'!D100+'SNAP LASER'!D100+'TANF LASER'!I100+'Energy Assistance LASER'!D100+'FC &amp; Adoptions LASER'!I100+'CSA LASER'!H100+'ChildCare LASER'!K100+'Other Benefits LASER'!I100</f>
        <v>116255886.27970001</v>
      </c>
      <c r="I101" s="1597">
        <f t="shared" si="2"/>
        <v>3631166.2030754997</v>
      </c>
    </row>
    <row r="102" spans="1:9">
      <c r="A102" s="767" t="s">
        <v>34</v>
      </c>
      <c r="B102" s="618" t="s">
        <v>35</v>
      </c>
      <c r="C102" s="768" t="s">
        <v>268</v>
      </c>
      <c r="D102" s="1597">
        <f>'Medicaid &amp; FAMIS - LASER'!E101+'SNAP LASER'!E101+'TANF LASER'!D101+'Energy Assistance LASER'!E101+'FC &amp; Adoptions LASER'!D101+'CSA LASER'!D101+'ChildCare LASER'!I101+'Other Benefits LASER'!D101</f>
        <v>22168058.655855995</v>
      </c>
      <c r="E102" s="1597">
        <f>'Medicaid &amp; FAMIS - LASER'!F101+'TANF LASER'!F101+'Energy Assistance LASER'!G101+'CSA LASER'!E101+'ChildCare LASER'!J101+'FC &amp; Adoptions LASER'!E101+'Other Benefits LASER'!E101</f>
        <v>15578434.187525248</v>
      </c>
      <c r="F102" s="1597">
        <f>'Medicaid &amp; FAMIS - LASER'!G101+'TANF LASER'!G101+'Energy Assistance LASER'!H101+'FC &amp; Adoptions LASER'!F101+'CSA LASER'!F101+'Other Benefits LASER'!F101</f>
        <v>470872.09651875001</v>
      </c>
      <c r="G102" s="1597">
        <f>'TANF LASER'!H101+'Energy Assistance LASER'!J101+'FC &amp; Adoptions LASER'!G101+'CSA LASER'!G101+'Other Benefits LASER'!G101</f>
        <v>-0.19</v>
      </c>
      <c r="H102" s="1597">
        <f>'Medicaid &amp; FAMIS - LASER'!D101+'SNAP LASER'!D101+'TANF LASER'!I101+'Energy Assistance LASER'!D101+'FC &amp; Adoptions LASER'!I101+'CSA LASER'!H101+'ChildCare LASER'!K101+'Other Benefits LASER'!I101</f>
        <v>38217364.749899998</v>
      </c>
      <c r="I102" s="1597">
        <f t="shared" si="2"/>
        <v>470871.90651875001</v>
      </c>
    </row>
    <row r="103" spans="1:9">
      <c r="A103" s="767" t="s">
        <v>52</v>
      </c>
      <c r="B103" s="618" t="s">
        <v>53</v>
      </c>
      <c r="C103" s="768" t="s">
        <v>265</v>
      </c>
      <c r="D103" s="1597">
        <f>'Medicaid &amp; FAMIS - LASER'!E102+'SNAP LASER'!E102+'TANF LASER'!D102+'Energy Assistance LASER'!E102+'FC &amp; Adoptions LASER'!D102+'CSA LASER'!D102+'ChildCare LASER'!I102+'Other Benefits LASER'!D102</f>
        <v>36192772.601038992</v>
      </c>
      <c r="E103" s="1597">
        <f>'Medicaid &amp; FAMIS - LASER'!F102+'TANF LASER'!F102+'Energy Assistance LASER'!G102+'CSA LASER'!E102+'ChildCare LASER'!J102+'FC &amp; Adoptions LASER'!E102+'Other Benefits LASER'!E102</f>
        <v>33330153.581667002</v>
      </c>
      <c r="F103" s="1597">
        <f>'Medicaid &amp; FAMIS - LASER'!G102+'TANF LASER'!G102+'Energy Assistance LASER'!H102+'FC &amp; Adoptions LASER'!F102+'CSA LASER'!F102+'Other Benefits LASER'!F102</f>
        <v>2434830.7270939997</v>
      </c>
      <c r="G103" s="1597">
        <f>'TANF LASER'!H102+'Energy Assistance LASER'!J102+'FC &amp; Adoptions LASER'!G102+'CSA LASER'!G102+'Other Benefits LASER'!G102</f>
        <v>10273.299999999999</v>
      </c>
      <c r="H103" s="1597">
        <f>'Medicaid &amp; FAMIS - LASER'!D102+'SNAP LASER'!D102+'TANF LASER'!I102+'Energy Assistance LASER'!D102+'FC &amp; Adoptions LASER'!I102+'CSA LASER'!H102+'ChildCare LASER'!K102+'Other Benefits LASER'!I102</f>
        <v>71968030.20979999</v>
      </c>
      <c r="I103" s="1597">
        <f t="shared" si="2"/>
        <v>2445104.0270939996</v>
      </c>
    </row>
    <row r="104" spans="1:9">
      <c r="A104" s="767" t="s">
        <v>54</v>
      </c>
      <c r="B104" s="618" t="s">
        <v>55</v>
      </c>
      <c r="C104" s="768" t="s">
        <v>264</v>
      </c>
      <c r="D104" s="1597">
        <f>'Medicaid &amp; FAMIS - LASER'!E103+'SNAP LASER'!E103+'TANF LASER'!D103+'Energy Assistance LASER'!E103+'FC &amp; Adoptions LASER'!D103+'CSA LASER'!D103+'ChildCare LASER'!I103+'Other Benefits LASER'!D103</f>
        <v>130476846.04014</v>
      </c>
      <c r="E104" s="1597">
        <f>'Medicaid &amp; FAMIS - LASER'!F103+'TANF LASER'!F103+'Energy Assistance LASER'!G103+'CSA LASER'!E103+'ChildCare LASER'!J103+'FC &amp; Adoptions LASER'!E103+'Other Benefits LASER'!E103</f>
        <v>92401287.574826241</v>
      </c>
      <c r="F104" s="1597">
        <f>'Medicaid &amp; FAMIS - LASER'!G103+'TANF LASER'!G103+'Energy Assistance LASER'!H103+'FC &amp; Adoptions LASER'!F103+'CSA LASER'!F103+'Other Benefits LASER'!F103</f>
        <v>1295485.37433375</v>
      </c>
      <c r="G104" s="1597">
        <f>'TANF LASER'!H103+'Energy Assistance LASER'!J103+'FC &amp; Adoptions LASER'!G103+'CSA LASER'!G103+'Other Benefits LASER'!G103</f>
        <v>-1741.68</v>
      </c>
      <c r="H104" s="1597">
        <f>'Medicaid &amp; FAMIS - LASER'!D103+'SNAP LASER'!D103+'TANF LASER'!I103+'Energy Assistance LASER'!D103+'FC &amp; Adoptions LASER'!I103+'CSA LASER'!H103+'ChildCare LASER'!K103+'Other Benefits LASER'!I103</f>
        <v>224171877.30929995</v>
      </c>
      <c r="I104" s="1597">
        <f t="shared" si="2"/>
        <v>1293743.6943337501</v>
      </c>
    </row>
    <row r="105" spans="1:9">
      <c r="A105" s="767" t="s">
        <v>66</v>
      </c>
      <c r="B105" s="618" t="s">
        <v>67</v>
      </c>
      <c r="C105" s="768" t="s">
        <v>265</v>
      </c>
      <c r="D105" s="1597">
        <f>'Medicaid &amp; FAMIS - LASER'!E104+'SNAP LASER'!E104+'TANF LASER'!D104+'Energy Assistance LASER'!E104+'FC &amp; Adoptions LASER'!D104+'CSA LASER'!D104+'ChildCare LASER'!I104+'Other Benefits LASER'!D104</f>
        <v>75757217.454286993</v>
      </c>
      <c r="E105" s="1597">
        <f>'Medicaid &amp; FAMIS - LASER'!F104+'TANF LASER'!F104+'Energy Assistance LASER'!G104+'CSA LASER'!E104+'ChildCare LASER'!J104+'FC &amp; Adoptions LASER'!E104+'Other Benefits LASER'!E104</f>
        <v>56587514.201284252</v>
      </c>
      <c r="F105" s="1597">
        <f>'Medicaid &amp; FAMIS - LASER'!G104+'TANF LASER'!G104+'Energy Assistance LASER'!H104+'FC &amp; Adoptions LASER'!F104+'CSA LASER'!F104+'Other Benefits LASER'!F104</f>
        <v>882252.56392874999</v>
      </c>
      <c r="G105" s="1597">
        <f>'TANF LASER'!H104+'Energy Assistance LASER'!J104+'FC &amp; Adoptions LASER'!G104+'CSA LASER'!G104+'Other Benefits LASER'!G104</f>
        <v>-0.13</v>
      </c>
      <c r="H105" s="1597">
        <f>'Medicaid &amp; FAMIS - LASER'!D104+'SNAP LASER'!D104+'TANF LASER'!I104+'Energy Assistance LASER'!D104+'FC &amp; Adoptions LASER'!I104+'CSA LASER'!H104+'ChildCare LASER'!K104+'Other Benefits LASER'!I104</f>
        <v>133226984.0895</v>
      </c>
      <c r="I105" s="1597">
        <f t="shared" si="2"/>
        <v>882252.43392874999</v>
      </c>
    </row>
    <row r="106" spans="1:9">
      <c r="A106" s="767" t="s">
        <v>82</v>
      </c>
      <c r="B106" s="618" t="s">
        <v>311</v>
      </c>
      <c r="C106" s="768" t="s">
        <v>264</v>
      </c>
      <c r="D106" s="1597">
        <f>'Medicaid &amp; FAMIS - LASER'!E105+'SNAP LASER'!E105+'TANF LASER'!D105+'Energy Assistance LASER'!E105+'FC &amp; Adoptions LASER'!D105+'CSA LASER'!D105+'ChildCare LASER'!I105+'Other Benefits LASER'!D105</f>
        <v>15667811.994445002</v>
      </c>
      <c r="E106" s="1597">
        <f>'Medicaid &amp; FAMIS - LASER'!F105+'TANF LASER'!F105+'Energy Assistance LASER'!G105+'CSA LASER'!E105+'ChildCare LASER'!J105+'FC &amp; Adoptions LASER'!E105+'Other Benefits LASER'!E105</f>
        <v>11217635.564655002</v>
      </c>
      <c r="F106" s="1597">
        <f>'Medicaid &amp; FAMIS - LASER'!G105+'TANF LASER'!G105+'Energy Assistance LASER'!H105+'FC &amp; Adoptions LASER'!F105+'CSA LASER'!F105+'Other Benefits LASER'!F105</f>
        <v>138069.7408</v>
      </c>
      <c r="G106" s="1597">
        <f>'TANF LASER'!H105+'Energy Assistance LASER'!J105+'FC &amp; Adoptions LASER'!G105+'CSA LASER'!G105+'Other Benefits LASER'!G105</f>
        <v>-0.02</v>
      </c>
      <c r="H106" s="1597">
        <f>'Medicaid &amp; FAMIS - LASER'!D105+'SNAP LASER'!D105+'TANF LASER'!I105+'Energy Assistance LASER'!D105+'FC &amp; Adoptions LASER'!I105+'CSA LASER'!H105+'ChildCare LASER'!K105+'Other Benefits LASER'!I105</f>
        <v>27023517.279899996</v>
      </c>
      <c r="I106" s="1597">
        <f t="shared" si="2"/>
        <v>138069.72080000001</v>
      </c>
    </row>
    <row r="107" spans="1:9">
      <c r="A107" s="767" t="s">
        <v>88</v>
      </c>
      <c r="B107" s="618" t="s">
        <v>89</v>
      </c>
      <c r="C107" s="768" t="s">
        <v>267</v>
      </c>
      <c r="D107" s="1597">
        <f>'Medicaid &amp; FAMIS - LASER'!E106+'SNAP LASER'!E106+'TANF LASER'!D106+'Energy Assistance LASER'!E106+'FC &amp; Adoptions LASER'!D106+'CSA LASER'!D106+'ChildCare LASER'!I106+'Other Benefits LASER'!D106</f>
        <v>24978693.112275995</v>
      </c>
      <c r="E107" s="1597">
        <f>'Medicaid &amp; FAMIS - LASER'!F106+'TANF LASER'!F106+'Energy Assistance LASER'!G106+'CSA LASER'!E106+'ChildCare LASER'!J106+'FC &amp; Adoptions LASER'!E106+'Other Benefits LASER'!E106</f>
        <v>18809923.395255879</v>
      </c>
      <c r="F107" s="1597">
        <f>'Medicaid &amp; FAMIS - LASER'!G106+'TANF LASER'!G106+'Energy Assistance LASER'!H106+'FC &amp; Adoptions LASER'!F106+'CSA LASER'!F106+'Other Benefits LASER'!F106</f>
        <v>545582.32236812497</v>
      </c>
      <c r="G107" s="1597">
        <f>'TANF LASER'!H106+'Energy Assistance LASER'!J106+'FC &amp; Adoptions LASER'!G106+'CSA LASER'!G106+'Other Benefits LASER'!G106</f>
        <v>-0.18000000000000002</v>
      </c>
      <c r="H107" s="1597">
        <f>'Medicaid &amp; FAMIS - LASER'!D106+'SNAP LASER'!D106+'TANF LASER'!I106+'Energy Assistance LASER'!D106+'FC &amp; Adoptions LASER'!I106+'CSA LASER'!H106+'ChildCare LASER'!K106+'Other Benefits LASER'!I106</f>
        <v>44334198.649900004</v>
      </c>
      <c r="I107" s="1597">
        <f t="shared" si="2"/>
        <v>545582.14236812491</v>
      </c>
    </row>
    <row r="108" spans="1:9">
      <c r="A108" s="767" t="s">
        <v>90</v>
      </c>
      <c r="B108" s="618" t="s">
        <v>91</v>
      </c>
      <c r="C108" s="768" t="s">
        <v>268</v>
      </c>
      <c r="D108" s="1597">
        <f>'Medicaid &amp; FAMIS - LASER'!E107+'SNAP LASER'!E107+'TANF LASER'!D107+'Energy Assistance LASER'!E107+'FC &amp; Adoptions LASER'!D107+'CSA LASER'!D107+'ChildCare LASER'!I107+'Other Benefits LASER'!D107</f>
        <v>10958088.312179999</v>
      </c>
      <c r="E108" s="1597">
        <f>'Medicaid &amp; FAMIS - LASER'!F107+'TANF LASER'!F107+'Energy Assistance LASER'!G107+'CSA LASER'!E107+'ChildCare LASER'!J107+'FC &amp; Adoptions LASER'!E107+'Other Benefits LASER'!E107</f>
        <v>7920546.5329199992</v>
      </c>
      <c r="F108" s="1597">
        <f>'Medicaid &amp; FAMIS - LASER'!G107+'TANF LASER'!G107+'Energy Assistance LASER'!H107+'FC &amp; Adoptions LASER'!F107+'CSA LASER'!F107+'Other Benefits LASER'!F107</f>
        <v>77346.484799999991</v>
      </c>
      <c r="G108" s="1597">
        <f>'TANF LASER'!H107+'Energy Assistance LASER'!J107+'FC &amp; Adoptions LASER'!G107+'CSA LASER'!G107+'Other Benefits LASER'!G107</f>
        <v>-7.0000000000000007E-2</v>
      </c>
      <c r="H108" s="1597">
        <f>'Medicaid &amp; FAMIS - LASER'!D107+'SNAP LASER'!D107+'TANF LASER'!I107+'Energy Assistance LASER'!D107+'FC &amp; Adoptions LASER'!I107+'CSA LASER'!H107+'ChildCare LASER'!K107+'Other Benefits LASER'!I107</f>
        <v>18955981.2599</v>
      </c>
      <c r="I108" s="1597">
        <f t="shared" si="2"/>
        <v>77346.414799999984</v>
      </c>
    </row>
    <row r="109" spans="1:9">
      <c r="A109" s="767" t="s">
        <v>106</v>
      </c>
      <c r="B109" s="618" t="s">
        <v>107</v>
      </c>
      <c r="C109" s="768" t="s">
        <v>264</v>
      </c>
      <c r="D109" s="1597">
        <f>'Medicaid &amp; FAMIS - LASER'!E108+'SNAP LASER'!E108+'TANF LASER'!D108+'Energy Assistance LASER'!E108+'FC &amp; Adoptions LASER'!D108+'CSA LASER'!D108+'ChildCare LASER'!I108+'Other Benefits LASER'!D108</f>
        <v>123813758.98114601</v>
      </c>
      <c r="E109" s="1597">
        <f>'Medicaid &amp; FAMIS - LASER'!F108+'TANF LASER'!F108+'Energy Assistance LASER'!G108+'CSA LASER'!E108+'ChildCare LASER'!J108+'FC &amp; Adoptions LASER'!E108+'Other Benefits LASER'!E108</f>
        <v>93091377.266017765</v>
      </c>
      <c r="F109" s="1597">
        <f>'Medicaid &amp; FAMIS - LASER'!G108+'TANF LASER'!G108+'Energy Assistance LASER'!H108+'FC &amp; Adoptions LASER'!F108+'CSA LASER'!F108+'Other Benefits LASER'!F108</f>
        <v>1677562.3321362501</v>
      </c>
      <c r="G109" s="1597">
        <f>'TANF LASER'!H108+'Energy Assistance LASER'!J108+'FC &amp; Adoptions LASER'!G108+'CSA LASER'!G108+'Other Benefits LASER'!G108</f>
        <v>6839.03</v>
      </c>
      <c r="H109" s="1597">
        <f>'Medicaid &amp; FAMIS - LASER'!D108+'SNAP LASER'!D108+'TANF LASER'!I108+'Energy Assistance LASER'!D108+'FC &amp; Adoptions LASER'!I108+'CSA LASER'!H108+'ChildCare LASER'!K108+'Other Benefits LASER'!I108</f>
        <v>218589537.60930002</v>
      </c>
      <c r="I109" s="1597">
        <f t="shared" si="2"/>
        <v>1684401.3621362501</v>
      </c>
    </row>
    <row r="110" spans="1:9">
      <c r="A110" s="767" t="s">
        <v>116</v>
      </c>
      <c r="B110" s="618" t="s">
        <v>117</v>
      </c>
      <c r="C110" s="768" t="s">
        <v>266</v>
      </c>
      <c r="D110" s="1597">
        <f>'Medicaid &amp; FAMIS - LASER'!E109+'SNAP LASER'!E109+'TANF LASER'!D109+'Energy Assistance LASER'!E109+'FC &amp; Adoptions LASER'!D109+'CSA LASER'!D109+'ChildCare LASER'!I109+'Other Benefits LASER'!D109</f>
        <v>33709732.201389998</v>
      </c>
      <c r="E110" s="1597">
        <f>'Medicaid &amp; FAMIS - LASER'!F109+'TANF LASER'!F109+'Energy Assistance LASER'!G109+'CSA LASER'!E109+'ChildCare LASER'!J109+'FC &amp; Adoptions LASER'!E109+'Other Benefits LASER'!E109</f>
        <v>24796512.993585061</v>
      </c>
      <c r="F110" s="1597">
        <f>'Medicaid &amp; FAMIS - LASER'!G109+'TANF LASER'!G109+'Energy Assistance LASER'!H109+'FC &amp; Adoptions LASER'!F109+'CSA LASER'!F109+'Other Benefits LASER'!F109</f>
        <v>944205.9448249375</v>
      </c>
      <c r="G110" s="1597">
        <f>'TANF LASER'!H109+'Energy Assistance LASER'!J109+'FC &amp; Adoptions LASER'!G109+'CSA LASER'!G109+'Other Benefits LASER'!G109</f>
        <v>-0.11</v>
      </c>
      <c r="H110" s="1597">
        <f>'Medicaid &amp; FAMIS - LASER'!D109+'SNAP LASER'!D109+'TANF LASER'!I109+'Energy Assistance LASER'!D109+'FC &amp; Adoptions LASER'!I109+'CSA LASER'!H109+'ChildCare LASER'!K109+'Other Benefits LASER'!I109</f>
        <v>59450451.029800005</v>
      </c>
      <c r="I110" s="1597">
        <f t="shared" si="2"/>
        <v>944205.83482493751</v>
      </c>
    </row>
    <row r="111" spans="1:9">
      <c r="A111" s="767" t="s">
        <v>138</v>
      </c>
      <c r="B111" s="618" t="s">
        <v>139</v>
      </c>
      <c r="C111" s="768" t="s">
        <v>265</v>
      </c>
      <c r="D111" s="1597">
        <f>'Medicaid &amp; FAMIS - LASER'!E110+'SNAP LASER'!E110+'TANF LASER'!D110+'Energy Assistance LASER'!E110+'FC &amp; Adoptions LASER'!D110+'CSA LASER'!D110+'ChildCare LASER'!I110+'Other Benefits LASER'!D110</f>
        <v>82641944.695697993</v>
      </c>
      <c r="E111" s="1597">
        <f>'Medicaid &amp; FAMIS - LASER'!F110+'TANF LASER'!F110+'Energy Assistance LASER'!G110+'CSA LASER'!E110+'ChildCare LASER'!J110+'FC &amp; Adoptions LASER'!E110+'Other Benefits LASER'!E110</f>
        <v>63985616.747543998</v>
      </c>
      <c r="F111" s="1597">
        <f>'Medicaid &amp; FAMIS - LASER'!G110+'TANF LASER'!G110+'Energy Assistance LASER'!H110+'FC &amp; Adoptions LASER'!F110+'CSA LASER'!F110+'Other Benefits LASER'!F110</f>
        <v>1541513.4262580001</v>
      </c>
      <c r="G111" s="1597">
        <f>'TANF LASER'!H110+'Energy Assistance LASER'!J110+'FC &amp; Adoptions LASER'!G110+'CSA LASER'!G110+'Other Benefits LASER'!G110</f>
        <v>-1865.97</v>
      </c>
      <c r="H111" s="1597">
        <f>'Medicaid &amp; FAMIS - LASER'!D110+'SNAP LASER'!D110+'TANF LASER'!I110+'Energy Assistance LASER'!D110+'FC &amp; Adoptions LASER'!I110+'CSA LASER'!H110+'ChildCare LASER'!K110+'Other Benefits LASER'!I110</f>
        <v>148167208.89950001</v>
      </c>
      <c r="I111" s="1597">
        <f t="shared" si="2"/>
        <v>1539647.4562580001</v>
      </c>
    </row>
    <row r="112" spans="1:9">
      <c r="A112" s="767" t="s">
        <v>142</v>
      </c>
      <c r="B112" s="618" t="s">
        <v>143</v>
      </c>
      <c r="C112" s="768" t="s">
        <v>267</v>
      </c>
      <c r="D112" s="1597">
        <f>'Medicaid &amp; FAMIS - LASER'!E111+'SNAP LASER'!E111+'TANF LASER'!D111+'Energy Assistance LASER'!E111+'FC &amp; Adoptions LASER'!D111+'CSA LASER'!D111+'ChildCare LASER'!I111+'Other Benefits LASER'!D111</f>
        <v>23890082.843215</v>
      </c>
      <c r="E112" s="1597">
        <f>'Medicaid &amp; FAMIS - LASER'!F111+'TANF LASER'!F111+'Energy Assistance LASER'!G111+'CSA LASER'!E111+'ChildCare LASER'!J111+'FC &amp; Adoptions LASER'!E111+'Other Benefits LASER'!E111</f>
        <v>16373123.805119002</v>
      </c>
      <c r="F112" s="1597">
        <f>'Medicaid &amp; FAMIS - LASER'!G111+'TANF LASER'!G111+'Energy Assistance LASER'!H111+'FC &amp; Adoptions LASER'!F111+'CSA LASER'!F111+'Other Benefits LASER'!F111</f>
        <v>661575.15156599996</v>
      </c>
      <c r="G112" s="1597">
        <f>'TANF LASER'!H111+'Energy Assistance LASER'!J111+'FC &amp; Adoptions LASER'!G111+'CSA LASER'!G111+'Other Benefits LASER'!G111</f>
        <v>388.9</v>
      </c>
      <c r="H112" s="1597">
        <f>'Medicaid &amp; FAMIS - LASER'!D111+'SNAP LASER'!D111+'TANF LASER'!I111+'Energy Assistance LASER'!D111+'FC &amp; Adoptions LASER'!I111+'CSA LASER'!H111+'ChildCare LASER'!K111+'Other Benefits LASER'!I111</f>
        <v>40925170.699900009</v>
      </c>
      <c r="I112" s="1597">
        <f t="shared" si="2"/>
        <v>661964.05156599998</v>
      </c>
    </row>
    <row r="113" spans="1:9">
      <c r="A113" s="767" t="s">
        <v>144</v>
      </c>
      <c r="B113" s="618" t="s">
        <v>145</v>
      </c>
      <c r="C113" s="768" t="s">
        <v>267</v>
      </c>
      <c r="D113" s="1597">
        <f>'Medicaid &amp; FAMIS - LASER'!E112+'SNAP LASER'!E112+'TANF LASER'!D112+'Energy Assistance LASER'!E112+'FC &amp; Adoptions LASER'!D112+'CSA LASER'!D112+'ChildCare LASER'!I112+'Other Benefits LASER'!D112</f>
        <v>7659847.1944199996</v>
      </c>
      <c r="E113" s="1597">
        <f>'Medicaid &amp; FAMIS - LASER'!F112+'TANF LASER'!F112+'Energy Assistance LASER'!G112+'CSA LASER'!E112+'ChildCare LASER'!J112+'FC &amp; Adoptions LASER'!E112+'Other Benefits LASER'!E112</f>
        <v>5867810.5361424992</v>
      </c>
      <c r="F113" s="1597">
        <f>'Medicaid &amp; FAMIS - LASER'!G112+'TANF LASER'!G112+'Energy Assistance LASER'!H112+'FC &amp; Adoptions LASER'!F112+'CSA LASER'!F112+'Other Benefits LASER'!F112</f>
        <v>371874.20943750005</v>
      </c>
      <c r="G113" s="1597">
        <f>'TANF LASER'!H112+'Energy Assistance LASER'!J112+'FC &amp; Adoptions LASER'!G112+'CSA LASER'!G112+'Other Benefits LASER'!G112</f>
        <v>-0.02</v>
      </c>
      <c r="H113" s="1597">
        <f>'Medicaid &amp; FAMIS - LASER'!D112+'SNAP LASER'!D112+'TANF LASER'!I112+'Energy Assistance LASER'!D112+'FC &amp; Adoptions LASER'!I112+'CSA LASER'!H112+'ChildCare LASER'!K112+'Other Benefits LASER'!I112</f>
        <v>13899531.920000002</v>
      </c>
      <c r="I113" s="1597">
        <f t="shared" si="2"/>
        <v>371874.18943750003</v>
      </c>
    </row>
    <row r="114" spans="1:9">
      <c r="A114" s="767" t="s">
        <v>158</v>
      </c>
      <c r="B114" s="618" t="s">
        <v>159</v>
      </c>
      <c r="C114" s="768" t="s">
        <v>264</v>
      </c>
      <c r="D114" s="1597">
        <f>'Medicaid &amp; FAMIS - LASER'!E113+'SNAP LASER'!E113+'TANF LASER'!D113+'Energy Assistance LASER'!E113+'FC &amp; Adoptions LASER'!D113+'CSA LASER'!D113+'ChildCare LASER'!I113+'Other Benefits LASER'!D113</f>
        <v>176109714.60337704</v>
      </c>
      <c r="E114" s="1597">
        <f>'Medicaid &amp; FAMIS - LASER'!F113+'TANF LASER'!F113+'Energy Assistance LASER'!G113+'CSA LASER'!E113+'ChildCare LASER'!J113+'FC &amp; Adoptions LASER'!E113+'Other Benefits LASER'!E113</f>
        <v>118425904.20757675</v>
      </c>
      <c r="F114" s="1597">
        <f>'Medicaid &amp; FAMIS - LASER'!G113+'TANF LASER'!G113+'Energy Assistance LASER'!H113+'FC &amp; Adoptions LASER'!F113+'CSA LASER'!F113+'Other Benefits LASER'!F113</f>
        <v>1775104.5581462502</v>
      </c>
      <c r="G114" s="1597">
        <f>'TANF LASER'!H113+'Energy Assistance LASER'!J113+'FC &amp; Adoptions LASER'!G113+'CSA LASER'!G113+'Other Benefits LASER'!G113</f>
        <v>7587.7699999999995</v>
      </c>
      <c r="H114" s="1597">
        <f>'Medicaid &amp; FAMIS - LASER'!D113+'SNAP LASER'!D113+'TANF LASER'!I113+'Energy Assistance LASER'!D113+'FC &amp; Adoptions LASER'!I113+'CSA LASER'!H113+'ChildCare LASER'!K113+'Other Benefits LASER'!I113</f>
        <v>296318311.13910007</v>
      </c>
      <c r="I114" s="1597">
        <f t="shared" si="2"/>
        <v>1782692.3281462502</v>
      </c>
    </row>
    <row r="115" spans="1:9">
      <c r="A115" s="767" t="s">
        <v>160</v>
      </c>
      <c r="B115" s="618" t="s">
        <v>161</v>
      </c>
      <c r="C115" s="768" t="s">
        <v>264</v>
      </c>
      <c r="D115" s="1597">
        <f>'Medicaid &amp; FAMIS - LASER'!E114+'SNAP LASER'!E114+'TANF LASER'!D114+'Energy Assistance LASER'!E114+'FC &amp; Adoptions LASER'!D114+'CSA LASER'!D114+'ChildCare LASER'!I114+'Other Benefits LASER'!D114</f>
        <v>252361337.60799798</v>
      </c>
      <c r="E115" s="1597">
        <f>'Medicaid &amp; FAMIS - LASER'!F114+'TANF LASER'!F114+'Energy Assistance LASER'!G114+'CSA LASER'!E114+'ChildCare LASER'!J114+'FC &amp; Adoptions LASER'!E114+'Other Benefits LASER'!E114</f>
        <v>174042727.65748268</v>
      </c>
      <c r="F115" s="1597">
        <f>'Medicaid &amp; FAMIS - LASER'!G114+'TANF LASER'!G114+'Energy Assistance LASER'!H114+'FC &amp; Adoptions LASER'!F114+'CSA LASER'!F114+'Other Benefits LASER'!F114</f>
        <v>2632793.833219375</v>
      </c>
      <c r="G115" s="1597">
        <f>'TANF LASER'!H114+'Energy Assistance LASER'!J114+'FC &amp; Adoptions LASER'!G114+'CSA LASER'!G114+'Other Benefits LASER'!G114</f>
        <v>-633.49</v>
      </c>
      <c r="H115" s="1597">
        <f>'Medicaid &amp; FAMIS - LASER'!D114+'SNAP LASER'!D114+'TANF LASER'!I114+'Energy Assistance LASER'!D114+'FC &amp; Adoptions LASER'!I114+'CSA LASER'!H114+'ChildCare LASER'!K114+'Other Benefits LASER'!I114</f>
        <v>429036225.60870004</v>
      </c>
      <c r="I115" s="1597">
        <f t="shared" si="2"/>
        <v>2632160.3432193748</v>
      </c>
    </row>
    <row r="116" spans="1:9">
      <c r="A116" s="767" t="s">
        <v>166</v>
      </c>
      <c r="B116" s="618" t="s">
        <v>167</v>
      </c>
      <c r="C116" s="768" t="s">
        <v>268</v>
      </c>
      <c r="D116" s="1597">
        <f>'Medicaid &amp; FAMIS - LASER'!E115+'SNAP LASER'!E115+'TANF LASER'!D115+'Energy Assistance LASER'!E115+'FC &amp; Adoptions LASER'!D115+'CSA LASER'!D115+'ChildCare LASER'!I115+'Other Benefits LASER'!D115</f>
        <v>4792029.0738000004</v>
      </c>
      <c r="E116" s="1597">
        <f>'Medicaid &amp; FAMIS - LASER'!F115+'TANF LASER'!F115+'Energy Assistance LASER'!G115+'CSA LASER'!E115+'ChildCare LASER'!J115+'FC &amp; Adoptions LASER'!E115+'Other Benefits LASER'!E115</f>
        <v>3280767.2657357501</v>
      </c>
      <c r="F116" s="1597">
        <f>'Medicaid &amp; FAMIS - LASER'!G115+'TANF LASER'!G115+'Energy Assistance LASER'!H115+'FC &amp; Adoptions LASER'!F115+'CSA LASER'!F115+'Other Benefits LASER'!F115</f>
        <v>61553.480464250002</v>
      </c>
      <c r="G116" s="1597">
        <f>'TANF LASER'!H115+'Energy Assistance LASER'!J115+'FC &amp; Adoptions LASER'!G115+'CSA LASER'!G115+'Other Benefits LASER'!G115</f>
        <v>524.95000000000005</v>
      </c>
      <c r="H116" s="1597">
        <f>'Medicaid &amp; FAMIS - LASER'!D115+'SNAP LASER'!D115+'TANF LASER'!I115+'Energy Assistance LASER'!D115+'FC &amp; Adoptions LASER'!I115+'CSA LASER'!H115+'ChildCare LASER'!K115+'Other Benefits LASER'!I115</f>
        <v>8134874.7700000005</v>
      </c>
      <c r="I116" s="1597">
        <f t="shared" si="2"/>
        <v>62078.430464249999</v>
      </c>
    </row>
    <row r="117" spans="1:9">
      <c r="A117" s="767" t="s">
        <v>176</v>
      </c>
      <c r="B117" s="618" t="s">
        <v>177</v>
      </c>
      <c r="C117" s="768" t="s">
        <v>266</v>
      </c>
      <c r="D117" s="1597">
        <f>'Medicaid &amp; FAMIS - LASER'!E116+'SNAP LASER'!E116+'TANF LASER'!D116+'Energy Assistance LASER'!E116+'FC &amp; Adoptions LASER'!D116+'CSA LASER'!D116+'ChildCare LASER'!I116+'Other Benefits LASER'!D116</f>
        <v>65214324.050891005</v>
      </c>
      <c r="E117" s="1597">
        <f>'Medicaid &amp; FAMIS - LASER'!F116+'TANF LASER'!F116+'Energy Assistance LASER'!G116+'CSA LASER'!E116+'ChildCare LASER'!J116+'FC &amp; Adoptions LASER'!E116+'Other Benefits LASER'!E116</f>
        <v>49324973.811718382</v>
      </c>
      <c r="F117" s="1597">
        <f>'Medicaid &amp; FAMIS - LASER'!G116+'TANF LASER'!G116+'Energy Assistance LASER'!H116+'FC &amp; Adoptions LASER'!F116+'CSA LASER'!F116+'Other Benefits LASER'!F116</f>
        <v>1574234.6269906249</v>
      </c>
      <c r="G117" s="1597">
        <f>'TANF LASER'!H116+'Energy Assistance LASER'!J116+'FC &amp; Adoptions LASER'!G116+'CSA LASER'!G116+'Other Benefits LASER'!G116</f>
        <v>-671.77</v>
      </c>
      <c r="H117" s="1597">
        <f>'Medicaid &amp; FAMIS - LASER'!D116+'SNAP LASER'!D116+'TANF LASER'!I116+'Energy Assistance LASER'!D116+'FC &amp; Adoptions LASER'!I116+'CSA LASER'!H116+'ChildCare LASER'!K116+'Other Benefits LASER'!I116</f>
        <v>116112860.71959999</v>
      </c>
      <c r="I117" s="1597">
        <f t="shared" si="2"/>
        <v>1573562.8569906249</v>
      </c>
    </row>
    <row r="118" spans="1:9">
      <c r="A118" s="767" t="s">
        <v>180</v>
      </c>
      <c r="B118" s="618" t="s">
        <v>181</v>
      </c>
      <c r="C118" s="768" t="s">
        <v>264</v>
      </c>
      <c r="D118" s="1597">
        <f>'Medicaid &amp; FAMIS - LASER'!E117+'SNAP LASER'!E117+'TANF LASER'!D117+'Energy Assistance LASER'!E117+'FC &amp; Adoptions LASER'!D117+'CSA LASER'!D117+'ChildCare LASER'!I117+'Other Benefits LASER'!D117</f>
        <v>127664891.85204498</v>
      </c>
      <c r="E118" s="1597">
        <f>'Medicaid &amp; FAMIS - LASER'!F117+'TANF LASER'!F117+'Energy Assistance LASER'!G117+'CSA LASER'!E117+'ChildCare LASER'!J117+'FC &amp; Adoptions LASER'!E117+'Other Benefits LASER'!E117</f>
        <v>91444749.72848998</v>
      </c>
      <c r="F118" s="1597">
        <f>'Medicaid &amp; FAMIS - LASER'!G117+'TANF LASER'!G117+'Energy Assistance LASER'!H117+'FC &amp; Adoptions LASER'!F117+'CSA LASER'!F117+'Other Benefits LASER'!F117</f>
        <v>1089213.068765</v>
      </c>
      <c r="G118" s="1597">
        <f>'TANF LASER'!H117+'Energy Assistance LASER'!J117+'FC &amp; Adoptions LASER'!G117+'CSA LASER'!G117+'Other Benefits LASER'!G117</f>
        <v>2076.1799999999998</v>
      </c>
      <c r="H118" s="1597">
        <f>'Medicaid &amp; FAMIS - LASER'!D117+'SNAP LASER'!D117+'TANF LASER'!I117+'Energy Assistance LASER'!D117+'FC &amp; Adoptions LASER'!I117+'CSA LASER'!H117+'ChildCare LASER'!K117+'Other Benefits LASER'!I117</f>
        <v>220200930.82929996</v>
      </c>
      <c r="I118" s="1597">
        <f t="shared" si="2"/>
        <v>1091289.2487649999</v>
      </c>
    </row>
    <row r="119" spans="1:9">
      <c r="A119" s="767" t="s">
        <v>192</v>
      </c>
      <c r="B119" s="618" t="s">
        <v>193</v>
      </c>
      <c r="C119" s="768" t="s">
        <v>268</v>
      </c>
      <c r="D119" s="1597">
        <f>'Medicaid &amp; FAMIS - LASER'!E118+'SNAP LASER'!E118+'TANF LASER'!D118+'Energy Assistance LASER'!E118+'FC &amp; Adoptions LASER'!D118+'CSA LASER'!D118+'ChildCare LASER'!I118+'Other Benefits LASER'!D118</f>
        <v>9714432.6472499985</v>
      </c>
      <c r="E119" s="1597">
        <f>'Medicaid &amp; FAMIS - LASER'!F118+'TANF LASER'!F118+'Energy Assistance LASER'!G118+'CSA LASER'!E118+'ChildCare LASER'!J118+'FC &amp; Adoptions LASER'!E118+'Other Benefits LASER'!E118</f>
        <v>7903741.0135562513</v>
      </c>
      <c r="F119" s="1597">
        <f>'Medicaid &amp; FAMIS - LASER'!G118+'TANF LASER'!G118+'Energy Assistance LASER'!H118+'FC &amp; Adoptions LASER'!F118+'CSA LASER'!F118+'Other Benefits LASER'!F118</f>
        <v>321795.58909374999</v>
      </c>
      <c r="G119" s="1597">
        <f>'TANF LASER'!H118+'Energy Assistance LASER'!J118+'FC &amp; Adoptions LASER'!G118+'CSA LASER'!G118+'Other Benefits LASER'!G118</f>
        <v>-0.04</v>
      </c>
      <c r="H119" s="1597">
        <f>'Medicaid &amp; FAMIS - LASER'!D118+'SNAP LASER'!D118+'TANF LASER'!I118+'Energy Assistance LASER'!D118+'FC &amp; Adoptions LASER'!I118+'CSA LASER'!H118+'ChildCare LASER'!K118+'Other Benefits LASER'!I118</f>
        <v>17939969.209899999</v>
      </c>
      <c r="I119" s="1597">
        <f t="shared" si="2"/>
        <v>321795.54909375001</v>
      </c>
    </row>
    <row r="120" spans="1:9">
      <c r="A120" s="767" t="s">
        <v>196</v>
      </c>
      <c r="B120" s="618" t="s">
        <v>312</v>
      </c>
      <c r="C120" s="768" t="s">
        <v>266</v>
      </c>
      <c r="D120" s="1597">
        <f>'Medicaid &amp; FAMIS - LASER'!E119+'SNAP LASER'!E119+'TANF LASER'!D119+'Energy Assistance LASER'!E119+'FC &amp; Adoptions LASER'!D119+'CSA LASER'!D119+'ChildCare LASER'!I119+'Other Benefits LASER'!D119</f>
        <v>312294105.10559493</v>
      </c>
      <c r="E120" s="1597">
        <f>'Medicaid &amp; FAMIS - LASER'!F119+'TANF LASER'!F119+'Energy Assistance LASER'!G119+'CSA LASER'!E119+'ChildCare LASER'!J119+'FC &amp; Adoptions LASER'!E119+'Other Benefits LASER'!E119</f>
        <v>230643187.63804093</v>
      </c>
      <c r="F120" s="1597">
        <f>'Medicaid &amp; FAMIS - LASER'!G119+'TANF LASER'!G119+'Energy Assistance LASER'!H119+'FC &amp; Adoptions LASER'!F119+'CSA LASER'!F119+'Other Benefits LASER'!F119</f>
        <v>5481144.9348640628</v>
      </c>
      <c r="G120" s="1597">
        <f>'TANF LASER'!H119+'Energy Assistance LASER'!J119+'FC &amp; Adoptions LASER'!G119+'CSA LASER'!G119+'Other Benefits LASER'!G119</f>
        <v>446370.06</v>
      </c>
      <c r="H120" s="1597">
        <f>'Medicaid &amp; FAMIS - LASER'!D119+'SNAP LASER'!D119+'TANF LASER'!I119+'Energy Assistance LASER'!D119+'FC &amp; Adoptions LASER'!I119+'CSA LASER'!H119+'ChildCare LASER'!K119+'Other Benefits LASER'!I119</f>
        <v>548864807.7385</v>
      </c>
      <c r="I120" s="1597">
        <f t="shared" si="2"/>
        <v>5927514.9948640624</v>
      </c>
    </row>
    <row r="121" spans="1:9">
      <c r="A121" s="767" t="s">
        <v>200</v>
      </c>
      <c r="B121" s="618" t="s">
        <v>313</v>
      </c>
      <c r="C121" s="768" t="s">
        <v>265</v>
      </c>
      <c r="D121" s="1597">
        <f>'Medicaid &amp; FAMIS - LASER'!E120+'SNAP LASER'!E120+'TANF LASER'!D120+'Energy Assistance LASER'!E120+'FC &amp; Adoptions LASER'!D120+'CSA LASER'!D120+'ChildCare LASER'!I120+'Other Benefits LASER'!D120</f>
        <v>136431920.16213199</v>
      </c>
      <c r="E121" s="1597">
        <f>'Medicaid &amp; FAMIS - LASER'!F120+'TANF LASER'!F120+'Energy Assistance LASER'!G120+'CSA LASER'!E120+'ChildCare LASER'!J120+'FC &amp; Adoptions LASER'!E120+'Other Benefits LASER'!E120</f>
        <v>103415118.36831601</v>
      </c>
      <c r="F121" s="1597">
        <f>'Medicaid &amp; FAMIS - LASER'!G120+'TANF LASER'!G120+'Energy Assistance LASER'!H120+'FC &amp; Adoptions LASER'!F120+'CSA LASER'!F120+'Other Benefits LASER'!F120</f>
        <v>3603405.4187520002</v>
      </c>
      <c r="G121" s="1597">
        <f>'TANF LASER'!H120+'Energy Assistance LASER'!J120+'FC &amp; Adoptions LASER'!G120+'CSA LASER'!G120+'Other Benefits LASER'!G120</f>
        <v>3655.42</v>
      </c>
      <c r="H121" s="1597">
        <f>'Medicaid &amp; FAMIS - LASER'!D120+'SNAP LASER'!D120+'TANF LASER'!I120+'Energy Assistance LASER'!D120+'FC &amp; Adoptions LASER'!I120+'CSA LASER'!H120+'ChildCare LASER'!K120+'Other Benefits LASER'!I120</f>
        <v>243454099.36919996</v>
      </c>
      <c r="I121" s="1597">
        <f t="shared" si="2"/>
        <v>3607060.8387520001</v>
      </c>
    </row>
    <row r="122" spans="1:9">
      <c r="A122" s="767" t="s">
        <v>222</v>
      </c>
      <c r="B122" s="618" t="s">
        <v>223</v>
      </c>
      <c r="C122" s="768" t="s">
        <v>264</v>
      </c>
      <c r="D122" s="1597">
        <f>'Medicaid &amp; FAMIS - LASER'!E121+'SNAP LASER'!E121+'TANF LASER'!D121+'Energy Assistance LASER'!E121+'FC &amp; Adoptions LASER'!D121+'CSA LASER'!D121+'ChildCare LASER'!I121+'Other Benefits LASER'!D121</f>
        <v>77576220.064901978</v>
      </c>
      <c r="E122" s="1597">
        <f>'Medicaid &amp; FAMIS - LASER'!F121+'TANF LASER'!F121+'Energy Assistance LASER'!G121+'CSA LASER'!E121+'ChildCare LASER'!J121+'FC &amp; Adoptions LASER'!E121+'Other Benefits LASER'!E121</f>
        <v>56963869.23822999</v>
      </c>
      <c r="F122" s="1597">
        <f>'Medicaid &amp; FAMIS - LASER'!G121+'TANF LASER'!G121+'Energy Assistance LASER'!H121+'FC &amp; Adoptions LASER'!F121+'CSA LASER'!F121+'Other Benefits LASER'!F121</f>
        <v>383985.74636799999</v>
      </c>
      <c r="G122" s="1597">
        <f>'TANF LASER'!H121+'Energy Assistance LASER'!J121+'FC &amp; Adoptions LASER'!G121+'CSA LASER'!G121+'Other Benefits LASER'!G121</f>
        <v>14679.849999999999</v>
      </c>
      <c r="H122" s="1597">
        <f>'Medicaid &amp; FAMIS - LASER'!D121+'SNAP LASER'!D121+'TANF LASER'!I121+'Energy Assistance LASER'!D121+'FC &amp; Adoptions LASER'!I121+'CSA LASER'!H121+'ChildCare LASER'!K121+'Other Benefits LASER'!I121</f>
        <v>134938754.89950001</v>
      </c>
      <c r="I122" s="1597">
        <f t="shared" si="2"/>
        <v>398665.59636799997</v>
      </c>
    </row>
    <row r="123" spans="1:9">
      <c r="A123" s="767" t="s">
        <v>230</v>
      </c>
      <c r="B123" s="618" t="s">
        <v>231</v>
      </c>
      <c r="C123" s="768" t="s">
        <v>264</v>
      </c>
      <c r="D123" s="1597">
        <f>'Medicaid &amp; FAMIS - LASER'!E122+'SNAP LASER'!E122+'TANF LASER'!D122+'Energy Assistance LASER'!E122+'FC &amp; Adoptions LASER'!D122+'CSA LASER'!D122+'ChildCare LASER'!I122+'Other Benefits LASER'!D122</f>
        <v>207914084.37118199</v>
      </c>
      <c r="E123" s="1597">
        <f>'Medicaid &amp; FAMIS - LASER'!F122+'TANF LASER'!F122+'Energy Assistance LASER'!G122+'CSA LASER'!E122+'ChildCare LASER'!J122+'FC &amp; Adoptions LASER'!E122+'Other Benefits LASER'!E122</f>
        <v>153337738.96511489</v>
      </c>
      <c r="F123" s="1597">
        <f>'Medicaid &amp; FAMIS - LASER'!G122+'TANF LASER'!G122+'Energy Assistance LASER'!H122+'FC &amp; Adoptions LASER'!F122+'CSA LASER'!F122+'Other Benefits LASER'!F122</f>
        <v>4337456.3924031248</v>
      </c>
      <c r="G123" s="1597">
        <f>'TANF LASER'!H122+'Energy Assistance LASER'!J122+'FC &amp; Adoptions LASER'!G122+'CSA LASER'!G122+'Other Benefits LASER'!G122</f>
        <v>65365.62000000001</v>
      </c>
      <c r="H123" s="1597">
        <f>'Medicaid &amp; FAMIS - LASER'!D122+'SNAP LASER'!D122+'TANF LASER'!I122+'Energy Assistance LASER'!D122+'FC &amp; Adoptions LASER'!I122+'CSA LASER'!H122+'ChildCare LASER'!K122+'Other Benefits LASER'!I122</f>
        <v>365654645.34869999</v>
      </c>
      <c r="I123" s="1597">
        <f t="shared" si="2"/>
        <v>4402822.0124031249</v>
      </c>
    </row>
    <row r="124" spans="1:9">
      <c r="A124" s="767" t="s">
        <v>238</v>
      </c>
      <c r="B124" s="618" t="s">
        <v>239</v>
      </c>
      <c r="C124" s="768" t="s">
        <v>264</v>
      </c>
      <c r="D124" s="1597">
        <f>'Medicaid &amp; FAMIS - LASER'!E123+'SNAP LASER'!E123+'TANF LASER'!D123+'Energy Assistance LASER'!E123+'FC &amp; Adoptions LASER'!D123+'CSA LASER'!D123+'ChildCare LASER'!I123+'Other Benefits LASER'!D123</f>
        <v>5888081.8903000001</v>
      </c>
      <c r="E124" s="1597">
        <f>'Medicaid &amp; FAMIS - LASER'!F123+'TANF LASER'!F123+'Energy Assistance LASER'!G123+'CSA LASER'!E123+'ChildCare LASER'!J123+'FC &amp; Adoptions LASER'!E123+'Other Benefits LASER'!E123</f>
        <v>3956923.2794443746</v>
      </c>
      <c r="F124" s="1597">
        <f>'Medicaid &amp; FAMIS - LASER'!G123+'TANF LASER'!G123+'Energy Assistance LASER'!H123+'FC &amp; Adoptions LASER'!F123+'CSA LASER'!F123+'Other Benefits LASER'!F123</f>
        <v>120931.610255625</v>
      </c>
      <c r="G124" s="1597">
        <f>'TANF LASER'!H123+'Energy Assistance LASER'!J123+'FC &amp; Adoptions LASER'!G123+'CSA LASER'!G123+'Other Benefits LASER'!G123</f>
        <v>27696.18</v>
      </c>
      <c r="H124" s="1597">
        <f>'Medicaid &amp; FAMIS - LASER'!D123+'SNAP LASER'!D123+'TANF LASER'!I123+'Energy Assistance LASER'!D123+'FC &amp; Adoptions LASER'!I123+'CSA LASER'!H123+'ChildCare LASER'!K123+'Other Benefits LASER'!I123</f>
        <v>9993632.959999999</v>
      </c>
      <c r="I124" s="1597">
        <f t="shared" si="2"/>
        <v>148627.790255625</v>
      </c>
    </row>
    <row r="125" spans="1:9">
      <c r="A125" s="769" t="s">
        <v>240</v>
      </c>
      <c r="B125" s="770" t="s">
        <v>241</v>
      </c>
      <c r="C125" s="771" t="s">
        <v>267</v>
      </c>
      <c r="D125" s="1597">
        <f>'Medicaid &amp; FAMIS - LASER'!E124+'SNAP LASER'!E124+'TANF LASER'!D124+'Energy Assistance LASER'!E124+'FC &amp; Adoptions LASER'!D124+'CSA LASER'!D124+'ChildCare LASER'!I124+'Other Benefits LASER'!D124</f>
        <v>24758353.175364997</v>
      </c>
      <c r="E125" s="1597">
        <f>'Medicaid &amp; FAMIS - LASER'!F124+'TANF LASER'!F124+'Energy Assistance LASER'!G124+'CSA LASER'!E124+'ChildCare LASER'!J124+'FC &amp; Adoptions LASER'!E124+'Other Benefits LASER'!E124</f>
        <v>18312155.072940499</v>
      </c>
      <c r="F125" s="1597">
        <f>'Medicaid &amp; FAMIS - LASER'!G124+'TANF LASER'!G124+'Energy Assistance LASER'!H124+'FC &amp; Adoptions LASER'!F124+'CSA LASER'!F124+'Other Benefits LASER'!F124</f>
        <v>557788.38050949993</v>
      </c>
      <c r="G125" s="1597">
        <f>'TANF LASER'!H124+'Energy Assistance LASER'!J124+'FC &amp; Adoptions LASER'!G124+'CSA LASER'!G124+'Other Benefits LASER'!G124</f>
        <v>10101.27</v>
      </c>
      <c r="H125" s="1597">
        <f>'Medicaid &amp; FAMIS - LASER'!D124+'SNAP LASER'!D124+'TANF LASER'!I124+'Energy Assistance LASER'!D124+'FC &amp; Adoptions LASER'!I124+'CSA LASER'!H124+'ChildCare LASER'!K124+'Other Benefits LASER'!I124</f>
        <v>43638397.898814999</v>
      </c>
      <c r="I125" s="1597">
        <f t="shared" si="2"/>
        <v>567889.65050949994</v>
      </c>
    </row>
    <row r="126" spans="1:9">
      <c r="A126" s="772"/>
      <c r="B126" s="772"/>
      <c r="C126" s="772"/>
    </row>
    <row r="127" spans="1:9">
      <c r="A127" s="403" t="s">
        <v>823</v>
      </c>
      <c r="B127" s="772"/>
      <c r="C127" s="772"/>
    </row>
    <row r="128" spans="1:9">
      <c r="A128" s="758"/>
      <c r="B128" s="758"/>
      <c r="C128" s="758"/>
    </row>
    <row r="129" spans="1:3">
      <c r="A129" s="134" t="s">
        <v>248</v>
      </c>
      <c r="B129" s="773"/>
      <c r="C129" s="773"/>
    </row>
    <row r="130" spans="1:3">
      <c r="A130" s="134" t="s">
        <v>249</v>
      </c>
      <c r="B130" s="430" t="s">
        <v>250</v>
      </c>
      <c r="C130" s="774"/>
    </row>
  </sheetData>
  <hyperlinks>
    <hyperlink ref="B130" r:id="rId1"/>
  </hyperlinks>
  <pageMargins left="0.7" right="0.7" top="0.75" bottom="0.75" header="0.3" footer="0.3"/>
</worksheet>
</file>

<file path=xl/worksheets/sheet57.xml><?xml version="1.0" encoding="utf-8"?>
<worksheet xmlns="http://schemas.openxmlformats.org/spreadsheetml/2006/main" xmlns:r="http://schemas.openxmlformats.org/officeDocument/2006/relationships">
  <dimension ref="A1:AF130"/>
  <sheetViews>
    <sheetView workbookViewId="0">
      <pane xSplit="3" ySplit="5" topLeftCell="R6" activePane="bottomRight" state="frozen"/>
      <selection pane="topRight" activeCell="D1" sqref="D1"/>
      <selection pane="bottomLeft" activeCell="A6" sqref="A6"/>
      <selection pane="bottomRight" activeCell="AF6" sqref="AF6"/>
    </sheetView>
  </sheetViews>
  <sheetFormatPr defaultRowHeight="15.75"/>
  <cols>
    <col min="1" max="1" width="6.125" style="134" bestFit="1" customWidth="1"/>
    <col min="2" max="2" width="29.375" style="157" customWidth="1"/>
    <col min="3" max="3" width="9.25" style="157" customWidth="1"/>
    <col min="4" max="7" width="15.25" style="804" customWidth="1"/>
    <col min="8" max="8" width="13.625" style="804" bestFit="1" customWidth="1"/>
    <col min="9" max="10" width="12.625" style="804" bestFit="1" customWidth="1"/>
    <col min="11" max="11" width="13.625" style="804" bestFit="1" customWidth="1"/>
    <col min="12" max="12" width="14.875" style="804" bestFit="1" customWidth="1"/>
    <col min="13" max="19" width="16" style="804" customWidth="1"/>
    <col min="20" max="20" width="3.25" style="804" customWidth="1"/>
    <col min="21" max="21" width="9" style="273" customWidth="1"/>
    <col min="22" max="23" width="9" style="273"/>
    <col min="24" max="24" width="11" style="273" customWidth="1"/>
    <col min="25" max="25" width="3.875" style="758" customWidth="1"/>
    <col min="26" max="28" width="12.5" style="271" customWidth="1"/>
    <col min="29" max="29" width="9" style="758"/>
    <col min="30" max="32" width="12.5" style="271" customWidth="1"/>
    <col min="33" max="16384" width="9" style="758"/>
  </cols>
  <sheetData>
    <row r="1" spans="1:32">
      <c r="A1" s="757" t="s">
        <v>1183</v>
      </c>
      <c r="B1" s="758"/>
      <c r="C1" s="758"/>
    </row>
    <row r="3" spans="1:32">
      <c r="D3" s="1943" t="s">
        <v>720</v>
      </c>
      <c r="E3" s="1944"/>
      <c r="F3" s="1944"/>
      <c r="G3" s="1945"/>
      <c r="H3" s="1946" t="s">
        <v>721</v>
      </c>
      <c r="I3" s="1947"/>
      <c r="J3" s="1947"/>
      <c r="K3" s="1948"/>
      <c r="L3" s="1943" t="s">
        <v>715</v>
      </c>
      <c r="M3" s="1944"/>
      <c r="N3" s="1944"/>
      <c r="O3" s="1945"/>
      <c r="P3" s="1949" t="s">
        <v>1194</v>
      </c>
      <c r="Q3" s="1950"/>
      <c r="R3" s="1950"/>
      <c r="S3" s="1951"/>
      <c r="T3" s="805"/>
      <c r="U3" s="1940" t="s">
        <v>716</v>
      </c>
      <c r="V3" s="1941"/>
      <c r="W3" s="1941"/>
      <c r="X3" s="1942"/>
      <c r="Z3" s="1940" t="s">
        <v>1195</v>
      </c>
      <c r="AA3" s="1941"/>
      <c r="AB3" s="1942"/>
      <c r="AD3" s="1940" t="s">
        <v>1196</v>
      </c>
      <c r="AE3" s="1941"/>
      <c r="AF3" s="1942"/>
    </row>
    <row r="4" spans="1:32" ht="31.5">
      <c r="A4" s="759" t="s">
        <v>4</v>
      </c>
      <c r="B4" s="182" t="s">
        <v>5</v>
      </c>
      <c r="C4" s="182" t="s">
        <v>251</v>
      </c>
      <c r="D4" s="811" t="s">
        <v>314</v>
      </c>
      <c r="E4" s="812" t="s">
        <v>315</v>
      </c>
      <c r="F4" s="813" t="s">
        <v>682</v>
      </c>
      <c r="G4" s="814" t="s">
        <v>281</v>
      </c>
      <c r="H4" s="811" t="s">
        <v>314</v>
      </c>
      <c r="I4" s="812" t="s">
        <v>315</v>
      </c>
      <c r="J4" s="813" t="s">
        <v>682</v>
      </c>
      <c r="K4" s="814" t="s">
        <v>281</v>
      </c>
      <c r="L4" s="811" t="s">
        <v>314</v>
      </c>
      <c r="M4" s="812" t="s">
        <v>315</v>
      </c>
      <c r="N4" s="813" t="s">
        <v>682</v>
      </c>
      <c r="O4" s="814" t="s">
        <v>281</v>
      </c>
      <c r="P4" s="1623" t="s">
        <v>314</v>
      </c>
      <c r="Q4" s="1624" t="s">
        <v>315</v>
      </c>
      <c r="R4" s="1625" t="s">
        <v>682</v>
      </c>
      <c r="S4" s="1626" t="s">
        <v>281</v>
      </c>
      <c r="T4" s="806"/>
      <c r="U4" s="1635" t="s">
        <v>717</v>
      </c>
      <c r="V4" s="832" t="s">
        <v>718</v>
      </c>
      <c r="W4" s="832" t="s">
        <v>719</v>
      </c>
      <c r="X4" s="825" t="s">
        <v>727</v>
      </c>
      <c r="Z4" s="824" t="s">
        <v>724</v>
      </c>
      <c r="AA4" s="832" t="s">
        <v>725</v>
      </c>
      <c r="AB4" s="833" t="s">
        <v>726</v>
      </c>
      <c r="AD4" s="824" t="s">
        <v>724</v>
      </c>
      <c r="AE4" s="832" t="s">
        <v>725</v>
      </c>
      <c r="AF4" s="833" t="s">
        <v>726</v>
      </c>
    </row>
    <row r="5" spans="1:32">
      <c r="A5" s="807" t="s">
        <v>8</v>
      </c>
      <c r="B5" s="808" t="s">
        <v>9</v>
      </c>
      <c r="C5" s="808"/>
      <c r="D5" s="815">
        <f>'Administration LASER'!D4+'Other Oper Exp. LASER'!D4</f>
        <v>275024432.90000004</v>
      </c>
      <c r="E5" s="816">
        <f>'Administration LASER'!E4+'Other Oper Exp. LASER'!E4</f>
        <v>111999497.15000004</v>
      </c>
      <c r="F5" s="816">
        <f>'Administration LASER'!K4+'Other Oper Exp. LASER'!K4</f>
        <v>239473102.34999996</v>
      </c>
      <c r="G5" s="817">
        <f>'Administration LASER'!I4+'Other Oper Exp. LASER'!I4</f>
        <v>626497032.39999986</v>
      </c>
      <c r="H5" s="815">
        <f>'Client Services LASER'!D5</f>
        <v>13503385.630000005</v>
      </c>
      <c r="I5" s="816">
        <f>'Client Services LASER'!E5</f>
        <v>9489152.7100000009</v>
      </c>
      <c r="J5" s="816">
        <f>'Client Services LASER'!K5</f>
        <v>8712265.5199999996</v>
      </c>
      <c r="K5" s="817">
        <f>'Client Services LASER'!I5</f>
        <v>31704803.859999999</v>
      </c>
      <c r="L5" s="815">
        <f>SUM(L6:L125)</f>
        <v>5257251969.4774408</v>
      </c>
      <c r="M5" s="816">
        <f>SUM(M6:M125)</f>
        <v>3942581464.5117202</v>
      </c>
      <c r="N5" s="816">
        <f>SUM(N6:N125)</f>
        <v>131907549.56885414</v>
      </c>
      <c r="O5" s="817">
        <f t="shared" ref="O5:O36" si="0">SUM(L5:N5)</f>
        <v>9331740983.5580139</v>
      </c>
      <c r="P5" s="1620">
        <f t="shared" ref="P5:S5" si="1">SUM(P6:P125)</f>
        <v>5545779788.0074415</v>
      </c>
      <c r="Q5" s="1596">
        <f t="shared" si="1"/>
        <v>4064070114.3717208</v>
      </c>
      <c r="R5" s="1596">
        <f t="shared" si="1"/>
        <v>380092917.43885416</v>
      </c>
      <c r="S5" s="1621">
        <f t="shared" si="1"/>
        <v>9989942819.8180161</v>
      </c>
      <c r="T5" s="809"/>
      <c r="U5" s="826">
        <f t="shared" ref="U5:U36" si="2">D5/G5</f>
        <v>0.43898760676715393</v>
      </c>
      <c r="V5" s="827">
        <f t="shared" ref="V5:V36" si="3">E5/G5</f>
        <v>0.17877099388795134</v>
      </c>
      <c r="W5" s="827">
        <f t="shared" ref="W5:W36" si="4">F5/G5</f>
        <v>0.38224139934489498</v>
      </c>
      <c r="X5" s="828">
        <f>(D5+E5)/G5</f>
        <v>0.61775860065510524</v>
      </c>
      <c r="Z5" s="1627">
        <f>G5/S5</f>
        <v>6.2712774607393856E-2</v>
      </c>
      <c r="AA5" s="1628">
        <f>K5/S5</f>
        <v>3.1736722053207463E-3</v>
      </c>
      <c r="AB5" s="1629">
        <f>O5/S5</f>
        <v>0.93411355318728517</v>
      </c>
      <c r="AD5" s="1627">
        <f>F5/R5</f>
        <v>0.63003831790294851</v>
      </c>
      <c r="AE5" s="1628">
        <f>J5/R5</f>
        <v>2.2921409792913461E-2</v>
      </c>
      <c r="AF5" s="1629">
        <f>N5/R5</f>
        <v>0.34704027230413786</v>
      </c>
    </row>
    <row r="6" spans="1:32">
      <c r="A6" s="767" t="s">
        <v>10</v>
      </c>
      <c r="B6" s="618" t="s">
        <v>11</v>
      </c>
      <c r="C6" s="768" t="s">
        <v>264</v>
      </c>
      <c r="D6" s="818">
        <f>'Administration LASER'!D5+'Other Oper Exp. LASER'!D5</f>
        <v>1771607.28</v>
      </c>
      <c r="E6" s="819">
        <f>'Administration LASER'!E5+'Other Oper Exp. LASER'!E5</f>
        <v>919936.41999999993</v>
      </c>
      <c r="F6" s="819">
        <f>'Administration LASER'!K5+'Other Oper Exp. LASER'!K5</f>
        <v>709008.81</v>
      </c>
      <c r="G6" s="820">
        <f>'Administration LASER'!I5+'Other Oper Exp. LASER'!I5</f>
        <v>3400552.5100000002</v>
      </c>
      <c r="H6" s="818">
        <f>'Client Services LASER'!D6</f>
        <v>66875.09</v>
      </c>
      <c r="I6" s="819">
        <f>'Client Services LASER'!E6</f>
        <v>15835.010000000002</v>
      </c>
      <c r="J6" s="819">
        <f>'Client Services LASER'!K6</f>
        <v>23750.2</v>
      </c>
      <c r="K6" s="820">
        <f>'Client Services LASER'!I6</f>
        <v>106460.30000000002</v>
      </c>
      <c r="L6" s="818">
        <f>'Benefits Spending LASER'!D6</f>
        <v>35572274.463896006</v>
      </c>
      <c r="M6" s="819">
        <f>'Benefits Spending LASER'!E6</f>
        <v>24654984.577014998</v>
      </c>
      <c r="N6" s="819">
        <f>'Benefits Spending LASER'!I6</f>
        <v>250113.20888899997</v>
      </c>
      <c r="O6" s="820">
        <f t="shared" si="0"/>
        <v>60477372.249800004</v>
      </c>
      <c r="P6" s="1622">
        <f>D6+H6+L6</f>
        <v>37410756.833896004</v>
      </c>
      <c r="Q6" s="819">
        <f>E6+I6+M6</f>
        <v>25590756.007014997</v>
      </c>
      <c r="R6" s="819">
        <f>F6+J6+N6</f>
        <v>982872.21888900001</v>
      </c>
      <c r="S6" s="820">
        <f>G6+K6+O6</f>
        <v>63984385.059800006</v>
      </c>
      <c r="U6" s="653">
        <f t="shared" si="2"/>
        <v>0.52097630452411392</v>
      </c>
      <c r="V6" s="654">
        <f t="shared" si="3"/>
        <v>0.27052557409266409</v>
      </c>
      <c r="W6" s="654">
        <f t="shared" si="4"/>
        <v>0.20849812138322193</v>
      </c>
      <c r="X6" s="655">
        <f t="shared" ref="X6:X69" si="5">(D6+E6)/G6</f>
        <v>0.79150187861677812</v>
      </c>
      <c r="Z6" s="1631">
        <f t="shared" ref="Z6:Z69" si="6">G6/S6</f>
        <v>5.3146599859041126E-2</v>
      </c>
      <c r="AA6" s="1535">
        <f t="shared" ref="AA6:AA69" si="7">K6/S6</f>
        <v>1.6638481388936048E-3</v>
      </c>
      <c r="AB6" s="1633">
        <f t="shared" ref="AB6:AB69" si="8">O6/S6</f>
        <v>0.94518955200206523</v>
      </c>
      <c r="AD6" s="1631">
        <f t="shared" ref="AD6:AD69" si="9">F6/R6</f>
        <v>0.7213641777376063</v>
      </c>
      <c r="AE6" s="1535">
        <f t="shared" ref="AE6:AE69" si="10">J6/R6</f>
        <v>2.4164077021981849E-2</v>
      </c>
      <c r="AF6" s="1633">
        <f t="shared" ref="AF6:AF69" si="11">N6/R6</f>
        <v>0.25447174524041188</v>
      </c>
    </row>
    <row r="7" spans="1:32">
      <c r="A7" s="767" t="s">
        <v>12</v>
      </c>
      <c r="B7" s="618" t="s">
        <v>13</v>
      </c>
      <c r="C7" s="768" t="s">
        <v>265</v>
      </c>
      <c r="D7" s="818">
        <f>'Administration LASER'!D6+'Other Oper Exp. LASER'!D6</f>
        <v>3692732.51</v>
      </c>
      <c r="E7" s="819">
        <f>'Administration LASER'!E6+'Other Oper Exp. LASER'!E6</f>
        <v>844355.5</v>
      </c>
      <c r="F7" s="819">
        <f>'Administration LASER'!K6+'Other Oper Exp. LASER'!K6</f>
        <v>6103488.0000000009</v>
      </c>
      <c r="G7" s="820">
        <f>'Administration LASER'!I6+'Other Oper Exp. LASER'!I6</f>
        <v>10640576.010000002</v>
      </c>
      <c r="H7" s="818">
        <f>'Client Services LASER'!D7</f>
        <v>107864.96999999999</v>
      </c>
      <c r="I7" s="819">
        <f>'Client Services LASER'!E7</f>
        <v>87220.62</v>
      </c>
      <c r="J7" s="819">
        <f>'Client Services LASER'!K7</f>
        <v>123739.53</v>
      </c>
      <c r="K7" s="820">
        <f>'Client Services LASER'!I7</f>
        <v>318825.12</v>
      </c>
      <c r="L7" s="818">
        <f>'Benefits Spending LASER'!D7</f>
        <v>40585778.297008999</v>
      </c>
      <c r="M7" s="819">
        <f>'Benefits Spending LASER'!E7</f>
        <v>34100017.9957745</v>
      </c>
      <c r="N7" s="819">
        <f>'Benefits Spending LASER'!I7</f>
        <v>4002438.9369165003</v>
      </c>
      <c r="O7" s="820">
        <f t="shared" si="0"/>
        <v>78688235.229699999</v>
      </c>
      <c r="P7" s="1622">
        <f t="shared" ref="P7:P70" si="12">D7+H7+L7</f>
        <v>44386375.777008995</v>
      </c>
      <c r="Q7" s="819">
        <f t="shared" ref="Q7:Q70" si="13">E7+I7+M7</f>
        <v>35031594.115774497</v>
      </c>
      <c r="R7" s="819">
        <f t="shared" ref="R7:R70" si="14">F7+J7+N7</f>
        <v>10229666.466916502</v>
      </c>
      <c r="S7" s="820">
        <f t="shared" ref="S7:S70" si="15">G7+K7+O7</f>
        <v>89647636.359699994</v>
      </c>
      <c r="U7" s="653">
        <f t="shared" si="2"/>
        <v>0.3470425385364076</v>
      </c>
      <c r="V7" s="654">
        <f t="shared" si="3"/>
        <v>7.9352424079906544E-2</v>
      </c>
      <c r="W7" s="654">
        <f t="shared" si="4"/>
        <v>0.57360503738368573</v>
      </c>
      <c r="X7" s="655">
        <f t="shared" si="5"/>
        <v>0.42639496261631415</v>
      </c>
      <c r="Z7" s="1631">
        <f t="shared" si="6"/>
        <v>0.11869332468851732</v>
      </c>
      <c r="AA7" s="1535">
        <f t="shared" si="7"/>
        <v>3.5564252773018336E-3</v>
      </c>
      <c r="AB7" s="1633">
        <f t="shared" si="8"/>
        <v>0.87775025003418095</v>
      </c>
      <c r="AD7" s="1631">
        <f t="shared" si="9"/>
        <v>0.5966458456626258</v>
      </c>
      <c r="AE7" s="1535">
        <f t="shared" si="10"/>
        <v>1.2096145108951772E-2</v>
      </c>
      <c r="AF7" s="1633">
        <f t="shared" si="11"/>
        <v>0.39125800922842247</v>
      </c>
    </row>
    <row r="8" spans="1:32">
      <c r="A8" s="767" t="s">
        <v>16</v>
      </c>
      <c r="B8" s="618" t="s">
        <v>297</v>
      </c>
      <c r="C8" s="768" t="s">
        <v>265</v>
      </c>
      <c r="D8" s="818">
        <f>'Administration LASER'!D7+'Other Oper Exp. LASER'!D7</f>
        <v>1056961.8599999999</v>
      </c>
      <c r="E8" s="819">
        <f>'Administration LASER'!E7+'Other Oper Exp. LASER'!E7</f>
        <v>486652.95999999996</v>
      </c>
      <c r="F8" s="819">
        <f>'Administration LASER'!K7+'Other Oper Exp. LASER'!K7</f>
        <v>662275.91999999993</v>
      </c>
      <c r="G8" s="820">
        <f>'Administration LASER'!I7+'Other Oper Exp. LASER'!I7</f>
        <v>2205890.7400000002</v>
      </c>
      <c r="H8" s="818">
        <f>'Client Services LASER'!D8</f>
        <v>108987.22000000002</v>
      </c>
      <c r="I8" s="819">
        <f>'Client Services LASER'!E8</f>
        <v>31953.16</v>
      </c>
      <c r="J8" s="819">
        <f>'Client Services LASER'!K8</f>
        <v>29979.97</v>
      </c>
      <c r="K8" s="820">
        <f>'Client Services LASER'!I8</f>
        <v>170920.35</v>
      </c>
      <c r="L8" s="818">
        <f>'Benefits Spending LASER'!D8</f>
        <v>20615552.590402003</v>
      </c>
      <c r="M8" s="819">
        <f>'Benefits Spending LASER'!E8</f>
        <v>16797956.265560497</v>
      </c>
      <c r="N8" s="819">
        <f>'Benefits Spending LASER'!I8</f>
        <v>544810.51393749996</v>
      </c>
      <c r="O8" s="820">
        <f t="shared" si="0"/>
        <v>37958319.369900003</v>
      </c>
      <c r="P8" s="1622">
        <f t="shared" si="12"/>
        <v>21781501.670402002</v>
      </c>
      <c r="Q8" s="819">
        <f t="shared" si="13"/>
        <v>17316562.385560498</v>
      </c>
      <c r="R8" s="819">
        <f t="shared" si="14"/>
        <v>1237066.4039375</v>
      </c>
      <c r="S8" s="820">
        <f t="shared" si="15"/>
        <v>40335130.459900007</v>
      </c>
      <c r="U8" s="653">
        <f t="shared" si="2"/>
        <v>0.47915422139176295</v>
      </c>
      <c r="V8" s="654">
        <f t="shared" si="3"/>
        <v>0.22061516972504264</v>
      </c>
      <c r="W8" s="654">
        <f t="shared" si="4"/>
        <v>0.30023060888319419</v>
      </c>
      <c r="X8" s="655">
        <f t="shared" si="5"/>
        <v>0.69976939111680558</v>
      </c>
      <c r="Z8" s="1631">
        <f t="shared" si="6"/>
        <v>5.4689069177377064E-2</v>
      </c>
      <c r="AA8" s="1535">
        <f t="shared" si="7"/>
        <v>4.2375058181582919E-3</v>
      </c>
      <c r="AB8" s="1633">
        <f t="shared" si="8"/>
        <v>0.94107342500446456</v>
      </c>
      <c r="AD8" s="1631">
        <f t="shared" si="9"/>
        <v>0.53536004040851792</v>
      </c>
      <c r="AE8" s="1535">
        <f t="shared" si="10"/>
        <v>2.4234729764364915E-2</v>
      </c>
      <c r="AF8" s="1633">
        <f t="shared" si="11"/>
        <v>0.44040522982711711</v>
      </c>
    </row>
    <row r="9" spans="1:32">
      <c r="A9" s="767" t="s">
        <v>18</v>
      </c>
      <c r="B9" s="618" t="s">
        <v>19</v>
      </c>
      <c r="C9" s="768" t="s">
        <v>266</v>
      </c>
      <c r="D9" s="818">
        <f>'Administration LASER'!D8+'Other Oper Exp. LASER'!D8</f>
        <v>545103.57999999996</v>
      </c>
      <c r="E9" s="819">
        <f>'Administration LASER'!E8+'Other Oper Exp. LASER'!E8</f>
        <v>232739.01</v>
      </c>
      <c r="F9" s="819">
        <f>'Administration LASER'!K8+'Other Oper Exp. LASER'!K8</f>
        <v>405194.23</v>
      </c>
      <c r="G9" s="820">
        <f>'Administration LASER'!I8+'Other Oper Exp. LASER'!I8</f>
        <v>1183036.82</v>
      </c>
      <c r="H9" s="818">
        <f>'Client Services LASER'!D9</f>
        <v>32065.499999999996</v>
      </c>
      <c r="I9" s="819">
        <f>'Client Services LASER'!E9</f>
        <v>36082.51</v>
      </c>
      <c r="J9" s="819">
        <f>'Client Services LASER'!K9</f>
        <v>12009.17</v>
      </c>
      <c r="K9" s="820">
        <f>'Client Services LASER'!I9</f>
        <v>80157.180000000008</v>
      </c>
      <c r="L9" s="818">
        <f>'Benefits Spending LASER'!D9</f>
        <v>10650735.932615999</v>
      </c>
      <c r="M9" s="819">
        <f>'Benefits Spending LASER'!E9</f>
        <v>7888146.2764840005</v>
      </c>
      <c r="N9" s="819">
        <f>'Benefits Spending LASER'!I9</f>
        <v>103815.8508</v>
      </c>
      <c r="O9" s="820">
        <f t="shared" si="0"/>
        <v>18642698.059900001</v>
      </c>
      <c r="P9" s="1622">
        <f t="shared" si="12"/>
        <v>11227905.012615999</v>
      </c>
      <c r="Q9" s="819">
        <f t="shared" si="13"/>
        <v>8156967.796484001</v>
      </c>
      <c r="R9" s="819">
        <f t="shared" si="14"/>
        <v>521019.25079999998</v>
      </c>
      <c r="S9" s="820">
        <f t="shared" si="15"/>
        <v>19905892.059900001</v>
      </c>
      <c r="U9" s="653">
        <f t="shared" si="2"/>
        <v>0.46076636904673851</v>
      </c>
      <c r="V9" s="654">
        <f t="shared" si="3"/>
        <v>0.19673014910896855</v>
      </c>
      <c r="W9" s="654">
        <f t="shared" si="4"/>
        <v>0.34250348184429286</v>
      </c>
      <c r="X9" s="655">
        <f t="shared" si="5"/>
        <v>0.65749651815570709</v>
      </c>
      <c r="Z9" s="1631">
        <f t="shared" si="6"/>
        <v>5.9431489753890648E-2</v>
      </c>
      <c r="AA9" s="1535">
        <f t="shared" si="7"/>
        <v>4.0268067243002361E-3</v>
      </c>
      <c r="AB9" s="1633">
        <f t="shared" si="8"/>
        <v>0.9365417035218091</v>
      </c>
      <c r="AD9" s="1631">
        <f t="shared" si="9"/>
        <v>0.77769531428607241</v>
      </c>
      <c r="AE9" s="1535">
        <f t="shared" si="10"/>
        <v>2.3049378658390258E-2</v>
      </c>
      <c r="AF9" s="1633">
        <f t="shared" si="11"/>
        <v>0.19925530705553732</v>
      </c>
    </row>
    <row r="10" spans="1:32">
      <c r="A10" s="767" t="s">
        <v>20</v>
      </c>
      <c r="B10" s="618" t="s">
        <v>21</v>
      </c>
      <c r="C10" s="768" t="s">
        <v>265</v>
      </c>
      <c r="D10" s="818">
        <f>'Administration LASER'!D9+'Other Oper Exp. LASER'!D9</f>
        <v>907955.94000000006</v>
      </c>
      <c r="E10" s="819">
        <f>'Administration LASER'!E9+'Other Oper Exp. LASER'!E9</f>
        <v>429045.19</v>
      </c>
      <c r="F10" s="819">
        <f>'Administration LASER'!K9+'Other Oper Exp. LASER'!K9</f>
        <v>556960.07999999996</v>
      </c>
      <c r="G10" s="820">
        <f>'Administration LASER'!I9+'Other Oper Exp. LASER'!I9</f>
        <v>1893961.2100000002</v>
      </c>
      <c r="H10" s="818">
        <f>'Client Services LASER'!D10</f>
        <v>41521.199999999997</v>
      </c>
      <c r="I10" s="819">
        <f>'Client Services LASER'!E10</f>
        <v>8964.9700000000012</v>
      </c>
      <c r="J10" s="819">
        <f>'Client Services LASER'!K10</f>
        <v>10774.97</v>
      </c>
      <c r="K10" s="820">
        <f>'Client Services LASER'!I10</f>
        <v>61261.14</v>
      </c>
      <c r="L10" s="818">
        <f>'Benefits Spending LASER'!D10</f>
        <v>26230270.916700002</v>
      </c>
      <c r="M10" s="819">
        <f>'Benefits Spending LASER'!E10</f>
        <v>20969274.320624001</v>
      </c>
      <c r="N10" s="819">
        <f>'Benefits Spending LASER'!I10</f>
        <v>358639.822476</v>
      </c>
      <c r="O10" s="820">
        <f t="shared" si="0"/>
        <v>47558185.059799999</v>
      </c>
      <c r="P10" s="1622">
        <f t="shared" si="12"/>
        <v>27179748.056700002</v>
      </c>
      <c r="Q10" s="819">
        <f t="shared" si="13"/>
        <v>21407284.480624001</v>
      </c>
      <c r="R10" s="819">
        <f t="shared" si="14"/>
        <v>926374.87247599987</v>
      </c>
      <c r="S10" s="820">
        <f t="shared" si="15"/>
        <v>49513407.4098</v>
      </c>
      <c r="U10" s="653">
        <f t="shared" si="2"/>
        <v>0.47939521422405479</v>
      </c>
      <c r="V10" s="654">
        <f t="shared" si="3"/>
        <v>0.22653325091066673</v>
      </c>
      <c r="W10" s="654">
        <f t="shared" si="4"/>
        <v>0.29407153486527843</v>
      </c>
      <c r="X10" s="655">
        <f t="shared" si="5"/>
        <v>0.70592846513472152</v>
      </c>
      <c r="Z10" s="1631">
        <f t="shared" si="6"/>
        <v>3.8251481953656366E-2</v>
      </c>
      <c r="AA10" s="1535">
        <f t="shared" si="7"/>
        <v>1.2372636666462752E-3</v>
      </c>
      <c r="AB10" s="1633">
        <f t="shared" si="8"/>
        <v>0.96051125437969731</v>
      </c>
      <c r="AD10" s="1631">
        <f t="shared" si="9"/>
        <v>0.60122537489749261</v>
      </c>
      <c r="AE10" s="1535">
        <f t="shared" si="10"/>
        <v>1.1631328007851544E-2</v>
      </c>
      <c r="AF10" s="1633">
        <f t="shared" si="11"/>
        <v>0.38714329709465589</v>
      </c>
    </row>
    <row r="11" spans="1:32">
      <c r="A11" s="767" t="s">
        <v>22</v>
      </c>
      <c r="B11" s="618" t="s">
        <v>23</v>
      </c>
      <c r="C11" s="768" t="s">
        <v>265</v>
      </c>
      <c r="D11" s="818">
        <f>'Administration LASER'!D10+'Other Oper Exp. LASER'!D10</f>
        <v>602274.28999999992</v>
      </c>
      <c r="E11" s="819">
        <f>'Administration LASER'!E10+'Other Oper Exp. LASER'!E10</f>
        <v>295619.68</v>
      </c>
      <c r="F11" s="819">
        <f>'Administration LASER'!K10+'Other Oper Exp. LASER'!K10</f>
        <v>311738.78999999998</v>
      </c>
      <c r="G11" s="820">
        <f>'Administration LASER'!I10+'Other Oper Exp. LASER'!I10</f>
        <v>1209632.7599999998</v>
      </c>
      <c r="H11" s="818">
        <f>'Client Services LASER'!D11</f>
        <v>32058.51</v>
      </c>
      <c r="I11" s="819">
        <f>'Client Services LASER'!E11</f>
        <v>29405.13</v>
      </c>
      <c r="J11" s="819">
        <f>'Client Services LASER'!K11</f>
        <v>11193.47</v>
      </c>
      <c r="K11" s="820">
        <f>'Client Services LASER'!I11</f>
        <v>72657.11</v>
      </c>
      <c r="L11" s="818">
        <f>'Benefits Spending LASER'!D11</f>
        <v>14805973.542799998</v>
      </c>
      <c r="M11" s="819">
        <f>'Benefits Spending LASER'!E11</f>
        <v>11433573.861401251</v>
      </c>
      <c r="N11" s="819">
        <f>'Benefits Spending LASER'!I11</f>
        <v>326837.60569875006</v>
      </c>
      <c r="O11" s="820">
        <f t="shared" si="0"/>
        <v>26566385.009899996</v>
      </c>
      <c r="P11" s="1622">
        <f t="shared" si="12"/>
        <v>15440306.342799999</v>
      </c>
      <c r="Q11" s="819">
        <f t="shared" si="13"/>
        <v>11758598.671401251</v>
      </c>
      <c r="R11" s="819">
        <f t="shared" si="14"/>
        <v>649769.86569875001</v>
      </c>
      <c r="S11" s="820">
        <f t="shared" si="15"/>
        <v>27848674.879899997</v>
      </c>
      <c r="U11" s="653">
        <f t="shared" si="2"/>
        <v>0.49789846134788879</v>
      </c>
      <c r="V11" s="654">
        <f t="shared" si="3"/>
        <v>0.24438795787905088</v>
      </c>
      <c r="W11" s="654">
        <f t="shared" si="4"/>
        <v>0.25771358077306045</v>
      </c>
      <c r="X11" s="655">
        <f t="shared" si="5"/>
        <v>0.74228641922693972</v>
      </c>
      <c r="Z11" s="1631">
        <f t="shared" si="6"/>
        <v>4.3435918054149925E-2</v>
      </c>
      <c r="AA11" s="1535">
        <f t="shared" si="7"/>
        <v>2.6089970281652736E-3</v>
      </c>
      <c r="AB11" s="1633">
        <f t="shared" si="8"/>
        <v>0.95395508491768477</v>
      </c>
      <c r="AD11" s="1631">
        <f t="shared" si="9"/>
        <v>0.47976800165203426</v>
      </c>
      <c r="AE11" s="1535">
        <f t="shared" si="10"/>
        <v>1.7226822281089869E-2</v>
      </c>
      <c r="AF11" s="1633">
        <f t="shared" si="11"/>
        <v>0.50300517606687589</v>
      </c>
    </row>
    <row r="12" spans="1:32">
      <c r="A12" s="767" t="s">
        <v>24</v>
      </c>
      <c r="B12" s="618" t="s">
        <v>25</v>
      </c>
      <c r="C12" s="768" t="s">
        <v>267</v>
      </c>
      <c r="D12" s="818">
        <f>'Administration LASER'!D11+'Other Oper Exp. LASER'!D11</f>
        <v>7143824.6799999997</v>
      </c>
      <c r="E12" s="819">
        <f>'Administration LASER'!E11+'Other Oper Exp. LASER'!E11</f>
        <v>2309908.02</v>
      </c>
      <c r="F12" s="819">
        <f>'Administration LASER'!K11+'Other Oper Exp. LASER'!K11</f>
        <v>8512598.4900000002</v>
      </c>
      <c r="G12" s="820">
        <f>'Administration LASER'!I11+'Other Oper Exp. LASER'!I11</f>
        <v>17966331.190000001</v>
      </c>
      <c r="H12" s="818">
        <f>'Client Services LASER'!D12</f>
        <v>190224.06</v>
      </c>
      <c r="I12" s="819">
        <f>'Client Services LASER'!E12</f>
        <v>63152.479999999996</v>
      </c>
      <c r="J12" s="819">
        <f>'Client Services LASER'!K12</f>
        <v>1017432.3900000001</v>
      </c>
      <c r="K12" s="820">
        <f>'Client Services LASER'!I12</f>
        <v>1270808.9300000002</v>
      </c>
      <c r="L12" s="818">
        <f>'Benefits Spending LASER'!D12</f>
        <v>62462629.755630009</v>
      </c>
      <c r="M12" s="819">
        <f>'Benefits Spending LASER'!E12</f>
        <v>51770931.87323676</v>
      </c>
      <c r="N12" s="819">
        <f>'Benefits Spending LASER'!I12</f>
        <v>4236302.4407332502</v>
      </c>
      <c r="O12" s="820">
        <f t="shared" si="0"/>
        <v>118469864.06960002</v>
      </c>
      <c r="P12" s="1622">
        <f t="shared" si="12"/>
        <v>69796678.495630011</v>
      </c>
      <c r="Q12" s="819">
        <f t="shared" si="13"/>
        <v>54143992.37323676</v>
      </c>
      <c r="R12" s="819">
        <f t="shared" si="14"/>
        <v>13766333.320733251</v>
      </c>
      <c r="S12" s="820">
        <f t="shared" si="15"/>
        <v>137707004.18960002</v>
      </c>
      <c r="U12" s="653">
        <f t="shared" si="2"/>
        <v>0.39762289832307157</v>
      </c>
      <c r="V12" s="654">
        <f t="shared" si="3"/>
        <v>0.12856870974780243</v>
      </c>
      <c r="W12" s="654">
        <f t="shared" si="4"/>
        <v>0.47380839192912594</v>
      </c>
      <c r="X12" s="655">
        <f t="shared" si="5"/>
        <v>0.52619160807087395</v>
      </c>
      <c r="Z12" s="1631">
        <f t="shared" si="6"/>
        <v>0.13046780950417963</v>
      </c>
      <c r="AA12" s="1535">
        <f t="shared" si="7"/>
        <v>9.2283536155525116E-3</v>
      </c>
      <c r="AB12" s="1633">
        <f t="shared" si="8"/>
        <v>0.86030383688026779</v>
      </c>
      <c r="AD12" s="1631">
        <f t="shared" si="9"/>
        <v>0.61836353164421165</v>
      </c>
      <c r="AE12" s="1535">
        <f t="shared" si="10"/>
        <v>7.3907290074668008E-2</v>
      </c>
      <c r="AF12" s="1633">
        <f t="shared" si="11"/>
        <v>0.30772917828112034</v>
      </c>
    </row>
    <row r="13" spans="1:32">
      <c r="A13" s="767" t="s">
        <v>26</v>
      </c>
      <c r="B13" s="618" t="s">
        <v>298</v>
      </c>
      <c r="C13" s="768" t="s">
        <v>265</v>
      </c>
      <c r="D13" s="818">
        <f>'Administration LASER'!D12+'Other Oper Exp. LASER'!D12</f>
        <v>3830921.9099999997</v>
      </c>
      <c r="E13" s="819">
        <f>'Administration LASER'!E12+'Other Oper Exp. LASER'!E12</f>
        <v>1682423.3</v>
      </c>
      <c r="F13" s="819">
        <f>'Administration LASER'!K12+'Other Oper Exp. LASER'!K12</f>
        <v>2625621.38</v>
      </c>
      <c r="G13" s="820">
        <f>'Administration LASER'!I12+'Other Oper Exp. LASER'!I12</f>
        <v>8138966.5899999989</v>
      </c>
      <c r="H13" s="818">
        <f>'Client Services LASER'!D13</f>
        <v>198413.16</v>
      </c>
      <c r="I13" s="819">
        <f>'Client Services LASER'!E13</f>
        <v>276798.05000000005</v>
      </c>
      <c r="J13" s="819">
        <f>'Client Services LASER'!K13</f>
        <v>88712.14</v>
      </c>
      <c r="K13" s="820">
        <f>'Client Services LASER'!I13</f>
        <v>563923.35000000009</v>
      </c>
      <c r="L13" s="818">
        <f>'Benefits Spending LASER'!D13</f>
        <v>83463267.099483013</v>
      </c>
      <c r="M13" s="819">
        <f>'Benefits Spending LASER'!E13</f>
        <v>66783418.744234748</v>
      </c>
      <c r="N13" s="819">
        <f>'Benefits Spending LASER'!I13</f>
        <v>2949089.1757822502</v>
      </c>
      <c r="O13" s="820">
        <f t="shared" si="0"/>
        <v>153195775.01950002</v>
      </c>
      <c r="P13" s="1622">
        <f t="shared" si="12"/>
        <v>87492602.169483006</v>
      </c>
      <c r="Q13" s="819">
        <f t="shared" si="13"/>
        <v>68742640.09423475</v>
      </c>
      <c r="R13" s="819">
        <f t="shared" si="14"/>
        <v>5663422.6957822498</v>
      </c>
      <c r="S13" s="820">
        <f t="shared" si="15"/>
        <v>161898664.95950001</v>
      </c>
      <c r="U13" s="653">
        <f t="shared" si="2"/>
        <v>0.47068898337866261</v>
      </c>
      <c r="V13" s="654">
        <f t="shared" si="3"/>
        <v>0.20671215213822378</v>
      </c>
      <c r="W13" s="654">
        <f t="shared" si="4"/>
        <v>0.3225988644831137</v>
      </c>
      <c r="X13" s="655">
        <f t="shared" si="5"/>
        <v>0.67740113551688641</v>
      </c>
      <c r="Z13" s="1631">
        <f t="shared" si="6"/>
        <v>5.0271980884067285E-2</v>
      </c>
      <c r="AA13" s="1535">
        <f t="shared" si="7"/>
        <v>3.4831871537734367E-3</v>
      </c>
      <c r="AB13" s="1633">
        <f t="shared" si="8"/>
        <v>0.94624483196215925</v>
      </c>
      <c r="AD13" s="1631">
        <f t="shared" si="9"/>
        <v>0.46361035031967374</v>
      </c>
      <c r="AE13" s="1535">
        <f t="shared" si="10"/>
        <v>1.566405065722307E-2</v>
      </c>
      <c r="AF13" s="1633">
        <f t="shared" si="11"/>
        <v>0.52072559902310322</v>
      </c>
    </row>
    <row r="14" spans="1:32">
      <c r="A14" s="767" t="s">
        <v>27</v>
      </c>
      <c r="B14" s="618" t="s">
        <v>28</v>
      </c>
      <c r="C14" s="768" t="s">
        <v>265</v>
      </c>
      <c r="D14" s="818">
        <f>'Administration LASER'!D13+'Other Oper Exp. LASER'!D13</f>
        <v>230712.61000000002</v>
      </c>
      <c r="E14" s="819">
        <f>'Administration LASER'!E13+'Other Oper Exp. LASER'!E13</f>
        <v>105378.14</v>
      </c>
      <c r="F14" s="819">
        <f>'Administration LASER'!K13+'Other Oper Exp. LASER'!K13</f>
        <v>157055.51</v>
      </c>
      <c r="G14" s="820">
        <f>'Administration LASER'!I13+'Other Oper Exp. LASER'!I13</f>
        <v>493146.26000000007</v>
      </c>
      <c r="H14" s="818">
        <f>'Client Services LASER'!D14</f>
        <v>10461.080000000002</v>
      </c>
      <c r="I14" s="819">
        <f>'Client Services LASER'!E14</f>
        <v>1193.92</v>
      </c>
      <c r="J14" s="819">
        <f>'Client Services LASER'!K14</f>
        <v>2207.38</v>
      </c>
      <c r="K14" s="820">
        <f>'Client Services LASER'!I14</f>
        <v>13862.380000000001</v>
      </c>
      <c r="L14" s="818">
        <f>'Benefits Spending LASER'!D14</f>
        <v>2509825.4035</v>
      </c>
      <c r="M14" s="819">
        <f>'Benefits Spending LASER'!E14</f>
        <v>1975792.4898000003</v>
      </c>
      <c r="N14" s="819">
        <f>'Benefits Spending LASER'!I14</f>
        <v>51202.096699999995</v>
      </c>
      <c r="O14" s="820">
        <f t="shared" si="0"/>
        <v>4536819.99</v>
      </c>
      <c r="P14" s="1622">
        <f t="shared" si="12"/>
        <v>2750999.0935</v>
      </c>
      <c r="Q14" s="819">
        <f t="shared" si="13"/>
        <v>2082364.5498000004</v>
      </c>
      <c r="R14" s="819">
        <f t="shared" si="14"/>
        <v>210464.98670000001</v>
      </c>
      <c r="S14" s="820">
        <f t="shared" si="15"/>
        <v>5043828.63</v>
      </c>
      <c r="U14" s="653">
        <f t="shared" si="2"/>
        <v>0.46783810141843107</v>
      </c>
      <c r="V14" s="654">
        <f t="shared" si="3"/>
        <v>0.21368536790687612</v>
      </c>
      <c r="W14" s="654">
        <f t="shared" si="4"/>
        <v>0.31847653067469273</v>
      </c>
      <c r="X14" s="655">
        <f t="shared" si="5"/>
        <v>0.68152346932530716</v>
      </c>
      <c r="Z14" s="1631">
        <f t="shared" si="6"/>
        <v>9.7772207617608936E-2</v>
      </c>
      <c r="AA14" s="1535">
        <f t="shared" si="7"/>
        <v>2.7483844152730464E-3</v>
      </c>
      <c r="AB14" s="1633">
        <f t="shared" si="8"/>
        <v>0.89947940796711812</v>
      </c>
      <c r="AD14" s="1631">
        <f t="shared" si="9"/>
        <v>0.74623105943920887</v>
      </c>
      <c r="AE14" s="1535">
        <f t="shared" si="10"/>
        <v>1.0488110324718443E-2</v>
      </c>
      <c r="AF14" s="1633">
        <f t="shared" si="11"/>
        <v>0.24328083023607266</v>
      </c>
    </row>
    <row r="15" spans="1:32">
      <c r="A15" s="767" t="s">
        <v>29</v>
      </c>
      <c r="B15" s="618" t="s">
        <v>1012</v>
      </c>
      <c r="C15" s="768" t="s">
        <v>265</v>
      </c>
      <c r="D15" s="818">
        <f>'Administration LASER'!D14+'Other Oper Exp. LASER'!D14</f>
        <v>1943923.0399999998</v>
      </c>
      <c r="E15" s="819">
        <f>'Administration LASER'!E14+'Other Oper Exp. LASER'!E14</f>
        <v>649607.6</v>
      </c>
      <c r="F15" s="819">
        <f>'Administration LASER'!K14+'Other Oper Exp. LASER'!K14</f>
        <v>2209203.09</v>
      </c>
      <c r="G15" s="820">
        <f>'Administration LASER'!I14+'Other Oper Exp. LASER'!I14</f>
        <v>4802733.7300000004</v>
      </c>
      <c r="H15" s="818">
        <f>'Client Services LASER'!D15</f>
        <v>103717.70999999999</v>
      </c>
      <c r="I15" s="819">
        <f>'Client Services LASER'!E15</f>
        <v>110665</v>
      </c>
      <c r="J15" s="819">
        <f>'Client Services LASER'!K15</f>
        <v>40303.630000000005</v>
      </c>
      <c r="K15" s="820">
        <f>'Client Services LASER'!I15</f>
        <v>254686.34</v>
      </c>
      <c r="L15" s="818">
        <f>'Benefits Spending LASER'!D15</f>
        <v>42728412.924259998</v>
      </c>
      <c r="M15" s="819">
        <f>'Benefits Spending LASER'!E15</f>
        <v>33436230.620988004</v>
      </c>
      <c r="N15" s="819">
        <f>'Benefits Spending LASER'!I15</f>
        <v>517297.34445200005</v>
      </c>
      <c r="O15" s="820">
        <f t="shared" si="0"/>
        <v>76681940.889699996</v>
      </c>
      <c r="P15" s="1622">
        <f t="shared" si="12"/>
        <v>44776053.674259998</v>
      </c>
      <c r="Q15" s="819">
        <f t="shared" si="13"/>
        <v>34196503.220988005</v>
      </c>
      <c r="R15" s="819">
        <f t="shared" si="14"/>
        <v>2766804.064452</v>
      </c>
      <c r="S15" s="820">
        <f t="shared" si="15"/>
        <v>81739360.959699988</v>
      </c>
      <c r="U15" s="653">
        <f t="shared" si="2"/>
        <v>0.40475344861560741</v>
      </c>
      <c r="V15" s="654">
        <f t="shared" si="3"/>
        <v>0.13525788363870006</v>
      </c>
      <c r="W15" s="654">
        <f t="shared" si="4"/>
        <v>0.45998866774569236</v>
      </c>
      <c r="X15" s="655">
        <f t="shared" si="5"/>
        <v>0.54001133225430742</v>
      </c>
      <c r="Z15" s="1631">
        <f t="shared" si="6"/>
        <v>5.8756683115835658E-2</v>
      </c>
      <c r="AA15" s="1535">
        <f t="shared" si="7"/>
        <v>3.1158347338385503E-3</v>
      </c>
      <c r="AB15" s="1633">
        <f t="shared" si="8"/>
        <v>0.93812748215032593</v>
      </c>
      <c r="AD15" s="1631">
        <f t="shared" si="9"/>
        <v>0.7984674875911606</v>
      </c>
      <c r="AE15" s="1535">
        <f t="shared" si="10"/>
        <v>1.4566853691528981E-2</v>
      </c>
      <c r="AF15" s="1633">
        <f t="shared" si="11"/>
        <v>0.18696565871731044</v>
      </c>
    </row>
    <row r="16" spans="1:32">
      <c r="A16" s="767" t="s">
        <v>30</v>
      </c>
      <c r="B16" s="618" t="s">
        <v>31</v>
      </c>
      <c r="C16" s="768" t="s">
        <v>268</v>
      </c>
      <c r="D16" s="818">
        <f>'Administration LASER'!D15+'Other Oper Exp. LASER'!D15</f>
        <v>358919.73</v>
      </c>
      <c r="E16" s="819">
        <f>'Administration LASER'!E15+'Other Oper Exp. LASER'!E15</f>
        <v>153311.37</v>
      </c>
      <c r="F16" s="819">
        <f>'Administration LASER'!K15+'Other Oper Exp. LASER'!K15</f>
        <v>272822.78000000003</v>
      </c>
      <c r="G16" s="820">
        <f>'Administration LASER'!I15+'Other Oper Exp. LASER'!I15</f>
        <v>785053.87999999989</v>
      </c>
      <c r="H16" s="818">
        <f>'Client Services LASER'!D16</f>
        <v>31578.170000000009</v>
      </c>
      <c r="I16" s="819">
        <f>'Client Services LASER'!E16</f>
        <v>5970.42</v>
      </c>
      <c r="J16" s="819">
        <f>'Client Services LASER'!K16</f>
        <v>8537.6200000000008</v>
      </c>
      <c r="K16" s="820">
        <f>'Client Services LASER'!I16</f>
        <v>46086.210000000014</v>
      </c>
      <c r="L16" s="818">
        <f>'Benefits Spending LASER'!D16</f>
        <v>4131706.5211999998</v>
      </c>
      <c r="M16" s="819">
        <f>'Benefits Spending LASER'!E16</f>
        <v>3571258.4613529998</v>
      </c>
      <c r="N16" s="819">
        <f>'Benefits Spending LASER'!I16</f>
        <v>105558.67744699998</v>
      </c>
      <c r="O16" s="820">
        <f t="shared" si="0"/>
        <v>7808523.6599999992</v>
      </c>
      <c r="P16" s="1622">
        <f t="shared" si="12"/>
        <v>4522204.4211999997</v>
      </c>
      <c r="Q16" s="819">
        <f t="shared" si="13"/>
        <v>3730540.2513529998</v>
      </c>
      <c r="R16" s="819">
        <f t="shared" si="14"/>
        <v>386919.07744700002</v>
      </c>
      <c r="S16" s="820">
        <f t="shared" si="15"/>
        <v>8639663.75</v>
      </c>
      <c r="U16" s="653">
        <f t="shared" si="2"/>
        <v>0.45719120578067846</v>
      </c>
      <c r="V16" s="654">
        <f t="shared" si="3"/>
        <v>0.19528770432928758</v>
      </c>
      <c r="W16" s="654">
        <f t="shared" si="4"/>
        <v>0.34752108989003411</v>
      </c>
      <c r="X16" s="655">
        <f t="shared" si="5"/>
        <v>0.65247891010996606</v>
      </c>
      <c r="Z16" s="1631">
        <f t="shared" si="6"/>
        <v>9.0866253909476502E-2</v>
      </c>
      <c r="AA16" s="1535">
        <f t="shared" si="7"/>
        <v>5.3342596811131703E-3</v>
      </c>
      <c r="AB16" s="1633">
        <f t="shared" si="8"/>
        <v>0.90379948640941021</v>
      </c>
      <c r="AD16" s="1631">
        <f t="shared" si="9"/>
        <v>0.70511586505416279</v>
      </c>
      <c r="AE16" s="1535">
        <f t="shared" si="10"/>
        <v>2.2065647567273236E-2</v>
      </c>
      <c r="AF16" s="1633">
        <f t="shared" si="11"/>
        <v>0.27281848737856396</v>
      </c>
    </row>
    <row r="17" spans="1:32">
      <c r="A17" s="767" t="s">
        <v>32</v>
      </c>
      <c r="B17" s="618" t="s">
        <v>33</v>
      </c>
      <c r="C17" s="768" t="s">
        <v>265</v>
      </c>
      <c r="D17" s="818">
        <f>'Administration LASER'!D16+'Other Oper Exp. LASER'!D16</f>
        <v>529584.83000000007</v>
      </c>
      <c r="E17" s="819">
        <f>'Administration LASER'!E16+'Other Oper Exp. LASER'!E16</f>
        <v>253725.18</v>
      </c>
      <c r="F17" s="819">
        <f>'Administration LASER'!K16+'Other Oper Exp. LASER'!K16</f>
        <v>315532.17</v>
      </c>
      <c r="G17" s="820">
        <f>'Administration LASER'!I16+'Other Oper Exp. LASER'!I16</f>
        <v>1098842.1800000002</v>
      </c>
      <c r="H17" s="818">
        <f>'Client Services LASER'!D17</f>
        <v>43925.770000000004</v>
      </c>
      <c r="I17" s="819">
        <f>'Client Services LASER'!E17</f>
        <v>10413.76</v>
      </c>
      <c r="J17" s="819">
        <f>'Client Services LASER'!K17</f>
        <v>9042.4599999999991</v>
      </c>
      <c r="K17" s="820">
        <f>'Client Services LASER'!I17</f>
        <v>63381.990000000005</v>
      </c>
      <c r="L17" s="818">
        <f>'Benefits Spending LASER'!D17</f>
        <v>14095736.532046</v>
      </c>
      <c r="M17" s="819">
        <f>'Benefits Spending LASER'!E17</f>
        <v>12010564.578182751</v>
      </c>
      <c r="N17" s="819">
        <f>'Benefits Spending LASER'!I17</f>
        <v>471400.75967125001</v>
      </c>
      <c r="O17" s="820">
        <f t="shared" si="0"/>
        <v>26577701.869899999</v>
      </c>
      <c r="P17" s="1622">
        <f t="shared" si="12"/>
        <v>14669247.132045999</v>
      </c>
      <c r="Q17" s="819">
        <f t="shared" si="13"/>
        <v>12274703.518182751</v>
      </c>
      <c r="R17" s="819">
        <f t="shared" si="14"/>
        <v>795975.38967125001</v>
      </c>
      <c r="S17" s="820">
        <f t="shared" si="15"/>
        <v>27739926.039900001</v>
      </c>
      <c r="U17" s="653">
        <f t="shared" si="2"/>
        <v>0.48194803552226217</v>
      </c>
      <c r="V17" s="654">
        <f t="shared" si="3"/>
        <v>0.23090229390357034</v>
      </c>
      <c r="W17" s="654">
        <f t="shared" si="4"/>
        <v>0.2871496705741674</v>
      </c>
      <c r="X17" s="655">
        <f t="shared" si="5"/>
        <v>0.71285032942583249</v>
      </c>
      <c r="Z17" s="1631">
        <f t="shared" si="6"/>
        <v>3.9612296673735524E-2</v>
      </c>
      <c r="AA17" s="1535">
        <f t="shared" si="7"/>
        <v>2.2848651401894109E-3</v>
      </c>
      <c r="AB17" s="1633">
        <f t="shared" si="8"/>
        <v>0.958102838186075</v>
      </c>
      <c r="AD17" s="1631">
        <f t="shared" si="9"/>
        <v>0.39640945448114873</v>
      </c>
      <c r="AE17" s="1535">
        <f t="shared" si="10"/>
        <v>1.1360225601616494E-2</v>
      </c>
      <c r="AF17" s="1633">
        <f t="shared" si="11"/>
        <v>0.59223031991723474</v>
      </c>
    </row>
    <row r="18" spans="1:32">
      <c r="A18" s="767" t="s">
        <v>36</v>
      </c>
      <c r="B18" s="618" t="s">
        <v>37</v>
      </c>
      <c r="C18" s="768" t="s">
        <v>264</v>
      </c>
      <c r="D18" s="818">
        <f>'Administration LASER'!D17+'Other Oper Exp. LASER'!D17</f>
        <v>864796.51000000013</v>
      </c>
      <c r="E18" s="819">
        <f>'Administration LASER'!E17+'Other Oper Exp. LASER'!E17</f>
        <v>435524.59</v>
      </c>
      <c r="F18" s="819">
        <f>'Administration LASER'!K17+'Other Oper Exp. LASER'!K17</f>
        <v>378963.47</v>
      </c>
      <c r="G18" s="820">
        <f>'Administration LASER'!I17+'Other Oper Exp. LASER'!I17</f>
        <v>1679284.57</v>
      </c>
      <c r="H18" s="818">
        <f>'Client Services LASER'!D18</f>
        <v>70658.109999999986</v>
      </c>
      <c r="I18" s="819">
        <f>'Client Services LASER'!E18</f>
        <v>28252.239999999998</v>
      </c>
      <c r="J18" s="819">
        <f>'Client Services LASER'!K18</f>
        <v>19895.579999999998</v>
      </c>
      <c r="K18" s="820">
        <f>'Client Services LASER'!I18</f>
        <v>118805.92999999996</v>
      </c>
      <c r="L18" s="818">
        <f>'Benefits Spending LASER'!D18</f>
        <v>21000227.793099996</v>
      </c>
      <c r="M18" s="819">
        <f>'Benefits Spending LASER'!E18</f>
        <v>15394215.751662502</v>
      </c>
      <c r="N18" s="819">
        <f>'Benefits Spending LASER'!I18</f>
        <v>191405.59513750003</v>
      </c>
      <c r="O18" s="820">
        <f t="shared" si="0"/>
        <v>36585849.139899999</v>
      </c>
      <c r="P18" s="1622">
        <f t="shared" si="12"/>
        <v>21935682.413099997</v>
      </c>
      <c r="Q18" s="819">
        <f t="shared" si="13"/>
        <v>15857992.581662502</v>
      </c>
      <c r="R18" s="819">
        <f t="shared" si="14"/>
        <v>590264.64513750002</v>
      </c>
      <c r="S18" s="820">
        <f t="shared" si="15"/>
        <v>38383939.639899999</v>
      </c>
      <c r="U18" s="653">
        <f t="shared" si="2"/>
        <v>0.51497913185732425</v>
      </c>
      <c r="V18" s="654">
        <f t="shared" si="3"/>
        <v>0.2593512724290678</v>
      </c>
      <c r="W18" s="654">
        <f t="shared" si="4"/>
        <v>0.22566959571360795</v>
      </c>
      <c r="X18" s="655">
        <f t="shared" si="5"/>
        <v>0.7743304042863921</v>
      </c>
      <c r="Z18" s="1631">
        <f t="shared" si="6"/>
        <v>4.3749666807374521E-2</v>
      </c>
      <c r="AA18" s="1535">
        <f t="shared" si="7"/>
        <v>3.0951989585900016E-3</v>
      </c>
      <c r="AB18" s="1633">
        <f t="shared" si="8"/>
        <v>0.95315513423403553</v>
      </c>
      <c r="AD18" s="1631">
        <f t="shared" si="9"/>
        <v>0.64202298599761431</v>
      </c>
      <c r="AE18" s="1535">
        <f t="shared" si="10"/>
        <v>3.3706203080086893E-2</v>
      </c>
      <c r="AF18" s="1633">
        <f t="shared" si="11"/>
        <v>0.32427081092229876</v>
      </c>
    </row>
    <row r="19" spans="1:32">
      <c r="A19" s="767" t="s">
        <v>38</v>
      </c>
      <c r="B19" s="618" t="s">
        <v>39</v>
      </c>
      <c r="C19" s="768" t="s">
        <v>268</v>
      </c>
      <c r="D19" s="818">
        <f>'Administration LASER'!D18+'Other Oper Exp. LASER'!D18</f>
        <v>1957136.67</v>
      </c>
      <c r="E19" s="819">
        <f>'Administration LASER'!E18+'Other Oper Exp. LASER'!E18</f>
        <v>892326.66</v>
      </c>
      <c r="F19" s="819">
        <f>'Administration LASER'!K18+'Other Oper Exp. LASER'!K18</f>
        <v>1266610.77</v>
      </c>
      <c r="G19" s="820">
        <f>'Administration LASER'!I18+'Other Oper Exp. LASER'!I18</f>
        <v>4116074.0999999996</v>
      </c>
      <c r="H19" s="818">
        <f>'Client Services LASER'!D19</f>
        <v>110700.78999999998</v>
      </c>
      <c r="I19" s="819">
        <f>'Client Services LASER'!E19</f>
        <v>43717.71</v>
      </c>
      <c r="J19" s="819">
        <f>'Client Services LASER'!K19</f>
        <v>28066.710000000003</v>
      </c>
      <c r="K19" s="820">
        <f>'Client Services LASER'!I19</f>
        <v>182485.20999999996</v>
      </c>
      <c r="L19" s="818">
        <f>'Benefits Spending LASER'!D19</f>
        <v>26081978.358999997</v>
      </c>
      <c r="M19" s="819">
        <f>'Benefits Spending LASER'!E19</f>
        <v>19374278.3299575</v>
      </c>
      <c r="N19" s="819">
        <f>'Benefits Spending LASER'!I19</f>
        <v>479704.50084249995</v>
      </c>
      <c r="O19" s="820">
        <f t="shared" si="0"/>
        <v>45935961.189799994</v>
      </c>
      <c r="P19" s="1622">
        <f t="shared" si="12"/>
        <v>28149815.818999998</v>
      </c>
      <c r="Q19" s="819">
        <f t="shared" si="13"/>
        <v>20310322.699957501</v>
      </c>
      <c r="R19" s="819">
        <f t="shared" si="14"/>
        <v>1774381.9808425</v>
      </c>
      <c r="S19" s="820">
        <f t="shared" si="15"/>
        <v>50234520.499799997</v>
      </c>
      <c r="U19" s="653">
        <f t="shared" si="2"/>
        <v>0.47548625764536168</v>
      </c>
      <c r="V19" s="654">
        <f t="shared" si="3"/>
        <v>0.21679071812628448</v>
      </c>
      <c r="W19" s="654">
        <f t="shared" si="4"/>
        <v>0.30772302422835396</v>
      </c>
      <c r="X19" s="655">
        <f t="shared" si="5"/>
        <v>0.69227697577164615</v>
      </c>
      <c r="Z19" s="1631">
        <f t="shared" si="6"/>
        <v>8.1937163111099817E-2</v>
      </c>
      <c r="AA19" s="1535">
        <f t="shared" si="7"/>
        <v>3.6326655093826665E-3</v>
      </c>
      <c r="AB19" s="1633">
        <f t="shared" si="8"/>
        <v>0.91443017137951743</v>
      </c>
      <c r="AD19" s="1631">
        <f t="shared" si="9"/>
        <v>0.71383207430825946</v>
      </c>
      <c r="AE19" s="1535">
        <f t="shared" si="10"/>
        <v>1.5817738403020504E-2</v>
      </c>
      <c r="AF19" s="1633">
        <f t="shared" si="11"/>
        <v>0.27035018728872007</v>
      </c>
    </row>
    <row r="20" spans="1:32">
      <c r="A20" s="767" t="s">
        <v>40</v>
      </c>
      <c r="B20" s="618" t="s">
        <v>41</v>
      </c>
      <c r="C20" s="768" t="s">
        <v>266</v>
      </c>
      <c r="D20" s="818">
        <f>'Administration LASER'!D19+'Other Oper Exp. LASER'!D19</f>
        <v>654766.34</v>
      </c>
      <c r="E20" s="819">
        <f>'Administration LASER'!E19+'Other Oper Exp. LASER'!E19</f>
        <v>303334.06</v>
      </c>
      <c r="F20" s="819">
        <f>'Administration LASER'!K19+'Other Oper Exp. LASER'!K19</f>
        <v>418344.64</v>
      </c>
      <c r="G20" s="820">
        <f>'Administration LASER'!I19+'Other Oper Exp. LASER'!I19</f>
        <v>1376445.04</v>
      </c>
      <c r="H20" s="818">
        <f>'Client Services LASER'!D20</f>
        <v>33444.449999999997</v>
      </c>
      <c r="I20" s="819">
        <f>'Client Services LASER'!E20</f>
        <v>24639.599999999999</v>
      </c>
      <c r="J20" s="819">
        <f>'Client Services LASER'!K20</f>
        <v>11761.08</v>
      </c>
      <c r="K20" s="820">
        <f>'Client Services LASER'!I20</f>
        <v>69845.12999999999</v>
      </c>
      <c r="L20" s="818">
        <f>'Benefits Spending LASER'!D20</f>
        <v>15857098.033143003</v>
      </c>
      <c r="M20" s="819">
        <f>'Benefits Spending LASER'!E20</f>
        <v>11813809.448869314</v>
      </c>
      <c r="N20" s="819">
        <f>'Benefits Spending LASER'!I20</f>
        <v>335230.95788768755</v>
      </c>
      <c r="O20" s="820">
        <f t="shared" si="0"/>
        <v>28006138.439900003</v>
      </c>
      <c r="P20" s="1622">
        <f t="shared" si="12"/>
        <v>16545308.823143002</v>
      </c>
      <c r="Q20" s="819">
        <f t="shared" si="13"/>
        <v>12141783.108869314</v>
      </c>
      <c r="R20" s="819">
        <f t="shared" si="14"/>
        <v>765336.67788768758</v>
      </c>
      <c r="S20" s="820">
        <f t="shared" si="15"/>
        <v>29452428.609900005</v>
      </c>
      <c r="U20" s="653">
        <f t="shared" si="2"/>
        <v>0.47569377706501087</v>
      </c>
      <c r="V20" s="654">
        <f t="shared" si="3"/>
        <v>0.22037498860107047</v>
      </c>
      <c r="W20" s="654">
        <f t="shared" si="4"/>
        <v>0.30393123433391861</v>
      </c>
      <c r="X20" s="655">
        <f t="shared" si="5"/>
        <v>0.69606876566608133</v>
      </c>
      <c r="Z20" s="1631">
        <f t="shared" si="6"/>
        <v>4.6734517490259801E-2</v>
      </c>
      <c r="AA20" s="1535">
        <f t="shared" si="7"/>
        <v>2.3714557099893136E-3</v>
      </c>
      <c r="AB20" s="1633">
        <f t="shared" si="8"/>
        <v>0.95089402679975077</v>
      </c>
      <c r="AD20" s="1631">
        <f t="shared" si="9"/>
        <v>0.54661517223324774</v>
      </c>
      <c r="AE20" s="1535">
        <f t="shared" si="10"/>
        <v>1.5367197652751104E-2</v>
      </c>
      <c r="AF20" s="1633">
        <f t="shared" si="11"/>
        <v>0.43801763011400113</v>
      </c>
    </row>
    <row r="21" spans="1:32">
      <c r="A21" s="767" t="s">
        <v>42</v>
      </c>
      <c r="B21" s="618" t="s">
        <v>43</v>
      </c>
      <c r="C21" s="768" t="s">
        <v>265</v>
      </c>
      <c r="D21" s="818">
        <f>'Administration LASER'!D20+'Other Oper Exp. LASER'!D20</f>
        <v>2122657.71</v>
      </c>
      <c r="E21" s="819">
        <f>'Administration LASER'!E20+'Other Oper Exp. LASER'!E20</f>
        <v>970877.19</v>
      </c>
      <c r="F21" s="819">
        <f>'Administration LASER'!K20+'Other Oper Exp. LASER'!K20</f>
        <v>1455484.2799999998</v>
      </c>
      <c r="G21" s="820">
        <f>'Administration LASER'!I20+'Other Oper Exp. LASER'!I20</f>
        <v>4549019.1800000006</v>
      </c>
      <c r="H21" s="818">
        <f>'Client Services LASER'!D21</f>
        <v>161373.93</v>
      </c>
      <c r="I21" s="819">
        <f>'Client Services LASER'!E21</f>
        <v>134362.9</v>
      </c>
      <c r="J21" s="819">
        <f>'Client Services LASER'!K21</f>
        <v>127097.16</v>
      </c>
      <c r="K21" s="820">
        <f>'Client Services LASER'!I21</f>
        <v>422833.99</v>
      </c>
      <c r="L21" s="818">
        <f>'Benefits Spending LASER'!D21</f>
        <v>46061679.752217993</v>
      </c>
      <c r="M21" s="819">
        <f>'Benefits Spending LASER'!E21</f>
        <v>35273991.702908874</v>
      </c>
      <c r="N21" s="819">
        <f>'Benefits Spending LASER'!I21</f>
        <v>797202.43457312498</v>
      </c>
      <c r="O21" s="820">
        <f t="shared" si="0"/>
        <v>82132873.889699996</v>
      </c>
      <c r="P21" s="1622">
        <f t="shared" si="12"/>
        <v>48345711.392217994</v>
      </c>
      <c r="Q21" s="819">
        <f t="shared" si="13"/>
        <v>36379231.792908877</v>
      </c>
      <c r="R21" s="819">
        <f t="shared" si="14"/>
        <v>2379783.8745731246</v>
      </c>
      <c r="S21" s="820">
        <f t="shared" si="15"/>
        <v>87104727.059699997</v>
      </c>
      <c r="U21" s="653">
        <f t="shared" si="2"/>
        <v>0.46661876461905788</v>
      </c>
      <c r="V21" s="654">
        <f t="shared" si="3"/>
        <v>0.21342560925408097</v>
      </c>
      <c r="W21" s="654">
        <f t="shared" si="4"/>
        <v>0.31995562612686096</v>
      </c>
      <c r="X21" s="655">
        <f t="shared" si="5"/>
        <v>0.68004437387313887</v>
      </c>
      <c r="Z21" s="1631">
        <f t="shared" si="6"/>
        <v>5.22247107999338E-2</v>
      </c>
      <c r="AA21" s="1535">
        <f t="shared" si="7"/>
        <v>4.8543173748790613E-3</v>
      </c>
      <c r="AB21" s="1633">
        <f t="shared" si="8"/>
        <v>0.94292097182518708</v>
      </c>
      <c r="AD21" s="1631">
        <f t="shared" si="9"/>
        <v>0.61160355591579862</v>
      </c>
      <c r="AE21" s="1535">
        <f t="shared" si="10"/>
        <v>5.3407017905270138E-2</v>
      </c>
      <c r="AF21" s="1633">
        <f t="shared" si="11"/>
        <v>0.33498942617893135</v>
      </c>
    </row>
    <row r="22" spans="1:32">
      <c r="A22" s="767" t="s">
        <v>44</v>
      </c>
      <c r="B22" s="618" t="s">
        <v>45</v>
      </c>
      <c r="C22" s="768" t="s">
        <v>266</v>
      </c>
      <c r="D22" s="818">
        <f>'Administration LASER'!D21+'Other Oper Exp. LASER'!D21</f>
        <v>985128.87</v>
      </c>
      <c r="E22" s="819">
        <f>'Administration LASER'!E21+'Other Oper Exp. LASER'!E21</f>
        <v>402023.25</v>
      </c>
      <c r="F22" s="819">
        <f>'Administration LASER'!K21+'Other Oper Exp. LASER'!K21</f>
        <v>781497.79</v>
      </c>
      <c r="G22" s="820">
        <f>'Administration LASER'!I21+'Other Oper Exp. LASER'!I21</f>
        <v>2168649.91</v>
      </c>
      <c r="H22" s="818">
        <f>'Client Services LASER'!D22</f>
        <v>65629.279999999999</v>
      </c>
      <c r="I22" s="819">
        <f>'Client Services LASER'!E22</f>
        <v>58888.26</v>
      </c>
      <c r="J22" s="819">
        <f>'Client Services LASER'!K22</f>
        <v>23414.600000000002</v>
      </c>
      <c r="K22" s="820">
        <f>'Client Services LASER'!I22</f>
        <v>147932.14000000001</v>
      </c>
      <c r="L22" s="818">
        <f>'Benefits Spending LASER'!D22</f>
        <v>23068459.986299999</v>
      </c>
      <c r="M22" s="819">
        <f>'Benefits Spending LASER'!E22</f>
        <v>16202794.230791003</v>
      </c>
      <c r="N22" s="819">
        <f>'Benefits Spending LASER'!I22</f>
        <v>861521.20280900004</v>
      </c>
      <c r="O22" s="820">
        <f t="shared" si="0"/>
        <v>40132775.4199</v>
      </c>
      <c r="P22" s="1622">
        <f t="shared" si="12"/>
        <v>24119218.136299998</v>
      </c>
      <c r="Q22" s="819">
        <f t="shared" si="13"/>
        <v>16663705.740791002</v>
      </c>
      <c r="R22" s="819">
        <f t="shared" si="14"/>
        <v>1666433.5928090001</v>
      </c>
      <c r="S22" s="820">
        <f t="shared" si="15"/>
        <v>42449357.469899997</v>
      </c>
      <c r="U22" s="653">
        <f t="shared" si="2"/>
        <v>0.45425906019104756</v>
      </c>
      <c r="V22" s="654">
        <f t="shared" si="3"/>
        <v>0.18537950645985085</v>
      </c>
      <c r="W22" s="654">
        <f t="shared" si="4"/>
        <v>0.36036143334910153</v>
      </c>
      <c r="X22" s="655">
        <f t="shared" si="5"/>
        <v>0.63963856665089847</v>
      </c>
      <c r="Z22" s="1631">
        <f t="shared" si="6"/>
        <v>5.1087932521422665E-2</v>
      </c>
      <c r="AA22" s="1535">
        <f t="shared" si="7"/>
        <v>3.4849088141062153E-3</v>
      </c>
      <c r="AB22" s="1633">
        <f t="shared" si="8"/>
        <v>0.94542715866447125</v>
      </c>
      <c r="AD22" s="1631">
        <f t="shared" si="9"/>
        <v>0.46896425598495012</v>
      </c>
      <c r="AE22" s="1535">
        <f t="shared" si="10"/>
        <v>1.4050724913995232E-2</v>
      </c>
      <c r="AF22" s="1633">
        <f t="shared" si="11"/>
        <v>0.51698501910105465</v>
      </c>
    </row>
    <row r="23" spans="1:32">
      <c r="A23" s="767" t="s">
        <v>46</v>
      </c>
      <c r="B23" s="618" t="s">
        <v>47</v>
      </c>
      <c r="C23" s="768" t="s">
        <v>268</v>
      </c>
      <c r="D23" s="818">
        <f>'Administration LASER'!D22+'Other Oper Exp. LASER'!D22</f>
        <v>1080396.92</v>
      </c>
      <c r="E23" s="819">
        <f>'Administration LASER'!E22+'Other Oper Exp. LASER'!E22</f>
        <v>500075.66000000003</v>
      </c>
      <c r="F23" s="819">
        <f>'Administration LASER'!K22+'Other Oper Exp. LASER'!K22</f>
        <v>822124.61</v>
      </c>
      <c r="G23" s="820">
        <f>'Administration LASER'!I22+'Other Oper Exp. LASER'!I22</f>
        <v>2402597.19</v>
      </c>
      <c r="H23" s="818">
        <f>'Client Services LASER'!D23</f>
        <v>81479.67</v>
      </c>
      <c r="I23" s="819">
        <f>'Client Services LASER'!E23</f>
        <v>64878.49</v>
      </c>
      <c r="J23" s="819">
        <f>'Client Services LASER'!K23</f>
        <v>27469.54</v>
      </c>
      <c r="K23" s="820">
        <f>'Client Services LASER'!I23</f>
        <v>173827.7</v>
      </c>
      <c r="L23" s="818">
        <f>'Benefits Spending LASER'!D23</f>
        <v>29660606.672710001</v>
      </c>
      <c r="M23" s="819">
        <f>'Benefits Spending LASER'!E23</f>
        <v>22271835.322239999</v>
      </c>
      <c r="N23" s="819">
        <f>'Benefits Spending LASER'!I23</f>
        <v>552803.59484999999</v>
      </c>
      <c r="O23" s="820">
        <f t="shared" si="0"/>
        <v>52485245.5898</v>
      </c>
      <c r="P23" s="1622">
        <f t="shared" si="12"/>
        <v>30822483.262710001</v>
      </c>
      <c r="Q23" s="819">
        <f t="shared" si="13"/>
        <v>22836789.472239997</v>
      </c>
      <c r="R23" s="819">
        <f t="shared" si="14"/>
        <v>1402397.7448499999</v>
      </c>
      <c r="S23" s="820">
        <f t="shared" si="15"/>
        <v>55061670.479800001</v>
      </c>
      <c r="U23" s="653">
        <f t="shared" si="2"/>
        <v>0.44967875784454736</v>
      </c>
      <c r="V23" s="654">
        <f t="shared" si="3"/>
        <v>0.20813961744457049</v>
      </c>
      <c r="W23" s="654">
        <f t="shared" si="4"/>
        <v>0.34218162471088215</v>
      </c>
      <c r="X23" s="655">
        <f t="shared" si="5"/>
        <v>0.65781837528911791</v>
      </c>
      <c r="Z23" s="1631">
        <f t="shared" si="6"/>
        <v>4.3634658539490188E-2</v>
      </c>
      <c r="AA23" s="1535">
        <f t="shared" si="7"/>
        <v>3.156963791423122E-3</v>
      </c>
      <c r="AB23" s="1633">
        <f t="shared" si="8"/>
        <v>0.95320837766908673</v>
      </c>
      <c r="AD23" s="1631">
        <f t="shared" si="9"/>
        <v>0.58622784657139781</v>
      </c>
      <c r="AE23" s="1535">
        <f t="shared" si="10"/>
        <v>1.9587552889952869E-2</v>
      </c>
      <c r="AF23" s="1633">
        <f t="shared" si="11"/>
        <v>0.3941846005386494</v>
      </c>
    </row>
    <row r="24" spans="1:32">
      <c r="A24" s="767" t="s">
        <v>48</v>
      </c>
      <c r="B24" s="618" t="s">
        <v>269</v>
      </c>
      <c r="C24" s="768" t="s">
        <v>266</v>
      </c>
      <c r="D24" s="818">
        <f>'Administration LASER'!D23+'Other Oper Exp. LASER'!D23</f>
        <v>434136.04</v>
      </c>
      <c r="E24" s="819">
        <f>'Administration LASER'!E23+'Other Oper Exp. LASER'!E23</f>
        <v>199202.79</v>
      </c>
      <c r="F24" s="819">
        <f>'Administration LASER'!K23+'Other Oper Exp. LASER'!K23</f>
        <v>269648.26</v>
      </c>
      <c r="G24" s="820">
        <f>'Administration LASER'!I23+'Other Oper Exp. LASER'!I23</f>
        <v>902987.09</v>
      </c>
      <c r="H24" s="818">
        <f>'Client Services LASER'!D24</f>
        <v>25979.170000000002</v>
      </c>
      <c r="I24" s="819">
        <f>'Client Services LASER'!E24</f>
        <v>2329.17</v>
      </c>
      <c r="J24" s="819">
        <f>'Client Services LASER'!K24</f>
        <v>6335.5499999999993</v>
      </c>
      <c r="K24" s="820">
        <f>'Client Services LASER'!I24</f>
        <v>34643.890000000007</v>
      </c>
      <c r="L24" s="818">
        <f>'Benefits Spending LASER'!D24</f>
        <v>5381193.6517999992</v>
      </c>
      <c r="M24" s="819">
        <f>'Benefits Spending LASER'!E24</f>
        <v>3692740.8281999999</v>
      </c>
      <c r="N24" s="819">
        <f>'Benefits Spending LASER'!I24</f>
        <v>51386.020000000004</v>
      </c>
      <c r="O24" s="820">
        <f t="shared" si="0"/>
        <v>9125320.4999999981</v>
      </c>
      <c r="P24" s="1622">
        <f t="shared" si="12"/>
        <v>5841308.8617999991</v>
      </c>
      <c r="Q24" s="819">
        <f t="shared" si="13"/>
        <v>3894272.7881999998</v>
      </c>
      <c r="R24" s="819">
        <f t="shared" si="14"/>
        <v>327369.83</v>
      </c>
      <c r="S24" s="820">
        <f t="shared" si="15"/>
        <v>10062951.479999999</v>
      </c>
      <c r="U24" s="653">
        <f t="shared" si="2"/>
        <v>0.48077768199321652</v>
      </c>
      <c r="V24" s="654">
        <f t="shared" si="3"/>
        <v>0.2206042502778196</v>
      </c>
      <c r="W24" s="654">
        <f t="shared" si="4"/>
        <v>0.29861806772896388</v>
      </c>
      <c r="X24" s="655">
        <f t="shared" si="5"/>
        <v>0.70138193227103607</v>
      </c>
      <c r="Z24" s="1631">
        <f t="shared" si="6"/>
        <v>8.9733821314221432E-2</v>
      </c>
      <c r="AA24" s="1535">
        <f t="shared" si="7"/>
        <v>3.4427165895467493E-3</v>
      </c>
      <c r="AB24" s="1633">
        <f t="shared" si="8"/>
        <v>0.90682346209623177</v>
      </c>
      <c r="AD24" s="1631">
        <f t="shared" si="9"/>
        <v>0.82368085049254536</v>
      </c>
      <c r="AE24" s="1535">
        <f t="shared" si="10"/>
        <v>1.9352882945871949E-2</v>
      </c>
      <c r="AF24" s="1633">
        <f t="shared" si="11"/>
        <v>0.15696626656158266</v>
      </c>
    </row>
    <row r="25" spans="1:32">
      <c r="A25" s="767" t="s">
        <v>50</v>
      </c>
      <c r="B25" s="618" t="s">
        <v>51</v>
      </c>
      <c r="C25" s="768" t="s">
        <v>265</v>
      </c>
      <c r="D25" s="818">
        <f>'Administration LASER'!D24+'Other Oper Exp. LASER'!D24</f>
        <v>683828.44000000006</v>
      </c>
      <c r="E25" s="819">
        <f>'Administration LASER'!E24+'Other Oper Exp. LASER'!E24</f>
        <v>317698.24</v>
      </c>
      <c r="F25" s="819">
        <f>'Administration LASER'!K24+'Other Oper Exp. LASER'!K24</f>
        <v>756787.08</v>
      </c>
      <c r="G25" s="820">
        <f>'Administration LASER'!I24+'Other Oper Exp. LASER'!I24</f>
        <v>1758313.7600000002</v>
      </c>
      <c r="H25" s="818">
        <f>'Client Services LASER'!D25</f>
        <v>64578.99</v>
      </c>
      <c r="I25" s="819">
        <f>'Client Services LASER'!E25</f>
        <v>15710.8</v>
      </c>
      <c r="J25" s="819">
        <f>'Client Services LASER'!K25</f>
        <v>17936.160000000003</v>
      </c>
      <c r="K25" s="820">
        <f>'Client Services LASER'!I25</f>
        <v>98225.95</v>
      </c>
      <c r="L25" s="818">
        <f>'Benefits Spending LASER'!D25</f>
        <v>12698060.822290001</v>
      </c>
      <c r="M25" s="819">
        <f>'Benefits Spending LASER'!E25</f>
        <v>9821036.0450524986</v>
      </c>
      <c r="N25" s="819">
        <f>'Benefits Spending LASER'!I25</f>
        <v>243587.48255750004</v>
      </c>
      <c r="O25" s="820">
        <f t="shared" si="0"/>
        <v>22762684.349900004</v>
      </c>
      <c r="P25" s="1622">
        <f t="shared" si="12"/>
        <v>13446468.252290001</v>
      </c>
      <c r="Q25" s="819">
        <f t="shared" si="13"/>
        <v>10154445.085052498</v>
      </c>
      <c r="R25" s="819">
        <f t="shared" si="14"/>
        <v>1018310.7225575</v>
      </c>
      <c r="S25" s="820">
        <f t="shared" si="15"/>
        <v>24619224.059900004</v>
      </c>
      <c r="U25" s="653">
        <f t="shared" si="2"/>
        <v>0.3889114989352071</v>
      </c>
      <c r="V25" s="654">
        <f t="shared" si="3"/>
        <v>0.18068347483102218</v>
      </c>
      <c r="W25" s="654">
        <f t="shared" si="4"/>
        <v>0.43040502623377064</v>
      </c>
      <c r="X25" s="655">
        <f t="shared" si="5"/>
        <v>0.56959497376622925</v>
      </c>
      <c r="Z25" s="1631">
        <f t="shared" si="6"/>
        <v>7.14203565360923E-2</v>
      </c>
      <c r="AA25" s="1535">
        <f t="shared" si="7"/>
        <v>3.9898068989099962E-3</v>
      </c>
      <c r="AB25" s="1633">
        <f t="shared" si="8"/>
        <v>0.92458983656499771</v>
      </c>
      <c r="AD25" s="1631">
        <f t="shared" si="9"/>
        <v>0.74317893667987689</v>
      </c>
      <c r="AE25" s="1535">
        <f t="shared" si="10"/>
        <v>1.7613641497315393E-2</v>
      </c>
      <c r="AF25" s="1633">
        <f t="shared" si="11"/>
        <v>0.23920742182280774</v>
      </c>
    </row>
    <row r="26" spans="1:32">
      <c r="A26" s="767" t="s">
        <v>56</v>
      </c>
      <c r="B26" s="618" t="s">
        <v>295</v>
      </c>
      <c r="C26" s="768" t="s">
        <v>266</v>
      </c>
      <c r="D26" s="818">
        <f>'Administration LASER'!D25+'Other Oper Exp. LASER'!D25</f>
        <v>5278539.870000001</v>
      </c>
      <c r="E26" s="819">
        <f>'Administration LASER'!E25+'Other Oper Exp. LASER'!E25</f>
        <v>1953300.7300000002</v>
      </c>
      <c r="F26" s="819">
        <f>'Administration LASER'!K25+'Other Oper Exp. LASER'!K25</f>
        <v>5427940.6099999994</v>
      </c>
      <c r="G26" s="820">
        <f>'Administration LASER'!I25+'Other Oper Exp. LASER'!I25</f>
        <v>12659781.209999999</v>
      </c>
      <c r="H26" s="818">
        <f>'Client Services LASER'!D26</f>
        <v>310512.77</v>
      </c>
      <c r="I26" s="819">
        <f>'Client Services LASER'!E26</f>
        <v>301339.67</v>
      </c>
      <c r="J26" s="819">
        <f>'Client Services LASER'!K26</f>
        <v>127461.02</v>
      </c>
      <c r="K26" s="820">
        <f>'Client Services LASER'!I26</f>
        <v>739313.46</v>
      </c>
      <c r="L26" s="818">
        <f>'Benefits Spending LASER'!D26</f>
        <v>192477734.94484401</v>
      </c>
      <c r="M26" s="819">
        <f>'Benefits Spending LASER'!E26</f>
        <v>141435700.92245799</v>
      </c>
      <c r="N26" s="819">
        <f>'Benefits Spending LASER'!I26</f>
        <v>3861354.0714980001</v>
      </c>
      <c r="O26" s="820">
        <f t="shared" si="0"/>
        <v>337774789.93879998</v>
      </c>
      <c r="P26" s="1622">
        <f t="shared" si="12"/>
        <v>198066787.58484399</v>
      </c>
      <c r="Q26" s="819">
        <f t="shared" si="13"/>
        <v>143690341.322458</v>
      </c>
      <c r="R26" s="819">
        <f t="shared" si="14"/>
        <v>9416755.7014979981</v>
      </c>
      <c r="S26" s="820">
        <f t="shared" si="15"/>
        <v>351173884.60879999</v>
      </c>
      <c r="U26" s="653">
        <f t="shared" si="2"/>
        <v>0.41695348303732666</v>
      </c>
      <c r="V26" s="654">
        <f t="shared" si="3"/>
        <v>0.15429182365782768</v>
      </c>
      <c r="W26" s="654">
        <f t="shared" si="4"/>
        <v>0.42875469330484584</v>
      </c>
      <c r="X26" s="655">
        <f t="shared" si="5"/>
        <v>0.57124530669515439</v>
      </c>
      <c r="Z26" s="1631">
        <f t="shared" si="6"/>
        <v>3.6049893698965448E-2</v>
      </c>
      <c r="AA26" s="1535">
        <f t="shared" si="7"/>
        <v>2.105263211196866E-3</v>
      </c>
      <c r="AB26" s="1633">
        <f t="shared" si="8"/>
        <v>0.96184484308983764</v>
      </c>
      <c r="AD26" s="1631">
        <f t="shared" si="9"/>
        <v>0.57641302185810483</v>
      </c>
      <c r="AE26" s="1535">
        <f t="shared" si="10"/>
        <v>1.3535555560788708E-2</v>
      </c>
      <c r="AF26" s="1633">
        <f t="shared" si="11"/>
        <v>0.41005142258110655</v>
      </c>
    </row>
    <row r="27" spans="1:32">
      <c r="A27" s="767" t="s">
        <v>58</v>
      </c>
      <c r="B27" s="618" t="s">
        <v>59</v>
      </c>
      <c r="C27" s="768" t="s">
        <v>267</v>
      </c>
      <c r="D27" s="818">
        <f>'Administration LASER'!D26+'Other Oper Exp. LASER'!D26</f>
        <v>473036.19</v>
      </c>
      <c r="E27" s="819">
        <f>'Administration LASER'!E26+'Other Oper Exp. LASER'!E26</f>
        <v>144522.22</v>
      </c>
      <c r="F27" s="819">
        <f>'Administration LASER'!K26+'Other Oper Exp. LASER'!K26</f>
        <v>621768.21</v>
      </c>
      <c r="G27" s="820">
        <f>'Administration LASER'!I26+'Other Oper Exp. LASER'!I26</f>
        <v>1239326.6199999999</v>
      </c>
      <c r="H27" s="818">
        <f>'Client Services LASER'!D27</f>
        <v>42729.5</v>
      </c>
      <c r="I27" s="819">
        <f>'Client Services LASER'!E27</f>
        <v>11548.580000000002</v>
      </c>
      <c r="J27" s="819">
        <f>'Client Services LASER'!K27</f>
        <v>17771.080000000002</v>
      </c>
      <c r="K27" s="820">
        <f>'Client Services LASER'!I27</f>
        <v>72049.16</v>
      </c>
      <c r="L27" s="818">
        <f>'Benefits Spending LASER'!D27</f>
        <v>6189611.3725000005</v>
      </c>
      <c r="M27" s="819">
        <f>'Benefits Spending LASER'!E27</f>
        <v>5347872.2434931248</v>
      </c>
      <c r="N27" s="819">
        <f>'Benefits Spending LASER'!I27</f>
        <v>263872.68400687503</v>
      </c>
      <c r="O27" s="820">
        <f t="shared" si="0"/>
        <v>11801356.300000001</v>
      </c>
      <c r="P27" s="1622">
        <f t="shared" si="12"/>
        <v>6705377.0625000009</v>
      </c>
      <c r="Q27" s="819">
        <f t="shared" si="13"/>
        <v>5503943.0434931247</v>
      </c>
      <c r="R27" s="819">
        <f t="shared" si="14"/>
        <v>903411.97400687495</v>
      </c>
      <c r="S27" s="820">
        <f t="shared" si="15"/>
        <v>13112732.08</v>
      </c>
      <c r="U27" s="653">
        <f t="shared" si="2"/>
        <v>0.38168807347977407</v>
      </c>
      <c r="V27" s="654">
        <f t="shared" si="3"/>
        <v>0.1166135041947215</v>
      </c>
      <c r="W27" s="654">
        <f t="shared" si="4"/>
        <v>0.50169842232550454</v>
      </c>
      <c r="X27" s="655">
        <f t="shared" si="5"/>
        <v>0.49830157767449562</v>
      </c>
      <c r="Z27" s="1631">
        <f t="shared" si="6"/>
        <v>9.4513226720331175E-2</v>
      </c>
      <c r="AA27" s="1535">
        <f t="shared" si="7"/>
        <v>5.494595600705662E-3</v>
      </c>
      <c r="AB27" s="1633">
        <f t="shared" si="8"/>
        <v>0.89999217767896322</v>
      </c>
      <c r="AD27" s="1631">
        <f t="shared" si="9"/>
        <v>0.68824437564435947</v>
      </c>
      <c r="AE27" s="1535">
        <f t="shared" si="10"/>
        <v>1.9671069801278463E-2</v>
      </c>
      <c r="AF27" s="1633">
        <f t="shared" si="11"/>
        <v>0.29208455455436211</v>
      </c>
    </row>
    <row r="28" spans="1:32">
      <c r="A28" s="767" t="s">
        <v>60</v>
      </c>
      <c r="B28" s="618" t="s">
        <v>61</v>
      </c>
      <c r="C28" s="768" t="s">
        <v>265</v>
      </c>
      <c r="D28" s="818">
        <f>'Administration LASER'!D27+'Other Oper Exp. LASER'!D27</f>
        <v>236724.16</v>
      </c>
      <c r="E28" s="819">
        <f>'Administration LASER'!E27+'Other Oper Exp. LASER'!E27</f>
        <v>93961.71</v>
      </c>
      <c r="F28" s="819">
        <f>'Administration LASER'!K27+'Other Oper Exp. LASER'!K27</f>
        <v>223628.22</v>
      </c>
      <c r="G28" s="820">
        <f>'Administration LASER'!I27+'Other Oper Exp. LASER'!I27</f>
        <v>554314.09</v>
      </c>
      <c r="H28" s="818">
        <f>'Client Services LASER'!D28</f>
        <v>9735.5</v>
      </c>
      <c r="I28" s="819">
        <f>'Client Services LASER'!E28</f>
        <v>1572.33</v>
      </c>
      <c r="J28" s="819">
        <f>'Client Services LASER'!K28</f>
        <v>2179.1199999999994</v>
      </c>
      <c r="K28" s="820">
        <f>'Client Services LASER'!I28</f>
        <v>13486.95</v>
      </c>
      <c r="L28" s="818">
        <f>'Benefits Spending LASER'!D28</f>
        <v>3165407.3791000005</v>
      </c>
      <c r="M28" s="819">
        <f>'Benefits Spending LASER'!E28</f>
        <v>2546784.4228225001</v>
      </c>
      <c r="N28" s="819">
        <f>'Benefits Spending LASER'!I28</f>
        <v>116138.20807749999</v>
      </c>
      <c r="O28" s="820">
        <f t="shared" si="0"/>
        <v>5828330.0099999998</v>
      </c>
      <c r="P28" s="1622">
        <f t="shared" si="12"/>
        <v>3411867.0391000006</v>
      </c>
      <c r="Q28" s="819">
        <f t="shared" si="13"/>
        <v>2642318.4628225002</v>
      </c>
      <c r="R28" s="819">
        <f t="shared" si="14"/>
        <v>341945.54807749996</v>
      </c>
      <c r="S28" s="820">
        <f t="shared" si="15"/>
        <v>6396131.0499999998</v>
      </c>
      <c r="U28" s="653">
        <f t="shared" si="2"/>
        <v>0.427057807605071</v>
      </c>
      <c r="V28" s="654">
        <f t="shared" si="3"/>
        <v>0.16950987119955765</v>
      </c>
      <c r="W28" s="654">
        <f t="shared" si="4"/>
        <v>0.40343232119537142</v>
      </c>
      <c r="X28" s="655">
        <f t="shared" si="5"/>
        <v>0.59656767880462869</v>
      </c>
      <c r="Z28" s="1631">
        <f t="shared" si="6"/>
        <v>8.6663966961715078E-2</v>
      </c>
      <c r="AA28" s="1535">
        <f t="shared" si="7"/>
        <v>2.1086106420536836E-3</v>
      </c>
      <c r="AB28" s="1633">
        <f t="shared" si="8"/>
        <v>0.91122742239623122</v>
      </c>
      <c r="AD28" s="1631">
        <f t="shared" si="9"/>
        <v>0.65398780963019287</v>
      </c>
      <c r="AE28" s="1535">
        <f t="shared" si="10"/>
        <v>6.3727105448558568E-3</v>
      </c>
      <c r="AF28" s="1633">
        <f t="shared" si="11"/>
        <v>0.33963947982495141</v>
      </c>
    </row>
    <row r="29" spans="1:32">
      <c r="A29" s="767" t="s">
        <v>62</v>
      </c>
      <c r="B29" s="618" t="s">
        <v>63</v>
      </c>
      <c r="C29" s="768" t="s">
        <v>267</v>
      </c>
      <c r="D29" s="818">
        <f>'Administration LASER'!D28+'Other Oper Exp. LASER'!D28</f>
        <v>1650544.47</v>
      </c>
      <c r="E29" s="819">
        <f>'Administration LASER'!E28+'Other Oper Exp. LASER'!E28</f>
        <v>580887.89</v>
      </c>
      <c r="F29" s="819">
        <f>'Administration LASER'!K28+'Other Oper Exp. LASER'!K28</f>
        <v>1843627.3800000001</v>
      </c>
      <c r="G29" s="820">
        <f>'Administration LASER'!I28+'Other Oper Exp. LASER'!I28</f>
        <v>4075059.74</v>
      </c>
      <c r="H29" s="818">
        <f>'Client Services LASER'!D29</f>
        <v>66075</v>
      </c>
      <c r="I29" s="819">
        <f>'Client Services LASER'!E29</f>
        <v>85997.06</v>
      </c>
      <c r="J29" s="819">
        <f>'Client Services LASER'!K29</f>
        <v>27963.610000000004</v>
      </c>
      <c r="K29" s="820">
        <f>'Client Services LASER'!I29</f>
        <v>180035.67</v>
      </c>
      <c r="L29" s="818">
        <f>'Benefits Spending LASER'!D29</f>
        <v>34599013.927337997</v>
      </c>
      <c r="M29" s="819">
        <f>'Benefits Spending LASER'!E29</f>
        <v>26995595.60734725</v>
      </c>
      <c r="N29" s="819">
        <f>'Benefits Spending LASER'!I29</f>
        <v>1773410.73511475</v>
      </c>
      <c r="O29" s="820">
        <f t="shared" si="0"/>
        <v>63368020.2698</v>
      </c>
      <c r="P29" s="1622">
        <f t="shared" si="12"/>
        <v>36315633.397337995</v>
      </c>
      <c r="Q29" s="819">
        <f t="shared" si="13"/>
        <v>27662480.557347249</v>
      </c>
      <c r="R29" s="819">
        <f t="shared" si="14"/>
        <v>3645001.7251147502</v>
      </c>
      <c r="S29" s="820">
        <f t="shared" si="15"/>
        <v>67623115.679800004</v>
      </c>
      <c r="U29" s="653">
        <f t="shared" si="2"/>
        <v>0.40503564985773677</v>
      </c>
      <c r="V29" s="654">
        <f t="shared" si="3"/>
        <v>0.14254708570235586</v>
      </c>
      <c r="W29" s="654">
        <f t="shared" si="4"/>
        <v>0.45241726443990732</v>
      </c>
      <c r="X29" s="655">
        <f t="shared" si="5"/>
        <v>0.54758273556009263</v>
      </c>
      <c r="Z29" s="1631">
        <f t="shared" si="6"/>
        <v>6.0261342575454256E-2</v>
      </c>
      <c r="AA29" s="1535">
        <f t="shared" si="7"/>
        <v>2.6623391748537735E-3</v>
      </c>
      <c r="AB29" s="1633">
        <f t="shared" si="8"/>
        <v>0.93707631824969195</v>
      </c>
      <c r="AD29" s="1631">
        <f t="shared" si="9"/>
        <v>0.50579602399007362</v>
      </c>
      <c r="AE29" s="1535">
        <f t="shared" si="10"/>
        <v>7.6717686598953986E-3</v>
      </c>
      <c r="AF29" s="1633">
        <f t="shared" si="11"/>
        <v>0.48653220735003089</v>
      </c>
    </row>
    <row r="30" spans="1:32">
      <c r="A30" s="767" t="s">
        <v>64</v>
      </c>
      <c r="B30" s="618" t="s">
        <v>65</v>
      </c>
      <c r="C30" s="768" t="s">
        <v>266</v>
      </c>
      <c r="D30" s="818">
        <f>'Administration LASER'!D29+'Other Oper Exp. LASER'!D29</f>
        <v>468036.5</v>
      </c>
      <c r="E30" s="819">
        <f>'Administration LASER'!E29+'Other Oper Exp. LASER'!E29</f>
        <v>211458.82</v>
      </c>
      <c r="F30" s="819">
        <f>'Administration LASER'!K29+'Other Oper Exp. LASER'!K29</f>
        <v>323704.02</v>
      </c>
      <c r="G30" s="820">
        <f>'Administration LASER'!I29+'Other Oper Exp. LASER'!I29</f>
        <v>1003199.34</v>
      </c>
      <c r="H30" s="818">
        <f>'Client Services LASER'!D30</f>
        <v>33636.400000000001</v>
      </c>
      <c r="I30" s="819">
        <f>'Client Services LASER'!E30</f>
        <v>51734.29</v>
      </c>
      <c r="J30" s="819">
        <f>'Client Services LASER'!K30</f>
        <v>16238.27</v>
      </c>
      <c r="K30" s="820">
        <f>'Client Services LASER'!I30</f>
        <v>101608.95999999999</v>
      </c>
      <c r="L30" s="818">
        <f>'Benefits Spending LASER'!D30</f>
        <v>11862446.413679</v>
      </c>
      <c r="M30" s="819">
        <f>'Benefits Spending LASER'!E30</f>
        <v>8716732.4029209986</v>
      </c>
      <c r="N30" s="819">
        <f>'Benefits Spending LASER'!I30</f>
        <v>211842.32330000002</v>
      </c>
      <c r="O30" s="820">
        <f t="shared" si="0"/>
        <v>20791021.139899999</v>
      </c>
      <c r="P30" s="1622">
        <f t="shared" si="12"/>
        <v>12364119.313679</v>
      </c>
      <c r="Q30" s="819">
        <f t="shared" si="13"/>
        <v>8979925.512920998</v>
      </c>
      <c r="R30" s="819">
        <f t="shared" si="14"/>
        <v>551784.61330000008</v>
      </c>
      <c r="S30" s="820">
        <f t="shared" si="15"/>
        <v>21895829.4399</v>
      </c>
      <c r="U30" s="653">
        <f t="shared" si="2"/>
        <v>0.46654386754281557</v>
      </c>
      <c r="V30" s="654">
        <f t="shared" si="3"/>
        <v>0.21078444888131606</v>
      </c>
      <c r="W30" s="654">
        <f t="shared" si="4"/>
        <v>0.3226716835758684</v>
      </c>
      <c r="X30" s="655">
        <f t="shared" si="5"/>
        <v>0.67732831642413172</v>
      </c>
      <c r="Z30" s="1631">
        <f t="shared" si="6"/>
        <v>4.5816914255456573E-2</v>
      </c>
      <c r="AA30" s="1535">
        <f t="shared" si="7"/>
        <v>4.640562271408708E-3</v>
      </c>
      <c r="AB30" s="1633">
        <f t="shared" si="8"/>
        <v>0.94954252347313473</v>
      </c>
      <c r="AD30" s="1631">
        <f t="shared" si="9"/>
        <v>0.5866492326853</v>
      </c>
      <c r="AE30" s="1535">
        <f t="shared" si="10"/>
        <v>2.9428638654647309E-2</v>
      </c>
      <c r="AF30" s="1633">
        <f t="shared" si="11"/>
        <v>0.38392212866005265</v>
      </c>
    </row>
    <row r="31" spans="1:32">
      <c r="A31" s="767" t="s">
        <v>68</v>
      </c>
      <c r="B31" s="618" t="s">
        <v>69</v>
      </c>
      <c r="C31" s="768" t="s">
        <v>268</v>
      </c>
      <c r="D31" s="818">
        <f>'Administration LASER'!D30+'Other Oper Exp. LASER'!D30</f>
        <v>1272951.32</v>
      </c>
      <c r="E31" s="819">
        <f>'Administration LASER'!E30+'Other Oper Exp. LASER'!E30</f>
        <v>597927.71</v>
      </c>
      <c r="F31" s="819">
        <f>'Administration LASER'!K30+'Other Oper Exp. LASER'!K30</f>
        <v>759301.41</v>
      </c>
      <c r="G31" s="820">
        <f>'Administration LASER'!I30+'Other Oper Exp. LASER'!I30</f>
        <v>2630180.44</v>
      </c>
      <c r="H31" s="818">
        <f>'Client Services LASER'!D31</f>
        <v>75363.97</v>
      </c>
      <c r="I31" s="819">
        <f>'Client Services LASER'!E31</f>
        <v>15310.69</v>
      </c>
      <c r="J31" s="819">
        <f>'Client Services LASER'!K31</f>
        <v>22075.270000000004</v>
      </c>
      <c r="K31" s="820">
        <f>'Client Services LASER'!I31</f>
        <v>112749.93000000001</v>
      </c>
      <c r="L31" s="818">
        <f>'Benefits Spending LASER'!D31</f>
        <v>17732050.448239997</v>
      </c>
      <c r="M31" s="819">
        <f>'Benefits Spending LASER'!E31</f>
        <v>13997549.006819999</v>
      </c>
      <c r="N31" s="819">
        <f>'Benefits Spending LASER'!I31</f>
        <v>506040.42483999999</v>
      </c>
      <c r="O31" s="820">
        <f t="shared" si="0"/>
        <v>32235639.879899997</v>
      </c>
      <c r="P31" s="1622">
        <f t="shared" si="12"/>
        <v>19080365.738239996</v>
      </c>
      <c r="Q31" s="819">
        <f t="shared" si="13"/>
        <v>14610787.406819999</v>
      </c>
      <c r="R31" s="819">
        <f t="shared" si="14"/>
        <v>1287417.1048400002</v>
      </c>
      <c r="S31" s="820">
        <f t="shared" si="15"/>
        <v>34978570.249899998</v>
      </c>
      <c r="U31" s="653">
        <f t="shared" si="2"/>
        <v>0.48397870375767837</v>
      </c>
      <c r="V31" s="654">
        <f t="shared" si="3"/>
        <v>0.22733334219457582</v>
      </c>
      <c r="W31" s="654">
        <f t="shared" si="4"/>
        <v>0.28868795404774589</v>
      </c>
      <c r="X31" s="655">
        <f t="shared" si="5"/>
        <v>0.71131204595225417</v>
      </c>
      <c r="Z31" s="1631">
        <f t="shared" si="6"/>
        <v>7.5194052278552456E-2</v>
      </c>
      <c r="AA31" s="1535">
        <f t="shared" si="7"/>
        <v>3.2234001903014417E-3</v>
      </c>
      <c r="AB31" s="1633">
        <f t="shared" si="8"/>
        <v>0.9215825475311461</v>
      </c>
      <c r="AD31" s="1631">
        <f t="shared" si="9"/>
        <v>0.58978664113241352</v>
      </c>
      <c r="AE31" s="1535">
        <f t="shared" si="10"/>
        <v>1.7146944775713161E-2</v>
      </c>
      <c r="AF31" s="1633">
        <f t="shared" si="11"/>
        <v>0.39306641409187315</v>
      </c>
    </row>
    <row r="32" spans="1:32">
      <c r="A32" s="767" t="s">
        <v>70</v>
      </c>
      <c r="B32" s="618" t="s">
        <v>71</v>
      </c>
      <c r="C32" s="768" t="s">
        <v>264</v>
      </c>
      <c r="D32" s="818">
        <f>'Administration LASER'!D31+'Other Oper Exp. LASER'!D31</f>
        <v>969201.95</v>
      </c>
      <c r="E32" s="819">
        <f>'Administration LASER'!E31+'Other Oper Exp. LASER'!E31</f>
        <v>465362.31</v>
      </c>
      <c r="F32" s="819">
        <f>'Administration LASER'!K31+'Other Oper Exp. LASER'!K31</f>
        <v>524414.01</v>
      </c>
      <c r="G32" s="820">
        <f>'Administration LASER'!I31+'Other Oper Exp. LASER'!I31</f>
        <v>1958978.27</v>
      </c>
      <c r="H32" s="818">
        <f>'Client Services LASER'!D32</f>
        <v>58812.98</v>
      </c>
      <c r="I32" s="819">
        <f>'Client Services LASER'!E32</f>
        <v>16582.219999999998</v>
      </c>
      <c r="J32" s="819">
        <f>'Client Services LASER'!K32</f>
        <v>106451.95000000001</v>
      </c>
      <c r="K32" s="820">
        <f>'Client Services LASER'!I32</f>
        <v>181847.15000000002</v>
      </c>
      <c r="L32" s="818">
        <f>'Benefits Spending LASER'!D32</f>
        <v>24610773.915750004</v>
      </c>
      <c r="M32" s="819">
        <f>'Benefits Spending LASER'!E32</f>
        <v>17705015.949584249</v>
      </c>
      <c r="N32" s="819">
        <f>'Benefits Spending LASER'!I32</f>
        <v>594572.89456575003</v>
      </c>
      <c r="O32" s="820">
        <f t="shared" si="0"/>
        <v>42910362.759900011</v>
      </c>
      <c r="P32" s="1622">
        <f t="shared" si="12"/>
        <v>25638788.845750004</v>
      </c>
      <c r="Q32" s="819">
        <f t="shared" si="13"/>
        <v>18186960.479584251</v>
      </c>
      <c r="R32" s="819">
        <f t="shared" si="14"/>
        <v>1225438.8545657499</v>
      </c>
      <c r="S32" s="820">
        <f t="shared" si="15"/>
        <v>45051188.179900013</v>
      </c>
      <c r="U32" s="653">
        <f t="shared" si="2"/>
        <v>0.49474869876938449</v>
      </c>
      <c r="V32" s="654">
        <f t="shared" si="3"/>
        <v>0.23755358450198633</v>
      </c>
      <c r="W32" s="654">
        <f t="shared" si="4"/>
        <v>0.26769771672862913</v>
      </c>
      <c r="X32" s="655">
        <f t="shared" si="5"/>
        <v>0.73230228327137081</v>
      </c>
      <c r="Z32" s="1631">
        <f t="shared" si="6"/>
        <v>4.3483387434252299E-2</v>
      </c>
      <c r="AA32" s="1535">
        <f t="shared" si="7"/>
        <v>4.0364562478095245E-3</v>
      </c>
      <c r="AB32" s="1633">
        <f t="shared" si="8"/>
        <v>0.95248015631793814</v>
      </c>
      <c r="AD32" s="1631">
        <f t="shared" si="9"/>
        <v>0.42793976055690913</v>
      </c>
      <c r="AE32" s="1535">
        <f t="shared" si="10"/>
        <v>8.6868430524607965E-2</v>
      </c>
      <c r="AF32" s="1633">
        <f t="shared" si="11"/>
        <v>0.48519180891848301</v>
      </c>
    </row>
    <row r="33" spans="1:32">
      <c r="A33" s="767" t="s">
        <v>72</v>
      </c>
      <c r="B33" s="618" t="s">
        <v>73</v>
      </c>
      <c r="C33" s="768" t="s">
        <v>266</v>
      </c>
      <c r="D33" s="818">
        <f>'Administration LASER'!D32+'Other Oper Exp. LASER'!D32</f>
        <v>534559.95000000007</v>
      </c>
      <c r="E33" s="819">
        <f>'Administration LASER'!E32+'Other Oper Exp. LASER'!E32</f>
        <v>207579.29</v>
      </c>
      <c r="F33" s="819">
        <f>'Administration LASER'!K32+'Other Oper Exp. LASER'!K32</f>
        <v>503160.56</v>
      </c>
      <c r="G33" s="820">
        <f>'Administration LASER'!I32+'Other Oper Exp. LASER'!I32</f>
        <v>1245299.8</v>
      </c>
      <c r="H33" s="818">
        <f>'Client Services LASER'!D33</f>
        <v>32853.689999999995</v>
      </c>
      <c r="I33" s="819">
        <f>'Client Services LASER'!E33</f>
        <v>17057.77</v>
      </c>
      <c r="J33" s="819">
        <f>'Client Services LASER'!K33</f>
        <v>9935.2699999999986</v>
      </c>
      <c r="K33" s="820">
        <f>'Client Services LASER'!I33</f>
        <v>59846.729999999996</v>
      </c>
      <c r="L33" s="818">
        <f>'Benefits Spending LASER'!D33</f>
        <v>11894553.94373</v>
      </c>
      <c r="M33" s="819">
        <f>'Benefits Spending LASER'!E33</f>
        <v>7945072.0455462513</v>
      </c>
      <c r="N33" s="819">
        <f>'Benefits Spending LASER'!I33</f>
        <v>325203.02062374994</v>
      </c>
      <c r="O33" s="820">
        <f t="shared" si="0"/>
        <v>20164829.009900004</v>
      </c>
      <c r="P33" s="1622">
        <f t="shared" si="12"/>
        <v>12461967.583730001</v>
      </c>
      <c r="Q33" s="819">
        <f t="shared" si="13"/>
        <v>8169709.1055462509</v>
      </c>
      <c r="R33" s="819">
        <f t="shared" si="14"/>
        <v>838298.8506237499</v>
      </c>
      <c r="S33" s="820">
        <f t="shared" si="15"/>
        <v>21469975.539900005</v>
      </c>
      <c r="U33" s="653">
        <f t="shared" si="2"/>
        <v>0.42926205400498746</v>
      </c>
      <c r="V33" s="654">
        <f t="shared" si="3"/>
        <v>0.16669021387460273</v>
      </c>
      <c r="W33" s="654">
        <f t="shared" si="4"/>
        <v>0.40404773212040984</v>
      </c>
      <c r="X33" s="655">
        <f t="shared" si="5"/>
        <v>0.59595226787959021</v>
      </c>
      <c r="Z33" s="1631">
        <f t="shared" si="6"/>
        <v>5.8001919829192311E-2</v>
      </c>
      <c r="AA33" s="1535">
        <f t="shared" si="7"/>
        <v>2.787461489594167E-3</v>
      </c>
      <c r="AB33" s="1633">
        <f t="shared" si="8"/>
        <v>0.93921061868121347</v>
      </c>
      <c r="AD33" s="1631">
        <f t="shared" si="9"/>
        <v>0.60021621123017788</v>
      </c>
      <c r="AE33" s="1535">
        <f t="shared" si="10"/>
        <v>1.1851704189511293E-2</v>
      </c>
      <c r="AF33" s="1633">
        <f t="shared" si="11"/>
        <v>0.38793208458031087</v>
      </c>
    </row>
    <row r="34" spans="1:32">
      <c r="A34" s="767" t="s">
        <v>74</v>
      </c>
      <c r="B34" s="618" t="s">
        <v>618</v>
      </c>
      <c r="C34" s="768" t="s">
        <v>267</v>
      </c>
      <c r="D34" s="818">
        <f>'Administration LASER'!D33+'Other Oper Exp. LASER'!D33</f>
        <v>25383082.57</v>
      </c>
      <c r="E34" s="819">
        <f>'Administration LASER'!E33+'Other Oper Exp. LASER'!E33</f>
        <v>6522534.7000000002</v>
      </c>
      <c r="F34" s="819">
        <f>'Administration LASER'!K33+'Other Oper Exp. LASER'!K33</f>
        <v>35889593.350000001</v>
      </c>
      <c r="G34" s="820">
        <f>'Administration LASER'!I33+'Other Oper Exp. LASER'!I33</f>
        <v>67795210.620000005</v>
      </c>
      <c r="H34" s="818">
        <f>'Client Services LASER'!D34</f>
        <v>936510.86999999988</v>
      </c>
      <c r="I34" s="819">
        <f>'Client Services LASER'!E34</f>
        <v>668759.54999999993</v>
      </c>
      <c r="J34" s="819">
        <f>'Client Services LASER'!K34</f>
        <v>1668591.0000000002</v>
      </c>
      <c r="K34" s="820">
        <f>'Client Services LASER'!I34</f>
        <v>3273861.42</v>
      </c>
      <c r="L34" s="818">
        <f>'Benefits Spending LASER'!D34</f>
        <v>359927838.73032498</v>
      </c>
      <c r="M34" s="819">
        <f>'Benefits Spending LASER'!E34</f>
        <v>287254204.81501466</v>
      </c>
      <c r="N34" s="819">
        <f>'Benefits Spending LASER'!I34</f>
        <v>18471021.222660441</v>
      </c>
      <c r="O34" s="820">
        <f t="shared" si="0"/>
        <v>665653064.76800001</v>
      </c>
      <c r="P34" s="1622">
        <f t="shared" si="12"/>
        <v>386247432.17032498</v>
      </c>
      <c r="Q34" s="819">
        <f t="shared" si="13"/>
        <v>294445499.06501466</v>
      </c>
      <c r="R34" s="819">
        <f t="shared" si="14"/>
        <v>56029205.572660446</v>
      </c>
      <c r="S34" s="820">
        <f t="shared" si="15"/>
        <v>736722136.80799997</v>
      </c>
      <c r="U34" s="653">
        <f t="shared" si="2"/>
        <v>0.37440819694882449</v>
      </c>
      <c r="V34" s="654">
        <f t="shared" si="3"/>
        <v>9.6209372909239282E-2</v>
      </c>
      <c r="W34" s="654">
        <f t="shared" si="4"/>
        <v>0.5293824301419362</v>
      </c>
      <c r="X34" s="655">
        <f t="shared" si="5"/>
        <v>0.4706175698580638</v>
      </c>
      <c r="Z34" s="1631">
        <f t="shared" si="6"/>
        <v>9.2022768467005328E-2</v>
      </c>
      <c r="AA34" s="1535">
        <f t="shared" si="7"/>
        <v>4.4438211592021347E-3</v>
      </c>
      <c r="AB34" s="1633">
        <f t="shared" si="8"/>
        <v>0.90353341037379264</v>
      </c>
      <c r="AD34" s="1631">
        <f t="shared" si="9"/>
        <v>0.64055152992410791</v>
      </c>
      <c r="AE34" s="1535">
        <f t="shared" si="10"/>
        <v>2.9780736366788543E-2</v>
      </c>
      <c r="AF34" s="1633">
        <f t="shared" si="11"/>
        <v>0.32966773370910346</v>
      </c>
    </row>
    <row r="35" spans="1:32">
      <c r="A35" s="767" t="s">
        <v>76</v>
      </c>
      <c r="B35" s="618" t="s">
        <v>77</v>
      </c>
      <c r="C35" s="768" t="s">
        <v>267</v>
      </c>
      <c r="D35" s="818">
        <f>'Administration LASER'!D34+'Other Oper Exp. LASER'!D34</f>
        <v>1507130.3</v>
      </c>
      <c r="E35" s="819">
        <f>'Administration LASER'!E34+'Other Oper Exp. LASER'!E34</f>
        <v>528799.34</v>
      </c>
      <c r="F35" s="819">
        <f>'Administration LASER'!K34+'Other Oper Exp. LASER'!K34</f>
        <v>2214103.69</v>
      </c>
      <c r="G35" s="820">
        <f>'Administration LASER'!I34+'Other Oper Exp. LASER'!I34</f>
        <v>4250033.33</v>
      </c>
      <c r="H35" s="818">
        <f>'Client Services LASER'!D35</f>
        <v>63396.719999999994</v>
      </c>
      <c r="I35" s="819">
        <f>'Client Services LASER'!E35</f>
        <v>23169.43</v>
      </c>
      <c r="J35" s="819">
        <f>'Client Services LASER'!K35</f>
        <v>28615.15</v>
      </c>
      <c r="K35" s="820">
        <f>'Client Services LASER'!I35</f>
        <v>115181.29999999999</v>
      </c>
      <c r="L35" s="818">
        <f>'Benefits Spending LASER'!D35</f>
        <v>29139154.783790004</v>
      </c>
      <c r="M35" s="819">
        <f>'Benefits Spending LASER'!E35</f>
        <v>24459675.21074</v>
      </c>
      <c r="N35" s="819">
        <f>'Benefits Spending LASER'!I35</f>
        <v>2028069.1052699999</v>
      </c>
      <c r="O35" s="820">
        <f t="shared" si="0"/>
        <v>55626899.099800006</v>
      </c>
      <c r="P35" s="1622">
        <f t="shared" si="12"/>
        <v>30709681.803790003</v>
      </c>
      <c r="Q35" s="819">
        <f t="shared" si="13"/>
        <v>25011643.98074</v>
      </c>
      <c r="R35" s="819">
        <f t="shared" si="14"/>
        <v>4270787.94527</v>
      </c>
      <c r="S35" s="820">
        <f t="shared" si="15"/>
        <v>59992113.729800008</v>
      </c>
      <c r="U35" s="653">
        <f t="shared" si="2"/>
        <v>0.35461611309292956</v>
      </c>
      <c r="V35" s="654">
        <f t="shared" si="3"/>
        <v>0.12442239835328538</v>
      </c>
      <c r="W35" s="654">
        <f t="shared" si="4"/>
        <v>0.52096148855378499</v>
      </c>
      <c r="X35" s="655">
        <f t="shared" si="5"/>
        <v>0.47903851144621495</v>
      </c>
      <c r="Z35" s="1631">
        <f t="shared" si="6"/>
        <v>7.0843200310324664E-2</v>
      </c>
      <c r="AA35" s="1535">
        <f t="shared" si="7"/>
        <v>1.9199406861836533E-3</v>
      </c>
      <c r="AB35" s="1633">
        <f t="shared" si="8"/>
        <v>0.92723685900349162</v>
      </c>
      <c r="AD35" s="1631">
        <f t="shared" si="9"/>
        <v>0.51842978822026808</v>
      </c>
      <c r="AE35" s="1535">
        <f t="shared" si="10"/>
        <v>6.7002038890017863E-3</v>
      </c>
      <c r="AF35" s="1633">
        <f t="shared" si="11"/>
        <v>0.47487000789073008</v>
      </c>
    </row>
    <row r="36" spans="1:32">
      <c r="A36" s="767" t="s">
        <v>78</v>
      </c>
      <c r="B36" s="618" t="s">
        <v>79</v>
      </c>
      <c r="C36" s="768" t="s">
        <v>268</v>
      </c>
      <c r="D36" s="818">
        <f>'Administration LASER'!D35+'Other Oper Exp. LASER'!D35</f>
        <v>449692.93</v>
      </c>
      <c r="E36" s="819">
        <f>'Administration LASER'!E35+'Other Oper Exp. LASER'!E35</f>
        <v>190171.77</v>
      </c>
      <c r="F36" s="819">
        <f>'Administration LASER'!K35+'Other Oper Exp. LASER'!K35</f>
        <v>337666.63</v>
      </c>
      <c r="G36" s="820">
        <f>'Administration LASER'!I35+'Other Oper Exp. LASER'!I35</f>
        <v>977531.33</v>
      </c>
      <c r="H36" s="818">
        <f>'Client Services LASER'!D36</f>
        <v>31725.75</v>
      </c>
      <c r="I36" s="819">
        <f>'Client Services LASER'!E36</f>
        <v>15307.720000000001</v>
      </c>
      <c r="J36" s="819">
        <f>'Client Services LASER'!K36</f>
        <v>8455.76</v>
      </c>
      <c r="K36" s="820">
        <f>'Client Services LASER'!I36</f>
        <v>55489.23</v>
      </c>
      <c r="L36" s="818">
        <f>'Benefits Spending LASER'!D36</f>
        <v>11642167.105046999</v>
      </c>
      <c r="M36" s="819">
        <f>'Benefits Spending LASER'!E36</f>
        <v>9190251.531428</v>
      </c>
      <c r="N36" s="819">
        <f>'Benefits Spending LASER'!I36</f>
        <v>191784.77342499999</v>
      </c>
      <c r="O36" s="820">
        <f t="shared" si="0"/>
        <v>21024203.409899998</v>
      </c>
      <c r="P36" s="1622">
        <f t="shared" si="12"/>
        <v>12123585.785046998</v>
      </c>
      <c r="Q36" s="819">
        <f t="shared" si="13"/>
        <v>9395731.0214280002</v>
      </c>
      <c r="R36" s="819">
        <f t="shared" si="14"/>
        <v>537907.16342500004</v>
      </c>
      <c r="S36" s="820">
        <f t="shared" si="15"/>
        <v>22057223.969899997</v>
      </c>
      <c r="U36" s="653">
        <f t="shared" si="2"/>
        <v>0.46002917369410556</v>
      </c>
      <c r="V36" s="654">
        <f t="shared" si="3"/>
        <v>0.19454288999617025</v>
      </c>
      <c r="W36" s="654">
        <f t="shared" si="4"/>
        <v>0.34542793630972424</v>
      </c>
      <c r="X36" s="655">
        <f t="shared" si="5"/>
        <v>0.65457206369027576</v>
      </c>
      <c r="Z36" s="1631">
        <f t="shared" si="6"/>
        <v>4.4317967271582812E-2</v>
      </c>
      <c r="AA36" s="1535">
        <f t="shared" si="7"/>
        <v>2.5156941814492343E-3</v>
      </c>
      <c r="AB36" s="1633">
        <f t="shared" si="8"/>
        <v>0.95316633854696797</v>
      </c>
      <c r="AD36" s="1631">
        <f t="shared" si="9"/>
        <v>0.62774146350828541</v>
      </c>
      <c r="AE36" s="1535">
        <f t="shared" si="10"/>
        <v>1.5719738599798326E-2</v>
      </c>
      <c r="AF36" s="1633">
        <f t="shared" si="11"/>
        <v>0.35653879789191611</v>
      </c>
    </row>
    <row r="37" spans="1:32">
      <c r="A37" s="767" t="s">
        <v>80</v>
      </c>
      <c r="B37" s="618" t="s">
        <v>81</v>
      </c>
      <c r="C37" s="768" t="s">
        <v>266</v>
      </c>
      <c r="D37" s="818">
        <f>'Administration LASER'!D36+'Other Oper Exp. LASER'!D36</f>
        <v>662722.15</v>
      </c>
      <c r="E37" s="819">
        <f>'Administration LASER'!E36+'Other Oper Exp. LASER'!E36</f>
        <v>254838.92</v>
      </c>
      <c r="F37" s="819">
        <f>'Administration LASER'!K36+'Other Oper Exp. LASER'!K36</f>
        <v>940137.24</v>
      </c>
      <c r="G37" s="820">
        <f>'Administration LASER'!I36+'Other Oper Exp. LASER'!I36</f>
        <v>1857698.31</v>
      </c>
      <c r="H37" s="818">
        <f>'Client Services LASER'!D37</f>
        <v>34027.24</v>
      </c>
      <c r="I37" s="819">
        <f>'Client Services LASER'!E37</f>
        <v>14577.059999999998</v>
      </c>
      <c r="J37" s="819">
        <f>'Client Services LASER'!K37</f>
        <v>8923.8700000000008</v>
      </c>
      <c r="K37" s="820">
        <f>'Client Services LASER'!I37</f>
        <v>57528.169999999991</v>
      </c>
      <c r="L37" s="818">
        <f>'Benefits Spending LASER'!D37</f>
        <v>11273501.437750001</v>
      </c>
      <c r="M37" s="819">
        <f>'Benefits Spending LASER'!E37</f>
        <v>9636629.2447341252</v>
      </c>
      <c r="N37" s="819">
        <f>'Benefits Spending LASER'!I37</f>
        <v>873145.08741587505</v>
      </c>
      <c r="O37" s="820">
        <f t="shared" ref="O37:O68" si="16">SUM(L37:N37)</f>
        <v>21783275.769900002</v>
      </c>
      <c r="P37" s="1622">
        <f t="shared" si="12"/>
        <v>11970250.827750001</v>
      </c>
      <c r="Q37" s="819">
        <f t="shared" si="13"/>
        <v>9906045.2247341257</v>
      </c>
      <c r="R37" s="819">
        <f t="shared" si="14"/>
        <v>1822206.197415875</v>
      </c>
      <c r="S37" s="820">
        <f t="shared" si="15"/>
        <v>23698502.249900002</v>
      </c>
      <c r="U37" s="653">
        <f t="shared" ref="U37:U68" si="17">D37/G37</f>
        <v>0.35674368999129896</v>
      </c>
      <c r="V37" s="654">
        <f t="shared" ref="V37:V68" si="18">E37/G37</f>
        <v>0.13717992777847765</v>
      </c>
      <c r="W37" s="654">
        <f t="shared" ref="W37:W68" si="19">F37/G37</f>
        <v>0.50607638223022333</v>
      </c>
      <c r="X37" s="655">
        <f t="shared" si="5"/>
        <v>0.49392361776977667</v>
      </c>
      <c r="Z37" s="1631">
        <f t="shared" si="6"/>
        <v>7.8388848814605519E-2</v>
      </c>
      <c r="AA37" s="1535">
        <f t="shared" si="7"/>
        <v>2.4275023540883366E-3</v>
      </c>
      <c r="AB37" s="1633">
        <f t="shared" si="8"/>
        <v>0.9191836488313061</v>
      </c>
      <c r="AD37" s="1631">
        <f t="shared" si="9"/>
        <v>0.51593351034215373</v>
      </c>
      <c r="AE37" s="1535">
        <f t="shared" si="10"/>
        <v>4.897288798959858E-3</v>
      </c>
      <c r="AF37" s="1633">
        <f t="shared" si="11"/>
        <v>0.47916920085888642</v>
      </c>
    </row>
    <row r="38" spans="1:32">
      <c r="A38" s="767" t="s">
        <v>84</v>
      </c>
      <c r="B38" s="618" t="s">
        <v>308</v>
      </c>
      <c r="C38" s="768" t="s">
        <v>265</v>
      </c>
      <c r="D38" s="818">
        <f>'Administration LASER'!D37+'Other Oper Exp. LASER'!D37</f>
        <v>1572822.1400000001</v>
      </c>
      <c r="E38" s="819">
        <f>'Administration LASER'!E37+'Other Oper Exp. LASER'!E37</f>
        <v>612825.96</v>
      </c>
      <c r="F38" s="819">
        <f>'Administration LASER'!K37+'Other Oper Exp. LASER'!K37</f>
        <v>1421921.73</v>
      </c>
      <c r="G38" s="820">
        <f>'Administration LASER'!I37+'Other Oper Exp. LASER'!I37</f>
        <v>3607569.83</v>
      </c>
      <c r="H38" s="818">
        <f>'Client Services LASER'!D38</f>
        <v>132332.57</v>
      </c>
      <c r="I38" s="819">
        <f>'Client Services LASER'!E38</f>
        <v>130293.64000000001</v>
      </c>
      <c r="J38" s="819">
        <f>'Client Services LASER'!K38</f>
        <v>46905.479999999996</v>
      </c>
      <c r="K38" s="820">
        <f>'Client Services LASER'!I38</f>
        <v>309531.69000000006</v>
      </c>
      <c r="L38" s="818">
        <f>'Benefits Spending LASER'!D38</f>
        <v>43162822.590614006</v>
      </c>
      <c r="M38" s="819">
        <f>'Benefits Spending LASER'!E38</f>
        <v>33541951.0698235</v>
      </c>
      <c r="N38" s="819">
        <f>'Benefits Spending LASER'!I38</f>
        <v>1442479.8292624999</v>
      </c>
      <c r="O38" s="820">
        <f t="shared" si="16"/>
        <v>78147253.489700004</v>
      </c>
      <c r="P38" s="1622">
        <f t="shared" si="12"/>
        <v>44867977.300614007</v>
      </c>
      <c r="Q38" s="819">
        <f t="shared" si="13"/>
        <v>34285070.669823498</v>
      </c>
      <c r="R38" s="819">
        <f t="shared" si="14"/>
        <v>2911307.0392624997</v>
      </c>
      <c r="S38" s="820">
        <f t="shared" si="15"/>
        <v>82064355.0097</v>
      </c>
      <c r="U38" s="653">
        <f t="shared" si="17"/>
        <v>0.43597829400851823</v>
      </c>
      <c r="V38" s="654">
        <f t="shared" si="18"/>
        <v>0.16987223778839505</v>
      </c>
      <c r="W38" s="654">
        <f t="shared" si="19"/>
        <v>0.39414946820308672</v>
      </c>
      <c r="X38" s="655">
        <f t="shared" si="5"/>
        <v>0.60585053179691328</v>
      </c>
      <c r="Z38" s="1631">
        <f t="shared" si="6"/>
        <v>4.396025326188923E-2</v>
      </c>
      <c r="AA38" s="1535">
        <f t="shared" si="7"/>
        <v>3.7718165208684507E-3</v>
      </c>
      <c r="AB38" s="1633">
        <f t="shared" si="8"/>
        <v>0.95226793021724232</v>
      </c>
      <c r="AD38" s="1631">
        <f t="shared" si="9"/>
        <v>0.48841352383093373</v>
      </c>
      <c r="AE38" s="1535">
        <f t="shared" si="10"/>
        <v>1.6111485105288731E-2</v>
      </c>
      <c r="AF38" s="1633">
        <f t="shared" si="11"/>
        <v>0.49547499106377763</v>
      </c>
    </row>
    <row r="39" spans="1:32">
      <c r="A39" s="767" t="s">
        <v>86</v>
      </c>
      <c r="B39" s="618" t="s">
        <v>87</v>
      </c>
      <c r="C39" s="768" t="s">
        <v>267</v>
      </c>
      <c r="D39" s="818">
        <f>'Administration LASER'!D38+'Other Oper Exp. LASER'!D38</f>
        <v>1647348.55</v>
      </c>
      <c r="E39" s="819">
        <f>'Administration LASER'!E38+'Other Oper Exp. LASER'!E38</f>
        <v>540041.64999999991</v>
      </c>
      <c r="F39" s="819">
        <f>'Administration LASER'!K38+'Other Oper Exp. LASER'!K38</f>
        <v>1947750.7</v>
      </c>
      <c r="G39" s="820">
        <f>'Administration LASER'!I38+'Other Oper Exp. LASER'!I38</f>
        <v>4135140.8999999994</v>
      </c>
      <c r="H39" s="818">
        <f>'Client Services LASER'!D39</f>
        <v>94269.14</v>
      </c>
      <c r="I39" s="819">
        <f>'Client Services LASER'!E39</f>
        <v>99601.16</v>
      </c>
      <c r="J39" s="819">
        <f>'Client Services LASER'!K39</f>
        <v>82255.209999999992</v>
      </c>
      <c r="K39" s="820">
        <f>'Client Services LASER'!I39</f>
        <v>276125.50999999995</v>
      </c>
      <c r="L39" s="818">
        <f>'Benefits Spending LASER'!D39</f>
        <v>38020293.760396987</v>
      </c>
      <c r="M39" s="819">
        <f>'Benefits Spending LASER'!E39</f>
        <v>28013617.824515503</v>
      </c>
      <c r="N39" s="819">
        <f>'Benefits Spending LASER'!I39</f>
        <v>766727.30488750001</v>
      </c>
      <c r="O39" s="820">
        <f t="shared" si="16"/>
        <v>66800638.889799997</v>
      </c>
      <c r="P39" s="1622">
        <f t="shared" si="12"/>
        <v>39761911.450396985</v>
      </c>
      <c r="Q39" s="819">
        <f t="shared" si="13"/>
        <v>28653260.634515502</v>
      </c>
      <c r="R39" s="819">
        <f t="shared" si="14"/>
        <v>2796733.2148874998</v>
      </c>
      <c r="S39" s="820">
        <f t="shared" si="15"/>
        <v>71211905.299799994</v>
      </c>
      <c r="U39" s="653">
        <f t="shared" si="17"/>
        <v>0.39837785213074606</v>
      </c>
      <c r="V39" s="654">
        <f t="shared" si="18"/>
        <v>0.13059812544718852</v>
      </c>
      <c r="W39" s="654">
        <f t="shared" si="19"/>
        <v>0.47102402242206554</v>
      </c>
      <c r="X39" s="655">
        <f t="shared" si="5"/>
        <v>0.52897597757793469</v>
      </c>
      <c r="Z39" s="1631">
        <f t="shared" si="6"/>
        <v>5.8068112102761187E-2</v>
      </c>
      <c r="AA39" s="1535">
        <f t="shared" si="7"/>
        <v>3.8775189181853766E-3</v>
      </c>
      <c r="AB39" s="1633">
        <f t="shared" si="8"/>
        <v>0.93805436897905348</v>
      </c>
      <c r="AD39" s="1631">
        <f t="shared" si="9"/>
        <v>0.69643779021602148</v>
      </c>
      <c r="AE39" s="1535">
        <f t="shared" si="10"/>
        <v>2.9411174995934947E-2</v>
      </c>
      <c r="AF39" s="1633">
        <f t="shared" si="11"/>
        <v>0.27415103478804359</v>
      </c>
    </row>
    <row r="40" spans="1:32">
      <c r="A40" s="767" t="s">
        <v>92</v>
      </c>
      <c r="B40" s="618" t="s">
        <v>93</v>
      </c>
      <c r="C40" s="768" t="s">
        <v>268</v>
      </c>
      <c r="D40" s="818">
        <f>'Administration LASER'!D39+'Other Oper Exp. LASER'!D39</f>
        <v>691925.6</v>
      </c>
      <c r="E40" s="819">
        <f>'Administration LASER'!E39+'Other Oper Exp. LASER'!E39</f>
        <v>346060.19</v>
      </c>
      <c r="F40" s="819">
        <f>'Administration LASER'!K39+'Other Oper Exp. LASER'!K39</f>
        <v>374739.61</v>
      </c>
      <c r="G40" s="820">
        <f>'Administration LASER'!I39+'Other Oper Exp. LASER'!I39</f>
        <v>1412725.4</v>
      </c>
      <c r="H40" s="818">
        <f>'Client Services LASER'!D40</f>
        <v>36896.43</v>
      </c>
      <c r="I40" s="819">
        <f>'Client Services LASER'!E40</f>
        <v>8807.82</v>
      </c>
      <c r="J40" s="819">
        <f>'Client Services LASER'!K40</f>
        <v>8726</v>
      </c>
      <c r="K40" s="820">
        <f>'Client Services LASER'!I40</f>
        <v>54430.25</v>
      </c>
      <c r="L40" s="818">
        <f>'Benefits Spending LASER'!D40</f>
        <v>14790277.707970001</v>
      </c>
      <c r="M40" s="819">
        <f>'Benefits Spending LASER'!E40</f>
        <v>12172623.925902501</v>
      </c>
      <c r="N40" s="819">
        <f>'Benefits Spending LASER'!I40</f>
        <v>412971.81602749997</v>
      </c>
      <c r="O40" s="820">
        <f t="shared" si="16"/>
        <v>27375873.449900001</v>
      </c>
      <c r="P40" s="1622">
        <f t="shared" si="12"/>
        <v>15519099.73797</v>
      </c>
      <c r="Q40" s="819">
        <f t="shared" si="13"/>
        <v>12527491.935902501</v>
      </c>
      <c r="R40" s="819">
        <f t="shared" si="14"/>
        <v>796437.42602749995</v>
      </c>
      <c r="S40" s="820">
        <f t="shared" si="15"/>
        <v>28843029.0999</v>
      </c>
      <c r="U40" s="653">
        <f t="shared" si="17"/>
        <v>0.4897806749988356</v>
      </c>
      <c r="V40" s="654">
        <f t="shared" si="18"/>
        <v>0.24495927517123994</v>
      </c>
      <c r="W40" s="654">
        <f t="shared" si="19"/>
        <v>0.26526004982992452</v>
      </c>
      <c r="X40" s="655">
        <f t="shared" si="5"/>
        <v>0.73473995017007554</v>
      </c>
      <c r="Z40" s="1631">
        <f t="shared" si="6"/>
        <v>4.8979786245990989E-2</v>
      </c>
      <c r="AA40" s="1535">
        <f t="shared" si="7"/>
        <v>1.8871197547066481E-3</v>
      </c>
      <c r="AB40" s="1633">
        <f t="shared" si="8"/>
        <v>0.94913309399930246</v>
      </c>
      <c r="AD40" s="1631">
        <f t="shared" si="9"/>
        <v>0.47051983966793232</v>
      </c>
      <c r="AE40" s="1535">
        <f t="shared" si="10"/>
        <v>1.095629074530546E-2</v>
      </c>
      <c r="AF40" s="1633">
        <f t="shared" si="11"/>
        <v>0.51852386958676222</v>
      </c>
    </row>
    <row r="41" spans="1:32">
      <c r="A41" s="767" t="s">
        <v>94</v>
      </c>
      <c r="B41" s="618" t="s">
        <v>95</v>
      </c>
      <c r="C41" s="768" t="s">
        <v>264</v>
      </c>
      <c r="D41" s="818">
        <f>'Administration LASER'!D40+'Other Oper Exp. LASER'!D40</f>
        <v>1054944.26</v>
      </c>
      <c r="E41" s="819">
        <f>'Administration LASER'!E40+'Other Oper Exp. LASER'!E40</f>
        <v>422434.51</v>
      </c>
      <c r="F41" s="819">
        <f>'Administration LASER'!K40+'Other Oper Exp. LASER'!K40</f>
        <v>926770.42999999993</v>
      </c>
      <c r="G41" s="820">
        <f>'Administration LASER'!I40+'Other Oper Exp. LASER'!I40</f>
        <v>2404149.1999999997</v>
      </c>
      <c r="H41" s="818">
        <f>'Client Services LASER'!D41</f>
        <v>41313.53</v>
      </c>
      <c r="I41" s="819">
        <f>'Client Services LASER'!E41</f>
        <v>18811.23</v>
      </c>
      <c r="J41" s="819">
        <f>'Client Services LASER'!K41</f>
        <v>11527.380000000001</v>
      </c>
      <c r="K41" s="820">
        <f>'Client Services LASER'!I41</f>
        <v>71652.14</v>
      </c>
      <c r="L41" s="818">
        <f>'Benefits Spending LASER'!D41</f>
        <v>23881927.821651999</v>
      </c>
      <c r="M41" s="819">
        <f>'Benefits Spending LASER'!E41</f>
        <v>17891734.694522623</v>
      </c>
      <c r="N41" s="819">
        <f>'Benefits Spending LASER'!I41</f>
        <v>541322.39372537506</v>
      </c>
      <c r="O41" s="820">
        <f t="shared" si="16"/>
        <v>42314984.909899995</v>
      </c>
      <c r="P41" s="1622">
        <f t="shared" si="12"/>
        <v>24978185.611651998</v>
      </c>
      <c r="Q41" s="819">
        <f t="shared" si="13"/>
        <v>18332980.434522621</v>
      </c>
      <c r="R41" s="819">
        <f t="shared" si="14"/>
        <v>1479620.203725375</v>
      </c>
      <c r="S41" s="820">
        <f t="shared" si="15"/>
        <v>44790786.249899998</v>
      </c>
      <c r="U41" s="653">
        <f t="shared" si="17"/>
        <v>0.43880149368433546</v>
      </c>
      <c r="V41" s="654">
        <f t="shared" si="18"/>
        <v>0.17571060481604056</v>
      </c>
      <c r="W41" s="654">
        <f t="shared" si="19"/>
        <v>0.38548790149962409</v>
      </c>
      <c r="X41" s="655">
        <f t="shared" si="5"/>
        <v>0.61451209850037603</v>
      </c>
      <c r="Z41" s="1631">
        <f t="shared" si="6"/>
        <v>5.3675083678741346E-2</v>
      </c>
      <c r="AA41" s="1535">
        <f t="shared" si="7"/>
        <v>1.5997071272701754E-3</v>
      </c>
      <c r="AB41" s="1633">
        <f t="shared" si="8"/>
        <v>0.94472520919398839</v>
      </c>
      <c r="AD41" s="1631">
        <f t="shared" si="9"/>
        <v>0.62635697165163418</v>
      </c>
      <c r="AE41" s="1535">
        <f t="shared" si="10"/>
        <v>7.7907695305703874E-3</v>
      </c>
      <c r="AF41" s="1633">
        <f t="shared" si="11"/>
        <v>0.36585225881779543</v>
      </c>
    </row>
    <row r="42" spans="1:32">
      <c r="A42" s="767" t="s">
        <v>96</v>
      </c>
      <c r="B42" s="618" t="s">
        <v>97</v>
      </c>
      <c r="C42" s="768" t="s">
        <v>266</v>
      </c>
      <c r="D42" s="818">
        <f>'Administration LASER'!D41+'Other Oper Exp. LASER'!D41</f>
        <v>672163.1</v>
      </c>
      <c r="E42" s="819">
        <f>'Administration LASER'!E41+'Other Oper Exp. LASER'!E41</f>
        <v>250802.15</v>
      </c>
      <c r="F42" s="819">
        <f>'Administration LASER'!K41+'Other Oper Exp. LASER'!K41</f>
        <v>739595.55</v>
      </c>
      <c r="G42" s="820">
        <f>'Administration LASER'!I41+'Other Oper Exp. LASER'!I41</f>
        <v>1662560.8</v>
      </c>
      <c r="H42" s="818">
        <f>'Client Services LASER'!D42</f>
        <v>35482.519999999997</v>
      </c>
      <c r="I42" s="819">
        <f>'Client Services LASER'!E42</f>
        <v>8794.4</v>
      </c>
      <c r="J42" s="819">
        <f>'Client Services LASER'!K42</f>
        <v>79412.650000000009</v>
      </c>
      <c r="K42" s="820">
        <f>'Client Services LASER'!I42</f>
        <v>123689.57</v>
      </c>
      <c r="L42" s="818">
        <f>'Benefits Spending LASER'!D42</f>
        <v>8364226.2638499998</v>
      </c>
      <c r="M42" s="819">
        <f>'Benefits Spending LASER'!E42</f>
        <v>6577984.7005962506</v>
      </c>
      <c r="N42" s="819">
        <f>'Benefits Spending LASER'!I42</f>
        <v>537017.19545374997</v>
      </c>
      <c r="O42" s="820">
        <f t="shared" si="16"/>
        <v>15479228.1599</v>
      </c>
      <c r="P42" s="1622">
        <f t="shared" si="12"/>
        <v>9071871.8838499989</v>
      </c>
      <c r="Q42" s="819">
        <f t="shared" si="13"/>
        <v>6837581.2505962504</v>
      </c>
      <c r="R42" s="819">
        <f t="shared" si="14"/>
        <v>1356025.3954537502</v>
      </c>
      <c r="S42" s="820">
        <f t="shared" si="15"/>
        <v>17265478.529899999</v>
      </c>
      <c r="U42" s="653">
        <f t="shared" si="17"/>
        <v>0.40429384597543738</v>
      </c>
      <c r="V42" s="654">
        <f t="shared" si="18"/>
        <v>0.15085291918346685</v>
      </c>
      <c r="W42" s="654">
        <f t="shared" si="19"/>
        <v>0.44485323484109573</v>
      </c>
      <c r="X42" s="655">
        <f t="shared" si="5"/>
        <v>0.55514676515890427</v>
      </c>
      <c r="Z42" s="1631">
        <f t="shared" si="6"/>
        <v>9.6293931101927563E-2</v>
      </c>
      <c r="AA42" s="1535">
        <f t="shared" si="7"/>
        <v>7.1639815708436326E-3</v>
      </c>
      <c r="AB42" s="1633">
        <f t="shared" si="8"/>
        <v>0.89654208732722884</v>
      </c>
      <c r="AD42" s="1631">
        <f t="shared" si="9"/>
        <v>0.54541423226997765</v>
      </c>
      <c r="AE42" s="1535">
        <f t="shared" si="10"/>
        <v>5.8562804403399192E-2</v>
      </c>
      <c r="AF42" s="1633">
        <f t="shared" si="11"/>
        <v>0.39602296332662301</v>
      </c>
    </row>
    <row r="43" spans="1:32">
      <c r="A43" s="767" t="s">
        <v>98</v>
      </c>
      <c r="B43" s="618" t="s">
        <v>99</v>
      </c>
      <c r="C43" s="768" t="s">
        <v>268</v>
      </c>
      <c r="D43" s="818">
        <f>'Administration LASER'!D42+'Other Oper Exp. LASER'!D42</f>
        <v>655385.94000000006</v>
      </c>
      <c r="E43" s="819">
        <f>'Administration LASER'!E42+'Other Oper Exp. LASER'!E42</f>
        <v>326994.49</v>
      </c>
      <c r="F43" s="819">
        <f>'Administration LASER'!K42+'Other Oper Exp. LASER'!K42</f>
        <v>329441.95999999996</v>
      </c>
      <c r="G43" s="820">
        <f>'Administration LASER'!I42+'Other Oper Exp. LASER'!I42</f>
        <v>1311822.3900000001</v>
      </c>
      <c r="H43" s="818">
        <f>'Client Services LASER'!D43</f>
        <v>32036.409999999996</v>
      </c>
      <c r="I43" s="819">
        <f>'Client Services LASER'!E43</f>
        <v>11940.87</v>
      </c>
      <c r="J43" s="819">
        <f>'Client Services LASER'!K43</f>
        <v>6980.96</v>
      </c>
      <c r="K43" s="820">
        <f>'Client Services LASER'!I43</f>
        <v>50958.239999999998</v>
      </c>
      <c r="L43" s="818">
        <f>'Benefits Spending LASER'!D43</f>
        <v>16000041.553270001</v>
      </c>
      <c r="M43" s="819">
        <f>'Benefits Spending LASER'!E43</f>
        <v>11942528.579061247</v>
      </c>
      <c r="N43" s="819">
        <f>'Benefits Spending LASER'!I43</f>
        <v>197206.40756875</v>
      </c>
      <c r="O43" s="820">
        <f t="shared" si="16"/>
        <v>28139776.539899997</v>
      </c>
      <c r="P43" s="1622">
        <f t="shared" si="12"/>
        <v>16687463.903270001</v>
      </c>
      <c r="Q43" s="819">
        <f t="shared" si="13"/>
        <v>12281463.939061247</v>
      </c>
      <c r="R43" s="819">
        <f t="shared" si="14"/>
        <v>533629.32756875001</v>
      </c>
      <c r="S43" s="820">
        <f t="shared" si="15"/>
        <v>29502557.169899996</v>
      </c>
      <c r="U43" s="653">
        <f t="shared" si="17"/>
        <v>0.49959959899754419</v>
      </c>
      <c r="V43" s="654">
        <f t="shared" si="18"/>
        <v>0.2492673493703671</v>
      </c>
      <c r="W43" s="654">
        <f t="shared" si="19"/>
        <v>0.25113305163208866</v>
      </c>
      <c r="X43" s="655">
        <f t="shared" si="5"/>
        <v>0.74886694836791123</v>
      </c>
      <c r="Z43" s="1631">
        <f t="shared" si="6"/>
        <v>4.4464701227268116E-2</v>
      </c>
      <c r="AA43" s="1535">
        <f t="shared" si="7"/>
        <v>1.7272482417893652E-3</v>
      </c>
      <c r="AB43" s="1633">
        <f t="shared" si="8"/>
        <v>0.95380805053094253</v>
      </c>
      <c r="AD43" s="1631">
        <f t="shared" si="9"/>
        <v>0.61736104629211253</v>
      </c>
      <c r="AE43" s="1535">
        <f t="shared" si="10"/>
        <v>1.3082039609415225E-2</v>
      </c>
      <c r="AF43" s="1633">
        <f t="shared" si="11"/>
        <v>0.36955691409847213</v>
      </c>
    </row>
    <row r="44" spans="1:32">
      <c r="A44" s="767" t="s">
        <v>100</v>
      </c>
      <c r="B44" s="618" t="s">
        <v>101</v>
      </c>
      <c r="C44" s="768" t="s">
        <v>267</v>
      </c>
      <c r="D44" s="818">
        <f>'Administration LASER'!D43+'Other Oper Exp. LASER'!D43</f>
        <v>532603.61</v>
      </c>
      <c r="E44" s="819">
        <f>'Administration LASER'!E43+'Other Oper Exp. LASER'!E43</f>
        <v>203464.75</v>
      </c>
      <c r="F44" s="819">
        <f>'Administration LASER'!K43+'Other Oper Exp. LASER'!K43</f>
        <v>510105.33</v>
      </c>
      <c r="G44" s="820">
        <f>'Administration LASER'!I43+'Other Oper Exp. LASER'!I43</f>
        <v>1246173.6900000002</v>
      </c>
      <c r="H44" s="818">
        <f>'Client Services LASER'!D44</f>
        <v>13151.349999999999</v>
      </c>
      <c r="I44" s="819">
        <f>'Client Services LASER'!E44</f>
        <v>13360.65</v>
      </c>
      <c r="J44" s="819">
        <f>'Client Services LASER'!K44</f>
        <v>4805.7400000000007</v>
      </c>
      <c r="K44" s="820">
        <f>'Client Services LASER'!I44</f>
        <v>31317.74</v>
      </c>
      <c r="L44" s="818">
        <f>'Benefits Spending LASER'!D44</f>
        <v>11851724.9856</v>
      </c>
      <c r="M44" s="819">
        <f>'Benefits Spending LASER'!E44</f>
        <v>9352027.57245625</v>
      </c>
      <c r="N44" s="819">
        <f>'Benefits Spending LASER'!I44</f>
        <v>506359.65184375003</v>
      </c>
      <c r="O44" s="820">
        <f t="shared" si="16"/>
        <v>21710112.209899999</v>
      </c>
      <c r="P44" s="1622">
        <f t="shared" si="12"/>
        <v>12397479.945599999</v>
      </c>
      <c r="Q44" s="819">
        <f t="shared" si="13"/>
        <v>9568852.9724562503</v>
      </c>
      <c r="R44" s="819">
        <f t="shared" si="14"/>
        <v>1021270.72184375</v>
      </c>
      <c r="S44" s="820">
        <f t="shared" si="15"/>
        <v>22987603.639899999</v>
      </c>
      <c r="U44" s="653">
        <f t="shared" si="17"/>
        <v>0.42739115283359891</v>
      </c>
      <c r="V44" s="654">
        <f t="shared" si="18"/>
        <v>0.16327158214999707</v>
      </c>
      <c r="W44" s="654">
        <f t="shared" si="19"/>
        <v>0.40933726501640388</v>
      </c>
      <c r="X44" s="655">
        <f t="shared" si="5"/>
        <v>0.59066273498359601</v>
      </c>
      <c r="Z44" s="1631">
        <f t="shared" si="6"/>
        <v>5.4210682832419907E-2</v>
      </c>
      <c r="AA44" s="1535">
        <f t="shared" si="7"/>
        <v>1.3623751518684285E-3</v>
      </c>
      <c r="AB44" s="1633">
        <f t="shared" si="8"/>
        <v>0.94442694201571165</v>
      </c>
      <c r="AD44" s="1631">
        <f t="shared" si="9"/>
        <v>0.49948100840400272</v>
      </c>
      <c r="AE44" s="1535">
        <f t="shared" si="10"/>
        <v>4.7056474813298903E-3</v>
      </c>
      <c r="AF44" s="1633">
        <f t="shared" si="11"/>
        <v>0.49581334411466743</v>
      </c>
    </row>
    <row r="45" spans="1:32">
      <c r="A45" s="767" t="s">
        <v>102</v>
      </c>
      <c r="B45" s="618" t="s">
        <v>282</v>
      </c>
      <c r="C45" s="768" t="s">
        <v>264</v>
      </c>
      <c r="D45" s="818">
        <f>'Administration LASER'!D44+'Other Oper Exp. LASER'!D44</f>
        <v>1059212.7200000002</v>
      </c>
      <c r="E45" s="819">
        <f>'Administration LASER'!E44+'Other Oper Exp. LASER'!E44</f>
        <v>525733.93000000005</v>
      </c>
      <c r="F45" s="819">
        <f>'Administration LASER'!K44+'Other Oper Exp. LASER'!K44</f>
        <v>591570.76</v>
      </c>
      <c r="G45" s="820">
        <f>'Administration LASER'!I44+'Other Oper Exp. LASER'!I44</f>
        <v>2176517.41</v>
      </c>
      <c r="H45" s="818">
        <f>'Client Services LASER'!D45</f>
        <v>67850.53</v>
      </c>
      <c r="I45" s="819">
        <f>'Client Services LASER'!E45</f>
        <v>55762.780000000006</v>
      </c>
      <c r="J45" s="819">
        <f>'Client Services LASER'!K45</f>
        <v>23844.99</v>
      </c>
      <c r="K45" s="820">
        <f>'Client Services LASER'!I45</f>
        <v>147458.29999999999</v>
      </c>
      <c r="L45" s="818">
        <f>'Benefits Spending LASER'!D45</f>
        <v>24102930.807799995</v>
      </c>
      <c r="M45" s="819">
        <f>'Benefits Spending LASER'!E45</f>
        <v>17708148.478966251</v>
      </c>
      <c r="N45" s="819">
        <f>'Benefits Spending LASER'!I45</f>
        <v>229734.16303375</v>
      </c>
      <c r="O45" s="820">
        <f t="shared" si="16"/>
        <v>42040813.4498</v>
      </c>
      <c r="P45" s="1622">
        <f t="shared" si="12"/>
        <v>25229994.057799995</v>
      </c>
      <c r="Q45" s="819">
        <f t="shared" si="13"/>
        <v>18289645.188966252</v>
      </c>
      <c r="R45" s="819">
        <f t="shared" si="14"/>
        <v>845149.91303375002</v>
      </c>
      <c r="S45" s="820">
        <f t="shared" si="15"/>
        <v>44364789.1598</v>
      </c>
      <c r="U45" s="653">
        <f t="shared" si="17"/>
        <v>0.48665483452300989</v>
      </c>
      <c r="V45" s="654">
        <f t="shared" si="18"/>
        <v>0.24154823094201669</v>
      </c>
      <c r="W45" s="654">
        <f t="shared" si="19"/>
        <v>0.27179693453497344</v>
      </c>
      <c r="X45" s="655">
        <f t="shared" si="5"/>
        <v>0.72820306546502667</v>
      </c>
      <c r="Z45" s="1631">
        <f t="shared" si="6"/>
        <v>4.9059568437489494E-2</v>
      </c>
      <c r="AA45" s="1535">
        <f t="shared" si="7"/>
        <v>3.3237687542898432E-3</v>
      </c>
      <c r="AB45" s="1633">
        <f t="shared" si="8"/>
        <v>0.94761666280822066</v>
      </c>
      <c r="AD45" s="1631">
        <f t="shared" si="9"/>
        <v>0.69995955850778913</v>
      </c>
      <c r="AE45" s="1535">
        <f t="shared" si="10"/>
        <v>2.8213917592922692E-2</v>
      </c>
      <c r="AF45" s="1633">
        <f t="shared" si="11"/>
        <v>0.27182652389928819</v>
      </c>
    </row>
    <row r="46" spans="1:32">
      <c r="A46" s="767" t="s">
        <v>104</v>
      </c>
      <c r="B46" s="618" t="s">
        <v>607</v>
      </c>
      <c r="C46" s="768" t="s">
        <v>265</v>
      </c>
      <c r="D46" s="818">
        <f>'Administration LASER'!D45+'Other Oper Exp. LASER'!D45</f>
        <v>1712799.23</v>
      </c>
      <c r="E46" s="819">
        <f>'Administration LASER'!E45+'Other Oper Exp. LASER'!E45</f>
        <v>805933.4</v>
      </c>
      <c r="F46" s="819">
        <f>'Administration LASER'!K45+'Other Oper Exp. LASER'!K45</f>
        <v>1062827.7200000002</v>
      </c>
      <c r="G46" s="820">
        <f>'Administration LASER'!I45+'Other Oper Exp. LASER'!I45</f>
        <v>3581560.3499999996</v>
      </c>
      <c r="H46" s="818">
        <f>'Client Services LASER'!D46</f>
        <v>40955.519999999997</v>
      </c>
      <c r="I46" s="819">
        <f>'Client Services LASER'!E46</f>
        <v>23902.93</v>
      </c>
      <c r="J46" s="819">
        <f>'Client Services LASER'!K46</f>
        <v>13609.110000000002</v>
      </c>
      <c r="K46" s="820">
        <f>'Client Services LASER'!I46</f>
        <v>78467.56</v>
      </c>
      <c r="L46" s="818">
        <f>'Benefits Spending LASER'!D46</f>
        <v>41193070.766566999</v>
      </c>
      <c r="M46" s="819">
        <f>'Benefits Spending LASER'!E46</f>
        <v>32203469.456342373</v>
      </c>
      <c r="N46" s="819">
        <f>'Benefits Spending LASER'!I46</f>
        <v>634722.51679062506</v>
      </c>
      <c r="O46" s="820">
        <f t="shared" si="16"/>
        <v>74031262.739700004</v>
      </c>
      <c r="P46" s="1622">
        <f t="shared" si="12"/>
        <v>42946825.516566999</v>
      </c>
      <c r="Q46" s="819">
        <f t="shared" si="13"/>
        <v>33033305.786342375</v>
      </c>
      <c r="R46" s="819">
        <f t="shared" si="14"/>
        <v>1711159.3467906252</v>
      </c>
      <c r="S46" s="820">
        <f t="shared" si="15"/>
        <v>77691290.649700001</v>
      </c>
      <c r="U46" s="653">
        <f t="shared" si="17"/>
        <v>0.47822710288827053</v>
      </c>
      <c r="V46" s="654">
        <f t="shared" si="18"/>
        <v>0.22502298474462398</v>
      </c>
      <c r="W46" s="654">
        <f t="shared" si="19"/>
        <v>0.29674991236710568</v>
      </c>
      <c r="X46" s="655">
        <f t="shared" si="5"/>
        <v>0.70325008763289443</v>
      </c>
      <c r="Z46" s="1631">
        <f t="shared" si="6"/>
        <v>4.6099895111136623E-2</v>
      </c>
      <c r="AA46" s="1535">
        <f t="shared" si="7"/>
        <v>1.0099917164949684E-3</v>
      </c>
      <c r="AB46" s="1633">
        <f t="shared" si="8"/>
        <v>0.95289011317236849</v>
      </c>
      <c r="AD46" s="1631">
        <f t="shared" si="9"/>
        <v>0.62111557406584772</v>
      </c>
      <c r="AE46" s="1535">
        <f t="shared" si="10"/>
        <v>7.9531517771998534E-3</v>
      </c>
      <c r="AF46" s="1633">
        <f t="shared" si="11"/>
        <v>0.37093127415695243</v>
      </c>
    </row>
    <row r="47" spans="1:32">
      <c r="A47" s="767" t="s">
        <v>108</v>
      </c>
      <c r="B47" s="618" t="s">
        <v>109</v>
      </c>
      <c r="C47" s="768" t="s">
        <v>266</v>
      </c>
      <c r="D47" s="818">
        <f>'Administration LASER'!D46+'Other Oper Exp. LASER'!D46</f>
        <v>1691954.67</v>
      </c>
      <c r="E47" s="819">
        <f>'Administration LASER'!E46+'Other Oper Exp. LASER'!E46</f>
        <v>569572.55000000005</v>
      </c>
      <c r="F47" s="819">
        <f>'Administration LASER'!K46+'Other Oper Exp. LASER'!K46</f>
        <v>1932834.29</v>
      </c>
      <c r="G47" s="820">
        <f>'Administration LASER'!I46+'Other Oper Exp. LASER'!I46</f>
        <v>4194361.51</v>
      </c>
      <c r="H47" s="818">
        <f>'Client Services LASER'!D47</f>
        <v>67458.16</v>
      </c>
      <c r="I47" s="819">
        <f>'Client Services LASER'!E47</f>
        <v>63805.369999999995</v>
      </c>
      <c r="J47" s="819">
        <f>'Client Services LASER'!K47</f>
        <v>21926.18</v>
      </c>
      <c r="K47" s="820">
        <f>'Client Services LASER'!I47</f>
        <v>153189.71000000002</v>
      </c>
      <c r="L47" s="818">
        <f>'Benefits Spending LASER'!D47</f>
        <v>37378871.790744998</v>
      </c>
      <c r="M47" s="819">
        <f>'Benefits Spending LASER'!E47</f>
        <v>29589395.197342504</v>
      </c>
      <c r="N47" s="819">
        <f>'Benefits Spending LASER'!I47</f>
        <v>1694766.3817125</v>
      </c>
      <c r="O47" s="820">
        <f t="shared" si="16"/>
        <v>68663033.369800001</v>
      </c>
      <c r="P47" s="1622">
        <f t="shared" si="12"/>
        <v>39138284.620744996</v>
      </c>
      <c r="Q47" s="819">
        <f t="shared" si="13"/>
        <v>30222773.117342506</v>
      </c>
      <c r="R47" s="819">
        <f t="shared" si="14"/>
        <v>3649526.8517124997</v>
      </c>
      <c r="S47" s="820">
        <f t="shared" si="15"/>
        <v>73010584.5898</v>
      </c>
      <c r="U47" s="653">
        <f t="shared" si="17"/>
        <v>0.40338789729166669</v>
      </c>
      <c r="V47" s="654">
        <f t="shared" si="18"/>
        <v>0.13579481612208483</v>
      </c>
      <c r="W47" s="654">
        <f t="shared" si="19"/>
        <v>0.46081728658624854</v>
      </c>
      <c r="X47" s="655">
        <f t="shared" si="5"/>
        <v>0.53918271341375146</v>
      </c>
      <c r="Z47" s="1631">
        <f t="shared" si="6"/>
        <v>5.7448677250914335E-2</v>
      </c>
      <c r="AA47" s="1535">
        <f t="shared" si="7"/>
        <v>2.0981849530540739E-3</v>
      </c>
      <c r="AB47" s="1633">
        <f t="shared" si="8"/>
        <v>0.94045313779603157</v>
      </c>
      <c r="AD47" s="1631">
        <f t="shared" si="9"/>
        <v>0.52961229456170167</v>
      </c>
      <c r="AE47" s="1535">
        <f t="shared" si="10"/>
        <v>6.0079514114854057E-3</v>
      </c>
      <c r="AF47" s="1633">
        <f t="shared" si="11"/>
        <v>0.46437975402681303</v>
      </c>
    </row>
    <row r="48" spans="1:32">
      <c r="A48" s="767" t="s">
        <v>110</v>
      </c>
      <c r="B48" s="618" t="s">
        <v>111</v>
      </c>
      <c r="C48" s="768" t="s">
        <v>266</v>
      </c>
      <c r="D48" s="818">
        <f>'Administration LASER'!D47+'Other Oper Exp. LASER'!D47</f>
        <v>5963370.6899999995</v>
      </c>
      <c r="E48" s="819">
        <f>'Administration LASER'!E47+'Other Oper Exp. LASER'!E47</f>
        <v>2318982.73</v>
      </c>
      <c r="F48" s="819">
        <f>'Administration LASER'!K47+'Other Oper Exp. LASER'!K47</f>
        <v>5516497.9799999995</v>
      </c>
      <c r="G48" s="820">
        <f>'Administration LASER'!I47+'Other Oper Exp. LASER'!I47</f>
        <v>13798851.4</v>
      </c>
      <c r="H48" s="818">
        <f>'Client Services LASER'!D48</f>
        <v>649218.05999999994</v>
      </c>
      <c r="I48" s="819">
        <f>'Client Services LASER'!E48</f>
        <v>1123077.0799999998</v>
      </c>
      <c r="J48" s="819">
        <f>'Client Services LASER'!K48</f>
        <v>351325.80999999994</v>
      </c>
      <c r="K48" s="820">
        <f>'Client Services LASER'!I48</f>
        <v>2123620.9499999997</v>
      </c>
      <c r="L48" s="818">
        <f>'Benefits Spending LASER'!D48</f>
        <v>195269493.07920897</v>
      </c>
      <c r="M48" s="819">
        <f>'Benefits Spending LASER'!E48</f>
        <v>140949190.95279288</v>
      </c>
      <c r="N48" s="819">
        <f>'Benefits Spending LASER'!I48</f>
        <v>3379055.7467981251</v>
      </c>
      <c r="O48" s="820">
        <f t="shared" si="16"/>
        <v>339597739.77879995</v>
      </c>
      <c r="P48" s="1622">
        <f t="shared" si="12"/>
        <v>201882081.82920897</v>
      </c>
      <c r="Q48" s="819">
        <f t="shared" si="13"/>
        <v>144391250.76279289</v>
      </c>
      <c r="R48" s="819">
        <f t="shared" si="14"/>
        <v>9246879.5367981233</v>
      </c>
      <c r="S48" s="820">
        <f t="shared" si="15"/>
        <v>355520212.12879997</v>
      </c>
      <c r="U48" s="653">
        <f t="shared" si="17"/>
        <v>0.4321642807168718</v>
      </c>
      <c r="V48" s="654">
        <f t="shared" si="18"/>
        <v>0.16805621444695026</v>
      </c>
      <c r="W48" s="654">
        <f t="shared" si="19"/>
        <v>0.39977950483617786</v>
      </c>
      <c r="X48" s="655">
        <f t="shared" si="5"/>
        <v>0.60022049516382214</v>
      </c>
      <c r="Z48" s="1631">
        <f t="shared" si="6"/>
        <v>3.8813127718884434E-2</v>
      </c>
      <c r="AA48" s="1535">
        <f t="shared" si="7"/>
        <v>5.9732776859129505E-3</v>
      </c>
      <c r="AB48" s="1633">
        <f t="shared" si="8"/>
        <v>0.9552135945952025</v>
      </c>
      <c r="AD48" s="1631">
        <f t="shared" si="9"/>
        <v>0.59657941449837182</v>
      </c>
      <c r="AE48" s="1535">
        <f t="shared" si="10"/>
        <v>3.7993985819961489E-2</v>
      </c>
      <c r="AF48" s="1633">
        <f t="shared" si="11"/>
        <v>0.36542659968166691</v>
      </c>
    </row>
    <row r="49" spans="1:32">
      <c r="A49" s="767" t="s">
        <v>112</v>
      </c>
      <c r="B49" s="618" t="s">
        <v>300</v>
      </c>
      <c r="C49" s="768" t="s">
        <v>265</v>
      </c>
      <c r="D49" s="818">
        <f>'Administration LASER'!D48+'Other Oper Exp. LASER'!D48</f>
        <v>2410288.92</v>
      </c>
      <c r="E49" s="819">
        <f>'Administration LASER'!E48+'Other Oper Exp. LASER'!E48</f>
        <v>1263158.6499999999</v>
      </c>
      <c r="F49" s="819">
        <f>'Administration LASER'!K48+'Other Oper Exp. LASER'!K48</f>
        <v>831736.64</v>
      </c>
      <c r="G49" s="820">
        <f>'Administration LASER'!I48+'Other Oper Exp. LASER'!I48</f>
        <v>4505184.21</v>
      </c>
      <c r="H49" s="818">
        <f>'Client Services LASER'!D49</f>
        <v>166928.93999999997</v>
      </c>
      <c r="I49" s="819">
        <f>'Client Services LASER'!E49</f>
        <v>121540.02</v>
      </c>
      <c r="J49" s="819">
        <f>'Client Services LASER'!K49</f>
        <v>56387.650000000009</v>
      </c>
      <c r="K49" s="820">
        <f>'Client Services LASER'!I49</f>
        <v>344856.60999999993</v>
      </c>
      <c r="L49" s="818">
        <f>'Benefits Spending LASER'!D49</f>
        <v>86228298.043373004</v>
      </c>
      <c r="M49" s="819">
        <f>'Benefits Spending LASER'!E49</f>
        <v>60658188.654288255</v>
      </c>
      <c r="N49" s="819">
        <f>'Benefits Spending LASER'!I49</f>
        <v>398686.04173874995</v>
      </c>
      <c r="O49" s="820">
        <f t="shared" si="16"/>
        <v>147285172.7394</v>
      </c>
      <c r="P49" s="1622">
        <f t="shared" si="12"/>
        <v>88805515.903373003</v>
      </c>
      <c r="Q49" s="819">
        <f t="shared" si="13"/>
        <v>62042887.324288256</v>
      </c>
      <c r="R49" s="819">
        <f t="shared" si="14"/>
        <v>1286810.33173875</v>
      </c>
      <c r="S49" s="820">
        <f t="shared" si="15"/>
        <v>152135213.55939999</v>
      </c>
      <c r="U49" s="653">
        <f t="shared" si="17"/>
        <v>0.53500341110358285</v>
      </c>
      <c r="V49" s="654">
        <f t="shared" si="18"/>
        <v>0.28037891263052256</v>
      </c>
      <c r="W49" s="654">
        <f t="shared" si="19"/>
        <v>0.18461767626589459</v>
      </c>
      <c r="X49" s="655">
        <f t="shared" si="5"/>
        <v>0.81538232373410535</v>
      </c>
      <c r="Z49" s="1631">
        <f t="shared" si="6"/>
        <v>2.9613027152592692E-2</v>
      </c>
      <c r="AA49" s="1535">
        <f t="shared" si="7"/>
        <v>2.2667770461002007E-3</v>
      </c>
      <c r="AB49" s="1633">
        <f t="shared" si="8"/>
        <v>0.96812019580130715</v>
      </c>
      <c r="AD49" s="1631">
        <f t="shared" si="9"/>
        <v>0.64635527045866181</v>
      </c>
      <c r="AE49" s="1535">
        <f t="shared" si="10"/>
        <v>4.3819705677843365E-2</v>
      </c>
      <c r="AF49" s="1633">
        <f t="shared" si="11"/>
        <v>0.30982502386349486</v>
      </c>
    </row>
    <row r="50" spans="1:32">
      <c r="A50" s="767" t="s">
        <v>114</v>
      </c>
      <c r="B50" s="618" t="s">
        <v>115</v>
      </c>
      <c r="C50" s="768" t="s">
        <v>265</v>
      </c>
      <c r="D50" s="818">
        <f>'Administration LASER'!D49+'Other Oper Exp. LASER'!D49</f>
        <v>149886.5</v>
      </c>
      <c r="E50" s="819">
        <f>'Administration LASER'!E49+'Other Oper Exp. LASER'!E49</f>
        <v>55023.63</v>
      </c>
      <c r="F50" s="819">
        <f>'Administration LASER'!K49+'Other Oper Exp. LASER'!K49</f>
        <v>125435.95000000001</v>
      </c>
      <c r="G50" s="820">
        <f>'Administration LASER'!I49+'Other Oper Exp. LASER'!I49</f>
        <v>330346.08</v>
      </c>
      <c r="H50" s="818">
        <f>'Client Services LASER'!D50</f>
        <v>18230.37</v>
      </c>
      <c r="I50" s="819">
        <f>'Client Services LASER'!E50</f>
        <v>1622.95</v>
      </c>
      <c r="J50" s="819">
        <f>'Client Services LASER'!K50</f>
        <v>4118.12</v>
      </c>
      <c r="K50" s="820">
        <f>'Client Services LASER'!I50</f>
        <v>23971.439999999999</v>
      </c>
      <c r="L50" s="818">
        <f>'Benefits Spending LASER'!D50</f>
        <v>1218075.2898999997</v>
      </c>
      <c r="M50" s="819">
        <f>'Benefits Spending LASER'!E50</f>
        <v>993467.27510999981</v>
      </c>
      <c r="N50" s="819">
        <f>'Benefits Spending LASER'!I50</f>
        <v>14807.214989999999</v>
      </c>
      <c r="O50" s="820">
        <f t="shared" si="16"/>
        <v>2226349.7799999993</v>
      </c>
      <c r="P50" s="1622">
        <f t="shared" si="12"/>
        <v>1386192.1598999999</v>
      </c>
      <c r="Q50" s="819">
        <f t="shared" si="13"/>
        <v>1050113.8551099999</v>
      </c>
      <c r="R50" s="819">
        <f t="shared" si="14"/>
        <v>144361.28499000001</v>
      </c>
      <c r="S50" s="820">
        <f t="shared" si="15"/>
        <v>2580667.2999999993</v>
      </c>
      <c r="U50" s="653">
        <f t="shared" si="17"/>
        <v>0.45372568065587454</v>
      </c>
      <c r="V50" s="654">
        <f t="shared" si="18"/>
        <v>0.16656359294470816</v>
      </c>
      <c r="W50" s="654">
        <f t="shared" si="19"/>
        <v>0.37971072639941728</v>
      </c>
      <c r="X50" s="655">
        <f t="shared" si="5"/>
        <v>0.62028927360058272</v>
      </c>
      <c r="Z50" s="1631">
        <f t="shared" si="6"/>
        <v>0.12800800785130267</v>
      </c>
      <c r="AA50" s="1535">
        <f t="shared" si="7"/>
        <v>9.2888533132496412E-3</v>
      </c>
      <c r="AB50" s="1633">
        <f t="shared" si="8"/>
        <v>0.86270313883544769</v>
      </c>
      <c r="AD50" s="1631">
        <f t="shared" si="9"/>
        <v>0.86890297498175517</v>
      </c>
      <c r="AE50" s="1535">
        <f t="shared" si="10"/>
        <v>2.8526484786314171E-2</v>
      </c>
      <c r="AF50" s="1633">
        <f t="shared" si="11"/>
        <v>0.10257054023193062</v>
      </c>
    </row>
    <row r="51" spans="1:32">
      <c r="A51" s="767" t="s">
        <v>118</v>
      </c>
      <c r="B51" s="618" t="s">
        <v>119</v>
      </c>
      <c r="C51" s="768" t="s">
        <v>264</v>
      </c>
      <c r="D51" s="818">
        <f>'Administration LASER'!D50+'Other Oper Exp. LASER'!D50</f>
        <v>1189329.71</v>
      </c>
      <c r="E51" s="819">
        <f>'Administration LASER'!E50+'Other Oper Exp. LASER'!E50</f>
        <v>514990.64</v>
      </c>
      <c r="F51" s="819">
        <f>'Administration LASER'!K50+'Other Oper Exp. LASER'!K50</f>
        <v>932430.01</v>
      </c>
      <c r="G51" s="820">
        <f>'Administration LASER'!I50+'Other Oper Exp. LASER'!I50</f>
        <v>2636750.3600000003</v>
      </c>
      <c r="H51" s="818">
        <f>'Client Services LASER'!D51</f>
        <v>59231.45</v>
      </c>
      <c r="I51" s="819">
        <f>'Client Services LASER'!E51</f>
        <v>20580.28</v>
      </c>
      <c r="J51" s="819">
        <f>'Client Services LASER'!K51</f>
        <v>21382.42</v>
      </c>
      <c r="K51" s="820">
        <f>'Client Services LASER'!I51</f>
        <v>101194.15</v>
      </c>
      <c r="L51" s="818">
        <f>'Benefits Spending LASER'!D51</f>
        <v>22519929.785557002</v>
      </c>
      <c r="M51" s="819">
        <f>'Benefits Spending LASER'!E51</f>
        <v>16244081.554112125</v>
      </c>
      <c r="N51" s="819">
        <f>'Benefits Spending LASER'!I51</f>
        <v>203625.20023087499</v>
      </c>
      <c r="O51" s="820">
        <f t="shared" si="16"/>
        <v>38967636.539899997</v>
      </c>
      <c r="P51" s="1622">
        <f t="shared" si="12"/>
        <v>23768490.945557002</v>
      </c>
      <c r="Q51" s="819">
        <f t="shared" si="13"/>
        <v>16779652.474112127</v>
      </c>
      <c r="R51" s="819">
        <f t="shared" si="14"/>
        <v>1157437.630230875</v>
      </c>
      <c r="S51" s="820">
        <f t="shared" si="15"/>
        <v>41705581.049899995</v>
      </c>
      <c r="U51" s="653">
        <f t="shared" si="17"/>
        <v>0.4510588973618268</v>
      </c>
      <c r="V51" s="654">
        <f t="shared" si="18"/>
        <v>0.19531262716884581</v>
      </c>
      <c r="W51" s="654">
        <f t="shared" si="19"/>
        <v>0.3536284754693273</v>
      </c>
      <c r="X51" s="655">
        <f t="shared" si="5"/>
        <v>0.64637152453067259</v>
      </c>
      <c r="Z51" s="1631">
        <f t="shared" si="6"/>
        <v>6.3222961858394322E-2</v>
      </c>
      <c r="AA51" s="1535">
        <f t="shared" si="7"/>
        <v>2.4263934814605023E-3</v>
      </c>
      <c r="AB51" s="1633">
        <f t="shared" si="8"/>
        <v>0.93435064466014528</v>
      </c>
      <c r="AD51" s="1631">
        <f t="shared" si="9"/>
        <v>0.80559849243367654</v>
      </c>
      <c r="AE51" s="1535">
        <f t="shared" si="10"/>
        <v>1.8473928479182788E-2</v>
      </c>
      <c r="AF51" s="1633">
        <f t="shared" si="11"/>
        <v>0.17592757908714071</v>
      </c>
    </row>
    <row r="52" spans="1:32">
      <c r="A52" s="767" t="s">
        <v>120</v>
      </c>
      <c r="B52" s="618" t="s">
        <v>121</v>
      </c>
      <c r="C52" s="768" t="s">
        <v>264</v>
      </c>
      <c r="D52" s="818">
        <f>'Administration LASER'!D51+'Other Oper Exp. LASER'!D51</f>
        <v>1581708.7000000002</v>
      </c>
      <c r="E52" s="819">
        <f>'Administration LASER'!E51+'Other Oper Exp. LASER'!E51</f>
        <v>584577.18000000005</v>
      </c>
      <c r="F52" s="819">
        <f>'Administration LASER'!K51+'Other Oper Exp. LASER'!K51</f>
        <v>1972964.4699999997</v>
      </c>
      <c r="G52" s="820">
        <f>'Administration LASER'!I51+'Other Oper Exp. LASER'!I51</f>
        <v>4139250.3500000006</v>
      </c>
      <c r="H52" s="818">
        <f>'Client Services LASER'!D52</f>
        <v>53672.08</v>
      </c>
      <c r="I52" s="819">
        <f>'Client Services LASER'!E52</f>
        <v>56081.070000000007</v>
      </c>
      <c r="J52" s="819">
        <f>'Client Services LASER'!K52</f>
        <v>30875.359999999997</v>
      </c>
      <c r="K52" s="820">
        <f>'Client Services LASER'!I52</f>
        <v>140628.51</v>
      </c>
      <c r="L52" s="818">
        <f>'Benefits Spending LASER'!D52</f>
        <v>22971485.585063007</v>
      </c>
      <c r="M52" s="819">
        <f>'Benefits Spending LASER'!E52</f>
        <v>15178973.272353876</v>
      </c>
      <c r="N52" s="819">
        <f>'Benefits Spending LASER'!I52</f>
        <v>295184.32248312503</v>
      </c>
      <c r="O52" s="820">
        <f t="shared" si="16"/>
        <v>38445643.179900005</v>
      </c>
      <c r="P52" s="1622">
        <f t="shared" si="12"/>
        <v>24606866.365063008</v>
      </c>
      <c r="Q52" s="819">
        <f t="shared" si="13"/>
        <v>15819631.522353876</v>
      </c>
      <c r="R52" s="819">
        <f t="shared" si="14"/>
        <v>2299024.1524831248</v>
      </c>
      <c r="S52" s="820">
        <f t="shared" si="15"/>
        <v>42725522.039900005</v>
      </c>
      <c r="U52" s="653">
        <f t="shared" si="17"/>
        <v>0.38212443468175344</v>
      </c>
      <c r="V52" s="654">
        <f t="shared" si="18"/>
        <v>0.14122779019635764</v>
      </c>
      <c r="W52" s="654">
        <f t="shared" si="19"/>
        <v>0.47664777512188877</v>
      </c>
      <c r="X52" s="655">
        <f t="shared" si="5"/>
        <v>0.52335222487811106</v>
      </c>
      <c r="Z52" s="1631">
        <f t="shared" si="6"/>
        <v>9.6880041538977252E-2</v>
      </c>
      <c r="AA52" s="1535">
        <f t="shared" si="7"/>
        <v>3.291440415138088E-3</v>
      </c>
      <c r="AB52" s="1633">
        <f t="shared" si="8"/>
        <v>0.89982851804588471</v>
      </c>
      <c r="AD52" s="1631">
        <f t="shared" si="9"/>
        <v>0.85817474682423178</v>
      </c>
      <c r="AE52" s="1535">
        <f t="shared" si="10"/>
        <v>1.3429767567536083E-2</v>
      </c>
      <c r="AF52" s="1633">
        <f t="shared" si="11"/>
        <v>0.12839548560823208</v>
      </c>
    </row>
    <row r="53" spans="1:32">
      <c r="A53" s="767" t="s">
        <v>122</v>
      </c>
      <c r="B53" s="618" t="s">
        <v>271</v>
      </c>
      <c r="C53" s="768" t="s">
        <v>266</v>
      </c>
      <c r="D53" s="818">
        <f>'Administration LASER'!D52+'Other Oper Exp. LASER'!D52</f>
        <v>453462.58</v>
      </c>
      <c r="E53" s="819">
        <f>'Administration LASER'!E52+'Other Oper Exp. LASER'!E52</f>
        <v>189962.37</v>
      </c>
      <c r="F53" s="819">
        <f>'Administration LASER'!K52+'Other Oper Exp. LASER'!K52</f>
        <v>354790.14</v>
      </c>
      <c r="G53" s="820">
        <f>'Administration LASER'!I52+'Other Oper Exp. LASER'!I52</f>
        <v>998215.08999999985</v>
      </c>
      <c r="H53" s="818">
        <f>'Client Services LASER'!D53</f>
        <v>18882.48</v>
      </c>
      <c r="I53" s="819">
        <f>'Client Services LASER'!E53</f>
        <v>6031.88</v>
      </c>
      <c r="J53" s="819">
        <f>'Client Services LASER'!K53</f>
        <v>4403.5999999999995</v>
      </c>
      <c r="K53" s="820">
        <f>'Client Services LASER'!I53</f>
        <v>29317.960000000003</v>
      </c>
      <c r="L53" s="818">
        <f>'Benefits Spending LASER'!D53</f>
        <v>6480621.7084029997</v>
      </c>
      <c r="M53" s="819">
        <f>'Benefits Spending LASER'!E53</f>
        <v>4755380.9446819993</v>
      </c>
      <c r="N53" s="819">
        <f>'Benefits Spending LASER'!I53</f>
        <v>149755.816915</v>
      </c>
      <c r="O53" s="820">
        <f t="shared" si="16"/>
        <v>11385758.469999999</v>
      </c>
      <c r="P53" s="1622">
        <f t="shared" si="12"/>
        <v>6952966.7684029993</v>
      </c>
      <c r="Q53" s="819">
        <f t="shared" si="13"/>
        <v>4951375.1946819993</v>
      </c>
      <c r="R53" s="819">
        <f t="shared" si="14"/>
        <v>508949.55691499996</v>
      </c>
      <c r="S53" s="820">
        <f t="shared" si="15"/>
        <v>12413291.52</v>
      </c>
      <c r="U53" s="653">
        <f t="shared" si="17"/>
        <v>0.45427341716503211</v>
      </c>
      <c r="V53" s="654">
        <f t="shared" si="18"/>
        <v>0.19030204201781806</v>
      </c>
      <c r="W53" s="654">
        <f t="shared" si="19"/>
        <v>0.35542454081715003</v>
      </c>
      <c r="X53" s="655">
        <f t="shared" si="5"/>
        <v>0.64457545918285009</v>
      </c>
      <c r="Z53" s="1631">
        <f t="shared" si="6"/>
        <v>8.0415020334590512E-2</v>
      </c>
      <c r="AA53" s="1535">
        <f t="shared" si="7"/>
        <v>2.3618199856793505E-3</v>
      </c>
      <c r="AB53" s="1633">
        <f t="shared" si="8"/>
        <v>0.91722315967973012</v>
      </c>
      <c r="AD53" s="1631">
        <f t="shared" si="9"/>
        <v>0.69710275837661018</v>
      </c>
      <c r="AE53" s="1535">
        <f t="shared" si="10"/>
        <v>8.6523309435466277E-3</v>
      </c>
      <c r="AF53" s="1633">
        <f t="shared" si="11"/>
        <v>0.29424491067984332</v>
      </c>
    </row>
    <row r="54" spans="1:32">
      <c r="A54" s="767" t="s">
        <v>124</v>
      </c>
      <c r="B54" s="618" t="s">
        <v>125</v>
      </c>
      <c r="C54" s="768" t="s">
        <v>267</v>
      </c>
      <c r="D54" s="818">
        <f>'Administration LASER'!D53+'Other Oper Exp. LASER'!D53</f>
        <v>673929.97</v>
      </c>
      <c r="E54" s="819">
        <f>'Administration LASER'!E53+'Other Oper Exp. LASER'!E53</f>
        <v>236704.02</v>
      </c>
      <c r="F54" s="819">
        <f>'Administration LASER'!K53+'Other Oper Exp. LASER'!K53</f>
        <v>800458.91999999993</v>
      </c>
      <c r="G54" s="820">
        <f>'Administration LASER'!I53+'Other Oper Exp. LASER'!I53</f>
        <v>1711092.91</v>
      </c>
      <c r="H54" s="818">
        <f>'Client Services LASER'!D54</f>
        <v>33559.94</v>
      </c>
      <c r="I54" s="819">
        <f>'Client Services LASER'!E54</f>
        <v>16819.059999999998</v>
      </c>
      <c r="J54" s="819">
        <f>'Client Services LASER'!K54</f>
        <v>8626.4600000000009</v>
      </c>
      <c r="K54" s="820">
        <f>'Client Services LASER'!I54</f>
        <v>59005.460000000006</v>
      </c>
      <c r="L54" s="818">
        <f>'Benefits Spending LASER'!D54</f>
        <v>13834432.829569001</v>
      </c>
      <c r="M54" s="819">
        <f>'Benefits Spending LASER'!E54</f>
        <v>9679695.0460678749</v>
      </c>
      <c r="N54" s="819">
        <f>'Benefits Spending LASER'!I54</f>
        <v>807878.81426312495</v>
      </c>
      <c r="O54" s="820">
        <f t="shared" si="16"/>
        <v>24322006.6899</v>
      </c>
      <c r="P54" s="1622">
        <f t="shared" si="12"/>
        <v>14541922.739569001</v>
      </c>
      <c r="Q54" s="819">
        <f t="shared" si="13"/>
        <v>9933218.126067875</v>
      </c>
      <c r="R54" s="819">
        <f t="shared" si="14"/>
        <v>1616964.1942631248</v>
      </c>
      <c r="S54" s="820">
        <f t="shared" si="15"/>
        <v>26092105.059900001</v>
      </c>
      <c r="U54" s="653">
        <f t="shared" si="17"/>
        <v>0.39385936675992655</v>
      </c>
      <c r="V54" s="654">
        <f t="shared" si="18"/>
        <v>0.13833498965289967</v>
      </c>
      <c r="W54" s="654">
        <f t="shared" si="19"/>
        <v>0.46780564358717375</v>
      </c>
      <c r="X54" s="655">
        <f t="shared" si="5"/>
        <v>0.53219435641282631</v>
      </c>
      <c r="Z54" s="1631">
        <f t="shared" si="6"/>
        <v>6.5578952180049124E-2</v>
      </c>
      <c r="AA54" s="1535">
        <f t="shared" si="7"/>
        <v>2.2614296494874739E-3</v>
      </c>
      <c r="AB54" s="1633">
        <f t="shared" si="8"/>
        <v>0.93215961817046333</v>
      </c>
      <c r="AD54" s="1631">
        <f t="shared" si="9"/>
        <v>0.49503812319405205</v>
      </c>
      <c r="AE54" s="1535">
        <f t="shared" si="10"/>
        <v>5.3349728031121986E-3</v>
      </c>
      <c r="AF54" s="1633">
        <f t="shared" si="11"/>
        <v>0.49962690400283577</v>
      </c>
    </row>
    <row r="55" spans="1:32">
      <c r="A55" s="767" t="s">
        <v>126</v>
      </c>
      <c r="B55" s="618" t="s">
        <v>127</v>
      </c>
      <c r="C55" s="768" t="s">
        <v>266</v>
      </c>
      <c r="D55" s="818">
        <f>'Administration LASER'!D54+'Other Oper Exp. LASER'!D54</f>
        <v>404622.88</v>
      </c>
      <c r="E55" s="819">
        <f>'Administration LASER'!E54+'Other Oper Exp. LASER'!E54</f>
        <v>168678.53</v>
      </c>
      <c r="F55" s="819">
        <f>'Administration LASER'!K54+'Other Oper Exp. LASER'!K54</f>
        <v>338571.55000000005</v>
      </c>
      <c r="G55" s="820">
        <f>'Administration LASER'!I54+'Other Oper Exp. LASER'!I54</f>
        <v>911872.96</v>
      </c>
      <c r="H55" s="818">
        <f>'Client Services LASER'!D55</f>
        <v>29990.2</v>
      </c>
      <c r="I55" s="819">
        <f>'Client Services LASER'!E55</f>
        <v>30148.730000000003</v>
      </c>
      <c r="J55" s="819">
        <f>'Client Services LASER'!K55</f>
        <v>8108.13</v>
      </c>
      <c r="K55" s="820">
        <f>'Client Services LASER'!I55</f>
        <v>68247.06</v>
      </c>
      <c r="L55" s="818">
        <f>'Benefits Spending LASER'!D55</f>
        <v>9230877.593305001</v>
      </c>
      <c r="M55" s="819">
        <f>'Benefits Spending LASER'!E55</f>
        <v>6381524.2394387498</v>
      </c>
      <c r="N55" s="819">
        <f>'Benefits Spending LASER'!I55</f>
        <v>385808.20715625002</v>
      </c>
      <c r="O55" s="820">
        <f t="shared" si="16"/>
        <v>15998210.039900001</v>
      </c>
      <c r="P55" s="1622">
        <f t="shared" si="12"/>
        <v>9665490.6733050011</v>
      </c>
      <c r="Q55" s="819">
        <f t="shared" si="13"/>
        <v>6580351.4994387496</v>
      </c>
      <c r="R55" s="819">
        <f t="shared" si="14"/>
        <v>732487.88715625007</v>
      </c>
      <c r="S55" s="820">
        <f t="shared" si="15"/>
        <v>16978330.059900001</v>
      </c>
      <c r="U55" s="653">
        <f t="shared" si="17"/>
        <v>0.44372724902381139</v>
      </c>
      <c r="V55" s="654">
        <f t="shared" si="18"/>
        <v>0.18498029593946946</v>
      </c>
      <c r="W55" s="654">
        <f t="shared" si="19"/>
        <v>0.3712924550367192</v>
      </c>
      <c r="X55" s="655">
        <f t="shared" si="5"/>
        <v>0.62870754496328096</v>
      </c>
      <c r="Z55" s="1631">
        <f t="shared" si="6"/>
        <v>5.3708047657389617E-2</v>
      </c>
      <c r="AA55" s="1535">
        <f t="shared" si="7"/>
        <v>4.0196568071902564E-3</v>
      </c>
      <c r="AB55" s="1633">
        <f t="shared" si="8"/>
        <v>0.94227229553542013</v>
      </c>
      <c r="AD55" s="1631">
        <f t="shared" si="9"/>
        <v>0.46222136357017729</v>
      </c>
      <c r="AE55" s="1535">
        <f t="shared" si="10"/>
        <v>1.1069302499292279E-2</v>
      </c>
      <c r="AF55" s="1633">
        <f t="shared" si="11"/>
        <v>0.52670933393053043</v>
      </c>
    </row>
    <row r="56" spans="1:32">
      <c r="A56" s="767" t="s">
        <v>128</v>
      </c>
      <c r="B56" s="618" t="s">
        <v>129</v>
      </c>
      <c r="C56" s="768" t="s">
        <v>266</v>
      </c>
      <c r="D56" s="818">
        <f>'Administration LASER'!D55+'Other Oper Exp. LASER'!D55</f>
        <v>591795.43999999994</v>
      </c>
      <c r="E56" s="819">
        <f>'Administration LASER'!E55+'Other Oper Exp. LASER'!E55</f>
        <v>291338.45</v>
      </c>
      <c r="F56" s="819">
        <f>'Administration LASER'!K55+'Other Oper Exp. LASER'!K55</f>
        <v>335480.25</v>
      </c>
      <c r="G56" s="820">
        <f>'Administration LASER'!I55+'Other Oper Exp. LASER'!I55</f>
        <v>1218614.1399999999</v>
      </c>
      <c r="H56" s="818">
        <f>'Client Services LASER'!D56</f>
        <v>3986.6099999999997</v>
      </c>
      <c r="I56" s="819">
        <f>'Client Services LASER'!E56</f>
        <v>606.97</v>
      </c>
      <c r="J56" s="819">
        <f>'Client Services LASER'!K56</f>
        <v>5009.3499999999995</v>
      </c>
      <c r="K56" s="820">
        <f>'Client Services LASER'!I56</f>
        <v>9602.93</v>
      </c>
      <c r="L56" s="818">
        <f>'Benefits Spending LASER'!D56</f>
        <v>9189207.8430580031</v>
      </c>
      <c r="M56" s="819">
        <f>'Benefits Spending LASER'!E56</f>
        <v>6698625.6604944998</v>
      </c>
      <c r="N56" s="819">
        <f>'Benefits Spending LASER'!I56</f>
        <v>435804.72634749999</v>
      </c>
      <c r="O56" s="820">
        <f t="shared" si="16"/>
        <v>16323638.229900004</v>
      </c>
      <c r="P56" s="1622">
        <f t="shared" si="12"/>
        <v>9784989.8930580039</v>
      </c>
      <c r="Q56" s="819">
        <f t="shared" si="13"/>
        <v>6990571.0804944998</v>
      </c>
      <c r="R56" s="819">
        <f t="shared" si="14"/>
        <v>776294.32634749997</v>
      </c>
      <c r="S56" s="820">
        <f t="shared" si="15"/>
        <v>17551855.299900003</v>
      </c>
      <c r="U56" s="653">
        <f t="shared" si="17"/>
        <v>0.4856298811697688</v>
      </c>
      <c r="V56" s="654">
        <f t="shared" si="18"/>
        <v>0.23907358403046269</v>
      </c>
      <c r="W56" s="654">
        <f t="shared" si="19"/>
        <v>0.27529653479976857</v>
      </c>
      <c r="X56" s="655">
        <f t="shared" si="5"/>
        <v>0.72470346520023143</v>
      </c>
      <c r="Z56" s="1631">
        <f t="shared" si="6"/>
        <v>6.9429363402223498E-2</v>
      </c>
      <c r="AA56" s="1535">
        <f t="shared" si="7"/>
        <v>5.4711765998063521E-4</v>
      </c>
      <c r="AB56" s="1633">
        <f t="shared" si="8"/>
        <v>0.93002351893779589</v>
      </c>
      <c r="AD56" s="1631">
        <f t="shared" si="9"/>
        <v>0.43215599884447153</v>
      </c>
      <c r="AE56" s="1535">
        <f t="shared" si="10"/>
        <v>6.452900439926205E-3</v>
      </c>
      <c r="AF56" s="1633">
        <f t="shared" si="11"/>
        <v>0.56139110071560228</v>
      </c>
    </row>
    <row r="57" spans="1:32">
      <c r="A57" s="767" t="s">
        <v>130</v>
      </c>
      <c r="B57" s="618" t="s">
        <v>131</v>
      </c>
      <c r="C57" s="768" t="s">
        <v>268</v>
      </c>
      <c r="D57" s="818">
        <f>'Administration LASER'!D56+'Other Oper Exp. LASER'!D56</f>
        <v>1665720.53</v>
      </c>
      <c r="E57" s="819">
        <f>'Administration LASER'!E56+'Other Oper Exp. LASER'!E56</f>
        <v>857489.02</v>
      </c>
      <c r="F57" s="819">
        <f>'Administration LASER'!K56+'Other Oper Exp. LASER'!K56</f>
        <v>664658.34</v>
      </c>
      <c r="G57" s="820">
        <f>'Administration LASER'!I56+'Other Oper Exp. LASER'!I56</f>
        <v>3187867.8900000006</v>
      </c>
      <c r="H57" s="818">
        <f>'Client Services LASER'!D57</f>
        <v>165347.65000000002</v>
      </c>
      <c r="I57" s="819">
        <f>'Client Services LASER'!E57</f>
        <v>123805.62</v>
      </c>
      <c r="J57" s="819">
        <f>'Client Services LASER'!K57</f>
        <v>55899.41</v>
      </c>
      <c r="K57" s="820">
        <f>'Client Services LASER'!I57</f>
        <v>345052.68</v>
      </c>
      <c r="L57" s="818">
        <f>'Benefits Spending LASER'!D57</f>
        <v>33861257.677270994</v>
      </c>
      <c r="M57" s="819">
        <f>'Benefits Spending LASER'!E57</f>
        <v>25172057.711529002</v>
      </c>
      <c r="N57" s="819">
        <f>'Benefits Spending LASER'!I57</f>
        <v>314081.391</v>
      </c>
      <c r="O57" s="820">
        <f t="shared" si="16"/>
        <v>59347396.779799998</v>
      </c>
      <c r="P57" s="1622">
        <f t="shared" si="12"/>
        <v>35692325.857270993</v>
      </c>
      <c r="Q57" s="819">
        <f t="shared" si="13"/>
        <v>26153352.351529002</v>
      </c>
      <c r="R57" s="819">
        <f t="shared" si="14"/>
        <v>1034639.1410000001</v>
      </c>
      <c r="S57" s="820">
        <f t="shared" si="15"/>
        <v>62880317.349799998</v>
      </c>
      <c r="U57" s="653">
        <f t="shared" si="17"/>
        <v>0.52251868254176614</v>
      </c>
      <c r="V57" s="654">
        <f t="shared" si="18"/>
        <v>0.26898511782431483</v>
      </c>
      <c r="W57" s="654">
        <f t="shared" si="19"/>
        <v>0.20849619963391891</v>
      </c>
      <c r="X57" s="655">
        <f t="shared" si="5"/>
        <v>0.79150380036608081</v>
      </c>
      <c r="Z57" s="1631">
        <f t="shared" si="6"/>
        <v>5.069738869583075E-2</v>
      </c>
      <c r="AA57" s="1535">
        <f t="shared" si="7"/>
        <v>5.4874513129520254E-3</v>
      </c>
      <c r="AB57" s="1633">
        <f t="shared" si="8"/>
        <v>0.94381515999121723</v>
      </c>
      <c r="AD57" s="1631">
        <f t="shared" si="9"/>
        <v>0.64240594972812837</v>
      </c>
      <c r="AE57" s="1535">
        <f t="shared" si="10"/>
        <v>5.402792895112403E-2</v>
      </c>
      <c r="AF57" s="1633">
        <f t="shared" si="11"/>
        <v>0.30356612132074751</v>
      </c>
    </row>
    <row r="58" spans="1:32">
      <c r="A58" s="767" t="s">
        <v>132</v>
      </c>
      <c r="B58" s="618" t="s">
        <v>133</v>
      </c>
      <c r="C58" s="768" t="s">
        <v>267</v>
      </c>
      <c r="D58" s="818">
        <f>'Administration LASER'!D57+'Other Oper Exp. LASER'!D57</f>
        <v>4072669.04</v>
      </c>
      <c r="E58" s="819">
        <f>'Administration LASER'!E57+'Other Oper Exp. LASER'!E57</f>
        <v>877969.82</v>
      </c>
      <c r="F58" s="819">
        <f>'Administration LASER'!K57+'Other Oper Exp. LASER'!K57</f>
        <v>7383893.3600000003</v>
      </c>
      <c r="G58" s="820">
        <f>'Administration LASER'!I57+'Other Oper Exp. LASER'!I57</f>
        <v>12334532.219999999</v>
      </c>
      <c r="H58" s="818">
        <f>'Client Services LASER'!D58</f>
        <v>198184.79999999996</v>
      </c>
      <c r="I58" s="819">
        <f>'Client Services LASER'!E58</f>
        <v>238009.8</v>
      </c>
      <c r="J58" s="819">
        <f>'Client Services LASER'!K58</f>
        <v>955701.94000000006</v>
      </c>
      <c r="K58" s="820">
        <f>'Client Services LASER'!I58</f>
        <v>1391896.54</v>
      </c>
      <c r="L58" s="818">
        <f>'Benefits Spending LASER'!D58</f>
        <v>71722851.629685</v>
      </c>
      <c r="M58" s="819">
        <f>'Benefits Spending LASER'!E58</f>
        <v>56702272.819160752</v>
      </c>
      <c r="N58" s="819">
        <f>'Benefits Spending LASER'!I58</f>
        <v>2595414.4007542497</v>
      </c>
      <c r="O58" s="820">
        <f t="shared" si="16"/>
        <v>131020538.84959999</v>
      </c>
      <c r="P58" s="1622">
        <f t="shared" si="12"/>
        <v>75993705.469685003</v>
      </c>
      <c r="Q58" s="819">
        <f t="shared" si="13"/>
        <v>57818252.439160749</v>
      </c>
      <c r="R58" s="819">
        <f t="shared" si="14"/>
        <v>10935009.700754251</v>
      </c>
      <c r="S58" s="820">
        <f t="shared" si="15"/>
        <v>144746967.60959998</v>
      </c>
      <c r="U58" s="653">
        <f t="shared" si="17"/>
        <v>0.33018431241326801</v>
      </c>
      <c r="V58" s="654">
        <f t="shared" si="18"/>
        <v>7.1179822983185662E-2</v>
      </c>
      <c r="W58" s="654">
        <f t="shared" si="19"/>
        <v>0.59863586460354645</v>
      </c>
      <c r="X58" s="655">
        <f t="shared" si="5"/>
        <v>0.40136413539645371</v>
      </c>
      <c r="Z58" s="1631">
        <f t="shared" si="6"/>
        <v>8.5214442994534567E-2</v>
      </c>
      <c r="AA58" s="1535">
        <f t="shared" si="7"/>
        <v>9.616067009805088E-3</v>
      </c>
      <c r="AB58" s="1633">
        <f t="shared" si="8"/>
        <v>0.90516948999566038</v>
      </c>
      <c r="AD58" s="1631">
        <f t="shared" si="9"/>
        <v>0.67525256603025141</v>
      </c>
      <c r="AE58" s="1535">
        <f t="shared" si="10"/>
        <v>8.7398362338359861E-2</v>
      </c>
      <c r="AF58" s="1633">
        <f t="shared" si="11"/>
        <v>0.23734907163138858</v>
      </c>
    </row>
    <row r="59" spans="1:32">
      <c r="A59" s="767" t="s">
        <v>134</v>
      </c>
      <c r="B59" s="618" t="s">
        <v>135</v>
      </c>
      <c r="C59" s="768" t="s">
        <v>267</v>
      </c>
      <c r="D59" s="818">
        <f>'Administration LASER'!D58+'Other Oper Exp. LASER'!D58</f>
        <v>1114825.24</v>
      </c>
      <c r="E59" s="819">
        <f>'Administration LASER'!E58+'Other Oper Exp. LASER'!E58</f>
        <v>420289.08999999997</v>
      </c>
      <c r="F59" s="819">
        <f>'Administration LASER'!K58+'Other Oper Exp. LASER'!K58</f>
        <v>1076243.23</v>
      </c>
      <c r="G59" s="820">
        <f>'Administration LASER'!I58+'Other Oper Exp. LASER'!I58</f>
        <v>2611357.5599999996</v>
      </c>
      <c r="H59" s="818">
        <f>'Client Services LASER'!D59</f>
        <v>54845.030000000006</v>
      </c>
      <c r="I59" s="819">
        <f>'Client Services LASER'!E59</f>
        <v>55398.400000000009</v>
      </c>
      <c r="J59" s="819">
        <f>'Client Services LASER'!K59</f>
        <v>16807.18</v>
      </c>
      <c r="K59" s="820">
        <f>'Client Services LASER'!I59</f>
        <v>127050.61000000003</v>
      </c>
      <c r="L59" s="818">
        <f>'Benefits Spending LASER'!D59</f>
        <v>24851350.710487999</v>
      </c>
      <c r="M59" s="819">
        <f>'Benefits Spending LASER'!E59</f>
        <v>18991351.535595749</v>
      </c>
      <c r="N59" s="819">
        <f>'Benefits Spending LASER'!I59</f>
        <v>961409.41371624998</v>
      </c>
      <c r="O59" s="820">
        <f t="shared" si="16"/>
        <v>44804111.6598</v>
      </c>
      <c r="P59" s="1622">
        <f t="shared" si="12"/>
        <v>26021020.980487999</v>
      </c>
      <c r="Q59" s="819">
        <f t="shared" si="13"/>
        <v>19467039.025595747</v>
      </c>
      <c r="R59" s="819">
        <f t="shared" si="14"/>
        <v>2054459.8237162498</v>
      </c>
      <c r="S59" s="820">
        <f t="shared" si="15"/>
        <v>47542519.829800002</v>
      </c>
      <c r="U59" s="653">
        <f t="shared" si="17"/>
        <v>0.42691405308739111</v>
      </c>
      <c r="V59" s="654">
        <f t="shared" si="18"/>
        <v>0.16094658825656952</v>
      </c>
      <c r="W59" s="654">
        <f t="shared" si="19"/>
        <v>0.41213935865603951</v>
      </c>
      <c r="X59" s="655">
        <f t="shared" si="5"/>
        <v>0.58786064134396065</v>
      </c>
      <c r="Z59" s="1631">
        <f t="shared" si="6"/>
        <v>5.4926780687025792E-2</v>
      </c>
      <c r="AA59" s="1535">
        <f t="shared" si="7"/>
        <v>2.6723575118617034E-3</v>
      </c>
      <c r="AB59" s="1633">
        <f t="shared" si="8"/>
        <v>0.94240086180111249</v>
      </c>
      <c r="AD59" s="1631">
        <f t="shared" si="9"/>
        <v>0.52385703413426521</v>
      </c>
      <c r="AE59" s="1535">
        <f t="shared" si="10"/>
        <v>8.180826807115656E-3</v>
      </c>
      <c r="AF59" s="1633">
        <f t="shared" si="11"/>
        <v>0.46796213905861922</v>
      </c>
    </row>
    <row r="60" spans="1:32">
      <c r="A60" s="767" t="s">
        <v>136</v>
      </c>
      <c r="B60" s="618" t="s">
        <v>137</v>
      </c>
      <c r="C60" s="768" t="s">
        <v>266</v>
      </c>
      <c r="D60" s="818">
        <f>'Administration LASER'!D59+'Other Oper Exp. LASER'!D59</f>
        <v>400277.3</v>
      </c>
      <c r="E60" s="819">
        <f>'Administration LASER'!E59+'Other Oper Exp. LASER'!E59</f>
        <v>199368.91</v>
      </c>
      <c r="F60" s="819">
        <f>'Administration LASER'!K59+'Other Oper Exp. LASER'!K59</f>
        <v>182393.69</v>
      </c>
      <c r="G60" s="820">
        <f>'Administration LASER'!I59+'Other Oper Exp. LASER'!I59</f>
        <v>782039.89999999991</v>
      </c>
      <c r="H60" s="818">
        <f>'Client Services LASER'!D60</f>
        <v>23382.46</v>
      </c>
      <c r="I60" s="819">
        <f>'Client Services LASER'!E60</f>
        <v>14275.71</v>
      </c>
      <c r="J60" s="819">
        <f>'Client Services LASER'!K60</f>
        <v>7385.49</v>
      </c>
      <c r="K60" s="820">
        <f>'Client Services LASER'!I60</f>
        <v>45043.659999999996</v>
      </c>
      <c r="L60" s="818">
        <f>'Benefits Spending LASER'!D60</f>
        <v>12832215.121279998</v>
      </c>
      <c r="M60" s="819">
        <f>'Benefits Spending LASER'!E60</f>
        <v>9943521.6773412488</v>
      </c>
      <c r="N60" s="819">
        <f>'Benefits Spending LASER'!I60</f>
        <v>234901.63127875005</v>
      </c>
      <c r="O60" s="820">
        <f t="shared" si="16"/>
        <v>23010638.429899994</v>
      </c>
      <c r="P60" s="1622">
        <f t="shared" si="12"/>
        <v>13255874.881279998</v>
      </c>
      <c r="Q60" s="819">
        <f t="shared" si="13"/>
        <v>10157166.297341248</v>
      </c>
      <c r="R60" s="819">
        <f t="shared" si="14"/>
        <v>424680.81127875007</v>
      </c>
      <c r="S60" s="820">
        <f t="shared" si="15"/>
        <v>23837721.989899993</v>
      </c>
      <c r="U60" s="653">
        <f t="shared" si="17"/>
        <v>0.51183743949637361</v>
      </c>
      <c r="V60" s="654">
        <f t="shared" si="18"/>
        <v>0.25493444771807683</v>
      </c>
      <c r="W60" s="654">
        <f t="shared" si="19"/>
        <v>0.23322811278554972</v>
      </c>
      <c r="X60" s="655">
        <f t="shared" si="5"/>
        <v>0.76677188721445033</v>
      </c>
      <c r="Z60" s="1631">
        <f t="shared" si="6"/>
        <v>3.2806821907368035E-2</v>
      </c>
      <c r="AA60" s="1535">
        <f t="shared" si="7"/>
        <v>1.8895958271132169E-3</v>
      </c>
      <c r="AB60" s="1633">
        <f t="shared" si="8"/>
        <v>0.96530358226551882</v>
      </c>
      <c r="AD60" s="1631">
        <f t="shared" si="9"/>
        <v>0.42948418001462574</v>
      </c>
      <c r="AE60" s="1535">
        <f t="shared" si="10"/>
        <v>1.7390684494930819E-2</v>
      </c>
      <c r="AF60" s="1633">
        <f t="shared" si="11"/>
        <v>0.5531251354904434</v>
      </c>
    </row>
    <row r="61" spans="1:32">
      <c r="A61" s="767" t="s">
        <v>140</v>
      </c>
      <c r="B61" s="618" t="s">
        <v>141</v>
      </c>
      <c r="C61" s="768" t="s">
        <v>267</v>
      </c>
      <c r="D61" s="818">
        <f>'Administration LASER'!D60+'Other Oper Exp. LASER'!D60</f>
        <v>464231.44</v>
      </c>
      <c r="E61" s="819">
        <f>'Administration LASER'!E60+'Other Oper Exp. LASER'!E60</f>
        <v>187506.02000000002</v>
      </c>
      <c r="F61" s="819">
        <f>'Administration LASER'!K60+'Other Oper Exp. LASER'!K60</f>
        <v>399585.57000000007</v>
      </c>
      <c r="G61" s="820">
        <f>'Administration LASER'!I60+'Other Oper Exp. LASER'!I60</f>
        <v>1051323.03</v>
      </c>
      <c r="H61" s="818">
        <f>'Client Services LASER'!D61</f>
        <v>35796.82</v>
      </c>
      <c r="I61" s="819">
        <f>'Client Services LASER'!E61</f>
        <v>10202.539999999999</v>
      </c>
      <c r="J61" s="819">
        <f>'Client Services LASER'!K61</f>
        <v>6436.11</v>
      </c>
      <c r="K61" s="820">
        <f>'Client Services LASER'!I61</f>
        <v>52435.47</v>
      </c>
      <c r="L61" s="818">
        <f>'Benefits Spending LASER'!D61</f>
        <v>9343757.6329500005</v>
      </c>
      <c r="M61" s="819">
        <f>'Benefits Spending LASER'!E61</f>
        <v>8749248.5737156253</v>
      </c>
      <c r="N61" s="819">
        <f>'Benefits Spending LASER'!I61</f>
        <v>932239.89323437493</v>
      </c>
      <c r="O61" s="820">
        <f t="shared" si="16"/>
        <v>19025246.099900004</v>
      </c>
      <c r="P61" s="1622">
        <f t="shared" si="12"/>
        <v>9843785.8929500002</v>
      </c>
      <c r="Q61" s="819">
        <f t="shared" si="13"/>
        <v>8946957.1337156259</v>
      </c>
      <c r="R61" s="819">
        <f t="shared" si="14"/>
        <v>1338261.5732343751</v>
      </c>
      <c r="S61" s="820">
        <f t="shared" si="15"/>
        <v>20129004.599900004</v>
      </c>
      <c r="U61" s="653">
        <f t="shared" si="17"/>
        <v>0.44156879165863988</v>
      </c>
      <c r="V61" s="654">
        <f t="shared" si="18"/>
        <v>0.17835243274372103</v>
      </c>
      <c r="W61" s="654">
        <f t="shared" si="19"/>
        <v>0.38007877559763914</v>
      </c>
      <c r="X61" s="655">
        <f t="shared" si="5"/>
        <v>0.61992122440236086</v>
      </c>
      <c r="Z61" s="1631">
        <f t="shared" si="6"/>
        <v>5.2229260755657175E-2</v>
      </c>
      <c r="AA61" s="1535">
        <f t="shared" si="7"/>
        <v>2.6049708389584494E-3</v>
      </c>
      <c r="AB61" s="1633">
        <f t="shared" si="8"/>
        <v>0.94516576840538435</v>
      </c>
      <c r="AD61" s="1631">
        <f t="shared" si="9"/>
        <v>0.29858555157812861</v>
      </c>
      <c r="AE61" s="1535">
        <f t="shared" si="10"/>
        <v>4.8093064380866132E-3</v>
      </c>
      <c r="AF61" s="1633">
        <f t="shared" si="11"/>
        <v>0.69660514198378465</v>
      </c>
    </row>
    <row r="62" spans="1:32">
      <c r="A62" s="767" t="s">
        <v>146</v>
      </c>
      <c r="B62" s="618" t="s">
        <v>147</v>
      </c>
      <c r="C62" s="768" t="s">
        <v>264</v>
      </c>
      <c r="D62" s="818">
        <f>'Administration LASER'!D61+'Other Oper Exp. LASER'!D61</f>
        <v>429086.57</v>
      </c>
      <c r="E62" s="819">
        <f>'Administration LASER'!E61+'Other Oper Exp. LASER'!E61</f>
        <v>167838.45</v>
      </c>
      <c r="F62" s="819">
        <f>'Administration LASER'!K61+'Other Oper Exp. LASER'!K61</f>
        <v>383926.48</v>
      </c>
      <c r="G62" s="820">
        <f>'Administration LASER'!I61+'Other Oper Exp. LASER'!I61</f>
        <v>980851.5</v>
      </c>
      <c r="H62" s="818">
        <f>'Client Services LASER'!D62</f>
        <v>35006.070000000007</v>
      </c>
      <c r="I62" s="819">
        <f>'Client Services LASER'!E62</f>
        <v>7789.57</v>
      </c>
      <c r="J62" s="819">
        <f>'Client Services LASER'!K62</f>
        <v>9745.85</v>
      </c>
      <c r="K62" s="820">
        <f>'Client Services LASER'!I62</f>
        <v>52541.490000000005</v>
      </c>
      <c r="L62" s="818">
        <f>'Benefits Spending LASER'!D62</f>
        <v>6845549.4860249991</v>
      </c>
      <c r="M62" s="819">
        <f>'Benefits Spending LASER'!E62</f>
        <v>5410473.5310175009</v>
      </c>
      <c r="N62" s="819">
        <f>'Benefits Spending LASER'!I62</f>
        <v>167325.97295750002</v>
      </c>
      <c r="O62" s="820">
        <f t="shared" si="16"/>
        <v>12423348.989999998</v>
      </c>
      <c r="P62" s="1622">
        <f t="shared" si="12"/>
        <v>7309642.1260249987</v>
      </c>
      <c r="Q62" s="819">
        <f t="shared" si="13"/>
        <v>5586101.5510175005</v>
      </c>
      <c r="R62" s="819">
        <f t="shared" si="14"/>
        <v>560998.30295749998</v>
      </c>
      <c r="S62" s="820">
        <f t="shared" si="15"/>
        <v>13456741.979999999</v>
      </c>
      <c r="U62" s="653">
        <f t="shared" si="17"/>
        <v>0.43746333670285464</v>
      </c>
      <c r="V62" s="654">
        <f t="shared" si="18"/>
        <v>0.17111504646727871</v>
      </c>
      <c r="W62" s="654">
        <f t="shared" si="19"/>
        <v>0.3914216168298667</v>
      </c>
      <c r="X62" s="655">
        <f t="shared" si="5"/>
        <v>0.60857838317013335</v>
      </c>
      <c r="Z62" s="1631">
        <f t="shared" si="6"/>
        <v>7.2889225449799408E-2</v>
      </c>
      <c r="AA62" s="1535">
        <f t="shared" si="7"/>
        <v>3.9044733173965495E-3</v>
      </c>
      <c r="AB62" s="1633">
        <f t="shared" si="8"/>
        <v>0.92320630123280401</v>
      </c>
      <c r="AD62" s="1631">
        <f t="shared" si="9"/>
        <v>0.68436299713563553</v>
      </c>
      <c r="AE62" s="1535">
        <f t="shared" si="10"/>
        <v>1.7372334191781549E-2</v>
      </c>
      <c r="AF62" s="1633">
        <f t="shared" si="11"/>
        <v>0.29826466867258289</v>
      </c>
    </row>
    <row r="63" spans="1:32">
      <c r="A63" s="767" t="s">
        <v>148</v>
      </c>
      <c r="B63" s="618" t="s">
        <v>149</v>
      </c>
      <c r="C63" s="768" t="s">
        <v>265</v>
      </c>
      <c r="D63" s="818">
        <f>'Administration LASER'!D62+'Other Oper Exp. LASER'!D62</f>
        <v>1106331.6000000001</v>
      </c>
      <c r="E63" s="819">
        <f>'Administration LASER'!E62+'Other Oper Exp. LASER'!E62</f>
        <v>490277.98</v>
      </c>
      <c r="F63" s="819">
        <f>'Administration LASER'!K62+'Other Oper Exp. LASER'!K62</f>
        <v>920219.08</v>
      </c>
      <c r="G63" s="820">
        <f>'Administration LASER'!I62+'Other Oper Exp. LASER'!I62</f>
        <v>2516828.66</v>
      </c>
      <c r="H63" s="818">
        <f>'Client Services LASER'!D63</f>
        <v>49862.55</v>
      </c>
      <c r="I63" s="819">
        <f>'Client Services LASER'!E63</f>
        <v>38883.919999999998</v>
      </c>
      <c r="J63" s="819">
        <f>'Client Services LASER'!K63</f>
        <v>16799.539999999997</v>
      </c>
      <c r="K63" s="820">
        <f>'Client Services LASER'!I63</f>
        <v>105546.01</v>
      </c>
      <c r="L63" s="818">
        <f>'Benefits Spending LASER'!D63</f>
        <v>32736541.050903</v>
      </c>
      <c r="M63" s="819">
        <f>'Benefits Spending LASER'!E63</f>
        <v>25389872.453130748</v>
      </c>
      <c r="N63" s="819">
        <f>'Benefits Spending LASER'!I63</f>
        <v>427860.64576624997</v>
      </c>
      <c r="O63" s="820">
        <f t="shared" si="16"/>
        <v>58554274.149799995</v>
      </c>
      <c r="P63" s="1622">
        <f t="shared" si="12"/>
        <v>33892735.200902998</v>
      </c>
      <c r="Q63" s="819">
        <f t="shared" si="13"/>
        <v>25919034.353130747</v>
      </c>
      <c r="R63" s="819">
        <f t="shared" si="14"/>
        <v>1364879.26576625</v>
      </c>
      <c r="S63" s="820">
        <f t="shared" si="15"/>
        <v>61176648.819799997</v>
      </c>
      <c r="U63" s="653">
        <f t="shared" si="17"/>
        <v>0.43957366569403261</v>
      </c>
      <c r="V63" s="654">
        <f t="shared" si="18"/>
        <v>0.19479990346263776</v>
      </c>
      <c r="W63" s="654">
        <f t="shared" si="19"/>
        <v>0.36562643084332958</v>
      </c>
      <c r="X63" s="655">
        <f t="shared" si="5"/>
        <v>0.63437356915667031</v>
      </c>
      <c r="Z63" s="1631">
        <f t="shared" si="6"/>
        <v>4.1140348622453825E-2</v>
      </c>
      <c r="AA63" s="1535">
        <f t="shared" si="7"/>
        <v>1.725266290915885E-3</v>
      </c>
      <c r="AB63" s="1633">
        <f t="shared" si="8"/>
        <v>0.95713438508663029</v>
      </c>
      <c r="AD63" s="1631">
        <f t="shared" si="9"/>
        <v>0.67421280627586089</v>
      </c>
      <c r="AE63" s="1535">
        <f t="shared" si="10"/>
        <v>1.2308443993079968E-2</v>
      </c>
      <c r="AF63" s="1633">
        <f t="shared" si="11"/>
        <v>0.3134787497310591</v>
      </c>
    </row>
    <row r="64" spans="1:32">
      <c r="A64" s="767" t="s">
        <v>150</v>
      </c>
      <c r="B64" s="618" t="s">
        <v>151</v>
      </c>
      <c r="C64" s="768" t="s">
        <v>266</v>
      </c>
      <c r="D64" s="818">
        <f>'Administration LASER'!D63+'Other Oper Exp. LASER'!D63</f>
        <v>390016.81</v>
      </c>
      <c r="E64" s="819">
        <f>'Administration LASER'!E63+'Other Oper Exp. LASER'!E63</f>
        <v>193081.69</v>
      </c>
      <c r="F64" s="819">
        <f>'Administration LASER'!K63+'Other Oper Exp. LASER'!K63</f>
        <v>209556.01</v>
      </c>
      <c r="G64" s="820">
        <f>'Administration LASER'!I63+'Other Oper Exp. LASER'!I63</f>
        <v>792654.50999999989</v>
      </c>
      <c r="H64" s="818">
        <f>'Client Services LASER'!D64</f>
        <v>40994.58</v>
      </c>
      <c r="I64" s="819">
        <f>'Client Services LASER'!E64</f>
        <v>25931.010000000002</v>
      </c>
      <c r="J64" s="819">
        <f>'Client Services LASER'!K64</f>
        <v>13714.640000000001</v>
      </c>
      <c r="K64" s="820">
        <f>'Client Services LASER'!I64</f>
        <v>80640.23</v>
      </c>
      <c r="L64" s="818">
        <f>'Benefits Spending LASER'!D64</f>
        <v>9407206.1566100027</v>
      </c>
      <c r="M64" s="819">
        <f>'Benefits Spending LASER'!E64</f>
        <v>6932344.5948100006</v>
      </c>
      <c r="N64" s="819">
        <f>'Benefits Spending LASER'!I64</f>
        <v>206158.01848000003</v>
      </c>
      <c r="O64" s="820">
        <f t="shared" si="16"/>
        <v>16545708.769900002</v>
      </c>
      <c r="P64" s="1622">
        <f t="shared" si="12"/>
        <v>9838217.5466100033</v>
      </c>
      <c r="Q64" s="819">
        <f t="shared" si="13"/>
        <v>7151357.2948100008</v>
      </c>
      <c r="R64" s="819">
        <f t="shared" si="14"/>
        <v>429428.66848000005</v>
      </c>
      <c r="S64" s="820">
        <f t="shared" si="15"/>
        <v>17419003.5099</v>
      </c>
      <c r="U64" s="653">
        <f t="shared" si="17"/>
        <v>0.49203884552426258</v>
      </c>
      <c r="V64" s="654">
        <f t="shared" si="18"/>
        <v>0.24358871054679299</v>
      </c>
      <c r="W64" s="654">
        <f t="shared" si="19"/>
        <v>0.2643724439289446</v>
      </c>
      <c r="X64" s="655">
        <f t="shared" si="5"/>
        <v>0.73562755607105557</v>
      </c>
      <c r="Z64" s="1631">
        <f t="shared" si="6"/>
        <v>4.5505158176786568E-2</v>
      </c>
      <c r="AA64" s="1535">
        <f t="shared" si="7"/>
        <v>4.6294399076369976E-3</v>
      </c>
      <c r="AB64" s="1633">
        <f t="shared" si="8"/>
        <v>0.94986540191557656</v>
      </c>
      <c r="AD64" s="1631">
        <f t="shared" si="9"/>
        <v>0.48798793695293247</v>
      </c>
      <c r="AE64" s="1535">
        <f t="shared" si="10"/>
        <v>3.1936945543352184E-2</v>
      </c>
      <c r="AF64" s="1633">
        <f t="shared" si="11"/>
        <v>0.48007511750371529</v>
      </c>
    </row>
    <row r="65" spans="1:32">
      <c r="A65" s="767" t="s">
        <v>152</v>
      </c>
      <c r="B65" s="618" t="s">
        <v>153</v>
      </c>
      <c r="C65" s="768" t="s">
        <v>268</v>
      </c>
      <c r="D65" s="818">
        <f>'Administration LASER'!D64+'Other Oper Exp. LASER'!D64</f>
        <v>2068465.86</v>
      </c>
      <c r="E65" s="819">
        <f>'Administration LASER'!E64+'Other Oper Exp. LASER'!E64</f>
        <v>981094.79999999993</v>
      </c>
      <c r="F65" s="819">
        <f>'Administration LASER'!K64+'Other Oper Exp. LASER'!K64</f>
        <v>1169484.05</v>
      </c>
      <c r="G65" s="820">
        <f>'Administration LASER'!I64+'Other Oper Exp. LASER'!I64</f>
        <v>4219044.71</v>
      </c>
      <c r="H65" s="818">
        <f>'Client Services LASER'!D65</f>
        <v>108309.15999999999</v>
      </c>
      <c r="I65" s="819">
        <f>'Client Services LASER'!E65</f>
        <v>58044.32</v>
      </c>
      <c r="J65" s="819">
        <f>'Client Services LASER'!K65</f>
        <v>30645.189999999995</v>
      </c>
      <c r="K65" s="820">
        <f>'Client Services LASER'!I65</f>
        <v>196998.66999999998</v>
      </c>
      <c r="L65" s="818">
        <f>'Benefits Spending LASER'!D65</f>
        <v>43244392.426460996</v>
      </c>
      <c r="M65" s="819">
        <f>'Benefits Spending LASER'!E65</f>
        <v>31349819.285747755</v>
      </c>
      <c r="N65" s="819">
        <f>'Benefits Spending LASER'!I65</f>
        <v>317417.80759124999</v>
      </c>
      <c r="O65" s="820">
        <f t="shared" si="16"/>
        <v>74911629.519799992</v>
      </c>
      <c r="P65" s="1622">
        <f t="shared" si="12"/>
        <v>45421167.446461</v>
      </c>
      <c r="Q65" s="819">
        <f t="shared" si="13"/>
        <v>32388958.405747756</v>
      </c>
      <c r="R65" s="819">
        <f t="shared" si="14"/>
        <v>1517547.0475912499</v>
      </c>
      <c r="S65" s="820">
        <f t="shared" si="15"/>
        <v>79327672.899799988</v>
      </c>
      <c r="U65" s="653">
        <f t="shared" si="17"/>
        <v>0.49026876987041934</v>
      </c>
      <c r="V65" s="654">
        <f t="shared" si="18"/>
        <v>0.23253955988534664</v>
      </c>
      <c r="W65" s="654">
        <f t="shared" si="19"/>
        <v>0.27719167024423402</v>
      </c>
      <c r="X65" s="655">
        <f t="shared" si="5"/>
        <v>0.72280832975576603</v>
      </c>
      <c r="Z65" s="1631">
        <f t="shared" si="6"/>
        <v>5.3185030592402989E-2</v>
      </c>
      <c r="AA65" s="1535">
        <f t="shared" si="7"/>
        <v>2.4833536998977905E-3</v>
      </c>
      <c r="AB65" s="1633">
        <f t="shared" si="8"/>
        <v>0.9443316157076993</v>
      </c>
      <c r="AD65" s="1631">
        <f t="shared" si="9"/>
        <v>0.77064104988130799</v>
      </c>
      <c r="AE65" s="1535">
        <f t="shared" si="10"/>
        <v>2.0193897809390522E-2</v>
      </c>
      <c r="AF65" s="1633">
        <f t="shared" si="11"/>
        <v>0.2091650523093016</v>
      </c>
    </row>
    <row r="66" spans="1:32">
      <c r="A66" s="767" t="s">
        <v>154</v>
      </c>
      <c r="B66" s="618" t="s">
        <v>155</v>
      </c>
      <c r="C66" s="768" t="s">
        <v>265</v>
      </c>
      <c r="D66" s="818">
        <f>'Administration LASER'!D65+'Other Oper Exp. LASER'!D65</f>
        <v>463759.84</v>
      </c>
      <c r="E66" s="819">
        <f>'Administration LASER'!E65+'Other Oper Exp. LASER'!E65</f>
        <v>222994.81</v>
      </c>
      <c r="F66" s="819">
        <f>'Administration LASER'!K65+'Other Oper Exp. LASER'!K65</f>
        <v>265645.12</v>
      </c>
      <c r="G66" s="820">
        <f>'Administration LASER'!I65+'Other Oper Exp. LASER'!I65</f>
        <v>952399.7699999999</v>
      </c>
      <c r="H66" s="818">
        <f>'Client Services LASER'!D66</f>
        <v>12229.95</v>
      </c>
      <c r="I66" s="819">
        <f>'Client Services LASER'!E66</f>
        <v>4737.37</v>
      </c>
      <c r="J66" s="819">
        <f>'Client Services LASER'!K66</f>
        <v>3942.42</v>
      </c>
      <c r="K66" s="820">
        <f>'Client Services LASER'!I66</f>
        <v>20909.740000000002</v>
      </c>
      <c r="L66" s="818">
        <f>'Benefits Spending LASER'!D66</f>
        <v>12799073.85169</v>
      </c>
      <c r="M66" s="819">
        <f>'Benefits Spending LASER'!E66</f>
        <v>9499208.5638025012</v>
      </c>
      <c r="N66" s="819">
        <f>'Benefits Spending LASER'!I66</f>
        <v>237738.83440749999</v>
      </c>
      <c r="O66" s="820">
        <f t="shared" si="16"/>
        <v>22536021.249900002</v>
      </c>
      <c r="P66" s="1622">
        <f t="shared" si="12"/>
        <v>13275063.641690001</v>
      </c>
      <c r="Q66" s="819">
        <f t="shared" si="13"/>
        <v>9726940.7438025009</v>
      </c>
      <c r="R66" s="819">
        <f t="shared" si="14"/>
        <v>507326.37440749997</v>
      </c>
      <c r="S66" s="820">
        <f t="shared" si="15"/>
        <v>23509330.759900004</v>
      </c>
      <c r="U66" s="653">
        <f t="shared" si="17"/>
        <v>0.48693821083136135</v>
      </c>
      <c r="V66" s="654">
        <f t="shared" si="18"/>
        <v>0.23413992424630681</v>
      </c>
      <c r="W66" s="654">
        <f t="shared" si="19"/>
        <v>0.27892186492233195</v>
      </c>
      <c r="X66" s="655">
        <f t="shared" si="5"/>
        <v>0.72107813507766816</v>
      </c>
      <c r="Z66" s="1631">
        <f t="shared" si="6"/>
        <v>4.0511564524180907E-2</v>
      </c>
      <c r="AA66" s="1535">
        <f t="shared" si="7"/>
        <v>8.8942302158876688E-4</v>
      </c>
      <c r="AB66" s="1633">
        <f t="shared" si="8"/>
        <v>0.95859901245423029</v>
      </c>
      <c r="AD66" s="1631">
        <f t="shared" si="9"/>
        <v>0.52361779990295898</v>
      </c>
      <c r="AE66" s="1535">
        <f t="shared" si="10"/>
        <v>7.7709738718084636E-3</v>
      </c>
      <c r="AF66" s="1633">
        <f t="shared" si="11"/>
        <v>0.46861122622523255</v>
      </c>
    </row>
    <row r="67" spans="1:32">
      <c r="A67" s="767" t="s">
        <v>156</v>
      </c>
      <c r="B67" s="618" t="s">
        <v>157</v>
      </c>
      <c r="C67" s="768" t="s">
        <v>266</v>
      </c>
      <c r="D67" s="818">
        <f>'Administration LASER'!D66+'Other Oper Exp. LASER'!D66</f>
        <v>498293.41000000003</v>
      </c>
      <c r="E67" s="819">
        <f>'Administration LASER'!E66+'Other Oper Exp. LASER'!E66</f>
        <v>192605.47</v>
      </c>
      <c r="F67" s="819">
        <f>'Administration LASER'!K66+'Other Oper Exp. LASER'!K66</f>
        <v>442642.94999999995</v>
      </c>
      <c r="G67" s="820">
        <f>'Administration LASER'!I66+'Other Oper Exp. LASER'!I66</f>
        <v>1133541.83</v>
      </c>
      <c r="H67" s="818">
        <f>'Client Services LASER'!D67</f>
        <v>14541.199999999999</v>
      </c>
      <c r="I67" s="819">
        <f>'Client Services LASER'!E67</f>
        <v>17963.419999999998</v>
      </c>
      <c r="J67" s="819">
        <f>'Client Services LASER'!K67</f>
        <v>6161.9</v>
      </c>
      <c r="K67" s="820">
        <f>'Client Services LASER'!I67</f>
        <v>38666.519999999997</v>
      </c>
      <c r="L67" s="818">
        <f>'Benefits Spending LASER'!D67</f>
        <v>6999259.5373</v>
      </c>
      <c r="M67" s="819">
        <f>'Benefits Spending LASER'!E67</f>
        <v>5456879.5820525</v>
      </c>
      <c r="N67" s="819">
        <f>'Benefits Spending LASER'!I67</f>
        <v>439546.88064749993</v>
      </c>
      <c r="O67" s="820">
        <f t="shared" si="16"/>
        <v>12895686</v>
      </c>
      <c r="P67" s="1622">
        <f t="shared" si="12"/>
        <v>7512094.1473000003</v>
      </c>
      <c r="Q67" s="819">
        <f t="shared" si="13"/>
        <v>5667448.4720524997</v>
      </c>
      <c r="R67" s="819">
        <f t="shared" si="14"/>
        <v>888351.73064749991</v>
      </c>
      <c r="S67" s="820">
        <f t="shared" si="15"/>
        <v>14067894.35</v>
      </c>
      <c r="U67" s="653">
        <f t="shared" si="17"/>
        <v>0.439589785583828</v>
      </c>
      <c r="V67" s="654">
        <f t="shared" si="18"/>
        <v>0.16991474412549909</v>
      </c>
      <c r="W67" s="654">
        <f t="shared" si="19"/>
        <v>0.39049547029067283</v>
      </c>
      <c r="X67" s="655">
        <f t="shared" si="5"/>
        <v>0.609504529709327</v>
      </c>
      <c r="Z67" s="1631">
        <f t="shared" si="6"/>
        <v>8.0576510016227135E-2</v>
      </c>
      <c r="AA67" s="1535">
        <f t="shared" si="7"/>
        <v>2.748564855407803E-3</v>
      </c>
      <c r="AB67" s="1633">
        <f t="shared" si="8"/>
        <v>0.91667492512836513</v>
      </c>
      <c r="AD67" s="1631">
        <f t="shared" si="9"/>
        <v>0.49827442749210082</v>
      </c>
      <c r="AE67" s="1535">
        <f t="shared" si="10"/>
        <v>6.9363291446606712E-3</v>
      </c>
      <c r="AF67" s="1633">
        <f t="shared" si="11"/>
        <v>0.49478924336323848</v>
      </c>
    </row>
    <row r="68" spans="1:32">
      <c r="A68" s="767" t="s">
        <v>162</v>
      </c>
      <c r="B68" s="618" t="s">
        <v>163</v>
      </c>
      <c r="C68" s="768" t="s">
        <v>264</v>
      </c>
      <c r="D68" s="818">
        <f>'Administration LASER'!D67+'Other Oper Exp. LASER'!D67</f>
        <v>1099636.53</v>
      </c>
      <c r="E68" s="819">
        <f>'Administration LASER'!E67+'Other Oper Exp. LASER'!E67</f>
        <v>536469.39</v>
      </c>
      <c r="F68" s="819">
        <f>'Administration LASER'!K67+'Other Oper Exp. LASER'!K67</f>
        <v>556239.27</v>
      </c>
      <c r="G68" s="820">
        <f>'Administration LASER'!I67+'Other Oper Exp. LASER'!I67</f>
        <v>2192345.19</v>
      </c>
      <c r="H68" s="818">
        <f>'Client Services LASER'!D68</f>
        <v>68517.72</v>
      </c>
      <c r="I68" s="819">
        <f>'Client Services LASER'!E68</f>
        <v>27991.93</v>
      </c>
      <c r="J68" s="819">
        <f>'Client Services LASER'!K68</f>
        <v>20094.240000000002</v>
      </c>
      <c r="K68" s="820">
        <f>'Client Services LASER'!I68</f>
        <v>116603.89</v>
      </c>
      <c r="L68" s="818">
        <f>'Benefits Spending LASER'!D68</f>
        <v>17721571.692169998</v>
      </c>
      <c r="M68" s="819">
        <f>'Benefits Spending LASER'!E68</f>
        <v>13375139.091245623</v>
      </c>
      <c r="N68" s="819">
        <f>'Benefits Spending LASER'!I68</f>
        <v>150286.766484375</v>
      </c>
      <c r="O68" s="820">
        <f t="shared" si="16"/>
        <v>31246997.549899999</v>
      </c>
      <c r="P68" s="1622">
        <f t="shared" si="12"/>
        <v>18889725.942169998</v>
      </c>
      <c r="Q68" s="819">
        <f t="shared" si="13"/>
        <v>13939600.411245624</v>
      </c>
      <c r="R68" s="819">
        <f t="shared" si="14"/>
        <v>726620.276484375</v>
      </c>
      <c r="S68" s="820">
        <f t="shared" si="15"/>
        <v>33555946.629900001</v>
      </c>
      <c r="U68" s="653">
        <f t="shared" si="17"/>
        <v>0.50158001350143222</v>
      </c>
      <c r="V68" s="654">
        <f t="shared" si="18"/>
        <v>0.24470115036948176</v>
      </c>
      <c r="W68" s="654">
        <f t="shared" si="19"/>
        <v>0.25371883612908608</v>
      </c>
      <c r="X68" s="655">
        <f t="shared" si="5"/>
        <v>0.74628116387091392</v>
      </c>
      <c r="Z68" s="1631">
        <f t="shared" si="6"/>
        <v>6.5334028992837662E-2</v>
      </c>
      <c r="AA68" s="1535">
        <f t="shared" si="7"/>
        <v>3.4749098657851658E-3</v>
      </c>
      <c r="AB68" s="1633">
        <f t="shared" si="8"/>
        <v>0.93119106114137706</v>
      </c>
      <c r="AD68" s="1631">
        <f t="shared" si="9"/>
        <v>0.76551575561759211</v>
      </c>
      <c r="AE68" s="1535">
        <f t="shared" si="10"/>
        <v>2.7654389301138779E-2</v>
      </c>
      <c r="AF68" s="1633">
        <f t="shared" si="11"/>
        <v>0.20682985508126914</v>
      </c>
    </row>
    <row r="69" spans="1:32">
      <c r="A69" s="767" t="s">
        <v>164</v>
      </c>
      <c r="B69" s="618" t="s">
        <v>165</v>
      </c>
      <c r="C69" s="768" t="s">
        <v>266</v>
      </c>
      <c r="D69" s="818">
        <f>'Administration LASER'!D68+'Other Oper Exp. LASER'!D68</f>
        <v>532577.66</v>
      </c>
      <c r="E69" s="819">
        <f>'Administration LASER'!E68+'Other Oper Exp. LASER'!E68</f>
        <v>204833.28</v>
      </c>
      <c r="F69" s="819">
        <f>'Administration LASER'!K68+'Other Oper Exp. LASER'!K68</f>
        <v>485214.62</v>
      </c>
      <c r="G69" s="820">
        <f>'Administration LASER'!I68+'Other Oper Exp. LASER'!I68</f>
        <v>1222625.56</v>
      </c>
      <c r="H69" s="818">
        <f>'Client Services LASER'!D69</f>
        <v>29769.670000000002</v>
      </c>
      <c r="I69" s="819">
        <f>'Client Services LASER'!E69</f>
        <v>8121.3700000000008</v>
      </c>
      <c r="J69" s="819">
        <f>'Client Services LASER'!K69</f>
        <v>7491.8899999999994</v>
      </c>
      <c r="K69" s="820">
        <f>'Client Services LASER'!I69</f>
        <v>45382.93</v>
      </c>
      <c r="L69" s="818">
        <f>'Benefits Spending LASER'!D69</f>
        <v>8685029.1785199996</v>
      </c>
      <c r="M69" s="819">
        <f>'Benefits Spending LASER'!E69</f>
        <v>5904478.3761299998</v>
      </c>
      <c r="N69" s="819">
        <f>'Benefits Spending LASER'!I69</f>
        <v>4572.0452499999974</v>
      </c>
      <c r="O69" s="820">
        <f t="shared" ref="O69:O100" si="20">SUM(L69:N69)</f>
        <v>14594079.5999</v>
      </c>
      <c r="P69" s="1622">
        <f t="shared" si="12"/>
        <v>9247376.5085199997</v>
      </c>
      <c r="Q69" s="819">
        <f t="shared" si="13"/>
        <v>6117433.0261300001</v>
      </c>
      <c r="R69" s="819">
        <f t="shared" si="14"/>
        <v>497278.55525000003</v>
      </c>
      <c r="S69" s="820">
        <f t="shared" si="15"/>
        <v>15862088.0899</v>
      </c>
      <c r="U69" s="653">
        <f t="shared" ref="U69:U100" si="21">D69/G69</f>
        <v>0.4356016080671502</v>
      </c>
      <c r="V69" s="654">
        <f t="shared" ref="V69:V100" si="22">E69/G69</f>
        <v>0.16753557810455066</v>
      </c>
      <c r="W69" s="654">
        <f t="shared" ref="W69:W100" si="23">F69/G69</f>
        <v>0.39686281382829913</v>
      </c>
      <c r="X69" s="655">
        <f t="shared" si="5"/>
        <v>0.60313718617170087</v>
      </c>
      <c r="Z69" s="1631">
        <f t="shared" si="6"/>
        <v>7.7078474982022874E-2</v>
      </c>
      <c r="AA69" s="1535">
        <f t="shared" si="7"/>
        <v>2.8610943113408288E-3</v>
      </c>
      <c r="AB69" s="1633">
        <f t="shared" si="8"/>
        <v>0.92006043070663635</v>
      </c>
      <c r="AD69" s="1631">
        <f t="shared" si="9"/>
        <v>0.9757400854659114</v>
      </c>
      <c r="AE69" s="1535">
        <f t="shared" si="10"/>
        <v>1.5065781383300459E-2</v>
      </c>
      <c r="AF69" s="1633">
        <f t="shared" si="11"/>
        <v>9.1941331507880194E-3</v>
      </c>
    </row>
    <row r="70" spans="1:32">
      <c r="A70" s="767" t="s">
        <v>168</v>
      </c>
      <c r="B70" s="618" t="s">
        <v>169</v>
      </c>
      <c r="C70" s="768" t="s">
        <v>266</v>
      </c>
      <c r="D70" s="818">
        <f>'Administration LASER'!D69+'Other Oper Exp. LASER'!D69</f>
        <v>604816.88</v>
      </c>
      <c r="E70" s="819">
        <f>'Administration LASER'!E69+'Other Oper Exp. LASER'!E69</f>
        <v>292567.94</v>
      </c>
      <c r="F70" s="819">
        <f>'Administration LASER'!K69+'Other Oper Exp. LASER'!K69</f>
        <v>308823.10000000003</v>
      </c>
      <c r="G70" s="820">
        <f>'Administration LASER'!I69+'Other Oper Exp. LASER'!I69</f>
        <v>1206207.92</v>
      </c>
      <c r="H70" s="818">
        <f>'Client Services LASER'!D70</f>
        <v>58492.060000000005</v>
      </c>
      <c r="I70" s="819">
        <f>'Client Services LASER'!E70</f>
        <v>84731.06</v>
      </c>
      <c r="J70" s="819">
        <f>'Client Services LASER'!K70</f>
        <v>27736.689999999995</v>
      </c>
      <c r="K70" s="820">
        <f>'Client Services LASER'!I70</f>
        <v>170959.81</v>
      </c>
      <c r="L70" s="818">
        <f>'Benefits Spending LASER'!D70</f>
        <v>17762342.575443</v>
      </c>
      <c r="M70" s="819">
        <f>'Benefits Spending LASER'!E70</f>
        <v>12441823.036226002</v>
      </c>
      <c r="N70" s="819">
        <f>'Benefits Spending LASER'!I70</f>
        <v>319698.66823099996</v>
      </c>
      <c r="O70" s="820">
        <f t="shared" si="20"/>
        <v>30523864.279900003</v>
      </c>
      <c r="P70" s="1622">
        <f t="shared" si="12"/>
        <v>18425651.515443001</v>
      </c>
      <c r="Q70" s="819">
        <f t="shared" si="13"/>
        <v>12819122.036226002</v>
      </c>
      <c r="R70" s="819">
        <f t="shared" si="14"/>
        <v>656258.458231</v>
      </c>
      <c r="S70" s="820">
        <f t="shared" si="15"/>
        <v>31901032.009900004</v>
      </c>
      <c r="U70" s="653">
        <f t="shared" si="21"/>
        <v>0.5014200868453923</v>
      </c>
      <c r="V70" s="654">
        <f t="shared" si="22"/>
        <v>0.24255183136253991</v>
      </c>
      <c r="W70" s="654">
        <f t="shared" si="23"/>
        <v>0.25602808179206787</v>
      </c>
      <c r="X70" s="655">
        <f t="shared" ref="X70:X125" si="24">(D70+E70)/G70</f>
        <v>0.74397191820793229</v>
      </c>
      <c r="Z70" s="1631">
        <f t="shared" ref="Z70:Z125" si="25">G70/S70</f>
        <v>3.7810937264527097E-2</v>
      </c>
      <c r="AA70" s="1535">
        <f t="shared" ref="AA70:AA125" si="26">K70/S70</f>
        <v>5.3590683193868215E-3</v>
      </c>
      <c r="AB70" s="1633">
        <f t="shared" ref="AB70:AB125" si="27">O70/S70</f>
        <v>0.95682999441608607</v>
      </c>
      <c r="AD70" s="1631">
        <f t="shared" ref="AD70:AD125" si="28">F70/R70</f>
        <v>0.47058151575289214</v>
      </c>
      <c r="AE70" s="1535">
        <f t="shared" ref="AE70:AE125" si="29">J70/R70</f>
        <v>4.2264887640102319E-2</v>
      </c>
      <c r="AF70" s="1633">
        <f t="shared" ref="AF70:AF125" si="30">N70/R70</f>
        <v>0.48715359660700552</v>
      </c>
    </row>
    <row r="71" spans="1:32">
      <c r="A71" s="767" t="s">
        <v>170</v>
      </c>
      <c r="B71" s="618" t="s">
        <v>171</v>
      </c>
      <c r="C71" s="768" t="s">
        <v>267</v>
      </c>
      <c r="D71" s="818">
        <f>'Administration LASER'!D70+'Other Oper Exp. LASER'!D70</f>
        <v>699726.75</v>
      </c>
      <c r="E71" s="819">
        <f>'Administration LASER'!E70+'Other Oper Exp. LASER'!E70</f>
        <v>339380.07</v>
      </c>
      <c r="F71" s="819">
        <f>'Administration LASER'!K70+'Other Oper Exp. LASER'!K70</f>
        <v>703369.47000000009</v>
      </c>
      <c r="G71" s="820">
        <f>'Administration LASER'!I70+'Other Oper Exp. LASER'!I70</f>
        <v>1742476.2899999998</v>
      </c>
      <c r="H71" s="818">
        <f>'Client Services LASER'!D71</f>
        <v>30654.170000000002</v>
      </c>
      <c r="I71" s="819">
        <f>'Client Services LASER'!E71</f>
        <v>15258.07</v>
      </c>
      <c r="J71" s="819">
        <f>'Client Services LASER'!K71</f>
        <v>18334.04</v>
      </c>
      <c r="K71" s="820">
        <f>'Client Services LASER'!I71</f>
        <v>64246.280000000013</v>
      </c>
      <c r="L71" s="818">
        <f>'Benefits Spending LASER'!D71</f>
        <v>21472062.720409002</v>
      </c>
      <c r="M71" s="819">
        <f>'Benefits Spending LASER'!E71</f>
        <v>16795315.175727874</v>
      </c>
      <c r="N71" s="819">
        <f>'Benefits Spending LASER'!I71</f>
        <v>807743.0637631251</v>
      </c>
      <c r="O71" s="820">
        <f t="shared" si="20"/>
        <v>39075120.959900007</v>
      </c>
      <c r="P71" s="1622">
        <f t="shared" ref="P71:P125" si="31">D71+H71+L71</f>
        <v>22202443.640409004</v>
      </c>
      <c r="Q71" s="819">
        <f t="shared" ref="Q71:Q125" si="32">E71+I71+M71</f>
        <v>17149953.315727875</v>
      </c>
      <c r="R71" s="819">
        <f t="shared" ref="R71:R125" si="33">F71+J71+N71</f>
        <v>1529446.5737631251</v>
      </c>
      <c r="S71" s="820">
        <f t="shared" ref="S71:S125" si="34">G71+K71+O71</f>
        <v>40881843.529900007</v>
      </c>
      <c r="U71" s="653">
        <f t="shared" si="21"/>
        <v>0.40157031347611627</v>
      </c>
      <c r="V71" s="654">
        <f t="shared" si="22"/>
        <v>0.19476883097215633</v>
      </c>
      <c r="W71" s="654">
        <f t="shared" si="23"/>
        <v>0.40366085555172759</v>
      </c>
      <c r="X71" s="655">
        <f t="shared" si="24"/>
        <v>0.59633914444827263</v>
      </c>
      <c r="Z71" s="1631">
        <f t="shared" si="25"/>
        <v>4.2622253292603947E-2</v>
      </c>
      <c r="AA71" s="1535">
        <f t="shared" si="26"/>
        <v>1.5715113226978576E-3</v>
      </c>
      <c r="AB71" s="1633">
        <f t="shared" si="27"/>
        <v>0.95580623538469822</v>
      </c>
      <c r="AD71" s="1631">
        <f t="shared" si="28"/>
        <v>0.45988495581731598</v>
      </c>
      <c r="AE71" s="1535">
        <f t="shared" si="29"/>
        <v>1.1987368708728434E-2</v>
      </c>
      <c r="AF71" s="1633">
        <f t="shared" si="30"/>
        <v>0.52812767547395567</v>
      </c>
    </row>
    <row r="72" spans="1:32">
      <c r="A72" s="767" t="s">
        <v>172</v>
      </c>
      <c r="B72" s="618" t="s">
        <v>173</v>
      </c>
      <c r="C72" s="768" t="s">
        <v>267</v>
      </c>
      <c r="D72" s="818">
        <f>'Administration LASER'!D71+'Other Oper Exp. LASER'!D71</f>
        <v>726932.5</v>
      </c>
      <c r="E72" s="819">
        <f>'Administration LASER'!E71+'Other Oper Exp. LASER'!E71</f>
        <v>362300.04</v>
      </c>
      <c r="F72" s="819">
        <f>'Administration LASER'!K71+'Other Oper Exp. LASER'!K71</f>
        <v>343965.52</v>
      </c>
      <c r="G72" s="820">
        <f>'Administration LASER'!I71+'Other Oper Exp. LASER'!I71</f>
        <v>1433198.0600000003</v>
      </c>
      <c r="H72" s="818">
        <f>'Client Services LASER'!D72</f>
        <v>26153.78</v>
      </c>
      <c r="I72" s="819">
        <f>'Client Services LASER'!E72</f>
        <v>14695.859999999999</v>
      </c>
      <c r="J72" s="819">
        <f>'Client Services LASER'!K72</f>
        <v>10442.150000000001</v>
      </c>
      <c r="K72" s="820">
        <f>'Client Services LASER'!I72</f>
        <v>51291.79</v>
      </c>
      <c r="L72" s="818">
        <f>'Benefits Spending LASER'!D72</f>
        <v>19018188.209450003</v>
      </c>
      <c r="M72" s="819">
        <f>'Benefits Spending LASER'!E72</f>
        <v>13347878.250717498</v>
      </c>
      <c r="N72" s="819">
        <f>'Benefits Spending LASER'!I72</f>
        <v>208644.26973250002</v>
      </c>
      <c r="O72" s="820">
        <f t="shared" si="20"/>
        <v>32574710.729900002</v>
      </c>
      <c r="P72" s="1622">
        <f t="shared" si="31"/>
        <v>19771274.489450004</v>
      </c>
      <c r="Q72" s="819">
        <f t="shared" si="32"/>
        <v>13724874.150717499</v>
      </c>
      <c r="R72" s="819">
        <f t="shared" si="33"/>
        <v>563051.93973250012</v>
      </c>
      <c r="S72" s="820">
        <f t="shared" si="34"/>
        <v>34059200.579900004</v>
      </c>
      <c r="U72" s="653">
        <f t="shared" si="21"/>
        <v>0.50721007813811847</v>
      </c>
      <c r="V72" s="654">
        <f t="shared" si="22"/>
        <v>0.25279132738987931</v>
      </c>
      <c r="W72" s="654">
        <f t="shared" si="23"/>
        <v>0.23999859447200197</v>
      </c>
      <c r="X72" s="655">
        <f t="shared" si="24"/>
        <v>0.76000140552799789</v>
      </c>
      <c r="Z72" s="1631">
        <f t="shared" si="25"/>
        <v>4.2079615363779278E-2</v>
      </c>
      <c r="AA72" s="1535">
        <f t="shared" si="26"/>
        <v>1.5059598912098304E-3</v>
      </c>
      <c r="AB72" s="1633">
        <f t="shared" si="27"/>
        <v>0.95641442474501082</v>
      </c>
      <c r="AD72" s="1631">
        <f t="shared" si="28"/>
        <v>0.61089483176883164</v>
      </c>
      <c r="AE72" s="1535">
        <f t="shared" si="29"/>
        <v>1.8545624769467899E-2</v>
      </c>
      <c r="AF72" s="1633">
        <f t="shared" si="30"/>
        <v>0.37055954346170028</v>
      </c>
    </row>
    <row r="73" spans="1:32">
      <c r="A73" s="767" t="s">
        <v>174</v>
      </c>
      <c r="B73" s="618" t="s">
        <v>175</v>
      </c>
      <c r="C73" s="768" t="s">
        <v>268</v>
      </c>
      <c r="D73" s="818">
        <f>'Administration LASER'!D72+'Other Oper Exp. LASER'!D72</f>
        <v>627544.01000000013</v>
      </c>
      <c r="E73" s="819">
        <f>'Administration LASER'!E72+'Other Oper Exp. LASER'!E72</f>
        <v>317658.11</v>
      </c>
      <c r="F73" s="819">
        <f>'Administration LASER'!K72+'Other Oper Exp. LASER'!K72</f>
        <v>287345.27999999997</v>
      </c>
      <c r="G73" s="820">
        <f>'Administration LASER'!I72+'Other Oper Exp. LASER'!I72</f>
        <v>1232547.4000000001</v>
      </c>
      <c r="H73" s="818">
        <f>'Client Services LASER'!D73</f>
        <v>50871.509999999995</v>
      </c>
      <c r="I73" s="819">
        <f>'Client Services LASER'!E73</f>
        <v>36544.32</v>
      </c>
      <c r="J73" s="819">
        <f>'Client Services LASER'!K73</f>
        <v>17255.79</v>
      </c>
      <c r="K73" s="820">
        <f>'Client Services LASER'!I73</f>
        <v>104671.61999999998</v>
      </c>
      <c r="L73" s="818">
        <f>'Benefits Spending LASER'!D73</f>
        <v>16959611.440547001</v>
      </c>
      <c r="M73" s="819">
        <f>'Benefits Spending LASER'!E73</f>
        <v>12051430.457603002</v>
      </c>
      <c r="N73" s="819">
        <f>'Benefits Spending LASER'!I73</f>
        <v>30128.561749999997</v>
      </c>
      <c r="O73" s="820">
        <f t="shared" si="20"/>
        <v>29041170.459900003</v>
      </c>
      <c r="P73" s="1622">
        <f t="shared" si="31"/>
        <v>17638026.960547</v>
      </c>
      <c r="Q73" s="819">
        <f t="shared" si="32"/>
        <v>12405632.887603002</v>
      </c>
      <c r="R73" s="819">
        <f t="shared" si="33"/>
        <v>334729.63174999994</v>
      </c>
      <c r="S73" s="820">
        <f t="shared" si="34"/>
        <v>30378389.479900002</v>
      </c>
      <c r="U73" s="653">
        <f t="shared" si="21"/>
        <v>0.50914391608793308</v>
      </c>
      <c r="V73" s="654">
        <f t="shared" si="22"/>
        <v>0.25772486315739251</v>
      </c>
      <c r="W73" s="654">
        <f t="shared" si="23"/>
        <v>0.23313122075467438</v>
      </c>
      <c r="X73" s="655">
        <f t="shared" si="24"/>
        <v>0.76686877924532559</v>
      </c>
      <c r="Z73" s="1631">
        <f t="shared" si="25"/>
        <v>4.0573164710246426E-2</v>
      </c>
      <c r="AA73" s="1535">
        <f t="shared" si="26"/>
        <v>3.445594772864981E-3</v>
      </c>
      <c r="AB73" s="1633">
        <f t="shared" si="27"/>
        <v>0.9559812405168886</v>
      </c>
      <c r="AD73" s="1631">
        <f t="shared" si="28"/>
        <v>0.8584399250754412</v>
      </c>
      <c r="AE73" s="1535">
        <f t="shared" si="29"/>
        <v>5.1551426474510213E-2</v>
      </c>
      <c r="AF73" s="1633">
        <f t="shared" si="30"/>
        <v>9.0008648450048676E-2</v>
      </c>
    </row>
    <row r="74" spans="1:32">
      <c r="A74" s="767" t="s">
        <v>178</v>
      </c>
      <c r="B74" s="618" t="s">
        <v>179</v>
      </c>
      <c r="C74" s="768" t="s">
        <v>265</v>
      </c>
      <c r="D74" s="818">
        <f>'Administration LASER'!D73+'Other Oper Exp. LASER'!D73</f>
        <v>1872290.0699999998</v>
      </c>
      <c r="E74" s="819">
        <f>'Administration LASER'!E73+'Other Oper Exp. LASER'!E73</f>
        <v>932820.33</v>
      </c>
      <c r="F74" s="819">
        <f>'Administration LASER'!K73+'Other Oper Exp. LASER'!K73</f>
        <v>1078492.8399999999</v>
      </c>
      <c r="G74" s="820">
        <f>'Administration LASER'!I73+'Other Oper Exp. LASER'!I73</f>
        <v>3883603.24</v>
      </c>
      <c r="H74" s="818">
        <f>'Client Services LASER'!D74</f>
        <v>104245.66999999998</v>
      </c>
      <c r="I74" s="819">
        <f>'Client Services LASER'!E74</f>
        <v>21564.720000000001</v>
      </c>
      <c r="J74" s="819">
        <f>'Client Services LASER'!K74</f>
        <v>25248.409999999996</v>
      </c>
      <c r="K74" s="820">
        <f>'Client Services LASER'!I74</f>
        <v>151058.79999999999</v>
      </c>
      <c r="L74" s="818">
        <f>'Benefits Spending LASER'!D74</f>
        <v>57676133.285405003</v>
      </c>
      <c r="M74" s="819">
        <f>'Benefits Spending LASER'!E74</f>
        <v>44513903.047648124</v>
      </c>
      <c r="N74" s="819">
        <f>'Benefits Spending LASER'!I74</f>
        <v>1003102.136546875</v>
      </c>
      <c r="O74" s="820">
        <f t="shared" si="20"/>
        <v>103193138.46960001</v>
      </c>
      <c r="P74" s="1622">
        <f t="shared" si="31"/>
        <v>59652669.025405005</v>
      </c>
      <c r="Q74" s="819">
        <f t="shared" si="32"/>
        <v>45468288.097648121</v>
      </c>
      <c r="R74" s="819">
        <f t="shared" si="33"/>
        <v>2106843.3865468749</v>
      </c>
      <c r="S74" s="820">
        <f t="shared" si="34"/>
        <v>107227800.50960001</v>
      </c>
      <c r="U74" s="653">
        <f t="shared" si="21"/>
        <v>0.482101274073507</v>
      </c>
      <c r="V74" s="654">
        <f t="shared" si="22"/>
        <v>0.24019454932785561</v>
      </c>
      <c r="W74" s="654">
        <f t="shared" si="23"/>
        <v>0.27770417659863722</v>
      </c>
      <c r="X74" s="655">
        <f t="shared" si="24"/>
        <v>0.72229582340136267</v>
      </c>
      <c r="Z74" s="1631">
        <f t="shared" si="25"/>
        <v>3.6218249572808357E-2</v>
      </c>
      <c r="AA74" s="1535">
        <f t="shared" si="26"/>
        <v>1.4087652575366946E-3</v>
      </c>
      <c r="AB74" s="1633">
        <f t="shared" si="27"/>
        <v>0.96237298516965486</v>
      </c>
      <c r="AD74" s="1631">
        <f t="shared" si="28"/>
        <v>0.51189986255582776</v>
      </c>
      <c r="AE74" s="1535">
        <f t="shared" si="29"/>
        <v>1.1983999456828277E-2</v>
      </c>
      <c r="AF74" s="1633">
        <f t="shared" si="30"/>
        <v>0.47611613798734398</v>
      </c>
    </row>
    <row r="75" spans="1:32">
      <c r="A75" s="767" t="s">
        <v>182</v>
      </c>
      <c r="B75" s="618" t="s">
        <v>183</v>
      </c>
      <c r="C75" s="768" t="s">
        <v>266</v>
      </c>
      <c r="D75" s="818">
        <f>'Administration LASER'!D74+'Other Oper Exp. LASER'!D74</f>
        <v>491842.31</v>
      </c>
      <c r="E75" s="819">
        <f>'Administration LASER'!E74+'Other Oper Exp. LASER'!E74</f>
        <v>171979.89</v>
      </c>
      <c r="F75" s="819">
        <f>'Administration LASER'!K74+'Other Oper Exp. LASER'!K74</f>
        <v>567910.59</v>
      </c>
      <c r="G75" s="820">
        <f>'Administration LASER'!I74+'Other Oper Exp. LASER'!I74</f>
        <v>1231732.79</v>
      </c>
      <c r="H75" s="818">
        <f>'Client Services LASER'!D75</f>
        <v>24350.93</v>
      </c>
      <c r="I75" s="819">
        <f>'Client Services LASER'!E75</f>
        <v>30909.29</v>
      </c>
      <c r="J75" s="819">
        <f>'Client Services LASER'!K75</f>
        <v>8137.59</v>
      </c>
      <c r="K75" s="820">
        <f>'Client Services LASER'!I75</f>
        <v>63397.81</v>
      </c>
      <c r="L75" s="818">
        <f>'Benefits Spending LASER'!D75</f>
        <v>8746140.4274000004</v>
      </c>
      <c r="M75" s="819">
        <f>'Benefits Spending LASER'!E75</f>
        <v>7287851.1681674998</v>
      </c>
      <c r="N75" s="819">
        <f>'Benefits Spending LASER'!I75</f>
        <v>896501.8343325</v>
      </c>
      <c r="O75" s="820">
        <f t="shared" si="20"/>
        <v>16930493.429900002</v>
      </c>
      <c r="P75" s="1622">
        <f t="shared" si="31"/>
        <v>9262333.6674000006</v>
      </c>
      <c r="Q75" s="819">
        <f t="shared" si="32"/>
        <v>7490740.3481674995</v>
      </c>
      <c r="R75" s="819">
        <f t="shared" si="33"/>
        <v>1472550.0143324998</v>
      </c>
      <c r="S75" s="820">
        <f t="shared" si="34"/>
        <v>18225624.029900003</v>
      </c>
      <c r="U75" s="653">
        <f t="shared" si="21"/>
        <v>0.39930926089902991</v>
      </c>
      <c r="V75" s="654">
        <f t="shared" si="22"/>
        <v>0.13962434985594563</v>
      </c>
      <c r="W75" s="654">
        <f t="shared" si="23"/>
        <v>0.46106638924502447</v>
      </c>
      <c r="X75" s="655">
        <f t="shared" si="24"/>
        <v>0.53893361075497548</v>
      </c>
      <c r="Z75" s="1631">
        <f t="shared" si="25"/>
        <v>6.7582475528919272E-2</v>
      </c>
      <c r="AA75" s="1535">
        <f t="shared" si="26"/>
        <v>3.4784987277249259E-3</v>
      </c>
      <c r="AB75" s="1633">
        <f t="shared" si="27"/>
        <v>0.92893902574335574</v>
      </c>
      <c r="AD75" s="1631">
        <f t="shared" si="28"/>
        <v>0.38566472070385416</v>
      </c>
      <c r="AE75" s="1535">
        <f t="shared" si="29"/>
        <v>5.5261892097354208E-3</v>
      </c>
      <c r="AF75" s="1633">
        <f t="shared" si="30"/>
        <v>0.60880909008641049</v>
      </c>
    </row>
    <row r="76" spans="1:32">
      <c r="A76" s="767" t="s">
        <v>184</v>
      </c>
      <c r="B76" s="618" t="s">
        <v>185</v>
      </c>
      <c r="C76" s="768" t="s">
        <v>266</v>
      </c>
      <c r="D76" s="818">
        <f>'Administration LASER'!D75+'Other Oper Exp. LASER'!D75</f>
        <v>1017710.2400000001</v>
      </c>
      <c r="E76" s="819">
        <f>'Administration LASER'!E75+'Other Oper Exp. LASER'!E75</f>
        <v>440881.82</v>
      </c>
      <c r="F76" s="819">
        <f>'Administration LASER'!K75+'Other Oper Exp. LASER'!K75</f>
        <v>742374.05</v>
      </c>
      <c r="G76" s="820">
        <f>'Administration LASER'!I75+'Other Oper Exp. LASER'!I75</f>
        <v>2200966.11</v>
      </c>
      <c r="H76" s="818">
        <f>'Client Services LASER'!D76</f>
        <v>48022.96</v>
      </c>
      <c r="I76" s="819">
        <f>'Client Services LASER'!E76</f>
        <v>84541.94</v>
      </c>
      <c r="J76" s="819">
        <f>'Client Services LASER'!K76</f>
        <v>24252.9</v>
      </c>
      <c r="K76" s="820">
        <f>'Client Services LASER'!I76</f>
        <v>156817.79999999999</v>
      </c>
      <c r="L76" s="818">
        <f>'Benefits Spending LASER'!D76</f>
        <v>20756170.387829997</v>
      </c>
      <c r="M76" s="819">
        <f>'Benefits Spending LASER'!E76</f>
        <v>15865069.429099999</v>
      </c>
      <c r="N76" s="819">
        <f>'Benefits Spending LASER'!I76</f>
        <v>224201.95297000001</v>
      </c>
      <c r="O76" s="820">
        <f t="shared" si="20"/>
        <v>36845441.769899994</v>
      </c>
      <c r="P76" s="1622">
        <f t="shared" si="31"/>
        <v>21821903.587829996</v>
      </c>
      <c r="Q76" s="819">
        <f t="shared" si="32"/>
        <v>16390493.189099999</v>
      </c>
      <c r="R76" s="819">
        <f t="shared" si="33"/>
        <v>990828.90297000005</v>
      </c>
      <c r="S76" s="820">
        <f t="shared" si="34"/>
        <v>39203225.679899991</v>
      </c>
      <c r="U76" s="653">
        <f t="shared" si="21"/>
        <v>0.46239250816996913</v>
      </c>
      <c r="V76" s="654">
        <f t="shared" si="22"/>
        <v>0.20031286170053753</v>
      </c>
      <c r="W76" s="654">
        <f t="shared" si="23"/>
        <v>0.33729463012949351</v>
      </c>
      <c r="X76" s="655">
        <f t="shared" si="24"/>
        <v>0.66270536987050666</v>
      </c>
      <c r="Z76" s="1631">
        <f t="shared" si="25"/>
        <v>5.6142474804782815E-2</v>
      </c>
      <c r="AA76" s="1535">
        <f t="shared" si="26"/>
        <v>4.0001249203430352E-3</v>
      </c>
      <c r="AB76" s="1633">
        <f t="shared" si="27"/>
        <v>0.93985740027487419</v>
      </c>
      <c r="AD76" s="1631">
        <f t="shared" si="28"/>
        <v>0.74924545274642373</v>
      </c>
      <c r="AE76" s="1535">
        <f t="shared" si="29"/>
        <v>2.4477384467996612E-2</v>
      </c>
      <c r="AF76" s="1633">
        <f t="shared" si="30"/>
        <v>0.22627716278557966</v>
      </c>
    </row>
    <row r="77" spans="1:32">
      <c r="A77" s="767" t="s">
        <v>186</v>
      </c>
      <c r="B77" s="618" t="s">
        <v>187</v>
      </c>
      <c r="C77" s="768" t="s">
        <v>264</v>
      </c>
      <c r="D77" s="818">
        <f>'Administration LASER'!D76+'Other Oper Exp. LASER'!D76</f>
        <v>817506.41</v>
      </c>
      <c r="E77" s="819">
        <f>'Administration LASER'!E76+'Other Oper Exp. LASER'!E76</f>
        <v>327693.84000000003</v>
      </c>
      <c r="F77" s="819">
        <f>'Administration LASER'!K76+'Other Oper Exp. LASER'!K76</f>
        <v>743287.53999999992</v>
      </c>
      <c r="G77" s="820">
        <f>'Administration LASER'!I76+'Other Oper Exp. LASER'!I76</f>
        <v>1888487.79</v>
      </c>
      <c r="H77" s="818">
        <f>'Client Services LASER'!D77</f>
        <v>27950.41</v>
      </c>
      <c r="I77" s="819">
        <f>'Client Services LASER'!E77</f>
        <v>9468.11</v>
      </c>
      <c r="J77" s="819">
        <f>'Client Services LASER'!K77</f>
        <v>7431.8</v>
      </c>
      <c r="K77" s="820">
        <f>'Client Services LASER'!I77</f>
        <v>44850.320000000007</v>
      </c>
      <c r="L77" s="818">
        <f>'Benefits Spending LASER'!D77</f>
        <v>14788648.562449999</v>
      </c>
      <c r="M77" s="819">
        <f>'Benefits Spending LASER'!E77</f>
        <v>10624913.575309999</v>
      </c>
      <c r="N77" s="819">
        <f>'Benefits Spending LASER'!I77</f>
        <v>500778.87213999999</v>
      </c>
      <c r="O77" s="820">
        <f t="shared" si="20"/>
        <v>25914341.0099</v>
      </c>
      <c r="P77" s="1622">
        <f t="shared" si="31"/>
        <v>15634105.382449999</v>
      </c>
      <c r="Q77" s="819">
        <f t="shared" si="32"/>
        <v>10962075.525309999</v>
      </c>
      <c r="R77" s="819">
        <f t="shared" si="33"/>
        <v>1251498.21214</v>
      </c>
      <c r="S77" s="820">
        <f t="shared" si="34"/>
        <v>27847679.119899999</v>
      </c>
      <c r="U77" s="653">
        <f t="shared" si="21"/>
        <v>0.43288943371987593</v>
      </c>
      <c r="V77" s="654">
        <f t="shared" si="22"/>
        <v>0.17352182086387755</v>
      </c>
      <c r="W77" s="654">
        <f t="shared" si="23"/>
        <v>0.39358874541624644</v>
      </c>
      <c r="X77" s="655">
        <f t="shared" si="24"/>
        <v>0.60641125458375345</v>
      </c>
      <c r="Z77" s="1631">
        <f t="shared" si="25"/>
        <v>6.7814907729616986E-2</v>
      </c>
      <c r="AA77" s="1535">
        <f t="shared" si="26"/>
        <v>1.6105586324409308E-3</v>
      </c>
      <c r="AB77" s="1633">
        <f t="shared" si="27"/>
        <v>0.93057453363794207</v>
      </c>
      <c r="AD77" s="1631">
        <f t="shared" si="28"/>
        <v>0.59391817965845517</v>
      </c>
      <c r="AE77" s="1535">
        <f t="shared" si="29"/>
        <v>5.938322506503617E-3</v>
      </c>
      <c r="AF77" s="1633">
        <f t="shared" si="30"/>
        <v>0.40014349783504116</v>
      </c>
    </row>
    <row r="78" spans="1:32">
      <c r="A78" s="767" t="s">
        <v>188</v>
      </c>
      <c r="B78" s="618" t="s">
        <v>189</v>
      </c>
      <c r="C78" s="768" t="s">
        <v>267</v>
      </c>
      <c r="D78" s="818">
        <f>'Administration LASER'!D77+'Other Oper Exp. LASER'!D77</f>
        <v>9321097.3399999999</v>
      </c>
      <c r="E78" s="819">
        <f>'Administration LASER'!E77+'Other Oper Exp. LASER'!E77</f>
        <v>2719910.51</v>
      </c>
      <c r="F78" s="819">
        <f>'Administration LASER'!K77+'Other Oper Exp. LASER'!K77</f>
        <v>12162116.08</v>
      </c>
      <c r="G78" s="820">
        <f>'Administration LASER'!I77+'Other Oper Exp. LASER'!I77</f>
        <v>24203123.93</v>
      </c>
      <c r="H78" s="818">
        <f>'Client Services LASER'!D78</f>
        <v>216103.15</v>
      </c>
      <c r="I78" s="819">
        <f>'Client Services LASER'!E78</f>
        <v>182380.45</v>
      </c>
      <c r="J78" s="819">
        <f>'Client Services LASER'!K78</f>
        <v>81100.81</v>
      </c>
      <c r="K78" s="820">
        <f>'Client Services LASER'!I78</f>
        <v>479584.41</v>
      </c>
      <c r="L78" s="818">
        <f>'Benefits Spending LASER'!D78</f>
        <v>179212949.04987898</v>
      </c>
      <c r="M78" s="819">
        <f>'Benefits Spending LASER'!E78</f>
        <v>130076298.67258725</v>
      </c>
      <c r="N78" s="819">
        <f>'Benefits Spending LASER'!I78</f>
        <v>2745549.6064337501</v>
      </c>
      <c r="O78" s="820">
        <f t="shared" si="20"/>
        <v>312034797.32889998</v>
      </c>
      <c r="P78" s="1622">
        <f t="shared" si="31"/>
        <v>188750149.53987899</v>
      </c>
      <c r="Q78" s="819">
        <f t="shared" si="32"/>
        <v>132978589.63258724</v>
      </c>
      <c r="R78" s="819">
        <f t="shared" si="33"/>
        <v>14988766.49643375</v>
      </c>
      <c r="S78" s="820">
        <f t="shared" si="34"/>
        <v>336717505.66889995</v>
      </c>
      <c r="U78" s="653">
        <f t="shared" si="21"/>
        <v>0.38511959724531314</v>
      </c>
      <c r="V78" s="654">
        <f t="shared" si="22"/>
        <v>0.11237848956467331</v>
      </c>
      <c r="W78" s="654">
        <f t="shared" si="23"/>
        <v>0.50250191319001358</v>
      </c>
      <c r="X78" s="655">
        <f t="shared" si="24"/>
        <v>0.49749808680998642</v>
      </c>
      <c r="Z78" s="1631">
        <f t="shared" si="25"/>
        <v>7.1879612798626938E-2</v>
      </c>
      <c r="AA78" s="1535">
        <f t="shared" si="26"/>
        <v>1.4242930703804377E-3</v>
      </c>
      <c r="AB78" s="1633">
        <f t="shared" si="27"/>
        <v>0.92669609413099274</v>
      </c>
      <c r="AD78" s="1631">
        <f t="shared" si="28"/>
        <v>0.81141540785852595</v>
      </c>
      <c r="AE78" s="1535">
        <f t="shared" si="29"/>
        <v>5.4107727956997772E-3</v>
      </c>
      <c r="AF78" s="1633">
        <f t="shared" si="30"/>
        <v>0.18317381934577431</v>
      </c>
    </row>
    <row r="79" spans="1:32">
      <c r="A79" s="767" t="s">
        <v>190</v>
      </c>
      <c r="B79" s="618" t="s">
        <v>191</v>
      </c>
      <c r="C79" s="768" t="s">
        <v>268</v>
      </c>
      <c r="D79" s="818">
        <f>'Administration LASER'!D78+'Other Oper Exp. LASER'!D78</f>
        <v>1835138.29</v>
      </c>
      <c r="E79" s="819">
        <f>'Administration LASER'!E78+'Other Oper Exp. LASER'!E78</f>
        <v>911001.95</v>
      </c>
      <c r="F79" s="819">
        <f>'Administration LASER'!K78+'Other Oper Exp. LASER'!K78</f>
        <v>902482.27</v>
      </c>
      <c r="G79" s="820">
        <f>'Administration LASER'!I78+'Other Oper Exp. LASER'!I78</f>
        <v>3648622.5100000002</v>
      </c>
      <c r="H79" s="818">
        <f>'Client Services LASER'!D79</f>
        <v>84036.65</v>
      </c>
      <c r="I79" s="819">
        <f>'Client Services LASER'!E79</f>
        <v>30326.010000000002</v>
      </c>
      <c r="J79" s="819">
        <f>'Client Services LASER'!K79</f>
        <v>18863.61</v>
      </c>
      <c r="K79" s="820">
        <f>'Client Services LASER'!I79</f>
        <v>133226.27000000002</v>
      </c>
      <c r="L79" s="818">
        <f>'Benefits Spending LASER'!D79</f>
        <v>32140159.325879999</v>
      </c>
      <c r="M79" s="819">
        <f>'Benefits Spending LASER'!E79</f>
        <v>25281832.096203875</v>
      </c>
      <c r="N79" s="819">
        <f>'Benefits Spending LASER'!I79</f>
        <v>1134544.607716125</v>
      </c>
      <c r="O79" s="820">
        <f t="shared" si="20"/>
        <v>58556536.029799998</v>
      </c>
      <c r="P79" s="1622">
        <f t="shared" si="31"/>
        <v>34059334.265879996</v>
      </c>
      <c r="Q79" s="819">
        <f t="shared" si="32"/>
        <v>26223160.056203876</v>
      </c>
      <c r="R79" s="819">
        <f t="shared" si="33"/>
        <v>2055890.4877161249</v>
      </c>
      <c r="S79" s="820">
        <f t="shared" si="34"/>
        <v>62338384.809799999</v>
      </c>
      <c r="U79" s="653">
        <f t="shared" si="21"/>
        <v>0.50296743085104734</v>
      </c>
      <c r="V79" s="654">
        <f t="shared" si="22"/>
        <v>0.24968380464220727</v>
      </c>
      <c r="W79" s="654">
        <f t="shared" si="23"/>
        <v>0.24734876450674531</v>
      </c>
      <c r="X79" s="655">
        <f t="shared" si="24"/>
        <v>0.75265123549325474</v>
      </c>
      <c r="Z79" s="1631">
        <f t="shared" si="25"/>
        <v>5.8529307763303055E-2</v>
      </c>
      <c r="AA79" s="1535">
        <f t="shared" si="26"/>
        <v>2.137146645786305E-3</v>
      </c>
      <c r="AB79" s="1633">
        <f t="shared" si="27"/>
        <v>0.93933354559091065</v>
      </c>
      <c r="AD79" s="1631">
        <f t="shared" si="28"/>
        <v>0.43897390225418165</v>
      </c>
      <c r="AE79" s="1535">
        <f t="shared" si="29"/>
        <v>9.1753963125513847E-3</v>
      </c>
      <c r="AF79" s="1633">
        <f t="shared" si="30"/>
        <v>0.55185070143326709</v>
      </c>
    </row>
    <row r="80" spans="1:32">
      <c r="A80" s="767" t="s">
        <v>194</v>
      </c>
      <c r="B80" s="618" t="s">
        <v>195</v>
      </c>
      <c r="C80" s="768" t="s">
        <v>267</v>
      </c>
      <c r="D80" s="818">
        <f>'Administration LASER'!D79+'Other Oper Exp. LASER'!D79</f>
        <v>363577.52</v>
      </c>
      <c r="E80" s="819">
        <f>'Administration LASER'!E79+'Other Oper Exp. LASER'!E79</f>
        <v>130242.15</v>
      </c>
      <c r="F80" s="819">
        <f>'Administration LASER'!K79+'Other Oper Exp. LASER'!K79</f>
        <v>397897.57999999996</v>
      </c>
      <c r="G80" s="820">
        <f>'Administration LASER'!I79+'Other Oper Exp. LASER'!I79</f>
        <v>891717.25</v>
      </c>
      <c r="H80" s="818">
        <f>'Client Services LASER'!D80</f>
        <v>24214.66</v>
      </c>
      <c r="I80" s="819">
        <f>'Client Services LASER'!E80</f>
        <v>2165.9800000000005</v>
      </c>
      <c r="J80" s="819">
        <f>'Client Services LASER'!K80</f>
        <v>4651.2200000000012</v>
      </c>
      <c r="K80" s="820">
        <f>'Client Services LASER'!I80</f>
        <v>31031.86</v>
      </c>
      <c r="L80" s="818">
        <f>'Benefits Spending LASER'!D80</f>
        <v>3193635.3644000003</v>
      </c>
      <c r="M80" s="819">
        <f>'Benefits Spending LASER'!E80</f>
        <v>2998958.9982718751</v>
      </c>
      <c r="N80" s="819">
        <f>'Benefits Spending LASER'!I80</f>
        <v>682056.72732812492</v>
      </c>
      <c r="O80" s="820">
        <f t="shared" si="20"/>
        <v>6874651.0899999999</v>
      </c>
      <c r="P80" s="1622">
        <f t="shared" si="31"/>
        <v>3581427.5444000005</v>
      </c>
      <c r="Q80" s="819">
        <f t="shared" si="32"/>
        <v>3131367.128271875</v>
      </c>
      <c r="R80" s="819">
        <f t="shared" si="33"/>
        <v>1084605.5273281247</v>
      </c>
      <c r="S80" s="820">
        <f t="shared" si="34"/>
        <v>7797400.2000000002</v>
      </c>
      <c r="U80" s="653">
        <f t="shared" si="21"/>
        <v>0.40772735976566565</v>
      </c>
      <c r="V80" s="654">
        <f t="shared" si="22"/>
        <v>0.1460576769149638</v>
      </c>
      <c r="W80" s="654">
        <f t="shared" si="23"/>
        <v>0.44621496331937055</v>
      </c>
      <c r="X80" s="655">
        <f t="shared" si="24"/>
        <v>0.55378503668062951</v>
      </c>
      <c r="Z80" s="1631">
        <f t="shared" si="25"/>
        <v>0.11436084170721415</v>
      </c>
      <c r="AA80" s="1535">
        <f t="shared" si="26"/>
        <v>3.9797700777241115E-3</v>
      </c>
      <c r="AB80" s="1633">
        <f t="shared" si="27"/>
        <v>0.88165938821506173</v>
      </c>
      <c r="AD80" s="1631">
        <f t="shared" si="28"/>
        <v>0.36685925894200644</v>
      </c>
      <c r="AE80" s="1535">
        <f t="shared" si="29"/>
        <v>4.2883978394044012E-3</v>
      </c>
      <c r="AF80" s="1633">
        <f t="shared" si="30"/>
        <v>0.62885234321858929</v>
      </c>
    </row>
    <row r="81" spans="1:32">
      <c r="A81" s="767" t="s">
        <v>198</v>
      </c>
      <c r="B81" s="618" t="s">
        <v>199</v>
      </c>
      <c r="C81" s="768" t="s">
        <v>266</v>
      </c>
      <c r="D81" s="818">
        <f>'Administration LASER'!D80+'Other Oper Exp. LASER'!D80</f>
        <v>372737.20999999996</v>
      </c>
      <c r="E81" s="819">
        <f>'Administration LASER'!E80+'Other Oper Exp. LASER'!E80</f>
        <v>159071.45000000001</v>
      </c>
      <c r="F81" s="819">
        <f>'Administration LASER'!K80+'Other Oper Exp. LASER'!K80</f>
        <v>312152.21999999997</v>
      </c>
      <c r="G81" s="820">
        <f>'Administration LASER'!I80+'Other Oper Exp. LASER'!I80</f>
        <v>843960.88</v>
      </c>
      <c r="H81" s="818">
        <f>'Client Services LASER'!D81</f>
        <v>23499.41</v>
      </c>
      <c r="I81" s="819">
        <f>'Client Services LASER'!E81</f>
        <v>25311.870000000003</v>
      </c>
      <c r="J81" s="819">
        <f>'Client Services LASER'!K81</f>
        <v>6432.37</v>
      </c>
      <c r="K81" s="820">
        <f>'Client Services LASER'!I81</f>
        <v>55243.649999999994</v>
      </c>
      <c r="L81" s="818">
        <f>'Benefits Spending LASER'!D81</f>
        <v>7838561.6954500005</v>
      </c>
      <c r="M81" s="819">
        <f>'Benefits Spending LASER'!E81</f>
        <v>5416074.9919787506</v>
      </c>
      <c r="N81" s="819">
        <f>'Benefits Spending LASER'!I81</f>
        <v>162975.20247124997</v>
      </c>
      <c r="O81" s="820">
        <f t="shared" si="20"/>
        <v>13417611.889900001</v>
      </c>
      <c r="P81" s="1622">
        <f t="shared" si="31"/>
        <v>8234798.3154500006</v>
      </c>
      <c r="Q81" s="819">
        <f t="shared" si="32"/>
        <v>5600458.3119787509</v>
      </c>
      <c r="R81" s="819">
        <f t="shared" si="33"/>
        <v>481559.79247124994</v>
      </c>
      <c r="S81" s="820">
        <f t="shared" si="34"/>
        <v>14316816.4199</v>
      </c>
      <c r="U81" s="653">
        <f t="shared" si="21"/>
        <v>0.44165223629796674</v>
      </c>
      <c r="V81" s="654">
        <f t="shared" si="22"/>
        <v>0.18848201826605993</v>
      </c>
      <c r="W81" s="654">
        <f t="shared" si="23"/>
        <v>0.36986574543597323</v>
      </c>
      <c r="X81" s="655">
        <f t="shared" si="24"/>
        <v>0.63013425456402661</v>
      </c>
      <c r="Z81" s="1631">
        <f t="shared" si="25"/>
        <v>5.8948920992443296E-2</v>
      </c>
      <c r="AA81" s="1535">
        <f t="shared" si="26"/>
        <v>3.858654632409253E-3</v>
      </c>
      <c r="AB81" s="1633">
        <f t="shared" si="27"/>
        <v>0.93719242437514749</v>
      </c>
      <c r="AD81" s="1631">
        <f t="shared" si="28"/>
        <v>0.64821072041357375</v>
      </c>
      <c r="AE81" s="1535">
        <f t="shared" si="29"/>
        <v>1.3357365171603327E-2</v>
      </c>
      <c r="AF81" s="1633">
        <f t="shared" si="30"/>
        <v>0.33843191441482295</v>
      </c>
    </row>
    <row r="82" spans="1:32">
      <c r="A82" s="767" t="s">
        <v>202</v>
      </c>
      <c r="B82" s="618" t="s">
        <v>620</v>
      </c>
      <c r="C82" s="768" t="s">
        <v>265</v>
      </c>
      <c r="D82" s="818">
        <f>'Administration LASER'!D81+'Other Oper Exp. LASER'!D81</f>
        <v>2457210.2200000002</v>
      </c>
      <c r="E82" s="819">
        <f>'Administration LASER'!E81+'Other Oper Exp. LASER'!E81</f>
        <v>995734.24</v>
      </c>
      <c r="F82" s="819">
        <f>'Administration LASER'!K81+'Other Oper Exp. LASER'!K81</f>
        <v>2559699.94</v>
      </c>
      <c r="G82" s="820">
        <f>'Administration LASER'!I81+'Other Oper Exp. LASER'!I81</f>
        <v>6012644.4000000004</v>
      </c>
      <c r="H82" s="818">
        <f>'Client Services LASER'!D82</f>
        <v>184491.17</v>
      </c>
      <c r="I82" s="819">
        <f>'Client Services LASER'!E82</f>
        <v>140972.60999999999</v>
      </c>
      <c r="J82" s="819">
        <f>'Client Services LASER'!K82</f>
        <v>64791.79</v>
      </c>
      <c r="K82" s="820">
        <f>'Client Services LASER'!I82</f>
        <v>390255.57</v>
      </c>
      <c r="L82" s="818">
        <f>'Benefits Spending LASER'!D82</f>
        <v>57999866.82952401</v>
      </c>
      <c r="M82" s="819">
        <f>'Benefits Spending LASER'!E82</f>
        <v>48674746.028335877</v>
      </c>
      <c r="N82" s="819">
        <f>'Benefits Spending LASER'!I82</f>
        <v>2871045.8617401249</v>
      </c>
      <c r="O82" s="820">
        <f t="shared" si="20"/>
        <v>109545658.71960001</v>
      </c>
      <c r="P82" s="1622">
        <f t="shared" si="31"/>
        <v>60641568.219524011</v>
      </c>
      <c r="Q82" s="819">
        <f t="shared" si="32"/>
        <v>49811452.878335878</v>
      </c>
      <c r="R82" s="819">
        <f t="shared" si="33"/>
        <v>5495537.5917401249</v>
      </c>
      <c r="S82" s="820">
        <f t="shared" si="34"/>
        <v>115948558.68960001</v>
      </c>
      <c r="U82" s="653">
        <f t="shared" si="21"/>
        <v>0.40867379750580296</v>
      </c>
      <c r="V82" s="654">
        <f t="shared" si="22"/>
        <v>0.16560670709214068</v>
      </c>
      <c r="W82" s="654">
        <f t="shared" si="23"/>
        <v>0.42571949540205634</v>
      </c>
      <c r="X82" s="655">
        <f t="shared" si="24"/>
        <v>0.57428050459794355</v>
      </c>
      <c r="Z82" s="1631">
        <f t="shared" si="25"/>
        <v>5.1856137479864194E-2</v>
      </c>
      <c r="AA82" s="1535">
        <f t="shared" si="26"/>
        <v>3.3657647357629807E-3</v>
      </c>
      <c r="AB82" s="1633">
        <f t="shared" si="27"/>
        <v>0.94477809778437283</v>
      </c>
      <c r="AD82" s="1631">
        <f t="shared" si="28"/>
        <v>0.46577789656962171</v>
      </c>
      <c r="AE82" s="1535">
        <f t="shared" si="29"/>
        <v>1.1789891146843036E-2</v>
      </c>
      <c r="AF82" s="1633">
        <f t="shared" si="30"/>
        <v>0.5224322122835352</v>
      </c>
    </row>
    <row r="83" spans="1:32">
      <c r="A83" s="767" t="s">
        <v>204</v>
      </c>
      <c r="B83" s="618" t="s">
        <v>293</v>
      </c>
      <c r="C83" s="768" t="s">
        <v>265</v>
      </c>
      <c r="D83" s="818">
        <f>'Administration LASER'!D82+'Other Oper Exp. LASER'!D82</f>
        <v>810856.78</v>
      </c>
      <c r="E83" s="819">
        <f>'Administration LASER'!E82+'Other Oper Exp. LASER'!E82</f>
        <v>423892.18</v>
      </c>
      <c r="F83" s="819">
        <f>'Administration LASER'!K82+'Other Oper Exp. LASER'!K82</f>
        <v>295648.36</v>
      </c>
      <c r="G83" s="820">
        <f>'Administration LASER'!I82+'Other Oper Exp. LASER'!I82</f>
        <v>1530397.32</v>
      </c>
      <c r="H83" s="818">
        <f>'Client Services LASER'!D83</f>
        <v>27396.400000000005</v>
      </c>
      <c r="I83" s="819">
        <f>'Client Services LASER'!E83</f>
        <v>11029.7</v>
      </c>
      <c r="J83" s="819">
        <f>'Client Services LASER'!K83</f>
        <v>7902.2</v>
      </c>
      <c r="K83" s="820">
        <f>'Client Services LASER'!I83</f>
        <v>46328.30000000001</v>
      </c>
      <c r="L83" s="818">
        <f>'Benefits Spending LASER'!D83</f>
        <v>23864087.423752002</v>
      </c>
      <c r="M83" s="819">
        <f>'Benefits Spending LASER'!E83</f>
        <v>19897657.508415498</v>
      </c>
      <c r="N83" s="819">
        <f>'Benefits Spending LASER'!I83</f>
        <v>1049149.7577325001</v>
      </c>
      <c r="O83" s="820">
        <f t="shared" si="20"/>
        <v>44810894.689900003</v>
      </c>
      <c r="P83" s="1622">
        <f t="shared" si="31"/>
        <v>24702340.603752002</v>
      </c>
      <c r="Q83" s="819">
        <f t="shared" si="32"/>
        <v>20332579.388415497</v>
      </c>
      <c r="R83" s="819">
        <f t="shared" si="33"/>
        <v>1352700.3177325001</v>
      </c>
      <c r="S83" s="820">
        <f t="shared" si="34"/>
        <v>46387620.309900001</v>
      </c>
      <c r="U83" s="653">
        <f t="shared" si="21"/>
        <v>0.52983416097461544</v>
      </c>
      <c r="V83" s="654">
        <f t="shared" si="22"/>
        <v>0.27698178405069346</v>
      </c>
      <c r="W83" s="654">
        <f t="shared" si="23"/>
        <v>0.19318405497469113</v>
      </c>
      <c r="X83" s="655">
        <f t="shared" si="24"/>
        <v>0.80681594502530884</v>
      </c>
      <c r="Z83" s="1631">
        <f t="shared" si="25"/>
        <v>3.299150311604547E-2</v>
      </c>
      <c r="AA83" s="1535">
        <f t="shared" si="26"/>
        <v>9.9872120385776004E-4</v>
      </c>
      <c r="AB83" s="1633">
        <f t="shared" si="27"/>
        <v>0.96600977568009683</v>
      </c>
      <c r="AD83" s="1631">
        <f t="shared" si="28"/>
        <v>0.21856161052404305</v>
      </c>
      <c r="AE83" s="1535">
        <f t="shared" si="29"/>
        <v>5.8417965135443102E-3</v>
      </c>
      <c r="AF83" s="1633">
        <f t="shared" si="30"/>
        <v>0.77559659296241257</v>
      </c>
    </row>
    <row r="84" spans="1:32">
      <c r="A84" s="767" t="s">
        <v>206</v>
      </c>
      <c r="B84" s="618" t="s">
        <v>294</v>
      </c>
      <c r="C84" s="768" t="s">
        <v>267</v>
      </c>
      <c r="D84" s="818">
        <f>'Administration LASER'!D83+'Other Oper Exp. LASER'!D83</f>
        <v>2928371.82</v>
      </c>
      <c r="E84" s="819">
        <f>'Administration LASER'!E83+'Other Oper Exp. LASER'!E83</f>
        <v>1158778.49</v>
      </c>
      <c r="F84" s="819">
        <f>'Administration LASER'!K83+'Other Oper Exp. LASER'!K83</f>
        <v>2600966.27</v>
      </c>
      <c r="G84" s="820">
        <f>'Administration LASER'!I83+'Other Oper Exp. LASER'!I83</f>
        <v>6688116.5800000001</v>
      </c>
      <c r="H84" s="818">
        <f>'Client Services LASER'!D84</f>
        <v>133117.58000000002</v>
      </c>
      <c r="I84" s="819">
        <f>'Client Services LASER'!E84</f>
        <v>105960.62000000001</v>
      </c>
      <c r="J84" s="819">
        <f>'Client Services LASER'!K84</f>
        <v>47752.95</v>
      </c>
      <c r="K84" s="820">
        <f>'Client Services LASER'!I84</f>
        <v>286831.15000000002</v>
      </c>
      <c r="L84" s="818">
        <f>'Benefits Spending LASER'!D84</f>
        <v>65699765.968850002</v>
      </c>
      <c r="M84" s="819">
        <f>'Benefits Spending LASER'!E84</f>
        <v>54719717.730472244</v>
      </c>
      <c r="N84" s="819">
        <f>'Benefits Spending LASER'!I84</f>
        <v>3393930.2502777493</v>
      </c>
      <c r="O84" s="820">
        <f t="shared" si="20"/>
        <v>123813413.9496</v>
      </c>
      <c r="P84" s="1622">
        <f t="shared" si="31"/>
        <v>68761255.368850008</v>
      </c>
      <c r="Q84" s="819">
        <f t="shared" si="32"/>
        <v>55984456.840472244</v>
      </c>
      <c r="R84" s="819">
        <f t="shared" si="33"/>
        <v>6042649.470277749</v>
      </c>
      <c r="S84" s="820">
        <f t="shared" si="34"/>
        <v>130788361.6796</v>
      </c>
      <c r="U84" s="653">
        <f t="shared" si="21"/>
        <v>0.43784700595036574</v>
      </c>
      <c r="V84" s="654">
        <f t="shared" si="22"/>
        <v>0.17325931390986607</v>
      </c>
      <c r="W84" s="654">
        <f t="shared" si="23"/>
        <v>0.38889368013976816</v>
      </c>
      <c r="X84" s="655">
        <f t="shared" si="24"/>
        <v>0.61110631986023178</v>
      </c>
      <c r="Z84" s="1631">
        <f t="shared" si="25"/>
        <v>5.1136939817200827E-2</v>
      </c>
      <c r="AA84" s="1535">
        <f t="shared" si="26"/>
        <v>2.1930938373757392E-3</v>
      </c>
      <c r="AB84" s="1633">
        <f t="shared" si="27"/>
        <v>0.94666996634542344</v>
      </c>
      <c r="AD84" s="1631">
        <f t="shared" si="28"/>
        <v>0.4304347427057435</v>
      </c>
      <c r="AE84" s="1535">
        <f t="shared" si="29"/>
        <v>7.9026510200342712E-3</v>
      </c>
      <c r="AF84" s="1633">
        <f t="shared" si="30"/>
        <v>0.56166260627422226</v>
      </c>
    </row>
    <row r="85" spans="1:32">
      <c r="A85" s="767" t="s">
        <v>208</v>
      </c>
      <c r="B85" s="618" t="s">
        <v>209</v>
      </c>
      <c r="C85" s="768" t="s">
        <v>268</v>
      </c>
      <c r="D85" s="818">
        <f>'Administration LASER'!D84+'Other Oper Exp. LASER'!D84</f>
        <v>1240332.5</v>
      </c>
      <c r="E85" s="819">
        <f>'Administration LASER'!E84+'Other Oper Exp. LASER'!E84</f>
        <v>641325.56000000006</v>
      </c>
      <c r="F85" s="819">
        <f>'Administration LASER'!K84+'Other Oper Exp. LASER'!K84</f>
        <v>555448.44999999995</v>
      </c>
      <c r="G85" s="820">
        <f>'Administration LASER'!I84+'Other Oper Exp. LASER'!I84</f>
        <v>2437106.5099999998</v>
      </c>
      <c r="H85" s="818">
        <f>'Client Services LASER'!D85</f>
        <v>111628.17</v>
      </c>
      <c r="I85" s="819">
        <f>'Client Services LASER'!E85</f>
        <v>48594.559999999998</v>
      </c>
      <c r="J85" s="819">
        <f>'Client Services LASER'!K85</f>
        <v>29518.85</v>
      </c>
      <c r="K85" s="820">
        <f>'Client Services LASER'!I85</f>
        <v>189741.58</v>
      </c>
      <c r="L85" s="818">
        <f>'Benefits Spending LASER'!D85</f>
        <v>30874044.032529999</v>
      </c>
      <c r="M85" s="819">
        <f>'Benefits Spending LASER'!E85</f>
        <v>22201668.804202002</v>
      </c>
      <c r="N85" s="819">
        <f>'Benefits Spending LASER'!I85</f>
        <v>282486.62306800002</v>
      </c>
      <c r="O85" s="820">
        <f t="shared" si="20"/>
        <v>53358199.459799998</v>
      </c>
      <c r="P85" s="1622">
        <f t="shared" si="31"/>
        <v>32226004.702529997</v>
      </c>
      <c r="Q85" s="819">
        <f t="shared" si="32"/>
        <v>22891588.924202003</v>
      </c>
      <c r="R85" s="819">
        <f t="shared" si="33"/>
        <v>867453.923068</v>
      </c>
      <c r="S85" s="820">
        <f t="shared" si="34"/>
        <v>55985047.549799994</v>
      </c>
      <c r="U85" s="653">
        <f t="shared" si="21"/>
        <v>0.50893651750985647</v>
      </c>
      <c r="V85" s="654">
        <f t="shared" si="22"/>
        <v>0.2631504028931424</v>
      </c>
      <c r="W85" s="654">
        <f t="shared" si="23"/>
        <v>0.22791307959700127</v>
      </c>
      <c r="X85" s="655">
        <f t="shared" si="24"/>
        <v>0.77208692040299887</v>
      </c>
      <c r="Z85" s="1631">
        <f t="shared" si="25"/>
        <v>4.3531382336187842E-2</v>
      </c>
      <c r="AA85" s="1535">
        <f t="shared" si="26"/>
        <v>3.3891474296100306E-3</v>
      </c>
      <c r="AB85" s="1633">
        <f t="shared" si="27"/>
        <v>0.95307947023420214</v>
      </c>
      <c r="AD85" s="1631">
        <f t="shared" si="28"/>
        <v>0.64032040806904988</v>
      </c>
      <c r="AE85" s="1535">
        <f t="shared" si="29"/>
        <v>3.4029300248707282E-2</v>
      </c>
      <c r="AF85" s="1633">
        <f t="shared" si="30"/>
        <v>0.3256502916822428</v>
      </c>
    </row>
    <row r="86" spans="1:32">
      <c r="A86" s="767" t="s">
        <v>210</v>
      </c>
      <c r="B86" s="618" t="s">
        <v>211</v>
      </c>
      <c r="C86" s="768" t="s">
        <v>268</v>
      </c>
      <c r="D86" s="818">
        <f>'Administration LASER'!D85+'Other Oper Exp. LASER'!D85</f>
        <v>1103163.03</v>
      </c>
      <c r="E86" s="819">
        <f>'Administration LASER'!E85+'Other Oper Exp. LASER'!E85</f>
        <v>572276.12</v>
      </c>
      <c r="F86" s="819">
        <f>'Administration LASER'!K85+'Other Oper Exp. LASER'!K85</f>
        <v>435217.54</v>
      </c>
      <c r="G86" s="820">
        <f>'Administration LASER'!I85+'Other Oper Exp. LASER'!I85</f>
        <v>2110656.69</v>
      </c>
      <c r="H86" s="818">
        <f>'Client Services LASER'!D86</f>
        <v>64188.73</v>
      </c>
      <c r="I86" s="819">
        <f>'Client Services LASER'!E86</f>
        <v>89567.890000000014</v>
      </c>
      <c r="J86" s="819">
        <f>'Client Services LASER'!K86</f>
        <v>24423.33</v>
      </c>
      <c r="K86" s="820">
        <f>'Client Services LASER'!I86</f>
        <v>178179.95</v>
      </c>
      <c r="L86" s="818">
        <f>'Benefits Spending LASER'!D86</f>
        <v>21539526.670059998</v>
      </c>
      <c r="M86" s="819">
        <f>'Benefits Spending LASER'!E86</f>
        <v>16100659.983970001</v>
      </c>
      <c r="N86" s="819">
        <f>'Benefits Spending LASER'!I86</f>
        <v>280222.56586999999</v>
      </c>
      <c r="O86" s="820">
        <f t="shared" si="20"/>
        <v>37920409.219899997</v>
      </c>
      <c r="P86" s="1622">
        <f t="shared" si="31"/>
        <v>22706878.430059999</v>
      </c>
      <c r="Q86" s="819">
        <f t="shared" si="32"/>
        <v>16762503.993970001</v>
      </c>
      <c r="R86" s="819">
        <f t="shared" si="33"/>
        <v>739863.43586999993</v>
      </c>
      <c r="S86" s="820">
        <f t="shared" si="34"/>
        <v>40209245.859899998</v>
      </c>
      <c r="U86" s="653">
        <f t="shared" si="21"/>
        <v>0.52266341334743549</v>
      </c>
      <c r="V86" s="654">
        <f t="shared" si="22"/>
        <v>0.2711365248130429</v>
      </c>
      <c r="W86" s="654">
        <f t="shared" si="23"/>
        <v>0.20620006183952161</v>
      </c>
      <c r="X86" s="655">
        <f t="shared" si="24"/>
        <v>0.79379993816047834</v>
      </c>
      <c r="Z86" s="1631">
        <f t="shared" si="25"/>
        <v>5.2491824824422342E-2</v>
      </c>
      <c r="AA86" s="1535">
        <f t="shared" si="26"/>
        <v>4.4313178770083788E-3</v>
      </c>
      <c r="AB86" s="1633">
        <f t="shared" si="27"/>
        <v>0.94307685729856927</v>
      </c>
      <c r="AD86" s="1631">
        <f t="shared" si="28"/>
        <v>0.58824036828935988</v>
      </c>
      <c r="AE86" s="1535">
        <f t="shared" si="29"/>
        <v>3.3010591976721744E-2</v>
      </c>
      <c r="AF86" s="1633">
        <f t="shared" si="30"/>
        <v>0.37874903973391838</v>
      </c>
    </row>
    <row r="87" spans="1:32">
      <c r="A87" s="767" t="s">
        <v>212</v>
      </c>
      <c r="B87" s="618" t="s">
        <v>213</v>
      </c>
      <c r="C87" s="768" t="s">
        <v>267</v>
      </c>
      <c r="D87" s="818">
        <f>'Administration LASER'!D86+'Other Oper Exp. LASER'!D86</f>
        <v>1107338.32</v>
      </c>
      <c r="E87" s="819">
        <f>'Administration LASER'!E86+'Other Oper Exp. LASER'!E86</f>
        <v>422265.1</v>
      </c>
      <c r="F87" s="819">
        <f>'Administration LASER'!K86+'Other Oper Exp. LASER'!K86</f>
        <v>1533354.0699999998</v>
      </c>
      <c r="G87" s="820">
        <f>'Administration LASER'!I86+'Other Oper Exp. LASER'!I86</f>
        <v>3062957.49</v>
      </c>
      <c r="H87" s="818">
        <f>'Client Services LASER'!D87</f>
        <v>47734.82</v>
      </c>
      <c r="I87" s="819">
        <f>'Client Services LASER'!E87</f>
        <v>37045.789999999994</v>
      </c>
      <c r="J87" s="819">
        <f>'Client Services LASER'!K87</f>
        <v>13337.27</v>
      </c>
      <c r="K87" s="820">
        <f>'Client Services LASER'!I87</f>
        <v>98117.879999999976</v>
      </c>
      <c r="L87" s="818">
        <f>'Benefits Spending LASER'!D87</f>
        <v>29094770.112199999</v>
      </c>
      <c r="M87" s="819">
        <f>'Benefits Spending LASER'!E87</f>
        <v>21605883.045674749</v>
      </c>
      <c r="N87" s="819">
        <f>'Benefits Spending LASER'!I87</f>
        <v>624802.50192525005</v>
      </c>
      <c r="O87" s="820">
        <f t="shared" si="20"/>
        <v>51325455.6598</v>
      </c>
      <c r="P87" s="1622">
        <f t="shared" si="31"/>
        <v>30249843.2522</v>
      </c>
      <c r="Q87" s="819">
        <f t="shared" si="32"/>
        <v>22065193.935674749</v>
      </c>
      <c r="R87" s="819">
        <f t="shared" si="33"/>
        <v>2171493.8419252499</v>
      </c>
      <c r="S87" s="820">
        <f t="shared" si="34"/>
        <v>54486531.029799998</v>
      </c>
      <c r="U87" s="653">
        <f t="shared" si="21"/>
        <v>0.36152585323670294</v>
      </c>
      <c r="V87" s="654">
        <f t="shared" si="22"/>
        <v>0.13786188720497064</v>
      </c>
      <c r="W87" s="654">
        <f t="shared" si="23"/>
        <v>0.50061225955832633</v>
      </c>
      <c r="X87" s="655">
        <f t="shared" si="24"/>
        <v>0.4993877404416735</v>
      </c>
      <c r="Z87" s="1631">
        <f t="shared" si="25"/>
        <v>5.6214947659721536E-2</v>
      </c>
      <c r="AA87" s="1535">
        <f t="shared" si="26"/>
        <v>1.8007731111811273E-3</v>
      </c>
      <c r="AB87" s="1633">
        <f t="shared" si="27"/>
        <v>0.94198427922909744</v>
      </c>
      <c r="AD87" s="1631">
        <f t="shared" si="28"/>
        <v>0.70612867529042844</v>
      </c>
      <c r="AE87" s="1535">
        <f t="shared" si="29"/>
        <v>6.1419791953796913E-3</v>
      </c>
      <c r="AF87" s="1633">
        <f t="shared" si="30"/>
        <v>0.28772934551419183</v>
      </c>
    </row>
    <row r="88" spans="1:32">
      <c r="A88" s="767" t="s">
        <v>214</v>
      </c>
      <c r="B88" s="618" t="s">
        <v>215</v>
      </c>
      <c r="C88" s="768" t="s">
        <v>268</v>
      </c>
      <c r="D88" s="818">
        <f>'Administration LASER'!D87+'Other Oper Exp. LASER'!D87</f>
        <v>1769365.2499999998</v>
      </c>
      <c r="E88" s="819">
        <f>'Administration LASER'!E87+'Other Oper Exp. LASER'!E87</f>
        <v>887058.67</v>
      </c>
      <c r="F88" s="819">
        <f>'Administration LASER'!K87+'Other Oper Exp. LASER'!K87</f>
        <v>793424.34</v>
      </c>
      <c r="G88" s="820">
        <f>'Administration LASER'!I87+'Other Oper Exp. LASER'!I87</f>
        <v>3449848.2600000002</v>
      </c>
      <c r="H88" s="818">
        <f>'Client Services LASER'!D88</f>
        <v>113549.62</v>
      </c>
      <c r="I88" s="819">
        <f>'Client Services LASER'!E88</f>
        <v>55856.04</v>
      </c>
      <c r="J88" s="819">
        <f>'Client Services LASER'!K88</f>
        <v>34796.890000000007</v>
      </c>
      <c r="K88" s="820">
        <f>'Client Services LASER'!I88</f>
        <v>204202.55</v>
      </c>
      <c r="L88" s="818">
        <f>'Benefits Spending LASER'!D88</f>
        <v>32681099.322889999</v>
      </c>
      <c r="M88" s="819">
        <f>'Benefits Spending LASER'!E88</f>
        <v>23252429.618634377</v>
      </c>
      <c r="N88" s="819">
        <f>'Benefits Spending LASER'!I88</f>
        <v>261852.29827562501</v>
      </c>
      <c r="O88" s="820">
        <f t="shared" si="20"/>
        <v>56195381.239799999</v>
      </c>
      <c r="P88" s="1622">
        <f t="shared" si="31"/>
        <v>34564014.192889996</v>
      </c>
      <c r="Q88" s="819">
        <f t="shared" si="32"/>
        <v>24195344.328634378</v>
      </c>
      <c r="R88" s="819">
        <f t="shared" si="33"/>
        <v>1090073.5282756251</v>
      </c>
      <c r="S88" s="820">
        <f t="shared" si="34"/>
        <v>59849432.049800001</v>
      </c>
      <c r="U88" s="653">
        <f t="shared" si="21"/>
        <v>0.51288205064416359</v>
      </c>
      <c r="V88" s="654">
        <f t="shared" si="22"/>
        <v>0.2571297643102714</v>
      </c>
      <c r="W88" s="654">
        <f t="shared" si="23"/>
        <v>0.22998818504556484</v>
      </c>
      <c r="X88" s="655">
        <f t="shared" si="24"/>
        <v>0.77001181495443505</v>
      </c>
      <c r="Z88" s="1631">
        <f t="shared" si="25"/>
        <v>5.7642121935750745E-2</v>
      </c>
      <c r="AA88" s="1535">
        <f t="shared" si="26"/>
        <v>3.4119379751187191E-3</v>
      </c>
      <c r="AB88" s="1633">
        <f t="shared" si="27"/>
        <v>0.93894594008913046</v>
      </c>
      <c r="AD88" s="1631">
        <f t="shared" si="28"/>
        <v>0.72786313897110122</v>
      </c>
      <c r="AE88" s="1535">
        <f t="shared" si="29"/>
        <v>3.1921598954012587E-2</v>
      </c>
      <c r="AF88" s="1633">
        <f t="shared" si="30"/>
        <v>0.24021526207488608</v>
      </c>
    </row>
    <row r="89" spans="1:32">
      <c r="A89" s="767" t="s">
        <v>216</v>
      </c>
      <c r="B89" s="618" t="s">
        <v>217</v>
      </c>
      <c r="C89" s="768" t="s">
        <v>264</v>
      </c>
      <c r="D89" s="818">
        <f>'Administration LASER'!D88+'Other Oper Exp. LASER'!D88</f>
        <v>987885.42</v>
      </c>
      <c r="E89" s="819">
        <f>'Administration LASER'!E88+'Other Oper Exp. LASER'!E88</f>
        <v>512009.35</v>
      </c>
      <c r="F89" s="819">
        <f>'Administration LASER'!K88+'Other Oper Exp. LASER'!K88</f>
        <v>390782.67</v>
      </c>
      <c r="G89" s="820">
        <f>'Administration LASER'!I88+'Other Oper Exp. LASER'!I88</f>
        <v>1890677.4400000002</v>
      </c>
      <c r="H89" s="818">
        <f>'Client Services LASER'!D89</f>
        <v>79285.12999999999</v>
      </c>
      <c r="I89" s="819">
        <f>'Client Services LASER'!E89</f>
        <v>41033.129999999997</v>
      </c>
      <c r="J89" s="819">
        <f>'Client Services LASER'!K89</f>
        <v>24034.51</v>
      </c>
      <c r="K89" s="820">
        <f>'Client Services LASER'!I89</f>
        <v>144352.76999999996</v>
      </c>
      <c r="L89" s="818">
        <f>'Benefits Spending LASER'!D89</f>
        <v>16178900.38297</v>
      </c>
      <c r="M89" s="819">
        <f>'Benefits Spending LASER'!E89</f>
        <v>11695032.235204998</v>
      </c>
      <c r="N89" s="819">
        <f>'Benefits Spending LASER'!I89</f>
        <v>180988.82172500002</v>
      </c>
      <c r="O89" s="820">
        <f t="shared" si="20"/>
        <v>28054921.4399</v>
      </c>
      <c r="P89" s="1622">
        <f t="shared" si="31"/>
        <v>17246070.932969999</v>
      </c>
      <c r="Q89" s="819">
        <f t="shared" si="32"/>
        <v>12248074.715204999</v>
      </c>
      <c r="R89" s="819">
        <f t="shared" si="33"/>
        <v>595806.00172499998</v>
      </c>
      <c r="S89" s="820">
        <f t="shared" si="34"/>
        <v>30089951.649900001</v>
      </c>
      <c r="U89" s="653">
        <f t="shared" si="21"/>
        <v>0.52250341549534751</v>
      </c>
      <c r="V89" s="654">
        <f t="shared" si="22"/>
        <v>0.27080735146445706</v>
      </c>
      <c r="W89" s="654">
        <f t="shared" si="23"/>
        <v>0.20668923304019535</v>
      </c>
      <c r="X89" s="655">
        <f t="shared" si="24"/>
        <v>0.79331076695980451</v>
      </c>
      <c r="Z89" s="1631">
        <f t="shared" si="25"/>
        <v>6.2834180061112979E-2</v>
      </c>
      <c r="AA89" s="1535">
        <f t="shared" si="26"/>
        <v>4.7973746079608501E-3</v>
      </c>
      <c r="AB89" s="1633">
        <f t="shared" si="27"/>
        <v>0.93236844533092611</v>
      </c>
      <c r="AD89" s="1631">
        <f t="shared" si="28"/>
        <v>0.65588911301428865</v>
      </c>
      <c r="AE89" s="1535">
        <f t="shared" si="29"/>
        <v>4.0339489582874928E-2</v>
      </c>
      <c r="AF89" s="1633">
        <f t="shared" si="30"/>
        <v>0.30377139740283643</v>
      </c>
    </row>
    <row r="90" spans="1:32">
      <c r="A90" s="767" t="s">
        <v>218</v>
      </c>
      <c r="B90" s="618" t="s">
        <v>219</v>
      </c>
      <c r="C90" s="768" t="s">
        <v>267</v>
      </c>
      <c r="D90" s="818">
        <f>'Administration LASER'!D89+'Other Oper Exp. LASER'!D89</f>
        <v>2495675.7400000002</v>
      </c>
      <c r="E90" s="819">
        <f>'Administration LASER'!E89+'Other Oper Exp. LASER'!E89</f>
        <v>769780.63</v>
      </c>
      <c r="F90" s="819">
        <f>'Administration LASER'!K89+'Other Oper Exp. LASER'!K89</f>
        <v>3286502.29</v>
      </c>
      <c r="G90" s="820">
        <f>'Administration LASER'!I89+'Other Oper Exp. LASER'!I89</f>
        <v>6551958.6600000001</v>
      </c>
      <c r="H90" s="818">
        <f>'Client Services LASER'!D90</f>
        <v>183695.19999999998</v>
      </c>
      <c r="I90" s="819">
        <f>'Client Services LASER'!E90</f>
        <v>240985.21</v>
      </c>
      <c r="J90" s="819">
        <f>'Client Services LASER'!K90</f>
        <v>91184.13</v>
      </c>
      <c r="K90" s="820">
        <f>'Client Services LASER'!I90</f>
        <v>515864.54</v>
      </c>
      <c r="L90" s="818">
        <f>'Benefits Spending LASER'!D90</f>
        <v>69856913.614714995</v>
      </c>
      <c r="M90" s="819">
        <f>'Benefits Spending LASER'!E90</f>
        <v>53562477.835424498</v>
      </c>
      <c r="N90" s="819">
        <f>'Benefits Spending LASER'!I90</f>
        <v>3883986.0094605</v>
      </c>
      <c r="O90" s="820">
        <f t="shared" si="20"/>
        <v>127303377.45959999</v>
      </c>
      <c r="P90" s="1622">
        <f t="shared" si="31"/>
        <v>72536284.554714993</v>
      </c>
      <c r="Q90" s="819">
        <f t="shared" si="32"/>
        <v>54573243.675424501</v>
      </c>
      <c r="R90" s="819">
        <f t="shared" si="33"/>
        <v>7261672.4294604994</v>
      </c>
      <c r="S90" s="820">
        <f t="shared" si="34"/>
        <v>134371200.65959999</v>
      </c>
      <c r="U90" s="653">
        <f t="shared" si="21"/>
        <v>0.38090529405141271</v>
      </c>
      <c r="V90" s="654">
        <f t="shared" si="22"/>
        <v>0.11748862743892831</v>
      </c>
      <c r="W90" s="654">
        <f t="shared" si="23"/>
        <v>0.50160607850965899</v>
      </c>
      <c r="X90" s="655">
        <f t="shared" si="24"/>
        <v>0.49839392149034101</v>
      </c>
      <c r="Z90" s="1631">
        <f t="shared" si="25"/>
        <v>4.8760140773006506E-2</v>
      </c>
      <c r="AA90" s="1535">
        <f t="shared" si="26"/>
        <v>3.8391004729267084E-3</v>
      </c>
      <c r="AB90" s="1633">
        <f t="shared" si="27"/>
        <v>0.94740075875406682</v>
      </c>
      <c r="AD90" s="1631">
        <f t="shared" si="28"/>
        <v>0.45258200806011412</v>
      </c>
      <c r="AE90" s="1535">
        <f t="shared" si="29"/>
        <v>1.2556904884619597E-2</v>
      </c>
      <c r="AF90" s="1633">
        <f t="shared" si="30"/>
        <v>0.53486108705526636</v>
      </c>
    </row>
    <row r="91" spans="1:32">
      <c r="A91" s="767" t="s">
        <v>220</v>
      </c>
      <c r="B91" s="618" t="s">
        <v>221</v>
      </c>
      <c r="C91" s="768" t="s">
        <v>267</v>
      </c>
      <c r="D91" s="818">
        <f>'Administration LASER'!D90+'Other Oper Exp. LASER'!D90</f>
        <v>1953898.59</v>
      </c>
      <c r="E91" s="819">
        <f>'Administration LASER'!E90+'Other Oper Exp. LASER'!E90</f>
        <v>756537.22</v>
      </c>
      <c r="F91" s="819">
        <f>'Administration LASER'!K90+'Other Oper Exp. LASER'!K90</f>
        <v>1826424.0499999998</v>
      </c>
      <c r="G91" s="820">
        <f>'Administration LASER'!I90+'Other Oper Exp. LASER'!I90</f>
        <v>4536859.8600000003</v>
      </c>
      <c r="H91" s="818">
        <f>'Client Services LASER'!D91</f>
        <v>33510.840000000004</v>
      </c>
      <c r="I91" s="819">
        <f>'Client Services LASER'!E91</f>
        <v>34137.25</v>
      </c>
      <c r="J91" s="819">
        <f>'Client Services LASER'!K91</f>
        <v>28542.449999999997</v>
      </c>
      <c r="K91" s="820">
        <f>'Client Services LASER'!I91</f>
        <v>96190.54</v>
      </c>
      <c r="L91" s="818">
        <f>'Benefits Spending LASER'!D91</f>
        <v>55033289.646798998</v>
      </c>
      <c r="M91" s="819">
        <f>'Benefits Spending LASER'!E91</f>
        <v>40501418.962193504</v>
      </c>
      <c r="N91" s="819">
        <f>'Benefits Spending LASER'!I91</f>
        <v>1959494.1907074999</v>
      </c>
      <c r="O91" s="820">
        <f t="shared" si="20"/>
        <v>97494202.799700007</v>
      </c>
      <c r="P91" s="1622">
        <f t="shared" si="31"/>
        <v>57020699.076798998</v>
      </c>
      <c r="Q91" s="819">
        <f t="shared" si="32"/>
        <v>41292093.432193503</v>
      </c>
      <c r="R91" s="819">
        <f t="shared" si="33"/>
        <v>3814460.6907074996</v>
      </c>
      <c r="S91" s="820">
        <f t="shared" si="34"/>
        <v>102127253.19970001</v>
      </c>
      <c r="U91" s="653">
        <f t="shared" si="21"/>
        <v>0.43067201771579516</v>
      </c>
      <c r="V91" s="654">
        <f t="shared" si="22"/>
        <v>0.16675349103685999</v>
      </c>
      <c r="W91" s="654">
        <f t="shared" si="23"/>
        <v>0.40257449124734473</v>
      </c>
      <c r="X91" s="655">
        <f t="shared" si="24"/>
        <v>0.59742550875265521</v>
      </c>
      <c r="Z91" s="1631">
        <f t="shared" si="25"/>
        <v>4.4423596227821847E-2</v>
      </c>
      <c r="AA91" s="1535">
        <f t="shared" si="26"/>
        <v>9.4186945194647169E-4</v>
      </c>
      <c r="AB91" s="1633">
        <f t="shared" si="27"/>
        <v>0.9546345343202316</v>
      </c>
      <c r="AD91" s="1631">
        <f t="shared" si="28"/>
        <v>0.47881580073675839</v>
      </c>
      <c r="AE91" s="1535">
        <f t="shared" si="29"/>
        <v>7.4826960648809284E-3</v>
      </c>
      <c r="AF91" s="1633">
        <f t="shared" si="30"/>
        <v>0.51370150319836072</v>
      </c>
    </row>
    <row r="92" spans="1:32">
      <c r="A92" s="767" t="s">
        <v>224</v>
      </c>
      <c r="B92" s="618" t="s">
        <v>225</v>
      </c>
      <c r="C92" s="768" t="s">
        <v>264</v>
      </c>
      <c r="D92" s="818">
        <f>'Administration LASER'!D91+'Other Oper Exp. LASER'!D91</f>
        <v>654671.29999999993</v>
      </c>
      <c r="E92" s="819">
        <f>'Administration LASER'!E91+'Other Oper Exp. LASER'!E91</f>
        <v>281722.28000000003</v>
      </c>
      <c r="F92" s="819">
        <f>'Administration LASER'!K91+'Other Oper Exp. LASER'!K91</f>
        <v>727772.15</v>
      </c>
      <c r="G92" s="820">
        <f>'Administration LASER'!I91+'Other Oper Exp. LASER'!I91</f>
        <v>1664165.73</v>
      </c>
      <c r="H92" s="818">
        <f>'Client Services LASER'!D92</f>
        <v>82241.640000000014</v>
      </c>
      <c r="I92" s="819">
        <f>'Client Services LASER'!E92</f>
        <v>22742.43</v>
      </c>
      <c r="J92" s="819">
        <f>'Client Services LASER'!K92</f>
        <v>91348.63</v>
      </c>
      <c r="K92" s="820">
        <f>'Client Services LASER'!I92</f>
        <v>196332.69999999998</v>
      </c>
      <c r="L92" s="818">
        <f>'Benefits Spending LASER'!D92</f>
        <v>5776949.1196930008</v>
      </c>
      <c r="M92" s="819">
        <f>'Benefits Spending LASER'!E92</f>
        <v>4090266.9100965001</v>
      </c>
      <c r="N92" s="819">
        <f>'Benefits Spending LASER'!I92</f>
        <v>114540.30021050001</v>
      </c>
      <c r="O92" s="820">
        <f t="shared" si="20"/>
        <v>9981756.3300000001</v>
      </c>
      <c r="P92" s="1622">
        <f t="shared" si="31"/>
        <v>6513862.0596930012</v>
      </c>
      <c r="Q92" s="819">
        <f t="shared" si="32"/>
        <v>4394731.6200965</v>
      </c>
      <c r="R92" s="819">
        <f t="shared" si="33"/>
        <v>933661.08021050005</v>
      </c>
      <c r="S92" s="820">
        <f t="shared" si="34"/>
        <v>11842254.76</v>
      </c>
      <c r="U92" s="653">
        <f t="shared" si="21"/>
        <v>0.39339309072300144</v>
      </c>
      <c r="V92" s="654">
        <f t="shared" si="22"/>
        <v>0.16928739423086187</v>
      </c>
      <c r="W92" s="654">
        <f t="shared" si="23"/>
        <v>0.4373195150461367</v>
      </c>
      <c r="X92" s="655">
        <f t="shared" si="24"/>
        <v>0.56268048495386336</v>
      </c>
      <c r="Z92" s="1631">
        <f t="shared" si="25"/>
        <v>0.14052777648570025</v>
      </c>
      <c r="AA92" s="1535">
        <f t="shared" si="26"/>
        <v>1.6578996481578817E-2</v>
      </c>
      <c r="AB92" s="1633">
        <f t="shared" si="27"/>
        <v>0.84289322703272096</v>
      </c>
      <c r="AD92" s="1631">
        <f t="shared" si="28"/>
        <v>0.77948215409805777</v>
      </c>
      <c r="AE92" s="1535">
        <f t="shared" si="29"/>
        <v>9.7839175195569741E-2</v>
      </c>
      <c r="AF92" s="1633">
        <f t="shared" si="30"/>
        <v>0.12267867070637253</v>
      </c>
    </row>
    <row r="93" spans="1:32">
      <c r="A93" s="767" t="s">
        <v>226</v>
      </c>
      <c r="B93" s="618" t="s">
        <v>227</v>
      </c>
      <c r="C93" s="768" t="s">
        <v>264</v>
      </c>
      <c r="D93" s="818">
        <f>'Administration LASER'!D92+'Other Oper Exp. LASER'!D92</f>
        <v>898637</v>
      </c>
      <c r="E93" s="819">
        <f>'Administration LASER'!E92+'Other Oper Exp. LASER'!E92</f>
        <v>411225.62</v>
      </c>
      <c r="F93" s="819">
        <f>'Administration LASER'!K92+'Other Oper Exp. LASER'!K92</f>
        <v>618941.38000000012</v>
      </c>
      <c r="G93" s="820">
        <f>'Administration LASER'!I92+'Other Oper Exp. LASER'!I92</f>
        <v>1928804</v>
      </c>
      <c r="H93" s="818">
        <f>'Client Services LASER'!D93</f>
        <v>51173.350000000006</v>
      </c>
      <c r="I93" s="819">
        <f>'Client Services LASER'!E93</f>
        <v>18183.830000000002</v>
      </c>
      <c r="J93" s="819">
        <f>'Client Services LASER'!K93</f>
        <v>22763.09</v>
      </c>
      <c r="K93" s="820">
        <f>'Client Services LASER'!I93</f>
        <v>92120.27</v>
      </c>
      <c r="L93" s="818">
        <f>'Benefits Spending LASER'!D93</f>
        <v>11922328.833077999</v>
      </c>
      <c r="M93" s="819">
        <f>'Benefits Spending LASER'!E93</f>
        <v>9544647.828533249</v>
      </c>
      <c r="N93" s="819">
        <f>'Benefits Spending LASER'!I93</f>
        <v>272968.53828874999</v>
      </c>
      <c r="O93" s="820">
        <f t="shared" si="20"/>
        <v>21739945.199899998</v>
      </c>
      <c r="P93" s="1622">
        <f t="shared" si="31"/>
        <v>12872139.183077998</v>
      </c>
      <c r="Q93" s="819">
        <f t="shared" si="32"/>
        <v>9974057.2785332482</v>
      </c>
      <c r="R93" s="819">
        <f t="shared" si="33"/>
        <v>914673.00828875008</v>
      </c>
      <c r="S93" s="820">
        <f t="shared" si="34"/>
        <v>23760869.469899997</v>
      </c>
      <c r="U93" s="653">
        <f t="shared" si="21"/>
        <v>0.46590374138585361</v>
      </c>
      <c r="V93" s="654">
        <f t="shared" si="22"/>
        <v>0.21320238863046737</v>
      </c>
      <c r="W93" s="654">
        <f t="shared" si="23"/>
        <v>0.32089386998367908</v>
      </c>
      <c r="X93" s="655">
        <f t="shared" si="24"/>
        <v>0.67910613001632103</v>
      </c>
      <c r="Z93" s="1631">
        <f t="shared" si="25"/>
        <v>8.1175648999014416E-2</v>
      </c>
      <c r="AA93" s="1535">
        <f t="shared" si="26"/>
        <v>3.8769738673366701E-3</v>
      </c>
      <c r="AB93" s="1633">
        <f t="shared" si="27"/>
        <v>0.91494737713364893</v>
      </c>
      <c r="AD93" s="1631">
        <f t="shared" si="28"/>
        <v>0.67668049061376545</v>
      </c>
      <c r="AE93" s="1535">
        <f t="shared" si="29"/>
        <v>2.4886587658891533E-2</v>
      </c>
      <c r="AF93" s="1633">
        <f t="shared" si="30"/>
        <v>0.29843292172734309</v>
      </c>
    </row>
    <row r="94" spans="1:32">
      <c r="A94" s="767" t="s">
        <v>228</v>
      </c>
      <c r="B94" s="618" t="s">
        <v>229</v>
      </c>
      <c r="C94" s="768" t="s">
        <v>268</v>
      </c>
      <c r="D94" s="818">
        <f>'Administration LASER'!D93+'Other Oper Exp. LASER'!D93</f>
        <v>2177631.52</v>
      </c>
      <c r="E94" s="819">
        <f>'Administration LASER'!E93+'Other Oper Exp. LASER'!E93</f>
        <v>1058721.17</v>
      </c>
      <c r="F94" s="819">
        <f>'Administration LASER'!K93+'Other Oper Exp. LASER'!K93</f>
        <v>1295307.57</v>
      </c>
      <c r="G94" s="820">
        <f>'Administration LASER'!I93+'Other Oper Exp. LASER'!I93</f>
        <v>4531660.26</v>
      </c>
      <c r="H94" s="818">
        <f>'Client Services LASER'!D94</f>
        <v>104930.04</v>
      </c>
      <c r="I94" s="819">
        <f>'Client Services LASER'!E94</f>
        <v>65280.12</v>
      </c>
      <c r="J94" s="819">
        <f>'Client Services LASER'!K94</f>
        <v>31179.07</v>
      </c>
      <c r="K94" s="820">
        <f>'Client Services LASER'!I94</f>
        <v>201389.23</v>
      </c>
      <c r="L94" s="818">
        <f>'Benefits Spending LASER'!D94</f>
        <v>40980882.320014</v>
      </c>
      <c r="M94" s="819">
        <f>'Benefits Spending LASER'!E94</f>
        <v>29416878.178498495</v>
      </c>
      <c r="N94" s="819">
        <f>'Benefits Spending LASER'!I94</f>
        <v>559331.25118749996</v>
      </c>
      <c r="O94" s="820">
        <f t="shared" si="20"/>
        <v>70957091.749699995</v>
      </c>
      <c r="P94" s="1622">
        <f t="shared" si="31"/>
        <v>43263443.880014002</v>
      </c>
      <c r="Q94" s="819">
        <f t="shared" si="32"/>
        <v>30540879.468498494</v>
      </c>
      <c r="R94" s="819">
        <f t="shared" si="33"/>
        <v>1885817.8911875002</v>
      </c>
      <c r="S94" s="820">
        <f t="shared" si="34"/>
        <v>75690141.23969999</v>
      </c>
      <c r="U94" s="653">
        <f t="shared" si="21"/>
        <v>0.48053724133326803</v>
      </c>
      <c r="V94" s="654">
        <f t="shared" si="22"/>
        <v>0.23362765725072249</v>
      </c>
      <c r="W94" s="654">
        <f t="shared" si="23"/>
        <v>0.28583510141600954</v>
      </c>
      <c r="X94" s="655">
        <f t="shared" si="24"/>
        <v>0.71416489858399057</v>
      </c>
      <c r="Z94" s="1631">
        <f t="shared" si="25"/>
        <v>5.9871208928635393E-2</v>
      </c>
      <c r="AA94" s="1535">
        <f t="shared" si="26"/>
        <v>2.6607062254280747E-3</v>
      </c>
      <c r="AB94" s="1633">
        <f t="shared" si="27"/>
        <v>0.93746808484593658</v>
      </c>
      <c r="AD94" s="1631">
        <f t="shared" si="28"/>
        <v>0.68686779145166788</v>
      </c>
      <c r="AE94" s="1535">
        <f t="shared" si="29"/>
        <v>1.653344691748922E-2</v>
      </c>
      <c r="AF94" s="1633">
        <f t="shared" si="30"/>
        <v>0.29659876163084276</v>
      </c>
    </row>
    <row r="95" spans="1:32">
      <c r="A95" s="767" t="s">
        <v>232</v>
      </c>
      <c r="B95" s="618" t="s">
        <v>233</v>
      </c>
      <c r="C95" s="768" t="s">
        <v>267</v>
      </c>
      <c r="D95" s="818">
        <f>'Administration LASER'!D94+'Other Oper Exp. LASER'!D94</f>
        <v>1149521.5200000003</v>
      </c>
      <c r="E95" s="819">
        <f>'Administration LASER'!E94+'Other Oper Exp. LASER'!E94</f>
        <v>467641.23</v>
      </c>
      <c r="F95" s="819">
        <f>'Administration LASER'!K94+'Other Oper Exp. LASER'!K94</f>
        <v>973612.01</v>
      </c>
      <c r="G95" s="820">
        <f>'Administration LASER'!I94+'Other Oper Exp. LASER'!I94</f>
        <v>2590774.7600000002</v>
      </c>
      <c r="H95" s="818">
        <f>'Client Services LASER'!D95</f>
        <v>48374.75</v>
      </c>
      <c r="I95" s="819">
        <f>'Client Services LASER'!E95</f>
        <v>50016.57</v>
      </c>
      <c r="J95" s="819">
        <f>'Client Services LASER'!K95</f>
        <v>19596.599999999999</v>
      </c>
      <c r="K95" s="820">
        <f>'Client Services LASER'!I95</f>
        <v>117987.92</v>
      </c>
      <c r="L95" s="818">
        <f>'Benefits Spending LASER'!D95</f>
        <v>27364593.920187</v>
      </c>
      <c r="M95" s="819">
        <f>'Benefits Spending LASER'!E95</f>
        <v>19999340.533603624</v>
      </c>
      <c r="N95" s="819">
        <f>'Benefits Spending LASER'!I95</f>
        <v>655965.00610937492</v>
      </c>
      <c r="O95" s="820">
        <f t="shared" si="20"/>
        <v>48019899.459899992</v>
      </c>
      <c r="P95" s="1622">
        <f t="shared" si="31"/>
        <v>28562490.190187</v>
      </c>
      <c r="Q95" s="819">
        <f t="shared" si="32"/>
        <v>20516998.333603624</v>
      </c>
      <c r="R95" s="819">
        <f t="shared" si="33"/>
        <v>1649173.6161093749</v>
      </c>
      <c r="S95" s="820">
        <f t="shared" si="34"/>
        <v>50728662.139899991</v>
      </c>
      <c r="U95" s="653">
        <f t="shared" si="21"/>
        <v>0.44369797704837921</v>
      </c>
      <c r="V95" s="654">
        <f t="shared" si="22"/>
        <v>0.1805024648302502</v>
      </c>
      <c r="W95" s="654">
        <f t="shared" si="23"/>
        <v>0.37579955812137056</v>
      </c>
      <c r="X95" s="655">
        <f t="shared" si="24"/>
        <v>0.62420044187862944</v>
      </c>
      <c r="Z95" s="1631">
        <f t="shared" si="25"/>
        <v>5.1071221883501217E-2</v>
      </c>
      <c r="AA95" s="1535">
        <f t="shared" si="26"/>
        <v>2.3258630333008149E-3</v>
      </c>
      <c r="AB95" s="1633">
        <f t="shared" si="27"/>
        <v>0.94660291508319794</v>
      </c>
      <c r="AD95" s="1631">
        <f t="shared" si="28"/>
        <v>0.59036356178004068</v>
      </c>
      <c r="AE95" s="1535">
        <f t="shared" si="29"/>
        <v>1.1882678578275492E-2</v>
      </c>
      <c r="AF95" s="1633">
        <f t="shared" si="30"/>
        <v>0.39775375964168386</v>
      </c>
    </row>
    <row r="96" spans="1:32">
      <c r="A96" s="767" t="s">
        <v>234</v>
      </c>
      <c r="B96" s="618" t="s">
        <v>235</v>
      </c>
      <c r="C96" s="768" t="s">
        <v>268</v>
      </c>
      <c r="D96" s="818">
        <f>'Administration LASER'!D95+'Other Oper Exp. LASER'!D95</f>
        <v>1651129.1800000002</v>
      </c>
      <c r="E96" s="819">
        <f>'Administration LASER'!E95+'Other Oper Exp. LASER'!E95</f>
        <v>793630.92</v>
      </c>
      <c r="F96" s="819">
        <f>'Administration LASER'!K95+'Other Oper Exp. LASER'!K95</f>
        <v>938097.21</v>
      </c>
      <c r="G96" s="820">
        <f>'Administration LASER'!I95+'Other Oper Exp. LASER'!I95</f>
        <v>3382857.3099999996</v>
      </c>
      <c r="H96" s="818">
        <f>'Client Services LASER'!D96</f>
        <v>82473.490000000005</v>
      </c>
      <c r="I96" s="819">
        <f>'Client Services LASER'!E96</f>
        <v>40482.550000000003</v>
      </c>
      <c r="J96" s="819">
        <f>'Client Services LASER'!K96</f>
        <v>25516.260000000002</v>
      </c>
      <c r="K96" s="820">
        <f>'Client Services LASER'!I96</f>
        <v>148472.30000000002</v>
      </c>
      <c r="L96" s="818">
        <f>'Benefits Spending LASER'!D96</f>
        <v>40270484.408434995</v>
      </c>
      <c r="M96" s="819">
        <f>'Benefits Spending LASER'!E96</f>
        <v>29582535.249465</v>
      </c>
      <c r="N96" s="819">
        <f>'Benefits Spending LASER'!I96</f>
        <v>652864.58189999999</v>
      </c>
      <c r="O96" s="820">
        <f t="shared" si="20"/>
        <v>70505884.239799991</v>
      </c>
      <c r="P96" s="1622">
        <f t="shared" si="31"/>
        <v>42004087.078434996</v>
      </c>
      <c r="Q96" s="819">
        <f t="shared" si="32"/>
        <v>30416648.719464999</v>
      </c>
      <c r="R96" s="819">
        <f t="shared" si="33"/>
        <v>1616478.0518999998</v>
      </c>
      <c r="S96" s="820">
        <f t="shared" si="34"/>
        <v>74037213.849799991</v>
      </c>
      <c r="U96" s="653">
        <f t="shared" si="21"/>
        <v>0.48808714902609956</v>
      </c>
      <c r="V96" s="654">
        <f t="shared" si="22"/>
        <v>0.23460372320581271</v>
      </c>
      <c r="W96" s="654">
        <f t="shared" si="23"/>
        <v>0.27730912776808786</v>
      </c>
      <c r="X96" s="655">
        <f t="shared" si="24"/>
        <v>0.72269087223191231</v>
      </c>
      <c r="Z96" s="1631">
        <f t="shared" si="25"/>
        <v>4.5691310276246143E-2</v>
      </c>
      <c r="AA96" s="1535">
        <f t="shared" si="26"/>
        <v>2.0053739502030317E-3</v>
      </c>
      <c r="AB96" s="1633">
        <f t="shared" si="27"/>
        <v>0.95230331577355087</v>
      </c>
      <c r="AD96" s="1631">
        <f t="shared" si="28"/>
        <v>0.58033402241209853</v>
      </c>
      <c r="AE96" s="1535">
        <f t="shared" si="29"/>
        <v>1.5785095238384662E-2</v>
      </c>
      <c r="AF96" s="1633">
        <f t="shared" si="30"/>
        <v>0.4038808823495168</v>
      </c>
    </row>
    <row r="97" spans="1:32">
      <c r="A97" s="767" t="s">
        <v>236</v>
      </c>
      <c r="B97" s="618" t="s">
        <v>237</v>
      </c>
      <c r="C97" s="768" t="s">
        <v>266</v>
      </c>
      <c r="D97" s="818">
        <f>'Administration LASER'!D96+'Other Oper Exp. LASER'!D96</f>
        <v>841527.03</v>
      </c>
      <c r="E97" s="819">
        <f>'Administration LASER'!E96+'Other Oper Exp. LASER'!E96</f>
        <v>363401.34</v>
      </c>
      <c r="F97" s="819">
        <f>'Administration LASER'!K96+'Other Oper Exp. LASER'!K96</f>
        <v>687628</v>
      </c>
      <c r="G97" s="820">
        <f>'Administration LASER'!I96+'Other Oper Exp. LASER'!I96</f>
        <v>1892556.3699999999</v>
      </c>
      <c r="H97" s="818">
        <f>'Client Services LASER'!D97</f>
        <v>33430.080000000002</v>
      </c>
      <c r="I97" s="819">
        <f>'Client Services LASER'!E97</f>
        <v>24303.93</v>
      </c>
      <c r="J97" s="819">
        <f>'Client Services LASER'!K97</f>
        <v>11157.200000000003</v>
      </c>
      <c r="K97" s="820">
        <f>'Client Services LASER'!I97</f>
        <v>68891.210000000006</v>
      </c>
      <c r="L97" s="818">
        <f>'Benefits Spending LASER'!D97</f>
        <v>15583495.320799001</v>
      </c>
      <c r="M97" s="819">
        <f>'Benefits Spending LASER'!E97</f>
        <v>11265411.27073225</v>
      </c>
      <c r="N97" s="819">
        <f>'Benefits Spending LASER'!I97</f>
        <v>567773.48836874997</v>
      </c>
      <c r="O97" s="820">
        <f t="shared" si="20"/>
        <v>27416680.0799</v>
      </c>
      <c r="P97" s="1622">
        <f t="shared" si="31"/>
        <v>16458452.430799</v>
      </c>
      <c r="Q97" s="819">
        <f t="shared" si="32"/>
        <v>11653116.54073225</v>
      </c>
      <c r="R97" s="819">
        <f t="shared" si="33"/>
        <v>1266558.6883687498</v>
      </c>
      <c r="S97" s="820">
        <f t="shared" si="34"/>
        <v>29378127.659899998</v>
      </c>
      <c r="U97" s="653">
        <f t="shared" si="21"/>
        <v>0.44465097227196465</v>
      </c>
      <c r="V97" s="654">
        <f t="shared" si="22"/>
        <v>0.19201612472974849</v>
      </c>
      <c r="W97" s="654">
        <f t="shared" si="23"/>
        <v>0.36333290299828691</v>
      </c>
      <c r="X97" s="655">
        <f t="shared" si="24"/>
        <v>0.6366670970017132</v>
      </c>
      <c r="Z97" s="1631">
        <f t="shared" si="25"/>
        <v>6.4420591805898708E-2</v>
      </c>
      <c r="AA97" s="1535">
        <f t="shared" si="26"/>
        <v>2.3449830022365184E-3</v>
      </c>
      <c r="AB97" s="1633">
        <f t="shared" si="27"/>
        <v>0.93323442519186484</v>
      </c>
      <c r="AD97" s="1631">
        <f t="shared" si="28"/>
        <v>0.54291049148746739</v>
      </c>
      <c r="AE97" s="1535">
        <f t="shared" si="29"/>
        <v>8.8090667273932593E-3</v>
      </c>
      <c r="AF97" s="1633">
        <f t="shared" si="30"/>
        <v>0.44828044178513948</v>
      </c>
    </row>
    <row r="98" spans="1:32">
      <c r="A98" s="767" t="s">
        <v>242</v>
      </c>
      <c r="B98" s="618" t="s">
        <v>243</v>
      </c>
      <c r="C98" s="768" t="s">
        <v>268</v>
      </c>
      <c r="D98" s="818">
        <f>'Administration LASER'!D97+'Other Oper Exp. LASER'!D97</f>
        <v>2464134.98</v>
      </c>
      <c r="E98" s="819">
        <f>'Administration LASER'!E97+'Other Oper Exp. LASER'!E97</f>
        <v>1268489.06</v>
      </c>
      <c r="F98" s="819">
        <f>'Administration LASER'!K97+'Other Oper Exp. LASER'!K97</f>
        <v>1011825.49</v>
      </c>
      <c r="G98" s="820">
        <f>'Administration LASER'!I97+'Other Oper Exp. LASER'!I97</f>
        <v>4744449.53</v>
      </c>
      <c r="H98" s="818">
        <f>'Client Services LASER'!D98</f>
        <v>256241.82</v>
      </c>
      <c r="I98" s="819">
        <f>'Client Services LASER'!E98</f>
        <v>170534.57</v>
      </c>
      <c r="J98" s="819">
        <f>'Client Services LASER'!K98</f>
        <v>78987</v>
      </c>
      <c r="K98" s="820">
        <f>'Client Services LASER'!I98</f>
        <v>505763.39</v>
      </c>
      <c r="L98" s="818">
        <f>'Benefits Spending LASER'!D98</f>
        <v>47438400.675634995</v>
      </c>
      <c r="M98" s="819">
        <f>'Benefits Spending LASER'!E98</f>
        <v>35067879.13808687</v>
      </c>
      <c r="N98" s="819">
        <f>'Benefits Spending LASER'!I98</f>
        <v>650211.725978125</v>
      </c>
      <c r="O98" s="820">
        <f t="shared" si="20"/>
        <v>83156491.539699987</v>
      </c>
      <c r="P98" s="1622">
        <f t="shared" si="31"/>
        <v>50158777.475634992</v>
      </c>
      <c r="Q98" s="819">
        <f t="shared" si="32"/>
        <v>36506902.768086873</v>
      </c>
      <c r="R98" s="819">
        <f t="shared" si="33"/>
        <v>1741024.2159781251</v>
      </c>
      <c r="S98" s="820">
        <f t="shared" si="34"/>
        <v>88406704.459699988</v>
      </c>
      <c r="U98" s="653">
        <f t="shared" si="21"/>
        <v>0.51937215569874551</v>
      </c>
      <c r="V98" s="654">
        <f t="shared" si="22"/>
        <v>0.26736274713833874</v>
      </c>
      <c r="W98" s="654">
        <f t="shared" si="23"/>
        <v>0.21326509716291575</v>
      </c>
      <c r="X98" s="655">
        <f t="shared" si="24"/>
        <v>0.78673490283708425</v>
      </c>
      <c r="Z98" s="1631">
        <f t="shared" si="25"/>
        <v>5.3666173385783743E-2</v>
      </c>
      <c r="AA98" s="1535">
        <f t="shared" si="26"/>
        <v>5.7208714326700324E-3</v>
      </c>
      <c r="AB98" s="1633">
        <f t="shared" si="27"/>
        <v>0.9406129551815462</v>
      </c>
      <c r="AD98" s="1631">
        <f t="shared" si="28"/>
        <v>0.58116681015349703</v>
      </c>
      <c r="AE98" s="1535">
        <f t="shared" si="29"/>
        <v>4.5368122554013013E-2</v>
      </c>
      <c r="AF98" s="1633">
        <f t="shared" si="30"/>
        <v>0.37346506729248991</v>
      </c>
    </row>
    <row r="99" spans="1:32">
      <c r="A99" s="767" t="s">
        <v>244</v>
      </c>
      <c r="B99" s="618" t="s">
        <v>245</v>
      </c>
      <c r="C99" s="768" t="s">
        <v>268</v>
      </c>
      <c r="D99" s="818">
        <f>'Administration LASER'!D98+'Other Oper Exp. LASER'!D98</f>
        <v>1337219.3</v>
      </c>
      <c r="E99" s="819">
        <f>'Administration LASER'!E98+'Other Oper Exp. LASER'!E98</f>
        <v>608292.31999999995</v>
      </c>
      <c r="F99" s="819">
        <f>'Administration LASER'!K98+'Other Oper Exp. LASER'!K98</f>
        <v>848228.92999999993</v>
      </c>
      <c r="G99" s="820">
        <f>'Administration LASER'!I98+'Other Oper Exp. LASER'!I98</f>
        <v>2793740.5500000003</v>
      </c>
      <c r="H99" s="818">
        <f>'Client Services LASER'!D99</f>
        <v>121346.01999999997</v>
      </c>
      <c r="I99" s="819">
        <f>'Client Services LASER'!E99</f>
        <v>28212.83</v>
      </c>
      <c r="J99" s="819">
        <f>'Client Services LASER'!K99</f>
        <v>27470.489999999998</v>
      </c>
      <c r="K99" s="820">
        <f>'Client Services LASER'!I99</f>
        <v>177029.34</v>
      </c>
      <c r="L99" s="818">
        <f>'Benefits Spending LASER'!D99</f>
        <v>25411714.631329995</v>
      </c>
      <c r="M99" s="819">
        <f>'Benefits Spending LASER'!E99</f>
        <v>20072988.427804999</v>
      </c>
      <c r="N99" s="819">
        <f>'Benefits Spending LASER'!I99</f>
        <v>573426.59066499991</v>
      </c>
      <c r="O99" s="820">
        <f t="shared" si="20"/>
        <v>46058129.649799988</v>
      </c>
      <c r="P99" s="1622">
        <f t="shared" si="31"/>
        <v>26870279.951329995</v>
      </c>
      <c r="Q99" s="819">
        <f t="shared" si="32"/>
        <v>20709493.577804998</v>
      </c>
      <c r="R99" s="819">
        <f t="shared" si="33"/>
        <v>1449126.010665</v>
      </c>
      <c r="S99" s="820">
        <f t="shared" si="34"/>
        <v>49028899.539799988</v>
      </c>
      <c r="U99" s="653">
        <f t="shared" si="21"/>
        <v>0.47864834835861902</v>
      </c>
      <c r="V99" s="654">
        <f t="shared" si="22"/>
        <v>0.21773400540003612</v>
      </c>
      <c r="W99" s="654">
        <f t="shared" si="23"/>
        <v>0.30361764624134474</v>
      </c>
      <c r="X99" s="655">
        <f t="shared" si="24"/>
        <v>0.6963823537586552</v>
      </c>
      <c r="Z99" s="1631">
        <f t="shared" si="25"/>
        <v>5.6981506340605032E-2</v>
      </c>
      <c r="AA99" s="1535">
        <f t="shared" si="26"/>
        <v>3.6107141229285316E-3</v>
      </c>
      <c r="AB99" s="1633">
        <f t="shared" si="27"/>
        <v>0.93940777953646648</v>
      </c>
      <c r="AD99" s="1631">
        <f t="shared" si="28"/>
        <v>0.58533828235596297</v>
      </c>
      <c r="AE99" s="1535">
        <f t="shared" si="29"/>
        <v>1.8956591626834347E-2</v>
      </c>
      <c r="AF99" s="1633">
        <f t="shared" si="30"/>
        <v>0.39570512601720259</v>
      </c>
    </row>
    <row r="100" spans="1:32">
      <c r="A100" s="767" t="s">
        <v>246</v>
      </c>
      <c r="B100" s="618" t="s">
        <v>247</v>
      </c>
      <c r="C100" s="768" t="s">
        <v>264</v>
      </c>
      <c r="D100" s="818">
        <f>'Administration LASER'!D99+'Other Oper Exp. LASER'!D99</f>
        <v>1865433.7</v>
      </c>
      <c r="E100" s="819">
        <f>'Administration LASER'!E99+'Other Oper Exp. LASER'!E99</f>
        <v>699284</v>
      </c>
      <c r="F100" s="819">
        <f>'Administration LASER'!K99+'Other Oper Exp. LASER'!K99</f>
        <v>1962063.81</v>
      </c>
      <c r="G100" s="820">
        <f>'Administration LASER'!I99+'Other Oper Exp. LASER'!I99</f>
        <v>4526781.51</v>
      </c>
      <c r="H100" s="818">
        <f>'Client Services LASER'!D100</f>
        <v>111699.90999999999</v>
      </c>
      <c r="I100" s="819">
        <f>'Client Services LASER'!E100</f>
        <v>55538.709999999992</v>
      </c>
      <c r="J100" s="819">
        <f>'Client Services LASER'!K100</f>
        <v>51438.380000000005</v>
      </c>
      <c r="K100" s="820">
        <f>'Client Services LASER'!I100</f>
        <v>218676.99999999997</v>
      </c>
      <c r="L100" s="818">
        <f>'Benefits Spending LASER'!D100</f>
        <v>20246477.787082002</v>
      </c>
      <c r="M100" s="819">
        <f>'Benefits Spending LASER'!E100</f>
        <v>15435788.903598001</v>
      </c>
      <c r="N100" s="819">
        <f>'Benefits Spending LASER'!I100</f>
        <v>484524.39921999996</v>
      </c>
      <c r="O100" s="820">
        <f t="shared" si="20"/>
        <v>36166791.089900002</v>
      </c>
      <c r="P100" s="1622">
        <f t="shared" si="31"/>
        <v>22223611.397082001</v>
      </c>
      <c r="Q100" s="819">
        <f t="shared" si="32"/>
        <v>16190611.613598</v>
      </c>
      <c r="R100" s="819">
        <f t="shared" si="33"/>
        <v>2498026.58922</v>
      </c>
      <c r="S100" s="820">
        <f t="shared" si="34"/>
        <v>40912249.5999</v>
      </c>
      <c r="U100" s="653">
        <f t="shared" si="21"/>
        <v>0.41208830067877522</v>
      </c>
      <c r="V100" s="654">
        <f t="shared" si="22"/>
        <v>0.15447708232774859</v>
      </c>
      <c r="W100" s="654">
        <f t="shared" si="23"/>
        <v>0.43343461699347624</v>
      </c>
      <c r="X100" s="655">
        <f t="shared" si="24"/>
        <v>0.56656538300652382</v>
      </c>
      <c r="Z100" s="1631">
        <f t="shared" si="25"/>
        <v>0.11064611587652869</v>
      </c>
      <c r="AA100" s="1535">
        <f t="shared" si="26"/>
        <v>5.3450250753391592E-3</v>
      </c>
      <c r="AB100" s="1633">
        <f t="shared" si="27"/>
        <v>0.8840088590481322</v>
      </c>
      <c r="AD100" s="1631">
        <f t="shared" si="28"/>
        <v>0.78544552666777157</v>
      </c>
      <c r="AE100" s="1535">
        <f t="shared" si="29"/>
        <v>2.0591606279123497E-2</v>
      </c>
      <c r="AF100" s="1633">
        <f t="shared" si="30"/>
        <v>0.19396286705310492</v>
      </c>
    </row>
    <row r="101" spans="1:32">
      <c r="A101" s="767" t="s">
        <v>14</v>
      </c>
      <c r="B101" s="618" t="s">
        <v>15</v>
      </c>
      <c r="C101" s="768" t="s">
        <v>267</v>
      </c>
      <c r="D101" s="818">
        <f>'Administration LASER'!D100+'Other Oper Exp. LASER'!D100</f>
        <v>7975176.4500000002</v>
      </c>
      <c r="E101" s="819">
        <f>'Administration LASER'!E100+'Other Oper Exp. LASER'!E100</f>
        <v>2334773.9700000002</v>
      </c>
      <c r="F101" s="819">
        <f>'Administration LASER'!K100+'Other Oper Exp. LASER'!K100</f>
        <v>11386150.920000002</v>
      </c>
      <c r="G101" s="820">
        <f>'Administration LASER'!I100+'Other Oper Exp. LASER'!I100</f>
        <v>21696101.34</v>
      </c>
      <c r="H101" s="818">
        <f>'Client Services LASER'!D101</f>
        <v>223283.46999999997</v>
      </c>
      <c r="I101" s="819">
        <f>'Client Services LASER'!E101</f>
        <v>73656.710000000006</v>
      </c>
      <c r="J101" s="819">
        <f>'Client Services LASER'!K101</f>
        <v>268087.06</v>
      </c>
      <c r="K101" s="820">
        <f>'Client Services LASER'!I101</f>
        <v>565027.24</v>
      </c>
      <c r="L101" s="818">
        <f>'Benefits Spending LASER'!D101</f>
        <v>62321037.311974004</v>
      </c>
      <c r="M101" s="819">
        <f>'Benefits Spending LASER'!E101</f>
        <v>50303682.764650509</v>
      </c>
      <c r="N101" s="819">
        <f>'Benefits Spending LASER'!I101</f>
        <v>3631166.2030754997</v>
      </c>
      <c r="O101" s="820">
        <f t="shared" ref="O101:O125" si="35">SUM(L101:N101)</f>
        <v>116255886.27970001</v>
      </c>
      <c r="P101" s="1622">
        <f t="shared" si="31"/>
        <v>70519497.231974006</v>
      </c>
      <c r="Q101" s="819">
        <f t="shared" si="32"/>
        <v>52712113.444650508</v>
      </c>
      <c r="R101" s="819">
        <f t="shared" si="33"/>
        <v>15285404.183075503</v>
      </c>
      <c r="S101" s="820">
        <f t="shared" si="34"/>
        <v>138517014.85970002</v>
      </c>
      <c r="U101" s="653">
        <f t="shared" ref="U101:U125" si="36">D101/G101</f>
        <v>0.36758569316306483</v>
      </c>
      <c r="V101" s="654">
        <f t="shared" ref="V101:V125" si="37">E101/G101</f>
        <v>0.10761260437586065</v>
      </c>
      <c r="W101" s="654">
        <f t="shared" ref="W101:W125" si="38">F101/G101</f>
        <v>0.5248017024610746</v>
      </c>
      <c r="X101" s="655">
        <f t="shared" si="24"/>
        <v>0.47519829753892551</v>
      </c>
      <c r="Z101" s="1631">
        <f t="shared" si="25"/>
        <v>0.15663130888270563</v>
      </c>
      <c r="AA101" s="1535">
        <f t="shared" si="26"/>
        <v>4.0791179377659857E-3</v>
      </c>
      <c r="AB101" s="1633">
        <f t="shared" si="27"/>
        <v>0.83928957317952824</v>
      </c>
      <c r="AD101" s="1631">
        <f t="shared" si="28"/>
        <v>0.74490348986696209</v>
      </c>
      <c r="AE101" s="1535">
        <f t="shared" si="29"/>
        <v>1.7538761604801705E-2</v>
      </c>
      <c r="AF101" s="1633">
        <f t="shared" si="30"/>
        <v>0.23755774852823619</v>
      </c>
    </row>
    <row r="102" spans="1:32">
      <c r="A102" s="767" t="s">
        <v>34</v>
      </c>
      <c r="B102" s="618" t="s">
        <v>35</v>
      </c>
      <c r="C102" s="768" t="s">
        <v>268</v>
      </c>
      <c r="D102" s="818">
        <f>'Administration LASER'!D101+'Other Oper Exp. LASER'!D101</f>
        <v>1296670.74</v>
      </c>
      <c r="E102" s="819">
        <f>'Administration LASER'!E101+'Other Oper Exp. LASER'!E101</f>
        <v>649273.44000000006</v>
      </c>
      <c r="F102" s="819">
        <f>'Administration LASER'!K101+'Other Oper Exp. LASER'!K101</f>
        <v>597666.64999999991</v>
      </c>
      <c r="G102" s="820">
        <f>'Administration LASER'!I101+'Other Oper Exp. LASER'!I101</f>
        <v>2543610.8299999996</v>
      </c>
      <c r="H102" s="818">
        <f>'Client Services LASER'!D102</f>
        <v>106358.07</v>
      </c>
      <c r="I102" s="819">
        <f>'Client Services LASER'!E102</f>
        <v>106959.33</v>
      </c>
      <c r="J102" s="819">
        <f>'Client Services LASER'!K102</f>
        <v>42632.880000000005</v>
      </c>
      <c r="K102" s="820">
        <f>'Client Services LASER'!I102</f>
        <v>255950.28000000003</v>
      </c>
      <c r="L102" s="818">
        <f>'Benefits Spending LASER'!D102</f>
        <v>22168058.655855995</v>
      </c>
      <c r="M102" s="819">
        <f>'Benefits Spending LASER'!E102</f>
        <v>15578434.187525248</v>
      </c>
      <c r="N102" s="819">
        <f>'Benefits Spending LASER'!I102</f>
        <v>470871.90651875001</v>
      </c>
      <c r="O102" s="820">
        <f t="shared" si="35"/>
        <v>38217364.749899991</v>
      </c>
      <c r="P102" s="1622">
        <f t="shared" si="31"/>
        <v>23571087.465855993</v>
      </c>
      <c r="Q102" s="819">
        <f t="shared" si="32"/>
        <v>16334666.957525248</v>
      </c>
      <c r="R102" s="819">
        <f t="shared" si="33"/>
        <v>1111171.4365187499</v>
      </c>
      <c r="S102" s="820">
        <f t="shared" si="34"/>
        <v>41016925.85989999</v>
      </c>
      <c r="U102" s="653">
        <f t="shared" si="36"/>
        <v>0.50977560116773057</v>
      </c>
      <c r="V102" s="654">
        <f t="shared" si="37"/>
        <v>0.25525659520800209</v>
      </c>
      <c r="W102" s="654">
        <f t="shared" si="38"/>
        <v>0.23496780362426747</v>
      </c>
      <c r="X102" s="655">
        <f t="shared" si="24"/>
        <v>0.76503219637573272</v>
      </c>
      <c r="Z102" s="1631">
        <f t="shared" si="25"/>
        <v>6.2013687683180302E-2</v>
      </c>
      <c r="AA102" s="1535">
        <f t="shared" si="26"/>
        <v>6.240113675857621E-3</v>
      </c>
      <c r="AB102" s="1633">
        <f t="shared" si="27"/>
        <v>0.93174619864096209</v>
      </c>
      <c r="AD102" s="1631">
        <f t="shared" si="28"/>
        <v>0.53787078245321229</v>
      </c>
      <c r="AE102" s="1535">
        <f t="shared" si="29"/>
        <v>3.8367508917945999E-2</v>
      </c>
      <c r="AF102" s="1633">
        <f t="shared" si="30"/>
        <v>0.42376170862884172</v>
      </c>
    </row>
    <row r="103" spans="1:32">
      <c r="A103" s="767" t="s">
        <v>52</v>
      </c>
      <c r="B103" s="618" t="s">
        <v>53</v>
      </c>
      <c r="C103" s="768" t="s">
        <v>265</v>
      </c>
      <c r="D103" s="818">
        <f>'Administration LASER'!D102+'Other Oper Exp. LASER'!D102</f>
        <v>3502004.79</v>
      </c>
      <c r="E103" s="819">
        <f>'Administration LASER'!E102+'Other Oper Exp. LASER'!E102</f>
        <v>1283189.31</v>
      </c>
      <c r="F103" s="819">
        <f>'Administration LASER'!K102+'Other Oper Exp. LASER'!K102</f>
        <v>3421890.12</v>
      </c>
      <c r="G103" s="820">
        <f>'Administration LASER'!I102+'Other Oper Exp. LASER'!I102</f>
        <v>8207084.2199999997</v>
      </c>
      <c r="H103" s="818">
        <f>'Client Services LASER'!D103</f>
        <v>164078.71</v>
      </c>
      <c r="I103" s="819">
        <f>'Client Services LASER'!E103</f>
        <v>69729.88</v>
      </c>
      <c r="J103" s="819">
        <f>'Client Services LASER'!K103</f>
        <v>59143.840000000004</v>
      </c>
      <c r="K103" s="820">
        <f>'Client Services LASER'!I103</f>
        <v>292952.43</v>
      </c>
      <c r="L103" s="818">
        <f>'Benefits Spending LASER'!D103</f>
        <v>36192772.601038992</v>
      </c>
      <c r="M103" s="819">
        <f>'Benefits Spending LASER'!E103</f>
        <v>33330153.581667002</v>
      </c>
      <c r="N103" s="819">
        <f>'Benefits Spending LASER'!I103</f>
        <v>2445104.0270939996</v>
      </c>
      <c r="O103" s="820">
        <f t="shared" si="35"/>
        <v>71968030.209800005</v>
      </c>
      <c r="P103" s="1622">
        <f t="shared" si="31"/>
        <v>39858856.101038992</v>
      </c>
      <c r="Q103" s="819">
        <f t="shared" si="32"/>
        <v>34683072.771667004</v>
      </c>
      <c r="R103" s="819">
        <f t="shared" si="33"/>
        <v>5926137.987094</v>
      </c>
      <c r="S103" s="820">
        <f t="shared" si="34"/>
        <v>80468066.859800011</v>
      </c>
      <c r="U103" s="653">
        <f t="shared" si="36"/>
        <v>0.42670511184299753</v>
      </c>
      <c r="V103" s="654">
        <f t="shared" si="37"/>
        <v>0.15635142464761986</v>
      </c>
      <c r="W103" s="654">
        <f t="shared" si="38"/>
        <v>0.41694346350938266</v>
      </c>
      <c r="X103" s="655">
        <f t="shared" si="24"/>
        <v>0.58305653649061739</v>
      </c>
      <c r="Z103" s="1631">
        <f t="shared" si="25"/>
        <v>0.10199181539056047</v>
      </c>
      <c r="AA103" s="1535">
        <f t="shared" si="26"/>
        <v>3.6406047943268321E-3</v>
      </c>
      <c r="AB103" s="1633">
        <f t="shared" si="27"/>
        <v>0.89436757981511261</v>
      </c>
      <c r="AD103" s="1631">
        <f t="shared" si="28"/>
        <v>0.57742329447141205</v>
      </c>
      <c r="AE103" s="1535">
        <f t="shared" si="29"/>
        <v>9.9801658565500887E-3</v>
      </c>
      <c r="AF103" s="1633">
        <f t="shared" si="30"/>
        <v>0.41259653967203774</v>
      </c>
    </row>
    <row r="104" spans="1:32">
      <c r="A104" s="767" t="s">
        <v>54</v>
      </c>
      <c r="B104" s="618" t="s">
        <v>55</v>
      </c>
      <c r="C104" s="768" t="s">
        <v>264</v>
      </c>
      <c r="D104" s="818">
        <f>'Administration LASER'!D103+'Other Oper Exp. LASER'!D103</f>
        <v>6847654.8499999996</v>
      </c>
      <c r="E104" s="819">
        <f>'Administration LASER'!E103+'Other Oper Exp. LASER'!E103</f>
        <v>2862700.48</v>
      </c>
      <c r="F104" s="819">
        <f>'Administration LASER'!K103+'Other Oper Exp. LASER'!K103</f>
        <v>5694128.2200000007</v>
      </c>
      <c r="G104" s="820">
        <f>'Administration LASER'!I103+'Other Oper Exp. LASER'!I103</f>
        <v>15404483.550000001</v>
      </c>
      <c r="H104" s="818">
        <f>'Client Services LASER'!D104</f>
        <v>332981</v>
      </c>
      <c r="I104" s="819">
        <f>'Client Services LASER'!E104</f>
        <v>273373.03000000003</v>
      </c>
      <c r="J104" s="819">
        <f>'Client Services LASER'!K104</f>
        <v>114894.23000000001</v>
      </c>
      <c r="K104" s="820">
        <f>'Client Services LASER'!I104</f>
        <v>721248.26000000013</v>
      </c>
      <c r="L104" s="818">
        <f>'Benefits Spending LASER'!D104</f>
        <v>130476846.04014</v>
      </c>
      <c r="M104" s="819">
        <f>'Benefits Spending LASER'!E104</f>
        <v>92401287.574826241</v>
      </c>
      <c r="N104" s="819">
        <f>'Benefits Spending LASER'!I104</f>
        <v>1293743.6943337501</v>
      </c>
      <c r="O104" s="820">
        <f t="shared" si="35"/>
        <v>224171877.30930001</v>
      </c>
      <c r="P104" s="1622">
        <f t="shared" si="31"/>
        <v>137657481.89014</v>
      </c>
      <c r="Q104" s="819">
        <f t="shared" si="32"/>
        <v>95537361.084826246</v>
      </c>
      <c r="R104" s="819">
        <f t="shared" si="33"/>
        <v>7102766.1443337509</v>
      </c>
      <c r="S104" s="820">
        <f t="shared" si="34"/>
        <v>240297609.11930001</v>
      </c>
      <c r="U104" s="653">
        <f t="shared" si="36"/>
        <v>0.44452349394082735</v>
      </c>
      <c r="V104" s="654">
        <f t="shared" si="37"/>
        <v>0.18583553747246528</v>
      </c>
      <c r="W104" s="654">
        <f t="shared" si="38"/>
        <v>0.36964096858670736</v>
      </c>
      <c r="X104" s="655">
        <f t="shared" si="24"/>
        <v>0.63035903141329264</v>
      </c>
      <c r="Z104" s="1631">
        <f t="shared" si="25"/>
        <v>6.4105854429671719E-2</v>
      </c>
      <c r="AA104" s="1535">
        <f t="shared" si="26"/>
        <v>3.0014791351582848E-3</v>
      </c>
      <c r="AB104" s="1633">
        <f t="shared" si="27"/>
        <v>0.93289266643516999</v>
      </c>
      <c r="AD104" s="1631">
        <f t="shared" si="28"/>
        <v>0.80167755833303134</v>
      </c>
      <c r="AE104" s="1535">
        <f t="shared" si="29"/>
        <v>1.6175983787901728E-2</v>
      </c>
      <c r="AF104" s="1633">
        <f t="shared" si="30"/>
        <v>0.18214645787906691</v>
      </c>
    </row>
    <row r="105" spans="1:32">
      <c r="A105" s="767" t="s">
        <v>66</v>
      </c>
      <c r="B105" s="618" t="s">
        <v>67</v>
      </c>
      <c r="C105" s="768" t="s">
        <v>265</v>
      </c>
      <c r="D105" s="818">
        <f>'Administration LASER'!D104+'Other Oper Exp. LASER'!D104</f>
        <v>2634777.7000000002</v>
      </c>
      <c r="E105" s="819">
        <f>'Administration LASER'!E104+'Other Oper Exp. LASER'!E104</f>
        <v>1322741.8500000001</v>
      </c>
      <c r="F105" s="819">
        <f>'Administration LASER'!K104+'Other Oper Exp. LASER'!K104</f>
        <v>1254730.3199999998</v>
      </c>
      <c r="G105" s="820">
        <f>'Administration LASER'!I104+'Other Oper Exp. LASER'!I104</f>
        <v>5212249.87</v>
      </c>
      <c r="H105" s="818">
        <f>'Client Services LASER'!D105</f>
        <v>124128.20000000001</v>
      </c>
      <c r="I105" s="819">
        <f>'Client Services LASER'!E105</f>
        <v>49603.139999999992</v>
      </c>
      <c r="J105" s="819">
        <f>'Client Services LASER'!K105</f>
        <v>35151.710000000006</v>
      </c>
      <c r="K105" s="820">
        <f>'Client Services LASER'!I105</f>
        <v>208883.05000000002</v>
      </c>
      <c r="L105" s="818">
        <f>'Benefits Spending LASER'!D105</f>
        <v>75757217.454286993</v>
      </c>
      <c r="M105" s="819">
        <f>'Benefits Spending LASER'!E105</f>
        <v>56587514.201284252</v>
      </c>
      <c r="N105" s="819">
        <f>'Benefits Spending LASER'!I105</f>
        <v>882252.43392874999</v>
      </c>
      <c r="O105" s="820">
        <f t="shared" si="35"/>
        <v>133226984.0895</v>
      </c>
      <c r="P105" s="1622">
        <f t="shared" si="31"/>
        <v>78516123.354286999</v>
      </c>
      <c r="Q105" s="819">
        <f t="shared" si="32"/>
        <v>57959859.191284254</v>
      </c>
      <c r="R105" s="819">
        <f t="shared" si="33"/>
        <v>2172134.4639287498</v>
      </c>
      <c r="S105" s="820">
        <f t="shared" si="34"/>
        <v>138648117.0095</v>
      </c>
      <c r="U105" s="653">
        <f t="shared" si="36"/>
        <v>0.5054971971249721</v>
      </c>
      <c r="V105" s="654">
        <f t="shared" si="37"/>
        <v>0.25377560228132351</v>
      </c>
      <c r="W105" s="654">
        <f t="shared" si="38"/>
        <v>0.24072720059370442</v>
      </c>
      <c r="X105" s="655">
        <f t="shared" si="24"/>
        <v>0.75927279940629555</v>
      </c>
      <c r="Z105" s="1631">
        <f t="shared" si="25"/>
        <v>3.7593369332544653E-2</v>
      </c>
      <c r="AA105" s="1535">
        <f t="shared" si="26"/>
        <v>1.5065696852247018E-3</v>
      </c>
      <c r="AB105" s="1633">
        <f t="shared" si="27"/>
        <v>0.96090006098223069</v>
      </c>
      <c r="AD105" s="1631">
        <f t="shared" si="28"/>
        <v>0.57764854839168811</v>
      </c>
      <c r="AE105" s="1535">
        <f t="shared" si="29"/>
        <v>1.6183026688145696E-2</v>
      </c>
      <c r="AF105" s="1633">
        <f t="shared" si="30"/>
        <v>0.40616842492016625</v>
      </c>
    </row>
    <row r="106" spans="1:32">
      <c r="A106" s="767" t="s">
        <v>82</v>
      </c>
      <c r="B106" s="618" t="s">
        <v>311</v>
      </c>
      <c r="C106" s="768" t="s">
        <v>264</v>
      </c>
      <c r="D106" s="818">
        <f>'Administration LASER'!D105+'Other Oper Exp. LASER'!D105</f>
        <v>686503.85</v>
      </c>
      <c r="E106" s="819">
        <f>'Administration LASER'!E105+'Other Oper Exp. LASER'!E105</f>
        <v>304931.55</v>
      </c>
      <c r="F106" s="819">
        <f>'Administration LASER'!K105+'Other Oper Exp. LASER'!K105</f>
        <v>451255.79</v>
      </c>
      <c r="G106" s="820">
        <f>'Administration LASER'!I105+'Other Oper Exp. LASER'!I105</f>
        <v>1442691.1900000002</v>
      </c>
      <c r="H106" s="818">
        <f>'Client Services LASER'!D106</f>
        <v>33408.339999999997</v>
      </c>
      <c r="I106" s="819">
        <f>'Client Services LASER'!E106</f>
        <v>10941.210000000001</v>
      </c>
      <c r="J106" s="819">
        <f>'Client Services LASER'!K106</f>
        <v>8427.4600000000009</v>
      </c>
      <c r="K106" s="820">
        <f>'Client Services LASER'!I106</f>
        <v>52777.009999999995</v>
      </c>
      <c r="L106" s="818">
        <f>'Benefits Spending LASER'!D106</f>
        <v>15667811.994445002</v>
      </c>
      <c r="M106" s="819">
        <f>'Benefits Spending LASER'!E106</f>
        <v>11217635.564655002</v>
      </c>
      <c r="N106" s="819">
        <f>'Benefits Spending LASER'!I106</f>
        <v>138069.72080000001</v>
      </c>
      <c r="O106" s="820">
        <f t="shared" si="35"/>
        <v>27023517.279900003</v>
      </c>
      <c r="P106" s="1622">
        <f t="shared" si="31"/>
        <v>16387724.184445001</v>
      </c>
      <c r="Q106" s="819">
        <f t="shared" si="32"/>
        <v>11533508.324655002</v>
      </c>
      <c r="R106" s="819">
        <f t="shared" si="33"/>
        <v>597752.97080000001</v>
      </c>
      <c r="S106" s="820">
        <f t="shared" si="34"/>
        <v>28518985.479900002</v>
      </c>
      <c r="U106" s="653">
        <f t="shared" si="36"/>
        <v>0.47584947822409585</v>
      </c>
      <c r="V106" s="654">
        <f t="shared" si="37"/>
        <v>0.21136300832335433</v>
      </c>
      <c r="W106" s="654">
        <f t="shared" si="38"/>
        <v>0.31278751345254968</v>
      </c>
      <c r="X106" s="655">
        <f t="shared" si="24"/>
        <v>0.68721248654745015</v>
      </c>
      <c r="Z106" s="1631">
        <f t="shared" si="25"/>
        <v>5.0587044585327187E-2</v>
      </c>
      <c r="AA106" s="1535">
        <f t="shared" si="26"/>
        <v>1.8505921270304967E-3</v>
      </c>
      <c r="AB106" s="1633">
        <f t="shared" si="27"/>
        <v>0.94756236328764232</v>
      </c>
      <c r="AD106" s="1631">
        <f t="shared" si="28"/>
        <v>0.75492019620758022</v>
      </c>
      <c r="AE106" s="1535">
        <f t="shared" si="29"/>
        <v>1.4098566484280534E-2</v>
      </c>
      <c r="AF106" s="1633">
        <f t="shared" si="30"/>
        <v>0.23098123730813921</v>
      </c>
    </row>
    <row r="107" spans="1:32">
      <c r="A107" s="767" t="s">
        <v>88</v>
      </c>
      <c r="B107" s="618" t="s">
        <v>89</v>
      </c>
      <c r="C107" s="768" t="s">
        <v>267</v>
      </c>
      <c r="D107" s="818">
        <f>'Administration LASER'!D106+'Other Oper Exp. LASER'!D106</f>
        <v>1331057.9300000002</v>
      </c>
      <c r="E107" s="819">
        <f>'Administration LASER'!E106+'Other Oper Exp. LASER'!E106</f>
        <v>527571.14</v>
      </c>
      <c r="F107" s="819">
        <f>'Administration LASER'!K106+'Other Oper Exp. LASER'!K106</f>
        <v>1067186.51</v>
      </c>
      <c r="G107" s="820">
        <f>'Administration LASER'!I106+'Other Oper Exp. LASER'!I106</f>
        <v>2925815.58</v>
      </c>
      <c r="H107" s="818">
        <f>'Client Services LASER'!D107</f>
        <v>58325.299999999996</v>
      </c>
      <c r="I107" s="819">
        <f>'Client Services LASER'!E107</f>
        <v>38547.509999999995</v>
      </c>
      <c r="J107" s="819">
        <f>'Client Services LASER'!K107</f>
        <v>25288.58</v>
      </c>
      <c r="K107" s="820">
        <f>'Client Services LASER'!I107</f>
        <v>122161.38999999998</v>
      </c>
      <c r="L107" s="818">
        <f>'Benefits Spending LASER'!D107</f>
        <v>24978693.112275995</v>
      </c>
      <c r="M107" s="819">
        <f>'Benefits Spending LASER'!E107</f>
        <v>18809923.395255879</v>
      </c>
      <c r="N107" s="819">
        <f>'Benefits Spending LASER'!I107</f>
        <v>545582.14236812491</v>
      </c>
      <c r="O107" s="820">
        <f t="shared" si="35"/>
        <v>44334198.649899997</v>
      </c>
      <c r="P107" s="1622">
        <f t="shared" si="31"/>
        <v>26368076.342275996</v>
      </c>
      <c r="Q107" s="819">
        <f t="shared" si="32"/>
        <v>19376042.045255877</v>
      </c>
      <c r="R107" s="819">
        <f t="shared" si="33"/>
        <v>1638057.2323681251</v>
      </c>
      <c r="S107" s="820">
        <f t="shared" si="34"/>
        <v>47382175.619899996</v>
      </c>
      <c r="U107" s="653">
        <f t="shared" si="36"/>
        <v>0.45493569010251839</v>
      </c>
      <c r="V107" s="654">
        <f t="shared" si="37"/>
        <v>0.18031592408158548</v>
      </c>
      <c r="W107" s="654">
        <f t="shared" si="38"/>
        <v>0.36474838581589614</v>
      </c>
      <c r="X107" s="655">
        <f t="shared" si="24"/>
        <v>0.63525161418410392</v>
      </c>
      <c r="Z107" s="1631">
        <f t="shared" si="25"/>
        <v>6.1749287400200963E-2</v>
      </c>
      <c r="AA107" s="1535">
        <f t="shared" si="26"/>
        <v>2.5782140309465558E-3</v>
      </c>
      <c r="AB107" s="1633">
        <f t="shared" si="27"/>
        <v>0.93567249856885248</v>
      </c>
      <c r="AD107" s="1631">
        <f t="shared" si="28"/>
        <v>0.65149525237111383</v>
      </c>
      <c r="AE107" s="1535">
        <f t="shared" si="29"/>
        <v>1.5438154113480224E-2</v>
      </c>
      <c r="AF107" s="1633">
        <f t="shared" si="30"/>
        <v>0.3330665935154058</v>
      </c>
    </row>
    <row r="108" spans="1:32">
      <c r="A108" s="767" t="s">
        <v>90</v>
      </c>
      <c r="B108" s="618" t="s">
        <v>91</v>
      </c>
      <c r="C108" s="768" t="s">
        <v>268</v>
      </c>
      <c r="D108" s="818">
        <f>'Administration LASER'!D107+'Other Oper Exp. LASER'!D107</f>
        <v>452647.86</v>
      </c>
      <c r="E108" s="819">
        <f>'Administration LASER'!E107+'Other Oper Exp. LASER'!E107</f>
        <v>225427.20000000001</v>
      </c>
      <c r="F108" s="819">
        <f>'Administration LASER'!K107+'Other Oper Exp. LASER'!K107</f>
        <v>186426.86</v>
      </c>
      <c r="G108" s="820">
        <f>'Administration LASER'!I107+'Other Oper Exp. LASER'!I107</f>
        <v>864501.92000000016</v>
      </c>
      <c r="H108" s="818">
        <f>'Client Services LASER'!D108</f>
        <v>31912.649999999998</v>
      </c>
      <c r="I108" s="819">
        <f>'Client Services LASER'!E108</f>
        <v>17269.78</v>
      </c>
      <c r="J108" s="819">
        <f>'Client Services LASER'!K108</f>
        <v>9847.3799999999992</v>
      </c>
      <c r="K108" s="820">
        <f>'Client Services LASER'!I108</f>
        <v>59029.80999999999</v>
      </c>
      <c r="L108" s="818">
        <f>'Benefits Spending LASER'!D108</f>
        <v>10958088.312179999</v>
      </c>
      <c r="M108" s="819">
        <f>'Benefits Spending LASER'!E108</f>
        <v>7920546.5329199992</v>
      </c>
      <c r="N108" s="819">
        <f>'Benefits Spending LASER'!I108</f>
        <v>77346.414799999984</v>
      </c>
      <c r="O108" s="820">
        <f t="shared" si="35"/>
        <v>18955981.2599</v>
      </c>
      <c r="P108" s="1622">
        <f t="shared" si="31"/>
        <v>11442648.822179999</v>
      </c>
      <c r="Q108" s="819">
        <f t="shared" si="32"/>
        <v>8163243.5129199997</v>
      </c>
      <c r="R108" s="819">
        <f t="shared" si="33"/>
        <v>273620.65479999996</v>
      </c>
      <c r="S108" s="820">
        <f t="shared" si="34"/>
        <v>19879512.9899</v>
      </c>
      <c r="U108" s="653">
        <f t="shared" si="36"/>
        <v>0.52359381688822615</v>
      </c>
      <c r="V108" s="654">
        <f t="shared" si="37"/>
        <v>0.26075962908214245</v>
      </c>
      <c r="W108" s="654">
        <f t="shared" si="38"/>
        <v>0.21564655402963126</v>
      </c>
      <c r="X108" s="655">
        <f t="shared" si="24"/>
        <v>0.7843534459703686</v>
      </c>
      <c r="Z108" s="1631">
        <f t="shared" si="25"/>
        <v>4.3487077396675643E-2</v>
      </c>
      <c r="AA108" s="1535">
        <f t="shared" si="26"/>
        <v>2.9693790803623165E-3</v>
      </c>
      <c r="AB108" s="1633">
        <f t="shared" si="27"/>
        <v>0.953543543522962</v>
      </c>
      <c r="AD108" s="1631">
        <f t="shared" si="28"/>
        <v>0.68133328653959502</v>
      </c>
      <c r="AE108" s="1535">
        <f t="shared" si="29"/>
        <v>3.5989169045728055E-2</v>
      </c>
      <c r="AF108" s="1633">
        <f t="shared" si="30"/>
        <v>0.28267754441467696</v>
      </c>
    </row>
    <row r="109" spans="1:32">
      <c r="A109" s="767" t="s">
        <v>106</v>
      </c>
      <c r="B109" s="618" t="s">
        <v>107</v>
      </c>
      <c r="C109" s="768" t="s">
        <v>264</v>
      </c>
      <c r="D109" s="818">
        <f>'Administration LASER'!D108+'Other Oper Exp. LASER'!D108</f>
        <v>6103681.2499999991</v>
      </c>
      <c r="E109" s="819">
        <f>'Administration LASER'!E108+'Other Oper Exp. LASER'!E108</f>
        <v>3064464.17</v>
      </c>
      <c r="F109" s="819">
        <f>'Administration LASER'!K108+'Other Oper Exp. LASER'!K108</f>
        <v>2750055.58</v>
      </c>
      <c r="G109" s="820">
        <f>'Administration LASER'!I108+'Other Oper Exp. LASER'!I108</f>
        <v>11918201</v>
      </c>
      <c r="H109" s="818">
        <f>'Client Services LASER'!D109</f>
        <v>404649.83</v>
      </c>
      <c r="I109" s="819">
        <f>'Client Services LASER'!E109</f>
        <v>264901.47000000003</v>
      </c>
      <c r="J109" s="819">
        <f>'Client Services LASER'!K109</f>
        <v>142954.78</v>
      </c>
      <c r="K109" s="820">
        <f>'Client Services LASER'!I109</f>
        <v>812506.08</v>
      </c>
      <c r="L109" s="818">
        <f>'Benefits Spending LASER'!D109</f>
        <v>123813758.98114601</v>
      </c>
      <c r="M109" s="819">
        <f>'Benefits Spending LASER'!E109</f>
        <v>93091377.266017765</v>
      </c>
      <c r="N109" s="819">
        <f>'Benefits Spending LASER'!I109</f>
        <v>1684401.3621362501</v>
      </c>
      <c r="O109" s="820">
        <f t="shared" si="35"/>
        <v>218589537.60930002</v>
      </c>
      <c r="P109" s="1622">
        <f t="shared" si="31"/>
        <v>130322090.06114601</v>
      </c>
      <c r="Q109" s="819">
        <f t="shared" si="32"/>
        <v>96420742.906017765</v>
      </c>
      <c r="R109" s="819">
        <f t="shared" si="33"/>
        <v>4577411.7221362498</v>
      </c>
      <c r="S109" s="820">
        <f t="shared" si="34"/>
        <v>231320244.68930003</v>
      </c>
      <c r="U109" s="653">
        <f t="shared" si="36"/>
        <v>0.51213108840839305</v>
      </c>
      <c r="V109" s="654">
        <f t="shared" si="37"/>
        <v>0.25712472629048627</v>
      </c>
      <c r="W109" s="654">
        <f t="shared" si="38"/>
        <v>0.23074418530112054</v>
      </c>
      <c r="X109" s="655">
        <f t="shared" si="24"/>
        <v>0.76925581469887927</v>
      </c>
      <c r="Z109" s="1631">
        <f t="shared" si="25"/>
        <v>5.1522515964860939E-2</v>
      </c>
      <c r="AA109" s="1535">
        <f t="shared" si="26"/>
        <v>3.5124728537760503E-3</v>
      </c>
      <c r="AB109" s="1633">
        <f t="shared" si="27"/>
        <v>0.944965011181363</v>
      </c>
      <c r="AD109" s="1631">
        <f t="shared" si="28"/>
        <v>0.60078833780688756</v>
      </c>
      <c r="AE109" s="1535">
        <f t="shared" si="29"/>
        <v>3.1230483224542426E-2</v>
      </c>
      <c r="AF109" s="1633">
        <f t="shared" si="30"/>
        <v>0.36798117896857013</v>
      </c>
    </row>
    <row r="110" spans="1:32">
      <c r="A110" s="767" t="s">
        <v>116</v>
      </c>
      <c r="B110" s="618" t="s">
        <v>117</v>
      </c>
      <c r="C110" s="768" t="s">
        <v>266</v>
      </c>
      <c r="D110" s="818">
        <f>'Administration LASER'!D109+'Other Oper Exp. LASER'!D109</f>
        <v>1558523.9899999998</v>
      </c>
      <c r="E110" s="819">
        <f>'Administration LASER'!E109+'Other Oper Exp. LASER'!E109</f>
        <v>781503.47</v>
      </c>
      <c r="F110" s="819">
        <f>'Administration LASER'!K109+'Other Oper Exp. LASER'!K109</f>
        <v>662757</v>
      </c>
      <c r="G110" s="820">
        <f>'Administration LASER'!I109+'Other Oper Exp. LASER'!I109</f>
        <v>3002784.46</v>
      </c>
      <c r="H110" s="818">
        <f>'Client Services LASER'!D110</f>
        <v>73939.34</v>
      </c>
      <c r="I110" s="819">
        <f>'Client Services LASER'!E110</f>
        <v>101475.05</v>
      </c>
      <c r="J110" s="819">
        <f>'Client Services LASER'!K110</f>
        <v>32860.439999999995</v>
      </c>
      <c r="K110" s="820">
        <f>'Client Services LASER'!I110</f>
        <v>208274.83000000002</v>
      </c>
      <c r="L110" s="818">
        <f>'Benefits Spending LASER'!D110</f>
        <v>33709732.201389998</v>
      </c>
      <c r="M110" s="819">
        <f>'Benefits Spending LASER'!E110</f>
        <v>24796512.993585061</v>
      </c>
      <c r="N110" s="819">
        <f>'Benefits Spending LASER'!I110</f>
        <v>944205.83482493751</v>
      </c>
      <c r="O110" s="820">
        <f t="shared" si="35"/>
        <v>59450451.029799998</v>
      </c>
      <c r="P110" s="1622">
        <f t="shared" si="31"/>
        <v>35342195.531389996</v>
      </c>
      <c r="Q110" s="819">
        <f t="shared" si="32"/>
        <v>25679491.513585061</v>
      </c>
      <c r="R110" s="819">
        <f t="shared" si="33"/>
        <v>1639823.2748249373</v>
      </c>
      <c r="S110" s="820">
        <f t="shared" si="34"/>
        <v>62661510.319799997</v>
      </c>
      <c r="U110" s="653">
        <f t="shared" si="36"/>
        <v>0.51902626071269853</v>
      </c>
      <c r="V110" s="654">
        <f t="shared" si="37"/>
        <v>0.26025959585524161</v>
      </c>
      <c r="W110" s="654">
        <f t="shared" si="38"/>
        <v>0.22071414343205972</v>
      </c>
      <c r="X110" s="655">
        <f t="shared" si="24"/>
        <v>0.77928585656794025</v>
      </c>
      <c r="Z110" s="1631">
        <f t="shared" si="25"/>
        <v>4.7920716316522775E-2</v>
      </c>
      <c r="AA110" s="1535">
        <f t="shared" si="26"/>
        <v>3.3238080112823042E-3</v>
      </c>
      <c r="AB110" s="1633">
        <f t="shared" si="27"/>
        <v>0.94875547567219498</v>
      </c>
      <c r="AD110" s="1631">
        <f t="shared" si="28"/>
        <v>0.40416367432688988</v>
      </c>
      <c r="AE110" s="1535">
        <f t="shared" si="29"/>
        <v>2.0039013047615194E-2</v>
      </c>
      <c r="AF110" s="1633">
        <f t="shared" si="30"/>
        <v>0.57579731262549505</v>
      </c>
    </row>
    <row r="111" spans="1:32">
      <c r="A111" s="767" t="s">
        <v>138</v>
      </c>
      <c r="B111" s="618" t="s">
        <v>139</v>
      </c>
      <c r="C111" s="768" t="s">
        <v>265</v>
      </c>
      <c r="D111" s="818">
        <f>'Administration LASER'!D110+'Other Oper Exp. LASER'!D110</f>
        <v>4142241.1599999997</v>
      </c>
      <c r="E111" s="819">
        <f>'Administration LASER'!E110+'Other Oper Exp. LASER'!E110</f>
        <v>1843255.53</v>
      </c>
      <c r="F111" s="819">
        <f>'Administration LASER'!K110+'Other Oper Exp. LASER'!K110</f>
        <v>3081432.8200000003</v>
      </c>
      <c r="G111" s="820">
        <f>'Administration LASER'!I110+'Other Oper Exp. LASER'!I110</f>
        <v>9066929.5099999998</v>
      </c>
      <c r="H111" s="818">
        <f>'Client Services LASER'!D111</f>
        <v>174421.69000000003</v>
      </c>
      <c r="I111" s="819">
        <f>'Client Services LASER'!E111</f>
        <v>77690.59</v>
      </c>
      <c r="J111" s="819">
        <f>'Client Services LASER'!K111</f>
        <v>50644.900000000009</v>
      </c>
      <c r="K111" s="820">
        <f>'Client Services LASER'!I111</f>
        <v>302757.18</v>
      </c>
      <c r="L111" s="818">
        <f>'Benefits Spending LASER'!D111</f>
        <v>82641944.695697993</v>
      </c>
      <c r="M111" s="819">
        <f>'Benefits Spending LASER'!E111</f>
        <v>63985616.747543998</v>
      </c>
      <c r="N111" s="819">
        <f>'Benefits Spending LASER'!I111</f>
        <v>1539647.4562580001</v>
      </c>
      <c r="O111" s="820">
        <f t="shared" si="35"/>
        <v>148167208.89949998</v>
      </c>
      <c r="P111" s="1622">
        <f t="shared" si="31"/>
        <v>86958607.545697987</v>
      </c>
      <c r="Q111" s="819">
        <f t="shared" si="32"/>
        <v>65906562.867543995</v>
      </c>
      <c r="R111" s="819">
        <f t="shared" si="33"/>
        <v>4671725.1762580005</v>
      </c>
      <c r="S111" s="820">
        <f t="shared" si="34"/>
        <v>157536895.58949998</v>
      </c>
      <c r="U111" s="653">
        <f t="shared" si="36"/>
        <v>0.45685158966235306</v>
      </c>
      <c r="V111" s="654">
        <f t="shared" si="37"/>
        <v>0.20329434876129307</v>
      </c>
      <c r="W111" s="654">
        <f t="shared" si="38"/>
        <v>0.33985406157635389</v>
      </c>
      <c r="X111" s="655">
        <f t="shared" si="24"/>
        <v>0.66014593842364611</v>
      </c>
      <c r="Z111" s="1631">
        <f t="shared" si="25"/>
        <v>5.755432386852443E-2</v>
      </c>
      <c r="AA111" s="1535">
        <f t="shared" si="26"/>
        <v>1.9218176089295688E-3</v>
      </c>
      <c r="AB111" s="1633">
        <f t="shared" si="27"/>
        <v>0.94052385852254605</v>
      </c>
      <c r="AD111" s="1631">
        <f t="shared" si="28"/>
        <v>0.65959205726827308</v>
      </c>
      <c r="AE111" s="1535">
        <f t="shared" si="29"/>
        <v>1.0840727587611652E-2</v>
      </c>
      <c r="AF111" s="1633">
        <f t="shared" si="30"/>
        <v>0.32956721514411524</v>
      </c>
    </row>
    <row r="112" spans="1:32">
      <c r="A112" s="767" t="s">
        <v>142</v>
      </c>
      <c r="B112" s="618" t="s">
        <v>143</v>
      </c>
      <c r="C112" s="768" t="s">
        <v>267</v>
      </c>
      <c r="D112" s="818">
        <f>'Administration LASER'!D111+'Other Oper Exp. LASER'!D111</f>
        <v>1193667.48</v>
      </c>
      <c r="E112" s="819">
        <f>'Administration LASER'!E111+'Other Oper Exp. LASER'!E111</f>
        <v>417507.93</v>
      </c>
      <c r="F112" s="819">
        <f>'Administration LASER'!K111+'Other Oper Exp. LASER'!K111</f>
        <v>1314562.5499999998</v>
      </c>
      <c r="G112" s="820">
        <f>'Administration LASER'!I111+'Other Oper Exp. LASER'!I111</f>
        <v>2925737.96</v>
      </c>
      <c r="H112" s="818">
        <f>'Client Services LASER'!D112</f>
        <v>45496.01999999999</v>
      </c>
      <c r="I112" s="819">
        <f>'Client Services LASER'!E112</f>
        <v>45358.020000000004</v>
      </c>
      <c r="J112" s="819">
        <f>'Client Services LASER'!K112</f>
        <v>18440.849999999999</v>
      </c>
      <c r="K112" s="820">
        <f>'Client Services LASER'!I112</f>
        <v>109294.89</v>
      </c>
      <c r="L112" s="818">
        <f>'Benefits Spending LASER'!D112</f>
        <v>23890082.843215</v>
      </c>
      <c r="M112" s="819">
        <f>'Benefits Spending LASER'!E112</f>
        <v>16373123.805119002</v>
      </c>
      <c r="N112" s="819">
        <f>'Benefits Spending LASER'!I112</f>
        <v>661964.05156599998</v>
      </c>
      <c r="O112" s="820">
        <f t="shared" si="35"/>
        <v>40925170.699900001</v>
      </c>
      <c r="P112" s="1622">
        <f t="shared" si="31"/>
        <v>25129246.343215</v>
      </c>
      <c r="Q112" s="819">
        <f t="shared" si="32"/>
        <v>16835989.755119003</v>
      </c>
      <c r="R112" s="819">
        <f t="shared" si="33"/>
        <v>1994967.451566</v>
      </c>
      <c r="S112" s="820">
        <f t="shared" si="34"/>
        <v>43960203.549900003</v>
      </c>
      <c r="U112" s="653">
        <f t="shared" si="36"/>
        <v>0.4079885130929497</v>
      </c>
      <c r="V112" s="654">
        <f t="shared" si="37"/>
        <v>0.14270175104813557</v>
      </c>
      <c r="W112" s="654">
        <f t="shared" si="38"/>
        <v>0.44930973585891465</v>
      </c>
      <c r="X112" s="655">
        <f t="shared" si="24"/>
        <v>0.55069026414108524</v>
      </c>
      <c r="Z112" s="1631">
        <f t="shared" si="25"/>
        <v>6.6554240511624188E-2</v>
      </c>
      <c r="AA112" s="1535">
        <f t="shared" si="26"/>
        <v>2.4862234742825391E-3</v>
      </c>
      <c r="AB112" s="1633">
        <f t="shared" si="27"/>
        <v>0.9309595360140932</v>
      </c>
      <c r="AD112" s="1631">
        <f t="shared" si="28"/>
        <v>0.65893934708964841</v>
      </c>
      <c r="AE112" s="1535">
        <f t="shared" si="29"/>
        <v>9.2436846453431542E-3</v>
      </c>
      <c r="AF112" s="1633">
        <f t="shared" si="30"/>
        <v>0.33181696826500834</v>
      </c>
    </row>
    <row r="113" spans="1:32">
      <c r="A113" s="767" t="s">
        <v>144</v>
      </c>
      <c r="B113" s="618" t="s">
        <v>145</v>
      </c>
      <c r="C113" s="768" t="s">
        <v>267</v>
      </c>
      <c r="D113" s="818">
        <f>'Administration LASER'!D112+'Other Oper Exp. LASER'!D112</f>
        <v>483558.91</v>
      </c>
      <c r="E113" s="819">
        <f>'Administration LASER'!E112+'Other Oper Exp. LASER'!E112</f>
        <v>179028.54</v>
      </c>
      <c r="F113" s="819">
        <f>'Administration LASER'!K112+'Other Oper Exp. LASER'!K112</f>
        <v>579789.77</v>
      </c>
      <c r="G113" s="820">
        <f>'Administration LASER'!I112+'Other Oper Exp. LASER'!I112</f>
        <v>1242377.22</v>
      </c>
      <c r="H113" s="818">
        <f>'Client Services LASER'!D113</f>
        <v>49129.919999999998</v>
      </c>
      <c r="I113" s="819">
        <f>'Client Services LASER'!E113</f>
        <v>14968.94</v>
      </c>
      <c r="J113" s="819">
        <f>'Client Services LASER'!K113</f>
        <v>12148.349999999999</v>
      </c>
      <c r="K113" s="820">
        <f>'Client Services LASER'!I113</f>
        <v>76247.210000000006</v>
      </c>
      <c r="L113" s="818">
        <f>'Benefits Spending LASER'!D113</f>
        <v>7659847.1944199996</v>
      </c>
      <c r="M113" s="819">
        <f>'Benefits Spending LASER'!E113</f>
        <v>5867810.5361424992</v>
      </c>
      <c r="N113" s="819">
        <f>'Benefits Spending LASER'!I113</f>
        <v>371874.18943750003</v>
      </c>
      <c r="O113" s="820">
        <f t="shared" si="35"/>
        <v>13899531.919999998</v>
      </c>
      <c r="P113" s="1622">
        <f t="shared" si="31"/>
        <v>8192536.0244199997</v>
      </c>
      <c r="Q113" s="819">
        <f t="shared" si="32"/>
        <v>6061808.0161424996</v>
      </c>
      <c r="R113" s="819">
        <f t="shared" si="33"/>
        <v>963812.30943750008</v>
      </c>
      <c r="S113" s="820">
        <f t="shared" si="34"/>
        <v>15218156.349999998</v>
      </c>
      <c r="U113" s="653">
        <f t="shared" si="36"/>
        <v>0.38922068290981704</v>
      </c>
      <c r="V113" s="654">
        <f t="shared" si="37"/>
        <v>0.14410159581000689</v>
      </c>
      <c r="W113" s="654">
        <f t="shared" si="38"/>
        <v>0.46667772128017609</v>
      </c>
      <c r="X113" s="655">
        <f t="shared" si="24"/>
        <v>0.53332227871982385</v>
      </c>
      <c r="Z113" s="1631">
        <f t="shared" si="25"/>
        <v>8.1637827304882449E-2</v>
      </c>
      <c r="AA113" s="1535">
        <f t="shared" si="26"/>
        <v>5.0102790539407237E-3</v>
      </c>
      <c r="AB113" s="1633">
        <f t="shared" si="27"/>
        <v>0.91335189364117686</v>
      </c>
      <c r="AD113" s="1631">
        <f t="shared" si="28"/>
        <v>0.60155879347336494</v>
      </c>
      <c r="AE113" s="1535">
        <f t="shared" si="29"/>
        <v>1.2604476910125806E-2</v>
      </c>
      <c r="AF113" s="1633">
        <f t="shared" si="30"/>
        <v>0.38583672961650922</v>
      </c>
    </row>
    <row r="114" spans="1:32">
      <c r="A114" s="767" t="s">
        <v>158</v>
      </c>
      <c r="B114" s="618" t="s">
        <v>159</v>
      </c>
      <c r="C114" s="768" t="s">
        <v>264</v>
      </c>
      <c r="D114" s="818">
        <f>'Administration LASER'!D113+'Other Oper Exp. LASER'!D113</f>
        <v>11234358.260000002</v>
      </c>
      <c r="E114" s="819">
        <f>'Administration LASER'!E113+'Other Oper Exp. LASER'!E113</f>
        <v>4708313.0999999996</v>
      </c>
      <c r="F114" s="819">
        <f>'Administration LASER'!K113+'Other Oper Exp. LASER'!K113</f>
        <v>8818848.1800000016</v>
      </c>
      <c r="G114" s="820">
        <f>'Administration LASER'!I113+'Other Oper Exp. LASER'!I113</f>
        <v>24761519.539999999</v>
      </c>
      <c r="H114" s="818">
        <f>'Client Services LASER'!D114</f>
        <v>495106.13000000006</v>
      </c>
      <c r="I114" s="819">
        <f>'Client Services LASER'!E114</f>
        <v>348052.62</v>
      </c>
      <c r="J114" s="819">
        <f>'Client Services LASER'!K114</f>
        <v>163214.11000000002</v>
      </c>
      <c r="K114" s="820">
        <f>'Client Services LASER'!I114</f>
        <v>1006372.86</v>
      </c>
      <c r="L114" s="818">
        <f>'Benefits Spending LASER'!D114</f>
        <v>176109714.60337704</v>
      </c>
      <c r="M114" s="819">
        <f>'Benefits Spending LASER'!E114</f>
        <v>118425904.20757675</v>
      </c>
      <c r="N114" s="819">
        <f>'Benefits Spending LASER'!I114</f>
        <v>1782692.3281462502</v>
      </c>
      <c r="O114" s="820">
        <f t="shared" si="35"/>
        <v>296318311.13910007</v>
      </c>
      <c r="P114" s="1622">
        <f t="shared" si="31"/>
        <v>187839178.99337706</v>
      </c>
      <c r="Q114" s="819">
        <f t="shared" si="32"/>
        <v>123482269.92757675</v>
      </c>
      <c r="R114" s="819">
        <f t="shared" si="33"/>
        <v>10764754.618146252</v>
      </c>
      <c r="S114" s="820">
        <f t="shared" si="34"/>
        <v>322086203.53910005</v>
      </c>
      <c r="U114" s="653">
        <f t="shared" si="36"/>
        <v>0.4537022956871411</v>
      </c>
      <c r="V114" s="654">
        <f t="shared" si="37"/>
        <v>0.19014637176826507</v>
      </c>
      <c r="W114" s="654">
        <f t="shared" si="38"/>
        <v>0.35615133254459397</v>
      </c>
      <c r="X114" s="655">
        <f t="shared" si="24"/>
        <v>0.64384866745540614</v>
      </c>
      <c r="Z114" s="1631">
        <f t="shared" si="25"/>
        <v>7.6878547630786817E-2</v>
      </c>
      <c r="AA114" s="1535">
        <f t="shared" si="26"/>
        <v>3.1245450719152895E-3</v>
      </c>
      <c r="AB114" s="1633">
        <f t="shared" si="27"/>
        <v>0.91999690729729799</v>
      </c>
      <c r="AD114" s="1631">
        <f t="shared" si="28"/>
        <v>0.81923355365053874</v>
      </c>
      <c r="AE114" s="1535">
        <f t="shared" si="29"/>
        <v>1.5161897859229266E-2</v>
      </c>
      <c r="AF114" s="1633">
        <f t="shared" si="30"/>
        <v>0.16560454849023204</v>
      </c>
    </row>
    <row r="115" spans="1:32">
      <c r="A115" s="767" t="s">
        <v>160</v>
      </c>
      <c r="B115" s="618" t="s">
        <v>161</v>
      </c>
      <c r="C115" s="768" t="s">
        <v>264</v>
      </c>
      <c r="D115" s="818">
        <f>'Administration LASER'!D114+'Other Oper Exp. LASER'!D114</f>
        <v>15057387.830000002</v>
      </c>
      <c r="E115" s="819">
        <f>'Administration LASER'!E114+'Other Oper Exp. LASER'!E114</f>
        <v>7541599.4299999997</v>
      </c>
      <c r="F115" s="819">
        <f>'Administration LASER'!K114+'Other Oper Exp. LASER'!K114</f>
        <v>6876685.0699999994</v>
      </c>
      <c r="G115" s="820">
        <f>'Administration LASER'!I114+'Other Oper Exp. LASER'!I114</f>
        <v>29475672.330000002</v>
      </c>
      <c r="H115" s="818">
        <f>'Client Services LASER'!D115</f>
        <v>576801.52</v>
      </c>
      <c r="I115" s="819">
        <f>'Client Services LASER'!E115</f>
        <v>226708.16999999998</v>
      </c>
      <c r="J115" s="819">
        <f>'Client Services LASER'!K115</f>
        <v>150513.22</v>
      </c>
      <c r="K115" s="820">
        <f>'Client Services LASER'!I115</f>
        <v>954022.90999999992</v>
      </c>
      <c r="L115" s="818">
        <f>'Benefits Spending LASER'!D115</f>
        <v>252361337.60799798</v>
      </c>
      <c r="M115" s="819">
        <f>'Benefits Spending LASER'!E115</f>
        <v>174042727.65748268</v>
      </c>
      <c r="N115" s="819">
        <f>'Benefits Spending LASER'!I115</f>
        <v>2632160.3432193748</v>
      </c>
      <c r="O115" s="820">
        <f t="shared" si="35"/>
        <v>429036225.60870004</v>
      </c>
      <c r="P115" s="1622">
        <f t="shared" si="31"/>
        <v>267995526.95799798</v>
      </c>
      <c r="Q115" s="819">
        <f t="shared" si="32"/>
        <v>181811035.25748268</v>
      </c>
      <c r="R115" s="819">
        <f t="shared" si="33"/>
        <v>9659358.6332193743</v>
      </c>
      <c r="S115" s="820">
        <f t="shared" si="34"/>
        <v>459465920.84870005</v>
      </c>
      <c r="U115" s="653">
        <f t="shared" si="36"/>
        <v>0.51084120020817181</v>
      </c>
      <c r="V115" s="654">
        <f t="shared" si="37"/>
        <v>0.2558584362577625</v>
      </c>
      <c r="W115" s="654">
        <f t="shared" si="38"/>
        <v>0.23330036353406561</v>
      </c>
      <c r="X115" s="655">
        <f t="shared" si="24"/>
        <v>0.76669963646593431</v>
      </c>
      <c r="Z115" s="1631">
        <f t="shared" si="25"/>
        <v>6.4152031723167122E-2</v>
      </c>
      <c r="AA115" s="1535">
        <f t="shared" si="26"/>
        <v>2.0763736040265652E-3</v>
      </c>
      <c r="AB115" s="1633">
        <f t="shared" si="27"/>
        <v>0.93377159467280624</v>
      </c>
      <c r="AD115" s="1631">
        <f t="shared" si="28"/>
        <v>0.71191942768855077</v>
      </c>
      <c r="AE115" s="1535">
        <f t="shared" si="29"/>
        <v>1.5582113234969034E-2</v>
      </c>
      <c r="AF115" s="1633">
        <f t="shared" si="30"/>
        <v>0.27249845907648013</v>
      </c>
    </row>
    <row r="116" spans="1:32">
      <c r="A116" s="767" t="s">
        <v>166</v>
      </c>
      <c r="B116" s="618" t="s">
        <v>167</v>
      </c>
      <c r="C116" s="768" t="s">
        <v>268</v>
      </c>
      <c r="D116" s="818">
        <f>'Administration LASER'!D115+'Other Oper Exp. LASER'!D115</f>
        <v>422759.62</v>
      </c>
      <c r="E116" s="819">
        <f>'Administration LASER'!E115+'Other Oper Exp. LASER'!E115</f>
        <v>179881.21</v>
      </c>
      <c r="F116" s="819">
        <f>'Administration LASER'!K115+'Other Oper Exp. LASER'!K115</f>
        <v>321396.52999999997</v>
      </c>
      <c r="G116" s="820">
        <f>'Administration LASER'!I115+'Other Oper Exp. LASER'!I115</f>
        <v>924037.36</v>
      </c>
      <c r="H116" s="818">
        <f>'Client Services LASER'!D116</f>
        <v>24072.27</v>
      </c>
      <c r="I116" s="819">
        <f>'Client Services LASER'!E116</f>
        <v>8252.8700000000008</v>
      </c>
      <c r="J116" s="819">
        <f>'Client Services LASER'!K116</f>
        <v>6603.1799999999994</v>
      </c>
      <c r="K116" s="820">
        <f>'Client Services LASER'!I116</f>
        <v>38928.32</v>
      </c>
      <c r="L116" s="818">
        <f>'Benefits Spending LASER'!D116</f>
        <v>4792029.0738000004</v>
      </c>
      <c r="M116" s="819">
        <f>'Benefits Spending LASER'!E116</f>
        <v>3280767.2657357501</v>
      </c>
      <c r="N116" s="819">
        <f>'Benefits Spending LASER'!I116</f>
        <v>62078.430464249999</v>
      </c>
      <c r="O116" s="820">
        <f t="shared" si="35"/>
        <v>8134874.7700000005</v>
      </c>
      <c r="P116" s="1622">
        <f t="shared" si="31"/>
        <v>5238860.9638</v>
      </c>
      <c r="Q116" s="819">
        <f t="shared" si="32"/>
        <v>3468901.3457357502</v>
      </c>
      <c r="R116" s="819">
        <f t="shared" si="33"/>
        <v>390078.14046424994</v>
      </c>
      <c r="S116" s="820">
        <f t="shared" si="34"/>
        <v>9097840.4500000011</v>
      </c>
      <c r="U116" s="653">
        <f t="shared" si="36"/>
        <v>0.45751355767693203</v>
      </c>
      <c r="V116" s="654">
        <f t="shared" si="37"/>
        <v>0.19466876317641529</v>
      </c>
      <c r="W116" s="654">
        <f t="shared" si="38"/>
        <v>0.34781767914665268</v>
      </c>
      <c r="X116" s="655">
        <f t="shared" si="24"/>
        <v>0.65218232085334726</v>
      </c>
      <c r="Z116" s="1631">
        <f t="shared" si="25"/>
        <v>0.10156667014313268</v>
      </c>
      <c r="AA116" s="1535">
        <f t="shared" si="26"/>
        <v>4.2788527908290581E-3</v>
      </c>
      <c r="AB116" s="1633">
        <f t="shared" si="27"/>
        <v>0.89415447706603823</v>
      </c>
      <c r="AD116" s="1631">
        <f t="shared" si="28"/>
        <v>0.82392858419979953</v>
      </c>
      <c r="AE116" s="1535">
        <f t="shared" si="29"/>
        <v>1.692783910459902E-2</v>
      </c>
      <c r="AF116" s="1633">
        <f t="shared" si="30"/>
        <v>0.15914357669560156</v>
      </c>
    </row>
    <row r="117" spans="1:32">
      <c r="A117" s="767" t="s">
        <v>176</v>
      </c>
      <c r="B117" s="618" t="s">
        <v>177</v>
      </c>
      <c r="C117" s="768" t="s">
        <v>266</v>
      </c>
      <c r="D117" s="818">
        <f>'Administration LASER'!D116+'Other Oper Exp. LASER'!D116</f>
        <v>3042299.9299999997</v>
      </c>
      <c r="E117" s="819">
        <f>'Administration LASER'!E116+'Other Oper Exp. LASER'!E116</f>
        <v>1559568.09</v>
      </c>
      <c r="F117" s="819">
        <f>'Administration LASER'!K116+'Other Oper Exp. LASER'!K116</f>
        <v>1338810.17</v>
      </c>
      <c r="G117" s="820">
        <f>'Administration LASER'!I116+'Other Oper Exp. LASER'!I116</f>
        <v>5940678.1899999995</v>
      </c>
      <c r="H117" s="818">
        <f>'Client Services LASER'!D117</f>
        <v>146760.16999999998</v>
      </c>
      <c r="I117" s="819">
        <f>'Client Services LASER'!E117</f>
        <v>153147.06</v>
      </c>
      <c r="J117" s="819">
        <f>'Client Services LASER'!K117</f>
        <v>62239.82</v>
      </c>
      <c r="K117" s="820">
        <f>'Client Services LASER'!I117</f>
        <v>362147.05</v>
      </c>
      <c r="L117" s="818">
        <f>'Benefits Spending LASER'!D117</f>
        <v>65214324.050891005</v>
      </c>
      <c r="M117" s="819">
        <f>'Benefits Spending LASER'!E117</f>
        <v>49324973.811718382</v>
      </c>
      <c r="N117" s="819">
        <f>'Benefits Spending LASER'!I117</f>
        <v>1573562.8569906249</v>
      </c>
      <c r="O117" s="820">
        <f t="shared" si="35"/>
        <v>116112860.71960001</v>
      </c>
      <c r="P117" s="1622">
        <f t="shared" si="31"/>
        <v>68403384.150891006</v>
      </c>
      <c r="Q117" s="819">
        <f t="shared" si="32"/>
        <v>51037688.96171838</v>
      </c>
      <c r="R117" s="819">
        <f t="shared" si="33"/>
        <v>2974612.8469906249</v>
      </c>
      <c r="S117" s="820">
        <f t="shared" si="34"/>
        <v>122415685.9596</v>
      </c>
      <c r="U117" s="653">
        <f t="shared" si="36"/>
        <v>0.51211323567755818</v>
      </c>
      <c r="V117" s="654">
        <f t="shared" si="37"/>
        <v>0.26252357729547376</v>
      </c>
      <c r="W117" s="654">
        <f t="shared" si="38"/>
        <v>0.22536318702696806</v>
      </c>
      <c r="X117" s="655">
        <f t="shared" si="24"/>
        <v>0.774636812973032</v>
      </c>
      <c r="Z117" s="1631">
        <f t="shared" si="25"/>
        <v>4.8528733417060294E-2</v>
      </c>
      <c r="AA117" s="1535">
        <f t="shared" si="26"/>
        <v>2.9583386080074482E-3</v>
      </c>
      <c r="AB117" s="1633">
        <f t="shared" si="27"/>
        <v>0.94851292797493225</v>
      </c>
      <c r="AD117" s="1631">
        <f t="shared" si="28"/>
        <v>0.45007879642369453</v>
      </c>
      <c r="AE117" s="1535">
        <f t="shared" si="29"/>
        <v>2.0923670810797167E-2</v>
      </c>
      <c r="AF117" s="1633">
        <f t="shared" si="30"/>
        <v>0.52899753276550832</v>
      </c>
    </row>
    <row r="118" spans="1:32">
      <c r="A118" s="767" t="s">
        <v>180</v>
      </c>
      <c r="B118" s="618" t="s">
        <v>181</v>
      </c>
      <c r="C118" s="768" t="s">
        <v>264</v>
      </c>
      <c r="D118" s="818">
        <f>'Administration LASER'!D117+'Other Oper Exp. LASER'!D117</f>
        <v>7451331.6099999994</v>
      </c>
      <c r="E118" s="819">
        <f>'Administration LASER'!E117+'Other Oper Exp. LASER'!E117</f>
        <v>3437579.8</v>
      </c>
      <c r="F118" s="819">
        <f>'Administration LASER'!K117+'Other Oper Exp. LASER'!K117</f>
        <v>4659040.51</v>
      </c>
      <c r="G118" s="820">
        <f>'Administration LASER'!I117+'Other Oper Exp. LASER'!I117</f>
        <v>15547951.919999998</v>
      </c>
      <c r="H118" s="818">
        <f>'Client Services LASER'!D118</f>
        <v>271203.09999999998</v>
      </c>
      <c r="I118" s="819">
        <f>'Client Services LASER'!E118</f>
        <v>103043.53000000001</v>
      </c>
      <c r="J118" s="819">
        <f>'Client Services LASER'!K118</f>
        <v>76962.490000000005</v>
      </c>
      <c r="K118" s="820">
        <f>'Client Services LASER'!I118</f>
        <v>451209.12000000005</v>
      </c>
      <c r="L118" s="818">
        <f>'Benefits Spending LASER'!D118</f>
        <v>127664891.85204498</v>
      </c>
      <c r="M118" s="819">
        <f>'Benefits Spending LASER'!E118</f>
        <v>91444749.72848998</v>
      </c>
      <c r="N118" s="819">
        <f>'Benefits Spending LASER'!I118</f>
        <v>1091289.2487649999</v>
      </c>
      <c r="O118" s="820">
        <f t="shared" si="35"/>
        <v>220200930.82929996</v>
      </c>
      <c r="P118" s="1622">
        <f t="shared" si="31"/>
        <v>135387426.56204498</v>
      </c>
      <c r="Q118" s="819">
        <f t="shared" si="32"/>
        <v>94985373.058489978</v>
      </c>
      <c r="R118" s="819">
        <f t="shared" si="33"/>
        <v>5827292.2487650001</v>
      </c>
      <c r="S118" s="820">
        <f t="shared" si="34"/>
        <v>236200091.86929995</v>
      </c>
      <c r="U118" s="653">
        <f t="shared" si="36"/>
        <v>0.47924843402783046</v>
      </c>
      <c r="V118" s="654">
        <f t="shared" si="37"/>
        <v>0.22109534539903569</v>
      </c>
      <c r="W118" s="654">
        <f t="shared" si="38"/>
        <v>0.2996562205731339</v>
      </c>
      <c r="X118" s="655">
        <f t="shared" si="24"/>
        <v>0.70034377942686621</v>
      </c>
      <c r="Z118" s="1631">
        <f t="shared" si="25"/>
        <v>6.5825342390651451E-2</v>
      </c>
      <c r="AA118" s="1535">
        <f t="shared" si="26"/>
        <v>1.9102834229618936E-3</v>
      </c>
      <c r="AB118" s="1633">
        <f t="shared" si="27"/>
        <v>0.93226437418638664</v>
      </c>
      <c r="AD118" s="1631">
        <f t="shared" si="28"/>
        <v>0.79952065403745753</v>
      </c>
      <c r="AE118" s="1535">
        <f t="shared" si="29"/>
        <v>1.3207247331092919E-2</v>
      </c>
      <c r="AF118" s="1633">
        <f t="shared" si="30"/>
        <v>0.18727209863144945</v>
      </c>
    </row>
    <row r="119" spans="1:32">
      <c r="A119" s="767" t="s">
        <v>192</v>
      </c>
      <c r="B119" s="618" t="s">
        <v>193</v>
      </c>
      <c r="C119" s="768" t="s">
        <v>268</v>
      </c>
      <c r="D119" s="818">
        <f>'Administration LASER'!D118+'Other Oper Exp. LASER'!D118</f>
        <v>443643.36</v>
      </c>
      <c r="E119" s="819">
        <f>'Administration LASER'!E118+'Other Oper Exp. LASER'!E118</f>
        <v>215113.53</v>
      </c>
      <c r="F119" s="819">
        <f>'Administration LASER'!K118+'Other Oper Exp. LASER'!K118</f>
        <v>254110.32000000004</v>
      </c>
      <c r="G119" s="820">
        <f>'Administration LASER'!I118+'Other Oper Exp. LASER'!I118</f>
        <v>912867.21</v>
      </c>
      <c r="H119" s="818">
        <f>'Client Services LASER'!D119</f>
        <v>26244.260000000002</v>
      </c>
      <c r="I119" s="819">
        <f>'Client Services LASER'!E119</f>
        <v>12636.41</v>
      </c>
      <c r="J119" s="819">
        <f>'Client Services LASER'!K119</f>
        <v>10926.21</v>
      </c>
      <c r="K119" s="820">
        <f>'Client Services LASER'!I119</f>
        <v>49806.879999999997</v>
      </c>
      <c r="L119" s="818">
        <f>'Benefits Spending LASER'!D119</f>
        <v>9714432.6472499985</v>
      </c>
      <c r="M119" s="819">
        <f>'Benefits Spending LASER'!E119</f>
        <v>7903741.0135562513</v>
      </c>
      <c r="N119" s="819">
        <f>'Benefits Spending LASER'!I119</f>
        <v>321795.54909375001</v>
      </c>
      <c r="O119" s="820">
        <f t="shared" si="35"/>
        <v>17939969.209899999</v>
      </c>
      <c r="P119" s="1622">
        <f t="shared" si="31"/>
        <v>10184320.267249998</v>
      </c>
      <c r="Q119" s="819">
        <f t="shared" si="32"/>
        <v>8131490.9535562517</v>
      </c>
      <c r="R119" s="819">
        <f t="shared" si="33"/>
        <v>586832.0790937501</v>
      </c>
      <c r="S119" s="820">
        <f t="shared" si="34"/>
        <v>18902643.299899999</v>
      </c>
      <c r="U119" s="653">
        <f t="shared" si="36"/>
        <v>0.4859889315117365</v>
      </c>
      <c r="V119" s="654">
        <f t="shared" si="37"/>
        <v>0.23564602566894696</v>
      </c>
      <c r="W119" s="654">
        <f t="shared" si="38"/>
        <v>0.27836504281931657</v>
      </c>
      <c r="X119" s="655">
        <f t="shared" si="24"/>
        <v>0.72163495718068349</v>
      </c>
      <c r="Z119" s="1631">
        <f t="shared" si="25"/>
        <v>4.8293098246467429E-2</v>
      </c>
      <c r="AA119" s="1535">
        <f t="shared" si="26"/>
        <v>2.634916144254994E-3</v>
      </c>
      <c r="AB119" s="1633">
        <f t="shared" si="27"/>
        <v>0.94907198560927764</v>
      </c>
      <c r="AD119" s="1631">
        <f t="shared" si="28"/>
        <v>0.43302049947989352</v>
      </c>
      <c r="AE119" s="1535">
        <f t="shared" si="29"/>
        <v>1.8618971915907258E-2</v>
      </c>
      <c r="AF119" s="1633">
        <f t="shared" si="30"/>
        <v>0.54836052860419915</v>
      </c>
    </row>
    <row r="120" spans="1:32">
      <c r="A120" s="767" t="s">
        <v>196</v>
      </c>
      <c r="B120" s="618" t="s">
        <v>312</v>
      </c>
      <c r="C120" s="768" t="s">
        <v>266</v>
      </c>
      <c r="D120" s="818">
        <f>'Administration LASER'!D119+'Other Oper Exp. LASER'!D119</f>
        <v>16612957.619999999</v>
      </c>
      <c r="E120" s="819">
        <f>'Administration LASER'!E119+'Other Oper Exp. LASER'!E119</f>
        <v>8390102.2799999993</v>
      </c>
      <c r="F120" s="819">
        <f>'Administration LASER'!K119+'Other Oper Exp. LASER'!K119</f>
        <v>7368636.3000000007</v>
      </c>
      <c r="G120" s="820">
        <f>'Administration LASER'!I119+'Other Oper Exp. LASER'!I119</f>
        <v>32371696.199999999</v>
      </c>
      <c r="H120" s="818">
        <f>'Client Services LASER'!D120</f>
        <v>663318.24999999988</v>
      </c>
      <c r="I120" s="819">
        <f>'Client Services LASER'!E120</f>
        <v>247051.57</v>
      </c>
      <c r="J120" s="819">
        <f>'Client Services LASER'!K120</f>
        <v>207152.76</v>
      </c>
      <c r="K120" s="820">
        <f>'Client Services LASER'!I120</f>
        <v>1117522.5799999998</v>
      </c>
      <c r="L120" s="818">
        <f>'Benefits Spending LASER'!D120</f>
        <v>312294105.10559493</v>
      </c>
      <c r="M120" s="819">
        <f>'Benefits Spending LASER'!E120</f>
        <v>230643187.63804093</v>
      </c>
      <c r="N120" s="819">
        <f>'Benefits Spending LASER'!I120</f>
        <v>5927514.9948640624</v>
      </c>
      <c r="O120" s="820">
        <f t="shared" si="35"/>
        <v>548864807.7385</v>
      </c>
      <c r="P120" s="1622">
        <f t="shared" si="31"/>
        <v>329570380.97559494</v>
      </c>
      <c r="Q120" s="819">
        <f t="shared" si="32"/>
        <v>239280341.48804092</v>
      </c>
      <c r="R120" s="819">
        <f t="shared" si="33"/>
        <v>13503304.054864064</v>
      </c>
      <c r="S120" s="820">
        <f t="shared" si="34"/>
        <v>582354026.51849997</v>
      </c>
      <c r="U120" s="653">
        <f t="shared" si="36"/>
        <v>0.51319391845769269</v>
      </c>
      <c r="V120" s="654">
        <f t="shared" si="37"/>
        <v>0.25918018716609603</v>
      </c>
      <c r="W120" s="654">
        <f t="shared" si="38"/>
        <v>0.22762589437621131</v>
      </c>
      <c r="X120" s="655">
        <f t="shared" si="24"/>
        <v>0.77237410562378872</v>
      </c>
      <c r="Z120" s="1631">
        <f t="shared" si="25"/>
        <v>5.5587657551761822E-2</v>
      </c>
      <c r="AA120" s="1535">
        <f t="shared" si="26"/>
        <v>1.9189745912480591E-3</v>
      </c>
      <c r="AB120" s="1633">
        <f t="shared" si="27"/>
        <v>0.94249336785699012</v>
      </c>
      <c r="AD120" s="1631">
        <f t="shared" si="28"/>
        <v>0.5456913559867389</v>
      </c>
      <c r="AE120" s="1535">
        <f t="shared" si="29"/>
        <v>1.5340894284712556E-2</v>
      </c>
      <c r="AF120" s="1633">
        <f t="shared" si="30"/>
        <v>0.43896774972854852</v>
      </c>
    </row>
    <row r="121" spans="1:32">
      <c r="A121" s="767" t="s">
        <v>200</v>
      </c>
      <c r="B121" s="618" t="s">
        <v>313</v>
      </c>
      <c r="C121" s="768" t="s">
        <v>265</v>
      </c>
      <c r="D121" s="818">
        <f>'Administration LASER'!D120+'Other Oper Exp. LASER'!D120</f>
        <v>6762112.7800000003</v>
      </c>
      <c r="E121" s="819">
        <f>'Administration LASER'!E120+'Other Oper Exp. LASER'!E120</f>
        <v>3127002.45</v>
      </c>
      <c r="F121" s="819">
        <f>'Administration LASER'!K120+'Other Oper Exp. LASER'!K120</f>
        <v>4264452.67</v>
      </c>
      <c r="G121" s="820">
        <f>'Administration LASER'!I120+'Other Oper Exp. LASER'!I120</f>
        <v>14153567.900000002</v>
      </c>
      <c r="H121" s="818">
        <f>'Client Services LASER'!D121</f>
        <v>384082.59</v>
      </c>
      <c r="I121" s="819">
        <f>'Client Services LASER'!E121</f>
        <v>374797.12000000005</v>
      </c>
      <c r="J121" s="819">
        <f>'Client Services LASER'!K121</f>
        <v>136575.52000000002</v>
      </c>
      <c r="K121" s="820">
        <f>'Client Services LASER'!I121</f>
        <v>895455.23000000021</v>
      </c>
      <c r="L121" s="818">
        <f>'Benefits Spending LASER'!D121</f>
        <v>136431920.16213199</v>
      </c>
      <c r="M121" s="819">
        <f>'Benefits Spending LASER'!E121</f>
        <v>103415118.36831601</v>
      </c>
      <c r="N121" s="819">
        <f>'Benefits Spending LASER'!I121</f>
        <v>3607060.8387520001</v>
      </c>
      <c r="O121" s="820">
        <f t="shared" si="35"/>
        <v>243454099.36920002</v>
      </c>
      <c r="P121" s="1622">
        <f t="shared" si="31"/>
        <v>143578115.532132</v>
      </c>
      <c r="Q121" s="819">
        <f t="shared" si="32"/>
        <v>106916917.93831602</v>
      </c>
      <c r="R121" s="819">
        <f t="shared" si="33"/>
        <v>8008089.0287519991</v>
      </c>
      <c r="S121" s="820">
        <f t="shared" si="34"/>
        <v>258503122.49920002</v>
      </c>
      <c r="U121" s="653">
        <f t="shared" si="36"/>
        <v>0.47776736069496645</v>
      </c>
      <c r="V121" s="654">
        <f t="shared" si="37"/>
        <v>0.22093386431558362</v>
      </c>
      <c r="W121" s="654">
        <f t="shared" si="38"/>
        <v>0.30129877498944979</v>
      </c>
      <c r="X121" s="655">
        <f t="shared" si="24"/>
        <v>0.6987012250105501</v>
      </c>
      <c r="Z121" s="1631">
        <f t="shared" si="25"/>
        <v>5.475201909812058E-2</v>
      </c>
      <c r="AA121" s="1535">
        <f t="shared" si="26"/>
        <v>3.4640016002234998E-3</v>
      </c>
      <c r="AB121" s="1633">
        <f t="shared" si="27"/>
        <v>0.94178397930165592</v>
      </c>
      <c r="AD121" s="1631">
        <f t="shared" si="28"/>
        <v>0.53251813943239623</v>
      </c>
      <c r="AE121" s="1535">
        <f t="shared" si="29"/>
        <v>1.7054695509708173E-2</v>
      </c>
      <c r="AF121" s="1633">
        <f t="shared" si="30"/>
        <v>0.45042716505789565</v>
      </c>
    </row>
    <row r="122" spans="1:32">
      <c r="A122" s="767" t="s">
        <v>222</v>
      </c>
      <c r="B122" s="618" t="s">
        <v>223</v>
      </c>
      <c r="C122" s="768" t="s">
        <v>264</v>
      </c>
      <c r="D122" s="818">
        <f>'Administration LASER'!D121+'Other Oper Exp. LASER'!D121</f>
        <v>4076392.18</v>
      </c>
      <c r="E122" s="819">
        <f>'Administration LASER'!E121+'Other Oper Exp. LASER'!E121</f>
        <v>1722333.09</v>
      </c>
      <c r="F122" s="819">
        <f>'Administration LASER'!K121+'Other Oper Exp. LASER'!K121</f>
        <v>3563588.43</v>
      </c>
      <c r="G122" s="820">
        <f>'Administration LASER'!I121+'Other Oper Exp. LASER'!I121</f>
        <v>9362313.6999999993</v>
      </c>
      <c r="H122" s="818">
        <f>'Client Services LASER'!D122</f>
        <v>173506.65999999997</v>
      </c>
      <c r="I122" s="819">
        <f>'Client Services LASER'!E122</f>
        <v>79555.600000000006</v>
      </c>
      <c r="J122" s="819">
        <f>'Client Services LASER'!K122</f>
        <v>231318.33000000002</v>
      </c>
      <c r="K122" s="820">
        <f>'Client Services LASER'!I122</f>
        <v>484380.59</v>
      </c>
      <c r="L122" s="818">
        <f>'Benefits Spending LASER'!D122</f>
        <v>77576220.064901978</v>
      </c>
      <c r="M122" s="819">
        <f>'Benefits Spending LASER'!E122</f>
        <v>56963869.23822999</v>
      </c>
      <c r="N122" s="819">
        <f>'Benefits Spending LASER'!I122</f>
        <v>398665.59636799997</v>
      </c>
      <c r="O122" s="820">
        <f t="shared" si="35"/>
        <v>134938754.89949998</v>
      </c>
      <c r="P122" s="1622">
        <f t="shared" si="31"/>
        <v>81826118.904901981</v>
      </c>
      <c r="Q122" s="819">
        <f t="shared" si="32"/>
        <v>58765757.928229988</v>
      </c>
      <c r="R122" s="819">
        <f t="shared" si="33"/>
        <v>4193572.3563680002</v>
      </c>
      <c r="S122" s="820">
        <f t="shared" si="34"/>
        <v>144785449.18949997</v>
      </c>
      <c r="U122" s="653">
        <f t="shared" si="36"/>
        <v>0.43540435736520988</v>
      </c>
      <c r="V122" s="654">
        <f t="shared" si="37"/>
        <v>0.18396447130371205</v>
      </c>
      <c r="W122" s="654">
        <f t="shared" si="38"/>
        <v>0.38063117133107816</v>
      </c>
      <c r="X122" s="655">
        <f t="shared" si="24"/>
        <v>0.61936882866892196</v>
      </c>
      <c r="Z122" s="1631">
        <f t="shared" si="25"/>
        <v>6.4663360526970456E-2</v>
      </c>
      <c r="AA122" s="1535">
        <f t="shared" si="26"/>
        <v>3.3455060070713785E-3</v>
      </c>
      <c r="AB122" s="1633">
        <f t="shared" si="27"/>
        <v>0.93199113346595819</v>
      </c>
      <c r="AD122" s="1631">
        <f t="shared" si="28"/>
        <v>0.84977392236684313</v>
      </c>
      <c r="AE122" s="1535">
        <f t="shared" si="29"/>
        <v>5.5160209564225071E-2</v>
      </c>
      <c r="AF122" s="1633">
        <f t="shared" si="30"/>
        <v>9.5065868068931858E-2</v>
      </c>
    </row>
    <row r="123" spans="1:32">
      <c r="A123" s="767" t="s">
        <v>230</v>
      </c>
      <c r="B123" s="618" t="s">
        <v>231</v>
      </c>
      <c r="C123" s="768" t="s">
        <v>264</v>
      </c>
      <c r="D123" s="818">
        <f>'Administration LASER'!D122+'Other Oper Exp. LASER'!D122</f>
        <v>11952199.229999999</v>
      </c>
      <c r="E123" s="819">
        <f>'Administration LASER'!E122+'Other Oper Exp. LASER'!E122</f>
        <v>4525060.25</v>
      </c>
      <c r="F123" s="819">
        <f>'Administration LASER'!K122+'Other Oper Exp. LASER'!K122</f>
        <v>11899402.210000001</v>
      </c>
      <c r="G123" s="820">
        <f>'Administration LASER'!I122+'Other Oper Exp. LASER'!I122</f>
        <v>28376661.690000001</v>
      </c>
      <c r="H123" s="818">
        <f>'Client Services LASER'!D123</f>
        <v>551271.83000000007</v>
      </c>
      <c r="I123" s="819">
        <f>'Client Services LASER'!E123</f>
        <v>164481.21000000002</v>
      </c>
      <c r="J123" s="819">
        <f>'Client Services LASER'!K123</f>
        <v>199228.18</v>
      </c>
      <c r="K123" s="820">
        <f>'Client Services LASER'!I123</f>
        <v>914981.22</v>
      </c>
      <c r="L123" s="818">
        <f>'Benefits Spending LASER'!D123</f>
        <v>207914084.37118199</v>
      </c>
      <c r="M123" s="819">
        <f>'Benefits Spending LASER'!E123</f>
        <v>153337738.96511489</v>
      </c>
      <c r="N123" s="819">
        <f>'Benefits Spending LASER'!I123</f>
        <v>4402822.0124031249</v>
      </c>
      <c r="O123" s="820">
        <f t="shared" si="35"/>
        <v>365654645.34870005</v>
      </c>
      <c r="P123" s="1622">
        <f t="shared" si="31"/>
        <v>220417555.431182</v>
      </c>
      <c r="Q123" s="819">
        <f t="shared" si="32"/>
        <v>158027280.4251149</v>
      </c>
      <c r="R123" s="819">
        <f t="shared" si="33"/>
        <v>16501452.402403126</v>
      </c>
      <c r="S123" s="820">
        <f t="shared" si="34"/>
        <v>394946288.25870007</v>
      </c>
      <c r="U123" s="653">
        <f t="shared" si="36"/>
        <v>0.4211982142427973</v>
      </c>
      <c r="V123" s="654">
        <f t="shared" si="37"/>
        <v>0.15946415048513762</v>
      </c>
      <c r="W123" s="654">
        <f t="shared" si="38"/>
        <v>0.41933763527206502</v>
      </c>
      <c r="X123" s="655">
        <f t="shared" si="24"/>
        <v>0.58066236472793487</v>
      </c>
      <c r="Z123" s="1631">
        <f t="shared" si="25"/>
        <v>7.1849419866968217E-2</v>
      </c>
      <c r="AA123" s="1535">
        <f t="shared" si="26"/>
        <v>2.3167231778126332E-3</v>
      </c>
      <c r="AB123" s="1633">
        <f t="shared" si="27"/>
        <v>0.92583385695521914</v>
      </c>
      <c r="AD123" s="1631">
        <f t="shared" si="28"/>
        <v>0.72111241603600162</v>
      </c>
      <c r="AE123" s="1535">
        <f t="shared" si="29"/>
        <v>1.2073372400297695E-2</v>
      </c>
      <c r="AF123" s="1633">
        <f t="shared" si="30"/>
        <v>0.26681421156370072</v>
      </c>
    </row>
    <row r="124" spans="1:32">
      <c r="A124" s="767" t="s">
        <v>238</v>
      </c>
      <c r="B124" s="618" t="s">
        <v>239</v>
      </c>
      <c r="C124" s="768" t="s">
        <v>264</v>
      </c>
      <c r="D124" s="818">
        <f>'Administration LASER'!D123+'Other Oper Exp. LASER'!D123</f>
        <v>444103.57999999996</v>
      </c>
      <c r="E124" s="819">
        <f>'Administration LASER'!E123+'Other Oper Exp. LASER'!E123</f>
        <v>155770.85999999999</v>
      </c>
      <c r="F124" s="819">
        <f>'Administration LASER'!K123+'Other Oper Exp. LASER'!K123</f>
        <v>752125.45</v>
      </c>
      <c r="G124" s="820">
        <f>'Administration LASER'!I123+'Other Oper Exp. LASER'!I123</f>
        <v>1351999.89</v>
      </c>
      <c r="H124" s="818">
        <f>'Client Services LASER'!D124</f>
        <v>17970.57</v>
      </c>
      <c r="I124" s="819">
        <f>'Client Services LASER'!E124</f>
        <v>7299.92</v>
      </c>
      <c r="J124" s="819">
        <f>'Client Services LASER'!K124</f>
        <v>5254.94</v>
      </c>
      <c r="K124" s="820">
        <f>'Client Services LASER'!I124</f>
        <v>30525.43</v>
      </c>
      <c r="L124" s="818">
        <f>'Benefits Spending LASER'!D124</f>
        <v>5888081.8903000001</v>
      </c>
      <c r="M124" s="819">
        <f>'Benefits Spending LASER'!E124</f>
        <v>3956923.2794443746</v>
      </c>
      <c r="N124" s="819">
        <f>'Benefits Spending LASER'!I124</f>
        <v>148627.790255625</v>
      </c>
      <c r="O124" s="820">
        <f t="shared" si="35"/>
        <v>9993632.959999999</v>
      </c>
      <c r="P124" s="1622">
        <f t="shared" si="31"/>
        <v>6350156.0403000005</v>
      </c>
      <c r="Q124" s="819">
        <f t="shared" si="32"/>
        <v>4119994.0594443744</v>
      </c>
      <c r="R124" s="819">
        <f t="shared" si="33"/>
        <v>906008.18025562493</v>
      </c>
      <c r="S124" s="820">
        <f t="shared" si="34"/>
        <v>11376158.279999999</v>
      </c>
      <c r="U124" s="653">
        <f t="shared" si="36"/>
        <v>0.32847900601530372</v>
      </c>
      <c r="V124" s="654">
        <f t="shared" si="37"/>
        <v>0.11521514251010774</v>
      </c>
      <c r="W124" s="654">
        <f t="shared" si="38"/>
        <v>0.55630585147458855</v>
      </c>
      <c r="X124" s="655">
        <f t="shared" si="24"/>
        <v>0.4436941485254115</v>
      </c>
      <c r="Z124" s="1631">
        <f t="shared" si="25"/>
        <v>0.11884503157598472</v>
      </c>
      <c r="AA124" s="1535">
        <f t="shared" si="26"/>
        <v>2.6832810557554936E-3</v>
      </c>
      <c r="AB124" s="1633">
        <f t="shared" si="27"/>
        <v>0.87847168736825976</v>
      </c>
      <c r="AD124" s="1631">
        <f t="shared" si="28"/>
        <v>0.83015304540384183</v>
      </c>
      <c r="AE124" s="1535">
        <f t="shared" si="29"/>
        <v>5.8001021563815784E-3</v>
      </c>
      <c r="AF124" s="1633">
        <f t="shared" si="30"/>
        <v>0.16404685243977657</v>
      </c>
    </row>
    <row r="125" spans="1:32">
      <c r="A125" s="769" t="s">
        <v>240</v>
      </c>
      <c r="B125" s="770" t="s">
        <v>241</v>
      </c>
      <c r="C125" s="771" t="s">
        <v>267</v>
      </c>
      <c r="D125" s="818">
        <f>'Administration LASER'!D124+'Other Oper Exp. LASER'!D124</f>
        <v>1372758.05</v>
      </c>
      <c r="E125" s="819">
        <f>'Administration LASER'!E124+'Other Oper Exp. LASER'!E124</f>
        <v>549022.15</v>
      </c>
      <c r="F125" s="819">
        <f>'Administration LASER'!K124+'Other Oper Exp. LASER'!K124</f>
        <v>1231181.0899999999</v>
      </c>
      <c r="G125" s="820">
        <f>'Administration LASER'!I124+'Other Oper Exp. LASER'!I124</f>
        <v>3152961.29</v>
      </c>
      <c r="H125" s="821">
        <f>'Client Services LASER'!D125</f>
        <v>52680.45</v>
      </c>
      <c r="I125" s="822">
        <f>'Client Services LASER'!E125</f>
        <v>85141.51</v>
      </c>
      <c r="J125" s="822">
        <f>'Client Services LASER'!K125</f>
        <v>40748.75</v>
      </c>
      <c r="K125" s="823">
        <f>'Client Services LASER'!I125</f>
        <v>178570.71</v>
      </c>
      <c r="L125" s="818">
        <f>'Benefits Spending LASER'!D125</f>
        <v>24758353.175364997</v>
      </c>
      <c r="M125" s="819">
        <f>'Benefits Spending LASER'!E125</f>
        <v>18312155.072940499</v>
      </c>
      <c r="N125" s="819">
        <f>'Benefits Spending LASER'!I125</f>
        <v>567889.65050949994</v>
      </c>
      <c r="O125" s="823">
        <f t="shared" si="35"/>
        <v>43638397.898814999</v>
      </c>
      <c r="P125" s="1622">
        <f t="shared" si="31"/>
        <v>26183791.675364997</v>
      </c>
      <c r="Q125" s="819">
        <f t="shared" si="32"/>
        <v>18946318.732940499</v>
      </c>
      <c r="R125" s="819">
        <f t="shared" si="33"/>
        <v>1839819.4905094998</v>
      </c>
      <c r="S125" s="820">
        <f t="shared" si="34"/>
        <v>46969929.898814999</v>
      </c>
      <c r="U125" s="829">
        <f t="shared" si="36"/>
        <v>0.43538690257754481</v>
      </c>
      <c r="V125" s="830">
        <f t="shared" si="37"/>
        <v>0.17412904869504439</v>
      </c>
      <c r="W125" s="830">
        <f t="shared" si="38"/>
        <v>0.39048404872741077</v>
      </c>
      <c r="X125" s="831">
        <f t="shared" si="24"/>
        <v>0.60951595127258928</v>
      </c>
      <c r="Z125" s="1632">
        <f t="shared" si="25"/>
        <v>6.7127230055319842E-2</v>
      </c>
      <c r="AA125" s="1630">
        <f t="shared" si="26"/>
        <v>3.801809165665907E-3</v>
      </c>
      <c r="AB125" s="1634">
        <f t="shared" si="27"/>
        <v>0.9290709607790143</v>
      </c>
      <c r="AD125" s="1632">
        <f t="shared" si="28"/>
        <v>0.66918580673316475</v>
      </c>
      <c r="AE125" s="1630">
        <f t="shared" si="29"/>
        <v>2.2148232590315411E-2</v>
      </c>
      <c r="AF125" s="1634">
        <f t="shared" si="30"/>
        <v>0.3086659606765198</v>
      </c>
    </row>
    <row r="126" spans="1:32">
      <c r="A126" s="772"/>
      <c r="B126" s="772"/>
      <c r="C126" s="772"/>
    </row>
    <row r="127" spans="1:32">
      <c r="A127" s="403" t="s">
        <v>823</v>
      </c>
      <c r="B127" s="772"/>
      <c r="C127" s="772"/>
      <c r="O127" s="806" t="s">
        <v>722</v>
      </c>
      <c r="P127" s="806"/>
      <c r="Q127" s="806"/>
      <c r="R127" s="806"/>
      <c r="S127" s="806"/>
      <c r="T127" s="806"/>
      <c r="U127" s="810">
        <f>MIN(U6:U125)</f>
        <v>0.32847900601530372</v>
      </c>
      <c r="V127" s="810">
        <f>MIN(V6:V125)</f>
        <v>7.1179822983185662E-2</v>
      </c>
      <c r="W127" s="810">
        <f>MIN(W6:W125)</f>
        <v>0.18461767626589459</v>
      </c>
      <c r="X127" s="810">
        <f>MIN(X6:X125)</f>
        <v>0.40136413539645371</v>
      </c>
      <c r="Z127" s="810">
        <f>MIN(Z6:Z125)</f>
        <v>2.9613027152592692E-2</v>
      </c>
      <c r="AA127" s="810">
        <f>MIN(AA6:AA125)</f>
        <v>5.4711765998063521E-4</v>
      </c>
      <c r="AB127" s="810">
        <f>MIN(AB6:AB125)</f>
        <v>0.83928957317952824</v>
      </c>
      <c r="AD127" s="810">
        <f>MIN(AD6:AD125)</f>
        <v>0.21856161052404305</v>
      </c>
      <c r="AE127" s="810">
        <f>MIN(AE6:AE125)</f>
        <v>4.2883978394044012E-3</v>
      </c>
      <c r="AF127" s="810">
        <f>MIN(AF6:AF125)</f>
        <v>9.1941331507880194E-3</v>
      </c>
    </row>
    <row r="128" spans="1:32">
      <c r="A128" s="758"/>
      <c r="B128" s="758"/>
      <c r="C128" s="758"/>
      <c r="O128" s="806" t="s">
        <v>723</v>
      </c>
      <c r="P128" s="806"/>
      <c r="Q128" s="806"/>
      <c r="R128" s="806"/>
      <c r="S128" s="806"/>
      <c r="T128" s="806"/>
      <c r="U128" s="810">
        <f>MAX(U6:U125)</f>
        <v>0.53500341110358285</v>
      </c>
      <c r="V128" s="810">
        <f>MAX(V6:V125)</f>
        <v>0.28037891263052256</v>
      </c>
      <c r="W128" s="810">
        <f>MAX(W6:W125)</f>
        <v>0.59863586460354645</v>
      </c>
      <c r="X128" s="810">
        <f>MAX(X6:X125)</f>
        <v>0.81538232373410535</v>
      </c>
      <c r="Z128" s="810">
        <f>MAX(Z6:Z125)</f>
        <v>0.15663130888270563</v>
      </c>
      <c r="AA128" s="810">
        <f>MAX(AA6:AA125)</f>
        <v>1.6578996481578817E-2</v>
      </c>
      <c r="AB128" s="810">
        <f>MAX(AB6:AB125)</f>
        <v>0.96812019580130715</v>
      </c>
      <c r="AD128" s="810">
        <f>MAX(AD6:AD125)</f>
        <v>0.9757400854659114</v>
      </c>
      <c r="AE128" s="810">
        <f>MAX(AE6:AE125)</f>
        <v>9.7839175195569741E-2</v>
      </c>
      <c r="AF128" s="810">
        <f>MAX(AF6:AF125)</f>
        <v>0.77559659296241257</v>
      </c>
    </row>
    <row r="129" spans="1:3">
      <c r="A129" s="134" t="s">
        <v>248</v>
      </c>
      <c r="B129" s="773"/>
      <c r="C129" s="773"/>
    </row>
    <row r="130" spans="1:3">
      <c r="A130" s="134" t="s">
        <v>249</v>
      </c>
      <c r="B130" s="430" t="s">
        <v>250</v>
      </c>
      <c r="C130" s="774"/>
    </row>
  </sheetData>
  <autoFilter ref="A4:C4"/>
  <mergeCells count="7">
    <mergeCell ref="AD3:AF3"/>
    <mergeCell ref="D3:G3"/>
    <mergeCell ref="H3:K3"/>
    <mergeCell ref="L3:O3"/>
    <mergeCell ref="Z3:AB3"/>
    <mergeCell ref="U3:X3"/>
    <mergeCell ref="P3:S3"/>
  </mergeCells>
  <hyperlinks>
    <hyperlink ref="B130" r:id="rId1"/>
  </hyperlinks>
  <pageMargins left="0.7" right="0.7" top="0.75" bottom="0.75" header="0.3" footer="0.3"/>
  <pageSetup orientation="portrait" r:id="rId2"/>
</worksheet>
</file>

<file path=xl/worksheets/sheet58.xml><?xml version="1.0" encoding="utf-8"?>
<worksheet xmlns="http://schemas.openxmlformats.org/spreadsheetml/2006/main" xmlns:r="http://schemas.openxmlformats.org/officeDocument/2006/relationships">
  <dimension ref="A1:F126"/>
  <sheetViews>
    <sheetView zoomScaleNormal="130" workbookViewId="0">
      <pane ySplit="2" topLeftCell="A3" activePane="bottomLeft" state="frozen"/>
      <selection pane="bottomLeft" activeCell="F19" sqref="F19"/>
    </sheetView>
  </sheetViews>
  <sheetFormatPr defaultRowHeight="12.75"/>
  <cols>
    <col min="1" max="1" width="4.5" style="50" bestFit="1" customWidth="1"/>
    <col min="2" max="2" width="21.75" style="50" bestFit="1" customWidth="1"/>
    <col min="3" max="3" width="7.375" style="50" bestFit="1" customWidth="1"/>
    <col min="4" max="4" width="8.75" style="50" customWidth="1"/>
    <col min="5" max="5" width="8.5" style="50" customWidth="1"/>
    <col min="6" max="6" width="8.875" style="50" customWidth="1"/>
    <col min="7" max="16384" width="9" style="50"/>
  </cols>
  <sheetData>
    <row r="1" spans="1:6">
      <c r="B1" s="2" t="s">
        <v>591</v>
      </c>
    </row>
    <row r="2" spans="1:6" ht="12.75" customHeight="1">
      <c r="A2" s="50" t="s">
        <v>4</v>
      </c>
      <c r="B2" s="51" t="s">
        <v>5</v>
      </c>
      <c r="C2" s="52" t="s">
        <v>277</v>
      </c>
      <c r="D2" s="52" t="s">
        <v>278</v>
      </c>
      <c r="E2" s="52" t="s">
        <v>279</v>
      </c>
      <c r="F2" s="52" t="s">
        <v>449</v>
      </c>
    </row>
    <row r="3" spans="1:6">
      <c r="A3" s="47" t="s">
        <v>10</v>
      </c>
      <c r="B3" s="53" t="s">
        <v>11</v>
      </c>
      <c r="C3" s="54">
        <v>7463</v>
      </c>
      <c r="D3" s="55" t="e">
        <f t="shared" ref="D3:D34" si="0">VLOOKUP(B3,_med2008,2,FALSE)</f>
        <v>#NAME?</v>
      </c>
      <c r="E3" s="55" t="e">
        <f t="shared" ref="E3:E34" si="1">VLOOKUP(B3,_med2009,2,FALSE)</f>
        <v>#NAME?</v>
      </c>
      <c r="F3" s="55" t="e">
        <f t="shared" ref="F3:F34" si="2">VLOOKUP(B3,_med2010,2,FALSE)</f>
        <v>#NAME?</v>
      </c>
    </row>
    <row r="4" spans="1:6">
      <c r="A4" s="47" t="s">
        <v>12</v>
      </c>
      <c r="B4" s="53" t="s">
        <v>13</v>
      </c>
      <c r="C4" s="54">
        <v>7239</v>
      </c>
      <c r="D4" s="55" t="e">
        <f t="shared" si="0"/>
        <v>#NAME?</v>
      </c>
      <c r="E4" s="55" t="e">
        <f t="shared" si="1"/>
        <v>#NAME?</v>
      </c>
      <c r="F4" s="55" t="e">
        <f t="shared" si="2"/>
        <v>#NAME?</v>
      </c>
    </row>
    <row r="5" spans="1:6">
      <c r="A5" s="47" t="s">
        <v>14</v>
      </c>
      <c r="B5" s="53" t="s">
        <v>15</v>
      </c>
      <c r="C5" s="54">
        <v>11870</v>
      </c>
      <c r="D5" s="55" t="e">
        <f t="shared" si="0"/>
        <v>#NAME?</v>
      </c>
      <c r="E5" s="55" t="e">
        <f t="shared" si="1"/>
        <v>#NAME?</v>
      </c>
      <c r="F5" s="55" t="e">
        <f t="shared" si="2"/>
        <v>#NAME?</v>
      </c>
    </row>
    <row r="6" spans="1:6">
      <c r="A6" s="47" t="s">
        <v>16</v>
      </c>
      <c r="B6" s="53" t="s">
        <v>297</v>
      </c>
      <c r="C6" s="54">
        <v>4496</v>
      </c>
      <c r="D6" s="55" t="e">
        <f t="shared" si="0"/>
        <v>#NAME?</v>
      </c>
      <c r="E6" s="55" t="e">
        <f t="shared" si="1"/>
        <v>#NAME?</v>
      </c>
      <c r="F6" s="55" t="e">
        <f t="shared" si="2"/>
        <v>#NAME?</v>
      </c>
    </row>
    <row r="7" spans="1:6">
      <c r="A7" s="47" t="s">
        <v>18</v>
      </c>
      <c r="B7" s="53" t="s">
        <v>19</v>
      </c>
      <c r="C7" s="54">
        <v>2040</v>
      </c>
      <c r="D7" s="55" t="e">
        <f t="shared" si="0"/>
        <v>#NAME?</v>
      </c>
      <c r="E7" s="55" t="e">
        <f t="shared" si="1"/>
        <v>#NAME?</v>
      </c>
      <c r="F7" s="55" t="e">
        <f t="shared" si="2"/>
        <v>#NAME?</v>
      </c>
    </row>
    <row r="8" spans="1:6">
      <c r="A8" s="47" t="s">
        <v>20</v>
      </c>
      <c r="B8" s="53" t="s">
        <v>21</v>
      </c>
      <c r="C8" s="54">
        <v>4940</v>
      </c>
      <c r="D8" s="55" t="e">
        <f t="shared" si="0"/>
        <v>#NAME?</v>
      </c>
      <c r="E8" s="55" t="e">
        <f t="shared" si="1"/>
        <v>#NAME?</v>
      </c>
      <c r="F8" s="55" t="e">
        <f t="shared" si="2"/>
        <v>#NAME?</v>
      </c>
    </row>
    <row r="9" spans="1:6">
      <c r="A9" s="47" t="s">
        <v>22</v>
      </c>
      <c r="B9" s="53" t="s">
        <v>23</v>
      </c>
      <c r="C9" s="54">
        <v>2749</v>
      </c>
      <c r="D9" s="55" t="e">
        <f t="shared" si="0"/>
        <v>#NAME?</v>
      </c>
      <c r="E9" s="55" t="e">
        <f t="shared" si="1"/>
        <v>#NAME?</v>
      </c>
      <c r="F9" s="55" t="e">
        <f t="shared" si="2"/>
        <v>#NAME?</v>
      </c>
    </row>
    <row r="10" spans="1:6">
      <c r="A10" s="47" t="s">
        <v>24</v>
      </c>
      <c r="B10" s="53" t="s">
        <v>25</v>
      </c>
      <c r="C10" s="54">
        <v>11149</v>
      </c>
      <c r="D10" s="55" t="e">
        <f t="shared" si="0"/>
        <v>#NAME?</v>
      </c>
      <c r="E10" s="55" t="e">
        <f t="shared" si="1"/>
        <v>#NAME?</v>
      </c>
      <c r="F10" s="55" t="e">
        <f t="shared" si="2"/>
        <v>#NAME?</v>
      </c>
    </row>
    <row r="11" spans="1:6">
      <c r="A11" s="47" t="s">
        <v>26</v>
      </c>
      <c r="B11" s="53" t="s">
        <v>298</v>
      </c>
      <c r="C11" s="54">
        <v>16664</v>
      </c>
      <c r="D11" s="55" t="e">
        <f t="shared" si="0"/>
        <v>#NAME?</v>
      </c>
      <c r="E11" s="55" t="e">
        <f t="shared" si="1"/>
        <v>#NAME?</v>
      </c>
      <c r="F11" s="55" t="e">
        <f t="shared" si="2"/>
        <v>#NAME?</v>
      </c>
    </row>
    <row r="12" spans="1:6">
      <c r="A12" s="47" t="s">
        <v>27</v>
      </c>
      <c r="B12" s="53" t="s">
        <v>28</v>
      </c>
      <c r="C12" s="54">
        <v>503</v>
      </c>
      <c r="D12" s="55" t="e">
        <f t="shared" si="0"/>
        <v>#NAME?</v>
      </c>
      <c r="E12" s="55" t="e">
        <f t="shared" si="1"/>
        <v>#NAME?</v>
      </c>
      <c r="F12" s="55" t="e">
        <f t="shared" si="2"/>
        <v>#NAME?</v>
      </c>
    </row>
    <row r="13" spans="1:6">
      <c r="A13" s="47" t="s">
        <v>29</v>
      </c>
      <c r="B13" s="53" t="s">
        <v>299</v>
      </c>
      <c r="C13" s="54">
        <v>8194</v>
      </c>
      <c r="D13" s="55" t="e">
        <f t="shared" si="0"/>
        <v>#NAME?</v>
      </c>
      <c r="E13" s="55" t="e">
        <f t="shared" si="1"/>
        <v>#NAME?</v>
      </c>
      <c r="F13" s="55" t="e">
        <f t="shared" si="2"/>
        <v>#NAME?</v>
      </c>
    </row>
    <row r="14" spans="1:6">
      <c r="A14" s="47" t="s">
        <v>30</v>
      </c>
      <c r="B14" s="53" t="s">
        <v>31</v>
      </c>
      <c r="C14" s="54">
        <v>1029</v>
      </c>
      <c r="D14" s="55" t="e">
        <f t="shared" si="0"/>
        <v>#NAME?</v>
      </c>
      <c r="E14" s="55" t="e">
        <f t="shared" si="1"/>
        <v>#NAME?</v>
      </c>
      <c r="F14" s="55" t="e">
        <f t="shared" si="2"/>
        <v>#NAME?</v>
      </c>
    </row>
    <row r="15" spans="1:6">
      <c r="A15" s="47" t="s">
        <v>32</v>
      </c>
      <c r="B15" s="53" t="s">
        <v>33</v>
      </c>
      <c r="C15" s="54">
        <v>2263</v>
      </c>
      <c r="D15" s="55" t="e">
        <f t="shared" si="0"/>
        <v>#NAME?</v>
      </c>
      <c r="E15" s="55" t="e">
        <f t="shared" si="1"/>
        <v>#NAME?</v>
      </c>
      <c r="F15" s="55" t="e">
        <f t="shared" si="2"/>
        <v>#NAME?</v>
      </c>
    </row>
    <row r="16" spans="1:6">
      <c r="A16" s="47" t="s">
        <v>34</v>
      </c>
      <c r="B16" s="53" t="s">
        <v>35</v>
      </c>
      <c r="C16" s="54">
        <v>4845</v>
      </c>
      <c r="D16" s="55" t="e">
        <f t="shared" si="0"/>
        <v>#NAME?</v>
      </c>
      <c r="E16" s="55" t="e">
        <f t="shared" si="1"/>
        <v>#NAME?</v>
      </c>
      <c r="F16" s="55" t="e">
        <f t="shared" si="2"/>
        <v>#NAME?</v>
      </c>
    </row>
    <row r="17" spans="1:6">
      <c r="A17" s="47" t="s">
        <v>36</v>
      </c>
      <c r="B17" s="53" t="s">
        <v>37</v>
      </c>
      <c r="C17" s="54">
        <v>4116</v>
      </c>
      <c r="D17" s="55" t="e">
        <f t="shared" si="0"/>
        <v>#NAME?</v>
      </c>
      <c r="E17" s="55" t="e">
        <f t="shared" si="1"/>
        <v>#NAME?</v>
      </c>
      <c r="F17" s="55" t="e">
        <f t="shared" si="2"/>
        <v>#NAME?</v>
      </c>
    </row>
    <row r="18" spans="1:6">
      <c r="A18" s="47" t="s">
        <v>38</v>
      </c>
      <c r="B18" s="53" t="s">
        <v>39</v>
      </c>
      <c r="C18" s="54">
        <v>6782</v>
      </c>
      <c r="D18" s="55" t="e">
        <f t="shared" si="0"/>
        <v>#NAME?</v>
      </c>
      <c r="E18" s="55" t="e">
        <f t="shared" si="1"/>
        <v>#NAME?</v>
      </c>
      <c r="F18" s="55" t="e">
        <f t="shared" si="2"/>
        <v>#NAME?</v>
      </c>
    </row>
    <row r="19" spans="1:6">
      <c r="A19" s="47" t="s">
        <v>40</v>
      </c>
      <c r="B19" s="53" t="s">
        <v>41</v>
      </c>
      <c r="C19" s="54">
        <v>2983</v>
      </c>
      <c r="D19" s="55" t="e">
        <f t="shared" si="0"/>
        <v>#NAME?</v>
      </c>
      <c r="E19" s="55" t="e">
        <f t="shared" si="1"/>
        <v>#NAME?</v>
      </c>
      <c r="F19" s="55" t="e">
        <f t="shared" si="2"/>
        <v>#NAME?</v>
      </c>
    </row>
    <row r="20" spans="1:6">
      <c r="A20" s="47" t="s">
        <v>42</v>
      </c>
      <c r="B20" s="53" t="s">
        <v>43</v>
      </c>
      <c r="C20" s="54">
        <v>8789</v>
      </c>
      <c r="D20" s="55" t="e">
        <f t="shared" si="0"/>
        <v>#NAME?</v>
      </c>
      <c r="E20" s="55" t="e">
        <f t="shared" si="1"/>
        <v>#NAME?</v>
      </c>
      <c r="F20" s="55" t="e">
        <f t="shared" si="2"/>
        <v>#NAME?</v>
      </c>
    </row>
    <row r="21" spans="1:6">
      <c r="A21" s="47" t="s">
        <v>44</v>
      </c>
      <c r="B21" s="53" t="s">
        <v>45</v>
      </c>
      <c r="C21" s="54">
        <v>4089</v>
      </c>
      <c r="D21" s="55" t="e">
        <f t="shared" si="0"/>
        <v>#NAME?</v>
      </c>
      <c r="E21" s="55" t="e">
        <f t="shared" si="1"/>
        <v>#NAME?</v>
      </c>
      <c r="F21" s="55" t="e">
        <f t="shared" si="2"/>
        <v>#NAME?</v>
      </c>
    </row>
    <row r="22" spans="1:6">
      <c r="A22" s="47" t="s">
        <v>46</v>
      </c>
      <c r="B22" s="53" t="s">
        <v>47</v>
      </c>
      <c r="C22" s="54">
        <v>6099</v>
      </c>
      <c r="D22" s="55" t="e">
        <f t="shared" si="0"/>
        <v>#NAME?</v>
      </c>
      <c r="E22" s="55" t="e">
        <f t="shared" si="1"/>
        <v>#NAME?</v>
      </c>
      <c r="F22" s="55" t="e">
        <f t="shared" si="2"/>
        <v>#NAME?</v>
      </c>
    </row>
    <row r="23" spans="1:6">
      <c r="A23" s="47" t="s">
        <v>48</v>
      </c>
      <c r="B23" s="53" t="s">
        <v>269</v>
      </c>
      <c r="C23" s="54">
        <v>1026</v>
      </c>
      <c r="D23" s="55" t="e">
        <f t="shared" si="0"/>
        <v>#NAME?</v>
      </c>
      <c r="E23" s="55" t="e">
        <f t="shared" si="1"/>
        <v>#NAME?</v>
      </c>
      <c r="F23" s="55" t="e">
        <f t="shared" si="2"/>
        <v>#NAME?</v>
      </c>
    </row>
    <row r="24" spans="1:6">
      <c r="A24" s="47" t="s">
        <v>50</v>
      </c>
      <c r="B24" s="53" t="s">
        <v>51</v>
      </c>
      <c r="C24" s="54">
        <v>3005</v>
      </c>
      <c r="D24" s="55" t="e">
        <f t="shared" si="0"/>
        <v>#NAME?</v>
      </c>
      <c r="E24" s="55" t="e">
        <f t="shared" si="1"/>
        <v>#NAME?</v>
      </c>
      <c r="F24" s="55" t="e">
        <f t="shared" si="2"/>
        <v>#NAME?</v>
      </c>
    </row>
    <row r="25" spans="1:6">
      <c r="A25" s="47" t="s">
        <v>52</v>
      </c>
      <c r="B25" s="53" t="s">
        <v>53</v>
      </c>
      <c r="C25" s="54">
        <v>6733</v>
      </c>
      <c r="D25" s="55" t="e">
        <f t="shared" si="0"/>
        <v>#NAME?</v>
      </c>
      <c r="E25" s="55" t="e">
        <f t="shared" si="1"/>
        <v>#NAME?</v>
      </c>
      <c r="F25" s="55" t="e">
        <f t="shared" si="2"/>
        <v>#NAME?</v>
      </c>
    </row>
    <row r="26" spans="1:6">
      <c r="A26" s="47" t="s">
        <v>54</v>
      </c>
      <c r="B26" s="53" t="s">
        <v>55</v>
      </c>
      <c r="C26" s="54">
        <v>24491</v>
      </c>
      <c r="D26" s="55" t="e">
        <f t="shared" si="0"/>
        <v>#NAME?</v>
      </c>
      <c r="E26" s="55" t="e">
        <f t="shared" si="1"/>
        <v>#NAME?</v>
      </c>
      <c r="F26" s="55" t="e">
        <f t="shared" si="2"/>
        <v>#NAME?</v>
      </c>
    </row>
    <row r="27" spans="1:6">
      <c r="A27" s="47" t="s">
        <v>56</v>
      </c>
      <c r="B27" s="53" t="s">
        <v>295</v>
      </c>
      <c r="C27" s="54">
        <v>30326</v>
      </c>
      <c r="D27" s="55" t="e">
        <f t="shared" si="0"/>
        <v>#NAME?</v>
      </c>
      <c r="E27" s="55" t="e">
        <f t="shared" si="1"/>
        <v>#NAME?</v>
      </c>
      <c r="F27" s="55" t="e">
        <f t="shared" si="2"/>
        <v>#NAME?</v>
      </c>
    </row>
    <row r="28" spans="1:6">
      <c r="A28" s="47" t="s">
        <v>58</v>
      </c>
      <c r="B28" s="53" t="s">
        <v>59</v>
      </c>
      <c r="C28" s="54">
        <v>986</v>
      </c>
      <c r="D28" s="55" t="e">
        <f t="shared" si="0"/>
        <v>#NAME?</v>
      </c>
      <c r="E28" s="55" t="e">
        <f t="shared" si="1"/>
        <v>#NAME?</v>
      </c>
      <c r="F28" s="55" t="e">
        <f t="shared" si="2"/>
        <v>#NAME?</v>
      </c>
    </row>
    <row r="29" spans="1:6">
      <c r="A29" s="47" t="s">
        <v>60</v>
      </c>
      <c r="B29" s="53" t="s">
        <v>61</v>
      </c>
      <c r="C29" s="54">
        <v>739</v>
      </c>
      <c r="D29" s="55" t="e">
        <f t="shared" si="0"/>
        <v>#NAME?</v>
      </c>
      <c r="E29" s="55" t="e">
        <f t="shared" si="1"/>
        <v>#NAME?</v>
      </c>
      <c r="F29" s="55" t="e">
        <f t="shared" si="2"/>
        <v>#NAME?</v>
      </c>
    </row>
    <row r="30" spans="1:6">
      <c r="A30" s="47" t="s">
        <v>62</v>
      </c>
      <c r="B30" s="53" t="s">
        <v>63</v>
      </c>
      <c r="C30" s="54">
        <v>5420</v>
      </c>
      <c r="D30" s="55" t="e">
        <f t="shared" si="0"/>
        <v>#NAME?</v>
      </c>
      <c r="E30" s="55" t="e">
        <f t="shared" si="1"/>
        <v>#NAME?</v>
      </c>
      <c r="F30" s="55" t="e">
        <f t="shared" si="2"/>
        <v>#NAME?</v>
      </c>
    </row>
    <row r="31" spans="1:6">
      <c r="A31" s="47" t="s">
        <v>64</v>
      </c>
      <c r="B31" s="53" t="s">
        <v>65</v>
      </c>
      <c r="C31" s="54">
        <v>2244</v>
      </c>
      <c r="D31" s="55" t="e">
        <f t="shared" si="0"/>
        <v>#NAME?</v>
      </c>
      <c r="E31" s="55" t="e">
        <f t="shared" si="1"/>
        <v>#NAME?</v>
      </c>
      <c r="F31" s="55" t="e">
        <f t="shared" si="2"/>
        <v>#NAME?</v>
      </c>
    </row>
    <row r="32" spans="1:6">
      <c r="A32" s="47" t="s">
        <v>66</v>
      </c>
      <c r="B32" s="53" t="s">
        <v>67</v>
      </c>
      <c r="C32" s="54">
        <v>13346</v>
      </c>
      <c r="D32" s="55" t="e">
        <f t="shared" si="0"/>
        <v>#NAME?</v>
      </c>
      <c r="E32" s="55" t="e">
        <f t="shared" si="1"/>
        <v>#NAME?</v>
      </c>
      <c r="F32" s="55" t="e">
        <f t="shared" si="2"/>
        <v>#NAME?</v>
      </c>
    </row>
    <row r="33" spans="1:6">
      <c r="A33" s="47" t="s">
        <v>68</v>
      </c>
      <c r="B33" s="53" t="s">
        <v>69</v>
      </c>
      <c r="C33" s="54">
        <v>4742</v>
      </c>
      <c r="D33" s="55" t="e">
        <f t="shared" si="0"/>
        <v>#NAME?</v>
      </c>
      <c r="E33" s="55" t="e">
        <f t="shared" si="1"/>
        <v>#NAME?</v>
      </c>
      <c r="F33" s="55" t="e">
        <f t="shared" si="2"/>
        <v>#NAME?</v>
      </c>
    </row>
    <row r="34" spans="1:6">
      <c r="A34" s="47" t="s">
        <v>70</v>
      </c>
      <c r="B34" s="53" t="s">
        <v>71</v>
      </c>
      <c r="C34" s="54">
        <v>4542</v>
      </c>
      <c r="D34" s="55" t="e">
        <f t="shared" si="0"/>
        <v>#NAME?</v>
      </c>
      <c r="E34" s="55" t="e">
        <f t="shared" si="1"/>
        <v>#NAME?</v>
      </c>
      <c r="F34" s="55" t="e">
        <f t="shared" si="2"/>
        <v>#NAME?</v>
      </c>
    </row>
    <row r="35" spans="1:6">
      <c r="A35" s="47" t="s">
        <v>72</v>
      </c>
      <c r="B35" s="53" t="s">
        <v>73</v>
      </c>
      <c r="C35" s="54">
        <v>2202</v>
      </c>
      <c r="D35" s="55" t="e">
        <f t="shared" ref="D35:D66" si="3">VLOOKUP(B35,_med2008,2,FALSE)</f>
        <v>#NAME?</v>
      </c>
      <c r="E35" s="55" t="e">
        <f t="shared" ref="E35:E66" si="4">VLOOKUP(B35,_med2009,2,FALSE)</f>
        <v>#NAME?</v>
      </c>
      <c r="F35" s="55" t="e">
        <f t="shared" ref="F35:F66" si="5">VLOOKUP(B35,_med2010,2,FALSE)</f>
        <v>#NAME?</v>
      </c>
    </row>
    <row r="36" spans="1:6">
      <c r="A36" s="47" t="s">
        <v>74</v>
      </c>
      <c r="B36" s="53" t="s">
        <v>296</v>
      </c>
      <c r="C36" s="54">
        <v>66005</v>
      </c>
      <c r="D36" s="55" t="e">
        <f t="shared" si="3"/>
        <v>#NAME?</v>
      </c>
      <c r="E36" s="55" t="e">
        <f t="shared" si="4"/>
        <v>#NAME?</v>
      </c>
      <c r="F36" s="55" t="e">
        <f t="shared" si="5"/>
        <v>#NAME?</v>
      </c>
    </row>
    <row r="37" spans="1:6">
      <c r="A37" s="47" t="s">
        <v>76</v>
      </c>
      <c r="B37" s="53" t="s">
        <v>77</v>
      </c>
      <c r="C37" s="54">
        <v>4472</v>
      </c>
      <c r="D37" s="55" t="e">
        <f t="shared" si="3"/>
        <v>#NAME?</v>
      </c>
      <c r="E37" s="55" t="e">
        <f t="shared" si="4"/>
        <v>#NAME?</v>
      </c>
      <c r="F37" s="55" t="e">
        <f t="shared" si="5"/>
        <v>#NAME?</v>
      </c>
    </row>
    <row r="38" spans="1:6">
      <c r="A38" s="47" t="s">
        <v>78</v>
      </c>
      <c r="B38" s="53" t="s">
        <v>79</v>
      </c>
      <c r="C38" s="54">
        <v>2221</v>
      </c>
      <c r="D38" s="55" t="e">
        <f t="shared" si="3"/>
        <v>#NAME?</v>
      </c>
      <c r="E38" s="55" t="e">
        <f t="shared" si="4"/>
        <v>#NAME?</v>
      </c>
      <c r="F38" s="55" t="e">
        <f t="shared" si="5"/>
        <v>#NAME?</v>
      </c>
    </row>
    <row r="39" spans="1:6">
      <c r="A39" s="47" t="s">
        <v>80</v>
      </c>
      <c r="B39" s="53" t="s">
        <v>81</v>
      </c>
      <c r="C39" s="54">
        <v>2055</v>
      </c>
      <c r="D39" s="55" t="e">
        <f t="shared" si="3"/>
        <v>#NAME?</v>
      </c>
      <c r="E39" s="55" t="e">
        <f t="shared" si="4"/>
        <v>#NAME?</v>
      </c>
      <c r="F39" s="55" t="e">
        <f t="shared" si="5"/>
        <v>#NAME?</v>
      </c>
    </row>
    <row r="40" spans="1:6">
      <c r="A40" s="47" t="s">
        <v>82</v>
      </c>
      <c r="B40" s="53" t="s">
        <v>83</v>
      </c>
      <c r="C40" s="54">
        <v>2567</v>
      </c>
      <c r="D40" s="55" t="e">
        <f t="shared" si="3"/>
        <v>#NAME?</v>
      </c>
      <c r="E40" s="55" t="e">
        <f t="shared" si="4"/>
        <v>#NAME?</v>
      </c>
      <c r="F40" s="55" t="e">
        <f t="shared" si="5"/>
        <v>#NAME?</v>
      </c>
    </row>
    <row r="41" spans="1:6">
      <c r="A41" s="47" t="s">
        <v>84</v>
      </c>
      <c r="B41" s="53" t="s">
        <v>85</v>
      </c>
      <c r="C41" s="54">
        <v>7976</v>
      </c>
      <c r="D41" s="55" t="e">
        <f t="shared" si="3"/>
        <v>#NAME?</v>
      </c>
      <c r="E41" s="55" t="e">
        <f t="shared" si="4"/>
        <v>#NAME?</v>
      </c>
      <c r="F41" s="55" t="e">
        <f t="shared" si="5"/>
        <v>#NAME?</v>
      </c>
    </row>
    <row r="42" spans="1:6">
      <c r="A42" s="47" t="s">
        <v>86</v>
      </c>
      <c r="B42" s="53" t="s">
        <v>87</v>
      </c>
      <c r="C42" s="54">
        <v>6545</v>
      </c>
      <c r="D42" s="55" t="e">
        <f t="shared" si="3"/>
        <v>#NAME?</v>
      </c>
      <c r="E42" s="55" t="e">
        <f t="shared" si="4"/>
        <v>#NAME?</v>
      </c>
      <c r="F42" s="55" t="e">
        <f t="shared" si="5"/>
        <v>#NAME?</v>
      </c>
    </row>
    <row r="43" spans="1:6">
      <c r="A43" s="47" t="s">
        <v>88</v>
      </c>
      <c r="B43" s="53" t="s">
        <v>89</v>
      </c>
      <c r="C43" s="54">
        <v>4329</v>
      </c>
      <c r="D43" s="55" t="e">
        <f t="shared" si="3"/>
        <v>#NAME?</v>
      </c>
      <c r="E43" s="55" t="e">
        <f t="shared" si="4"/>
        <v>#NAME?</v>
      </c>
      <c r="F43" s="55" t="e">
        <f t="shared" si="5"/>
        <v>#NAME?</v>
      </c>
    </row>
    <row r="44" spans="1:6">
      <c r="A44" s="47" t="s">
        <v>90</v>
      </c>
      <c r="B44" s="53" t="s">
        <v>91</v>
      </c>
      <c r="C44" s="54">
        <v>2240</v>
      </c>
      <c r="D44" s="55" t="e">
        <f t="shared" si="3"/>
        <v>#NAME?</v>
      </c>
      <c r="E44" s="55" t="e">
        <f t="shared" si="4"/>
        <v>#NAME?</v>
      </c>
      <c r="F44" s="55" t="e">
        <f t="shared" si="5"/>
        <v>#NAME?</v>
      </c>
    </row>
    <row r="45" spans="1:6">
      <c r="A45" s="47" t="s">
        <v>92</v>
      </c>
      <c r="B45" s="53" t="s">
        <v>93</v>
      </c>
      <c r="C45" s="54">
        <v>2917</v>
      </c>
      <c r="D45" s="55" t="e">
        <f t="shared" si="3"/>
        <v>#NAME?</v>
      </c>
      <c r="E45" s="55" t="e">
        <f t="shared" si="4"/>
        <v>#NAME?</v>
      </c>
      <c r="F45" s="55" t="e">
        <f t="shared" si="5"/>
        <v>#NAME?</v>
      </c>
    </row>
    <row r="46" spans="1:6">
      <c r="A46" s="47" t="s">
        <v>94</v>
      </c>
      <c r="B46" s="53" t="s">
        <v>95</v>
      </c>
      <c r="C46" s="54">
        <v>4114</v>
      </c>
      <c r="D46" s="55" t="e">
        <f t="shared" si="3"/>
        <v>#NAME?</v>
      </c>
      <c r="E46" s="55" t="e">
        <f t="shared" si="4"/>
        <v>#NAME?</v>
      </c>
      <c r="F46" s="55" t="e">
        <f t="shared" si="5"/>
        <v>#NAME?</v>
      </c>
    </row>
    <row r="47" spans="1:6">
      <c r="A47" s="47" t="s">
        <v>96</v>
      </c>
      <c r="B47" s="53" t="s">
        <v>97</v>
      </c>
      <c r="C47" s="54">
        <v>1386</v>
      </c>
      <c r="D47" s="55" t="e">
        <f t="shared" si="3"/>
        <v>#NAME?</v>
      </c>
      <c r="E47" s="55" t="e">
        <f t="shared" si="4"/>
        <v>#NAME?</v>
      </c>
      <c r="F47" s="55" t="e">
        <f t="shared" si="5"/>
        <v>#NAME?</v>
      </c>
    </row>
    <row r="48" spans="1:6">
      <c r="A48" s="47" t="s">
        <v>98</v>
      </c>
      <c r="B48" s="53" t="s">
        <v>99</v>
      </c>
      <c r="C48" s="54">
        <v>3759</v>
      </c>
      <c r="D48" s="55" t="e">
        <f t="shared" si="3"/>
        <v>#NAME?</v>
      </c>
      <c r="E48" s="55" t="e">
        <f t="shared" si="4"/>
        <v>#NAME?</v>
      </c>
      <c r="F48" s="55" t="e">
        <f t="shared" si="5"/>
        <v>#NAME?</v>
      </c>
    </row>
    <row r="49" spans="1:6">
      <c r="A49" s="47" t="s">
        <v>100</v>
      </c>
      <c r="B49" s="53" t="s">
        <v>101</v>
      </c>
      <c r="C49" s="54">
        <v>2234</v>
      </c>
      <c r="D49" s="55" t="e">
        <f t="shared" si="3"/>
        <v>#NAME?</v>
      </c>
      <c r="E49" s="55" t="e">
        <f t="shared" si="4"/>
        <v>#NAME?</v>
      </c>
      <c r="F49" s="55" t="e">
        <f t="shared" si="5"/>
        <v>#NAME?</v>
      </c>
    </row>
    <row r="50" spans="1:6">
      <c r="A50" s="47" t="s">
        <v>102</v>
      </c>
      <c r="B50" s="53" t="s">
        <v>282</v>
      </c>
      <c r="C50" s="54">
        <v>4134</v>
      </c>
      <c r="D50" s="55" t="e">
        <f t="shared" si="3"/>
        <v>#NAME?</v>
      </c>
      <c r="E50" s="55" t="e">
        <f t="shared" si="4"/>
        <v>#NAME?</v>
      </c>
      <c r="F50" s="55" t="e">
        <f t="shared" si="5"/>
        <v>#NAME?</v>
      </c>
    </row>
    <row r="51" spans="1:6">
      <c r="A51" s="47" t="s">
        <v>104</v>
      </c>
      <c r="B51" s="53" t="s">
        <v>105</v>
      </c>
      <c r="C51" s="54">
        <v>8414</v>
      </c>
      <c r="D51" s="55" t="e">
        <f t="shared" si="3"/>
        <v>#NAME?</v>
      </c>
      <c r="E51" s="55" t="e">
        <f t="shared" si="4"/>
        <v>#NAME?</v>
      </c>
      <c r="F51" s="55" t="e">
        <f t="shared" si="5"/>
        <v>#NAME?</v>
      </c>
    </row>
    <row r="52" spans="1:6">
      <c r="A52" s="47" t="s">
        <v>106</v>
      </c>
      <c r="B52" s="53" t="s">
        <v>107</v>
      </c>
      <c r="C52" s="54">
        <v>23189</v>
      </c>
      <c r="D52" s="55" t="e">
        <f t="shared" si="3"/>
        <v>#NAME?</v>
      </c>
      <c r="E52" s="55" t="e">
        <f t="shared" si="4"/>
        <v>#NAME?</v>
      </c>
      <c r="F52" s="55" t="e">
        <f t="shared" si="5"/>
        <v>#NAME?</v>
      </c>
    </row>
    <row r="53" spans="1:6">
      <c r="A53" s="47" t="s">
        <v>108</v>
      </c>
      <c r="B53" s="53" t="s">
        <v>109</v>
      </c>
      <c r="C53" s="54">
        <v>6268</v>
      </c>
      <c r="D53" s="55" t="e">
        <f t="shared" si="3"/>
        <v>#NAME?</v>
      </c>
      <c r="E53" s="55" t="e">
        <f t="shared" si="4"/>
        <v>#NAME?</v>
      </c>
      <c r="F53" s="55" t="e">
        <f t="shared" si="5"/>
        <v>#NAME?</v>
      </c>
    </row>
    <row r="54" spans="1:6">
      <c r="A54" s="47" t="s">
        <v>110</v>
      </c>
      <c r="B54" s="53" t="s">
        <v>111</v>
      </c>
      <c r="C54" s="54">
        <v>31176</v>
      </c>
      <c r="D54" s="55" t="e">
        <f t="shared" si="3"/>
        <v>#NAME?</v>
      </c>
      <c r="E54" s="55" t="e">
        <f t="shared" si="4"/>
        <v>#NAME?</v>
      </c>
      <c r="F54" s="55" t="e">
        <f t="shared" si="5"/>
        <v>#NAME?</v>
      </c>
    </row>
    <row r="55" spans="1:6">
      <c r="A55" s="47" t="s">
        <v>112</v>
      </c>
      <c r="B55" s="53" t="s">
        <v>300</v>
      </c>
      <c r="C55" s="54">
        <v>16087</v>
      </c>
      <c r="D55" s="55" t="e">
        <f t="shared" si="3"/>
        <v>#NAME?</v>
      </c>
      <c r="E55" s="55" t="e">
        <f t="shared" si="4"/>
        <v>#NAME?</v>
      </c>
      <c r="F55" s="55" t="e">
        <f t="shared" si="5"/>
        <v>#NAME?</v>
      </c>
    </row>
    <row r="56" spans="1:6">
      <c r="A56" s="47" t="s">
        <v>114</v>
      </c>
      <c r="B56" s="53" t="s">
        <v>115</v>
      </c>
      <c r="C56" s="54">
        <v>290</v>
      </c>
      <c r="D56" s="55" t="e">
        <f t="shared" si="3"/>
        <v>#NAME?</v>
      </c>
      <c r="E56" s="55" t="e">
        <f t="shared" si="4"/>
        <v>#NAME?</v>
      </c>
      <c r="F56" s="55" t="e">
        <f t="shared" si="5"/>
        <v>#NAME?</v>
      </c>
    </row>
    <row r="57" spans="1:6">
      <c r="A57" s="47" t="s">
        <v>116</v>
      </c>
      <c r="B57" s="53" t="s">
        <v>117</v>
      </c>
      <c r="C57" s="54">
        <v>6343</v>
      </c>
      <c r="D57" s="55" t="e">
        <f t="shared" si="3"/>
        <v>#NAME?</v>
      </c>
      <c r="E57" s="55" t="e">
        <f t="shared" si="4"/>
        <v>#NAME?</v>
      </c>
      <c r="F57" s="55" t="e">
        <f t="shared" si="5"/>
        <v>#NAME?</v>
      </c>
    </row>
    <row r="58" spans="1:6">
      <c r="A58" s="47" t="s">
        <v>118</v>
      </c>
      <c r="B58" s="53" t="s">
        <v>270</v>
      </c>
      <c r="C58" s="54">
        <v>4418</v>
      </c>
      <c r="D58" s="55" t="e">
        <f t="shared" si="3"/>
        <v>#NAME?</v>
      </c>
      <c r="E58" s="55" t="e">
        <f t="shared" si="4"/>
        <v>#NAME?</v>
      </c>
      <c r="F58" s="55" t="e">
        <f t="shared" si="5"/>
        <v>#NAME?</v>
      </c>
    </row>
    <row r="59" spans="1:6">
      <c r="A59" s="47" t="s">
        <v>120</v>
      </c>
      <c r="B59" s="53" t="s">
        <v>121</v>
      </c>
      <c r="C59" s="54">
        <v>4708</v>
      </c>
      <c r="D59" s="55" t="e">
        <f t="shared" si="3"/>
        <v>#NAME?</v>
      </c>
      <c r="E59" s="55" t="e">
        <f t="shared" si="4"/>
        <v>#NAME?</v>
      </c>
      <c r="F59" s="55" t="e">
        <f t="shared" si="5"/>
        <v>#NAME?</v>
      </c>
    </row>
    <row r="60" spans="1:6">
      <c r="A60" s="47" t="s">
        <v>122</v>
      </c>
      <c r="B60" s="53" t="s">
        <v>287</v>
      </c>
      <c r="C60" s="54">
        <v>1328</v>
      </c>
      <c r="D60" s="55" t="e">
        <f t="shared" si="3"/>
        <v>#NAME?</v>
      </c>
      <c r="E60" s="55" t="e">
        <f t="shared" si="4"/>
        <v>#NAME?</v>
      </c>
      <c r="F60" s="55" t="e">
        <f t="shared" si="5"/>
        <v>#NAME?</v>
      </c>
    </row>
    <row r="61" spans="1:6">
      <c r="A61" s="47" t="s">
        <v>124</v>
      </c>
      <c r="B61" s="53" t="s">
        <v>125</v>
      </c>
      <c r="C61" s="54">
        <v>2080</v>
      </c>
      <c r="D61" s="55" t="e">
        <f t="shared" si="3"/>
        <v>#NAME?</v>
      </c>
      <c r="E61" s="55" t="e">
        <f t="shared" si="4"/>
        <v>#NAME?</v>
      </c>
      <c r="F61" s="55" t="e">
        <f t="shared" si="5"/>
        <v>#NAME?</v>
      </c>
    </row>
    <row r="62" spans="1:6">
      <c r="A62" s="47" t="s">
        <v>126</v>
      </c>
      <c r="B62" s="53" t="s">
        <v>127</v>
      </c>
      <c r="C62" s="54">
        <v>1653</v>
      </c>
      <c r="D62" s="55" t="e">
        <f t="shared" si="3"/>
        <v>#NAME?</v>
      </c>
      <c r="E62" s="55" t="e">
        <f t="shared" si="4"/>
        <v>#NAME?</v>
      </c>
      <c r="F62" s="55" t="e">
        <f t="shared" si="5"/>
        <v>#NAME?</v>
      </c>
    </row>
    <row r="63" spans="1:6">
      <c r="A63" s="47" t="s">
        <v>128</v>
      </c>
      <c r="B63" s="53" t="s">
        <v>129</v>
      </c>
      <c r="C63" s="54">
        <v>2006</v>
      </c>
      <c r="D63" s="55" t="e">
        <f t="shared" si="3"/>
        <v>#NAME?</v>
      </c>
      <c r="E63" s="55" t="e">
        <f t="shared" si="4"/>
        <v>#NAME?</v>
      </c>
      <c r="F63" s="55" t="e">
        <f t="shared" si="5"/>
        <v>#NAME?</v>
      </c>
    </row>
    <row r="64" spans="1:6">
      <c r="A64" s="47" t="s">
        <v>130</v>
      </c>
      <c r="B64" s="53" t="s">
        <v>131</v>
      </c>
      <c r="C64" s="54">
        <v>7728</v>
      </c>
      <c r="D64" s="55" t="e">
        <f t="shared" si="3"/>
        <v>#NAME?</v>
      </c>
      <c r="E64" s="55" t="e">
        <f t="shared" si="4"/>
        <v>#NAME?</v>
      </c>
      <c r="F64" s="55" t="e">
        <f t="shared" si="5"/>
        <v>#NAME?</v>
      </c>
    </row>
    <row r="65" spans="1:6">
      <c r="A65" s="47" t="s">
        <v>132</v>
      </c>
      <c r="B65" s="53" t="s">
        <v>133</v>
      </c>
      <c r="C65" s="54">
        <v>10860</v>
      </c>
      <c r="D65" s="55" t="e">
        <f t="shared" si="3"/>
        <v>#NAME?</v>
      </c>
      <c r="E65" s="55" t="e">
        <f t="shared" si="4"/>
        <v>#NAME?</v>
      </c>
      <c r="F65" s="55" t="e">
        <f t="shared" si="5"/>
        <v>#NAME?</v>
      </c>
    </row>
    <row r="66" spans="1:6">
      <c r="A66" s="47" t="s">
        <v>134</v>
      </c>
      <c r="B66" s="53" t="s">
        <v>135</v>
      </c>
      <c r="C66" s="54">
        <v>4296</v>
      </c>
      <c r="D66" s="55" t="e">
        <f t="shared" si="3"/>
        <v>#NAME?</v>
      </c>
      <c r="E66" s="55" t="e">
        <f t="shared" si="4"/>
        <v>#NAME?</v>
      </c>
      <c r="F66" s="55" t="e">
        <f t="shared" si="5"/>
        <v>#NAME?</v>
      </c>
    </row>
    <row r="67" spans="1:6">
      <c r="A67" s="47" t="s">
        <v>136</v>
      </c>
      <c r="B67" s="53" t="s">
        <v>137</v>
      </c>
      <c r="C67" s="54">
        <v>2847</v>
      </c>
      <c r="D67" s="55" t="e">
        <f t="shared" ref="D67:D98" si="6">VLOOKUP(B67,_med2008,2,FALSE)</f>
        <v>#NAME?</v>
      </c>
      <c r="E67" s="55" t="e">
        <f t="shared" ref="E67:E98" si="7">VLOOKUP(B67,_med2009,2,FALSE)</f>
        <v>#NAME?</v>
      </c>
      <c r="F67" s="55" t="e">
        <f t="shared" ref="F67:F98" si="8">VLOOKUP(B67,_med2010,2,FALSE)</f>
        <v>#NAME?</v>
      </c>
    </row>
    <row r="68" spans="1:6">
      <c r="A68" s="47" t="s">
        <v>138</v>
      </c>
      <c r="B68" s="53" t="s">
        <v>139</v>
      </c>
      <c r="C68" s="54">
        <v>13893</v>
      </c>
      <c r="D68" s="55" t="e">
        <f t="shared" si="6"/>
        <v>#NAME?</v>
      </c>
      <c r="E68" s="55" t="e">
        <f t="shared" si="7"/>
        <v>#NAME?</v>
      </c>
      <c r="F68" s="55" t="e">
        <f t="shared" si="8"/>
        <v>#NAME?</v>
      </c>
    </row>
    <row r="69" spans="1:6">
      <c r="A69" s="47" t="s">
        <v>140</v>
      </c>
      <c r="B69" s="53" t="s">
        <v>141</v>
      </c>
      <c r="C69" s="54">
        <v>1528</v>
      </c>
      <c r="D69" s="55" t="e">
        <f t="shared" si="6"/>
        <v>#NAME?</v>
      </c>
      <c r="E69" s="55" t="e">
        <f t="shared" si="7"/>
        <v>#NAME?</v>
      </c>
      <c r="F69" s="55" t="e">
        <f t="shared" si="8"/>
        <v>#NAME?</v>
      </c>
    </row>
    <row r="70" spans="1:6">
      <c r="A70" s="47" t="s">
        <v>142</v>
      </c>
      <c r="B70" s="53" t="s">
        <v>143</v>
      </c>
      <c r="C70" s="54">
        <v>5337</v>
      </c>
      <c r="D70" s="55" t="e">
        <f t="shared" si="6"/>
        <v>#NAME?</v>
      </c>
      <c r="E70" s="55" t="e">
        <f t="shared" si="7"/>
        <v>#NAME?</v>
      </c>
      <c r="F70" s="55" t="e">
        <f t="shared" si="8"/>
        <v>#NAME?</v>
      </c>
    </row>
    <row r="71" spans="1:6">
      <c r="A71" s="47" t="s">
        <v>144</v>
      </c>
      <c r="B71" s="53" t="s">
        <v>145</v>
      </c>
      <c r="C71" s="54">
        <v>2146</v>
      </c>
      <c r="D71" s="55" t="e">
        <f t="shared" si="6"/>
        <v>#NAME?</v>
      </c>
      <c r="E71" s="55" t="e">
        <f t="shared" si="7"/>
        <v>#NAME?</v>
      </c>
      <c r="F71" s="55" t="e">
        <f t="shared" si="8"/>
        <v>#NAME?</v>
      </c>
    </row>
    <row r="72" spans="1:6">
      <c r="A72" s="47" t="s">
        <v>146</v>
      </c>
      <c r="B72" s="53" t="s">
        <v>147</v>
      </c>
      <c r="C72" s="54">
        <v>1054</v>
      </c>
      <c r="D72" s="55" t="e">
        <f t="shared" si="6"/>
        <v>#NAME?</v>
      </c>
      <c r="E72" s="55" t="e">
        <f t="shared" si="7"/>
        <v>#NAME?</v>
      </c>
      <c r="F72" s="55" t="e">
        <f t="shared" si="8"/>
        <v>#NAME?</v>
      </c>
    </row>
    <row r="73" spans="1:6">
      <c r="A73" s="47" t="s">
        <v>148</v>
      </c>
      <c r="B73" s="53" t="s">
        <v>149</v>
      </c>
      <c r="C73" s="54">
        <v>6603</v>
      </c>
      <c r="D73" s="55" t="e">
        <f t="shared" si="6"/>
        <v>#NAME?</v>
      </c>
      <c r="E73" s="55" t="e">
        <f t="shared" si="7"/>
        <v>#NAME?</v>
      </c>
      <c r="F73" s="55" t="e">
        <f t="shared" si="8"/>
        <v>#NAME?</v>
      </c>
    </row>
    <row r="74" spans="1:6">
      <c r="A74" s="47" t="s">
        <v>150</v>
      </c>
      <c r="B74" s="53" t="s">
        <v>151</v>
      </c>
      <c r="C74" s="54">
        <v>1464</v>
      </c>
      <c r="D74" s="55" t="e">
        <f t="shared" si="6"/>
        <v>#NAME?</v>
      </c>
      <c r="E74" s="55" t="e">
        <f t="shared" si="7"/>
        <v>#NAME?</v>
      </c>
      <c r="F74" s="55" t="e">
        <f t="shared" si="8"/>
        <v>#NAME?</v>
      </c>
    </row>
    <row r="75" spans="1:6">
      <c r="A75" s="47" t="s">
        <v>152</v>
      </c>
      <c r="B75" s="53" t="s">
        <v>153</v>
      </c>
      <c r="C75" s="54">
        <v>9035</v>
      </c>
      <c r="D75" s="55" t="e">
        <f t="shared" si="6"/>
        <v>#NAME?</v>
      </c>
      <c r="E75" s="55" t="e">
        <f t="shared" si="7"/>
        <v>#NAME?</v>
      </c>
      <c r="F75" s="55" t="e">
        <f t="shared" si="8"/>
        <v>#NAME?</v>
      </c>
    </row>
    <row r="76" spans="1:6">
      <c r="A76" s="47" t="s">
        <v>154</v>
      </c>
      <c r="B76" s="53" t="s">
        <v>155</v>
      </c>
      <c r="C76" s="54">
        <v>2369</v>
      </c>
      <c r="D76" s="55" t="e">
        <f t="shared" si="6"/>
        <v>#NAME?</v>
      </c>
      <c r="E76" s="55" t="e">
        <f t="shared" si="7"/>
        <v>#NAME?</v>
      </c>
      <c r="F76" s="55" t="e">
        <f t="shared" si="8"/>
        <v>#NAME?</v>
      </c>
    </row>
    <row r="77" spans="1:6">
      <c r="A77" s="47" t="s">
        <v>156</v>
      </c>
      <c r="B77" s="53" t="s">
        <v>157</v>
      </c>
      <c r="C77" s="54">
        <v>1076</v>
      </c>
      <c r="D77" s="55" t="e">
        <f t="shared" si="6"/>
        <v>#NAME?</v>
      </c>
      <c r="E77" s="55" t="e">
        <f t="shared" si="7"/>
        <v>#NAME?</v>
      </c>
      <c r="F77" s="55" t="e">
        <f t="shared" si="8"/>
        <v>#NAME?</v>
      </c>
    </row>
    <row r="78" spans="1:6">
      <c r="A78" s="47" t="s">
        <v>158</v>
      </c>
      <c r="B78" s="53" t="s">
        <v>159</v>
      </c>
      <c r="C78" s="54">
        <v>36304</v>
      </c>
      <c r="D78" s="55" t="e">
        <f t="shared" si="6"/>
        <v>#NAME?</v>
      </c>
      <c r="E78" s="55" t="e">
        <f t="shared" si="7"/>
        <v>#NAME?</v>
      </c>
      <c r="F78" s="55" t="e">
        <f t="shared" si="8"/>
        <v>#NAME?</v>
      </c>
    </row>
    <row r="79" spans="1:6">
      <c r="A79" s="47" t="s">
        <v>160</v>
      </c>
      <c r="B79" s="53" t="s">
        <v>161</v>
      </c>
      <c r="C79" s="54">
        <v>50779</v>
      </c>
      <c r="D79" s="55" t="e">
        <f t="shared" si="6"/>
        <v>#NAME?</v>
      </c>
      <c r="E79" s="55" t="e">
        <f t="shared" si="7"/>
        <v>#NAME?</v>
      </c>
      <c r="F79" s="55" t="e">
        <f t="shared" si="8"/>
        <v>#NAME?</v>
      </c>
    </row>
    <row r="80" spans="1:6">
      <c r="A80" s="47" t="s">
        <v>162</v>
      </c>
      <c r="B80" s="53" t="s">
        <v>163</v>
      </c>
      <c r="C80" s="54">
        <v>3609</v>
      </c>
      <c r="D80" s="55" t="e">
        <f t="shared" si="6"/>
        <v>#NAME?</v>
      </c>
      <c r="E80" s="55" t="e">
        <f t="shared" si="7"/>
        <v>#NAME?</v>
      </c>
      <c r="F80" s="55" t="e">
        <f t="shared" si="8"/>
        <v>#NAME?</v>
      </c>
    </row>
    <row r="81" spans="1:6">
      <c r="A81" s="47" t="s">
        <v>164</v>
      </c>
      <c r="B81" s="53" t="s">
        <v>165</v>
      </c>
      <c r="C81" s="54">
        <v>1857</v>
      </c>
      <c r="D81" s="55" t="e">
        <f t="shared" si="6"/>
        <v>#NAME?</v>
      </c>
      <c r="E81" s="55" t="e">
        <f t="shared" si="7"/>
        <v>#NAME?</v>
      </c>
      <c r="F81" s="55" t="e">
        <f t="shared" si="8"/>
        <v>#NAME?</v>
      </c>
    </row>
    <row r="82" spans="1:6">
      <c r="A82" s="47" t="s">
        <v>166</v>
      </c>
      <c r="B82" s="53" t="s">
        <v>167</v>
      </c>
      <c r="C82" s="54">
        <v>1354</v>
      </c>
      <c r="D82" s="55" t="e">
        <f t="shared" si="6"/>
        <v>#NAME?</v>
      </c>
      <c r="E82" s="55" t="e">
        <f t="shared" si="7"/>
        <v>#NAME?</v>
      </c>
      <c r="F82" s="55" t="e">
        <f t="shared" si="8"/>
        <v>#NAME?</v>
      </c>
    </row>
    <row r="83" spans="1:6">
      <c r="A83" s="47" t="s">
        <v>168</v>
      </c>
      <c r="B83" s="53" t="s">
        <v>169</v>
      </c>
      <c r="C83" s="54">
        <v>3392</v>
      </c>
      <c r="D83" s="55" t="e">
        <f t="shared" si="6"/>
        <v>#NAME?</v>
      </c>
      <c r="E83" s="55" t="e">
        <f t="shared" si="7"/>
        <v>#NAME?</v>
      </c>
      <c r="F83" s="55" t="e">
        <f t="shared" si="8"/>
        <v>#NAME?</v>
      </c>
    </row>
    <row r="84" spans="1:6">
      <c r="A84" s="47" t="s">
        <v>170</v>
      </c>
      <c r="B84" s="53" t="s">
        <v>171</v>
      </c>
      <c r="C84" s="54">
        <v>3601</v>
      </c>
      <c r="D84" s="55" t="e">
        <f t="shared" si="6"/>
        <v>#NAME?</v>
      </c>
      <c r="E84" s="55" t="e">
        <f t="shared" si="7"/>
        <v>#NAME?</v>
      </c>
      <c r="F84" s="55" t="e">
        <f t="shared" si="8"/>
        <v>#NAME?</v>
      </c>
    </row>
    <row r="85" spans="1:6">
      <c r="A85" s="47" t="s">
        <v>172</v>
      </c>
      <c r="B85" s="53" t="s">
        <v>173</v>
      </c>
      <c r="C85" s="54">
        <v>4183</v>
      </c>
      <c r="D85" s="55" t="e">
        <f t="shared" si="6"/>
        <v>#NAME?</v>
      </c>
      <c r="E85" s="55" t="e">
        <f t="shared" si="7"/>
        <v>#NAME?</v>
      </c>
      <c r="F85" s="55" t="e">
        <f t="shared" si="8"/>
        <v>#NAME?</v>
      </c>
    </row>
    <row r="86" spans="1:6">
      <c r="A86" s="47" t="s">
        <v>174</v>
      </c>
      <c r="B86" s="53" t="s">
        <v>175</v>
      </c>
      <c r="C86" s="54">
        <v>4149</v>
      </c>
      <c r="D86" s="55" t="e">
        <f t="shared" si="6"/>
        <v>#NAME?</v>
      </c>
      <c r="E86" s="55" t="e">
        <f t="shared" si="7"/>
        <v>#NAME?</v>
      </c>
      <c r="F86" s="55" t="e">
        <f t="shared" si="8"/>
        <v>#NAME?</v>
      </c>
    </row>
    <row r="87" spans="1:6">
      <c r="A87" s="47" t="s">
        <v>176</v>
      </c>
      <c r="B87" s="53" t="s">
        <v>177</v>
      </c>
      <c r="C87" s="54">
        <v>10541</v>
      </c>
      <c r="D87" s="55" t="e">
        <f t="shared" si="6"/>
        <v>#NAME?</v>
      </c>
      <c r="E87" s="55" t="e">
        <f t="shared" si="7"/>
        <v>#NAME?</v>
      </c>
      <c r="F87" s="55" t="e">
        <f t="shared" si="8"/>
        <v>#NAME?</v>
      </c>
    </row>
    <row r="88" spans="1:6">
      <c r="A88" s="47" t="s">
        <v>178</v>
      </c>
      <c r="B88" s="53" t="s">
        <v>179</v>
      </c>
      <c r="C88" s="54">
        <v>11152</v>
      </c>
      <c r="D88" s="55" t="e">
        <f t="shared" si="6"/>
        <v>#NAME?</v>
      </c>
      <c r="E88" s="55" t="e">
        <f t="shared" si="7"/>
        <v>#NAME?</v>
      </c>
      <c r="F88" s="55" t="e">
        <f t="shared" si="8"/>
        <v>#NAME?</v>
      </c>
    </row>
    <row r="89" spans="1:6">
      <c r="A89" s="47" t="s">
        <v>180</v>
      </c>
      <c r="B89" s="53" t="s">
        <v>181</v>
      </c>
      <c r="C89" s="54">
        <v>23485</v>
      </c>
      <c r="D89" s="55" t="e">
        <f t="shared" si="6"/>
        <v>#NAME?</v>
      </c>
      <c r="E89" s="55" t="e">
        <f t="shared" si="7"/>
        <v>#NAME?</v>
      </c>
      <c r="F89" s="55" t="e">
        <f t="shared" si="8"/>
        <v>#NAME?</v>
      </c>
    </row>
    <row r="90" spans="1:6">
      <c r="A90" s="47" t="s">
        <v>182</v>
      </c>
      <c r="B90" s="53" t="s">
        <v>183</v>
      </c>
      <c r="C90" s="54">
        <v>1544</v>
      </c>
      <c r="D90" s="55" t="e">
        <f t="shared" si="6"/>
        <v>#NAME?</v>
      </c>
      <c r="E90" s="55" t="e">
        <f t="shared" si="7"/>
        <v>#NAME?</v>
      </c>
      <c r="F90" s="55" t="e">
        <f t="shared" si="8"/>
        <v>#NAME?</v>
      </c>
    </row>
    <row r="91" spans="1:6">
      <c r="A91" s="47" t="s">
        <v>184</v>
      </c>
      <c r="B91" s="53" t="s">
        <v>185</v>
      </c>
      <c r="C91" s="54">
        <v>4112</v>
      </c>
      <c r="D91" s="55" t="e">
        <f t="shared" si="6"/>
        <v>#NAME?</v>
      </c>
      <c r="E91" s="55" t="e">
        <f t="shared" si="7"/>
        <v>#NAME?</v>
      </c>
      <c r="F91" s="55" t="e">
        <f t="shared" si="8"/>
        <v>#NAME?</v>
      </c>
    </row>
    <row r="92" spans="1:6">
      <c r="A92" s="47" t="s">
        <v>186</v>
      </c>
      <c r="B92" s="53" t="s">
        <v>187</v>
      </c>
      <c r="C92" s="54">
        <v>2880</v>
      </c>
      <c r="D92" s="55" t="e">
        <f t="shared" si="6"/>
        <v>#NAME?</v>
      </c>
      <c r="E92" s="55" t="e">
        <f t="shared" si="7"/>
        <v>#NAME?</v>
      </c>
      <c r="F92" s="55" t="e">
        <f t="shared" si="8"/>
        <v>#NAME?</v>
      </c>
    </row>
    <row r="93" spans="1:6">
      <c r="A93" s="47" t="s">
        <v>188</v>
      </c>
      <c r="B93" s="53" t="s">
        <v>189</v>
      </c>
      <c r="C93" s="54">
        <v>36640</v>
      </c>
      <c r="D93" s="55" t="e">
        <f t="shared" si="6"/>
        <v>#NAME?</v>
      </c>
      <c r="E93" s="55" t="e">
        <f t="shared" si="7"/>
        <v>#NAME?</v>
      </c>
      <c r="F93" s="55" t="e">
        <f t="shared" si="8"/>
        <v>#NAME?</v>
      </c>
    </row>
    <row r="94" spans="1:6">
      <c r="A94" s="47" t="s">
        <v>190</v>
      </c>
      <c r="B94" s="53" t="s">
        <v>191</v>
      </c>
      <c r="C94" s="54">
        <v>6339</v>
      </c>
      <c r="D94" s="55" t="e">
        <f t="shared" si="6"/>
        <v>#NAME?</v>
      </c>
      <c r="E94" s="55" t="e">
        <f t="shared" si="7"/>
        <v>#NAME?</v>
      </c>
      <c r="F94" s="55" t="e">
        <f t="shared" si="8"/>
        <v>#NAME?</v>
      </c>
    </row>
    <row r="95" spans="1:6">
      <c r="A95" s="47" t="s">
        <v>192</v>
      </c>
      <c r="B95" s="53" t="s">
        <v>193</v>
      </c>
      <c r="C95" s="54">
        <v>1886</v>
      </c>
      <c r="D95" s="55" t="e">
        <f t="shared" si="6"/>
        <v>#NAME?</v>
      </c>
      <c r="E95" s="55" t="e">
        <f t="shared" si="7"/>
        <v>#NAME?</v>
      </c>
      <c r="F95" s="55" t="e">
        <f t="shared" si="8"/>
        <v>#NAME?</v>
      </c>
    </row>
    <row r="96" spans="1:6">
      <c r="A96" s="47" t="s">
        <v>194</v>
      </c>
      <c r="B96" s="53" t="s">
        <v>195</v>
      </c>
      <c r="C96" s="54">
        <v>600</v>
      </c>
      <c r="D96" s="55" t="e">
        <f t="shared" si="6"/>
        <v>#NAME?</v>
      </c>
      <c r="E96" s="55" t="e">
        <f t="shared" si="7"/>
        <v>#NAME?</v>
      </c>
      <c r="F96" s="55" t="e">
        <f t="shared" si="8"/>
        <v>#NAME?</v>
      </c>
    </row>
    <row r="97" spans="1:6">
      <c r="A97" s="47" t="s">
        <v>196</v>
      </c>
      <c r="B97" s="53" t="s">
        <v>197</v>
      </c>
      <c r="C97" s="54">
        <v>52734</v>
      </c>
      <c r="D97" s="55" t="e">
        <f t="shared" si="6"/>
        <v>#NAME?</v>
      </c>
      <c r="E97" s="55" t="e">
        <f t="shared" si="7"/>
        <v>#NAME?</v>
      </c>
      <c r="F97" s="55" t="e">
        <f t="shared" si="8"/>
        <v>#NAME?</v>
      </c>
    </row>
    <row r="98" spans="1:6">
      <c r="A98" s="47" t="s">
        <v>198</v>
      </c>
      <c r="B98" s="53" t="s">
        <v>272</v>
      </c>
      <c r="C98" s="54">
        <v>1523</v>
      </c>
      <c r="D98" s="55" t="e">
        <f t="shared" si="6"/>
        <v>#NAME?</v>
      </c>
      <c r="E98" s="55" t="e">
        <f t="shared" si="7"/>
        <v>#NAME?</v>
      </c>
      <c r="F98" s="55" t="e">
        <f t="shared" si="8"/>
        <v>#NAME?</v>
      </c>
    </row>
    <row r="99" spans="1:6">
      <c r="A99" s="47" t="s">
        <v>200</v>
      </c>
      <c r="B99" s="53" t="s">
        <v>201</v>
      </c>
      <c r="C99" s="54">
        <v>23966</v>
      </c>
      <c r="D99" s="55" t="e">
        <f t="shared" ref="D99:D122" si="9">VLOOKUP(B99,_med2008,2,FALSE)</f>
        <v>#NAME?</v>
      </c>
      <c r="E99" s="55" t="e">
        <f t="shared" ref="E99:E122" si="10">VLOOKUP(B99,_med2009,2,FALSE)</f>
        <v>#NAME?</v>
      </c>
      <c r="F99" s="55" t="e">
        <f t="shared" ref="F99:F122" si="11">VLOOKUP(B99,_med2010,2,FALSE)</f>
        <v>#NAME?</v>
      </c>
    </row>
    <row r="100" spans="1:6">
      <c r="A100" s="47" t="s">
        <v>202</v>
      </c>
      <c r="B100" s="53" t="s">
        <v>301</v>
      </c>
      <c r="C100" s="54">
        <v>10237</v>
      </c>
      <c r="D100" s="55" t="e">
        <f t="shared" si="9"/>
        <v>#NAME?</v>
      </c>
      <c r="E100" s="55" t="e">
        <f t="shared" si="10"/>
        <v>#NAME?</v>
      </c>
      <c r="F100" s="55" t="e">
        <f t="shared" si="11"/>
        <v>#NAME?</v>
      </c>
    </row>
    <row r="101" spans="1:6">
      <c r="A101" s="47" t="s">
        <v>204</v>
      </c>
      <c r="B101" s="53" t="s">
        <v>293</v>
      </c>
      <c r="C101" s="54">
        <v>4580</v>
      </c>
      <c r="D101" s="55" t="e">
        <f t="shared" si="9"/>
        <v>#NAME?</v>
      </c>
      <c r="E101" s="55" t="e">
        <f t="shared" si="10"/>
        <v>#NAME?</v>
      </c>
      <c r="F101" s="55" t="e">
        <f t="shared" si="11"/>
        <v>#NAME?</v>
      </c>
    </row>
    <row r="102" spans="1:6">
      <c r="A102" s="47" t="s">
        <v>206</v>
      </c>
      <c r="B102" s="53" t="s">
        <v>294</v>
      </c>
      <c r="C102" s="54">
        <v>14124</v>
      </c>
      <c r="D102" s="55" t="e">
        <f t="shared" si="9"/>
        <v>#NAME?</v>
      </c>
      <c r="E102" s="55" t="e">
        <f t="shared" si="10"/>
        <v>#NAME?</v>
      </c>
      <c r="F102" s="55" t="e">
        <f t="shared" si="11"/>
        <v>#NAME?</v>
      </c>
    </row>
    <row r="103" spans="1:6">
      <c r="A103" s="47" t="s">
        <v>208</v>
      </c>
      <c r="B103" s="53" t="s">
        <v>209</v>
      </c>
      <c r="C103" s="54">
        <v>7462</v>
      </c>
      <c r="D103" s="55" t="e">
        <f t="shared" si="9"/>
        <v>#NAME?</v>
      </c>
      <c r="E103" s="55" t="e">
        <f t="shared" si="10"/>
        <v>#NAME?</v>
      </c>
      <c r="F103" s="55" t="e">
        <f t="shared" si="11"/>
        <v>#NAME?</v>
      </c>
    </row>
    <row r="104" spans="1:6">
      <c r="A104" s="47" t="s">
        <v>210</v>
      </c>
      <c r="B104" s="53" t="s">
        <v>211</v>
      </c>
      <c r="C104" s="54">
        <v>5195</v>
      </c>
      <c r="D104" s="55" t="e">
        <f t="shared" si="9"/>
        <v>#NAME?</v>
      </c>
      <c r="E104" s="55" t="e">
        <f t="shared" si="10"/>
        <v>#NAME?</v>
      </c>
      <c r="F104" s="55" t="e">
        <f t="shared" si="11"/>
        <v>#NAME?</v>
      </c>
    </row>
    <row r="105" spans="1:6">
      <c r="A105" s="47" t="s">
        <v>212</v>
      </c>
      <c r="B105" s="53" t="s">
        <v>213</v>
      </c>
      <c r="C105" s="54">
        <v>5195</v>
      </c>
      <c r="D105" s="55" t="e">
        <f t="shared" si="9"/>
        <v>#NAME?</v>
      </c>
      <c r="E105" s="55" t="e">
        <f t="shared" si="10"/>
        <v>#NAME?</v>
      </c>
      <c r="F105" s="55" t="e">
        <f t="shared" si="11"/>
        <v>#NAME?</v>
      </c>
    </row>
    <row r="106" spans="1:6">
      <c r="A106" s="47" t="s">
        <v>214</v>
      </c>
      <c r="B106" s="53" t="s">
        <v>215</v>
      </c>
      <c r="C106" s="54">
        <v>7096</v>
      </c>
      <c r="D106" s="55" t="e">
        <f t="shared" si="9"/>
        <v>#NAME?</v>
      </c>
      <c r="E106" s="55" t="e">
        <f t="shared" si="10"/>
        <v>#NAME?</v>
      </c>
      <c r="F106" s="55" t="e">
        <f t="shared" si="11"/>
        <v>#NAME?</v>
      </c>
    </row>
    <row r="107" spans="1:6">
      <c r="A107" s="47" t="s">
        <v>216</v>
      </c>
      <c r="B107" s="53" t="s">
        <v>217</v>
      </c>
      <c r="C107" s="54">
        <v>3525</v>
      </c>
      <c r="D107" s="55" t="e">
        <f t="shared" si="9"/>
        <v>#NAME?</v>
      </c>
      <c r="E107" s="55" t="e">
        <f t="shared" si="10"/>
        <v>#NAME?</v>
      </c>
      <c r="F107" s="55" t="e">
        <f t="shared" si="11"/>
        <v>#NAME?</v>
      </c>
    </row>
    <row r="108" spans="1:6">
      <c r="A108" s="47" t="s">
        <v>218</v>
      </c>
      <c r="B108" s="53" t="s">
        <v>219</v>
      </c>
      <c r="C108" s="54">
        <v>10432</v>
      </c>
      <c r="D108" s="55" t="e">
        <f t="shared" si="9"/>
        <v>#NAME?</v>
      </c>
      <c r="E108" s="55" t="e">
        <f t="shared" si="10"/>
        <v>#NAME?</v>
      </c>
      <c r="F108" s="55" t="e">
        <f t="shared" si="11"/>
        <v>#NAME?</v>
      </c>
    </row>
    <row r="109" spans="1:6">
      <c r="A109" s="47" t="s">
        <v>220</v>
      </c>
      <c r="B109" s="53" t="s">
        <v>221</v>
      </c>
      <c r="C109" s="54">
        <v>9491</v>
      </c>
      <c r="D109" s="55" t="e">
        <f t="shared" si="9"/>
        <v>#NAME?</v>
      </c>
      <c r="E109" s="55" t="e">
        <f t="shared" si="10"/>
        <v>#NAME?</v>
      </c>
      <c r="F109" s="55" t="e">
        <f t="shared" si="11"/>
        <v>#NAME?</v>
      </c>
    </row>
    <row r="110" spans="1:6">
      <c r="A110" s="47" t="s">
        <v>222</v>
      </c>
      <c r="B110" s="53" t="s">
        <v>223</v>
      </c>
      <c r="C110" s="54">
        <v>12754</v>
      </c>
      <c r="D110" s="55" t="e">
        <f t="shared" si="9"/>
        <v>#NAME?</v>
      </c>
      <c r="E110" s="55" t="e">
        <f t="shared" si="10"/>
        <v>#NAME?</v>
      </c>
      <c r="F110" s="55" t="e">
        <f t="shared" si="11"/>
        <v>#NAME?</v>
      </c>
    </row>
    <row r="111" spans="1:6">
      <c r="A111" s="47" t="s">
        <v>224</v>
      </c>
      <c r="B111" s="53" t="s">
        <v>225</v>
      </c>
      <c r="C111" s="54">
        <v>1157</v>
      </c>
      <c r="D111" s="55" t="e">
        <f t="shared" si="9"/>
        <v>#NAME?</v>
      </c>
      <c r="E111" s="55" t="e">
        <f t="shared" si="10"/>
        <v>#NAME?</v>
      </c>
      <c r="F111" s="55" t="e">
        <f t="shared" si="11"/>
        <v>#NAME?</v>
      </c>
    </row>
    <row r="112" spans="1:6">
      <c r="A112" s="47" t="s">
        <v>226</v>
      </c>
      <c r="B112" s="53" t="s">
        <v>227</v>
      </c>
      <c r="C112" s="54">
        <v>2285</v>
      </c>
      <c r="D112" s="55" t="e">
        <f t="shared" si="9"/>
        <v>#NAME?</v>
      </c>
      <c r="E112" s="55" t="e">
        <f t="shared" si="10"/>
        <v>#NAME?</v>
      </c>
      <c r="F112" s="55" t="e">
        <f t="shared" si="11"/>
        <v>#NAME?</v>
      </c>
    </row>
    <row r="113" spans="1:6">
      <c r="A113" s="47" t="s">
        <v>228</v>
      </c>
      <c r="B113" s="53" t="s">
        <v>229</v>
      </c>
      <c r="C113" s="54">
        <v>10374</v>
      </c>
      <c r="D113" s="55" t="e">
        <f t="shared" si="9"/>
        <v>#NAME?</v>
      </c>
      <c r="E113" s="55" t="e">
        <f t="shared" si="10"/>
        <v>#NAME?</v>
      </c>
      <c r="F113" s="55" t="e">
        <f t="shared" si="11"/>
        <v>#NAME?</v>
      </c>
    </row>
    <row r="114" spans="1:6">
      <c r="A114" s="47" t="s">
        <v>230</v>
      </c>
      <c r="B114" s="53" t="s">
        <v>231</v>
      </c>
      <c r="C114" s="54">
        <v>37990</v>
      </c>
      <c r="D114" s="55" t="e">
        <f t="shared" si="9"/>
        <v>#NAME?</v>
      </c>
      <c r="E114" s="55" t="e">
        <f t="shared" si="10"/>
        <v>#NAME?</v>
      </c>
      <c r="F114" s="55" t="e">
        <f t="shared" si="11"/>
        <v>#NAME?</v>
      </c>
    </row>
    <row r="115" spans="1:6">
      <c r="A115" s="47" t="s">
        <v>232</v>
      </c>
      <c r="B115" s="53" t="s">
        <v>233</v>
      </c>
      <c r="C115" s="54">
        <v>4412</v>
      </c>
      <c r="D115" s="55" t="e">
        <f t="shared" si="9"/>
        <v>#NAME?</v>
      </c>
      <c r="E115" s="55" t="e">
        <f t="shared" si="10"/>
        <v>#NAME?</v>
      </c>
      <c r="F115" s="55" t="e">
        <f t="shared" si="11"/>
        <v>#NAME?</v>
      </c>
    </row>
    <row r="116" spans="1:6">
      <c r="A116" s="47" t="s">
        <v>234</v>
      </c>
      <c r="B116" s="53" t="s">
        <v>235</v>
      </c>
      <c r="C116" s="54">
        <v>8608</v>
      </c>
      <c r="D116" s="55" t="e">
        <f t="shared" si="9"/>
        <v>#NAME?</v>
      </c>
      <c r="E116" s="55" t="e">
        <f t="shared" si="10"/>
        <v>#NAME?</v>
      </c>
      <c r="F116" s="55" t="e">
        <f t="shared" si="11"/>
        <v>#NAME?</v>
      </c>
    </row>
    <row r="117" spans="1:6">
      <c r="A117" s="47" t="s">
        <v>236</v>
      </c>
      <c r="B117" s="53" t="s">
        <v>237</v>
      </c>
      <c r="C117" s="54">
        <v>3160</v>
      </c>
      <c r="D117" s="55" t="e">
        <f t="shared" si="9"/>
        <v>#NAME?</v>
      </c>
      <c r="E117" s="55" t="e">
        <f t="shared" si="10"/>
        <v>#NAME?</v>
      </c>
      <c r="F117" s="55" t="e">
        <f t="shared" si="11"/>
        <v>#NAME?</v>
      </c>
    </row>
    <row r="118" spans="1:6">
      <c r="A118" s="47" t="s">
        <v>238</v>
      </c>
      <c r="B118" s="53" t="s">
        <v>239</v>
      </c>
      <c r="C118" s="54">
        <v>969</v>
      </c>
      <c r="D118" s="55" t="e">
        <f t="shared" si="9"/>
        <v>#NAME?</v>
      </c>
      <c r="E118" s="55" t="e">
        <f t="shared" si="10"/>
        <v>#NAME?</v>
      </c>
      <c r="F118" s="55" t="e">
        <f t="shared" si="11"/>
        <v>#NAME?</v>
      </c>
    </row>
    <row r="119" spans="1:6">
      <c r="A119" s="47" t="s">
        <v>240</v>
      </c>
      <c r="B119" s="53" t="s">
        <v>241</v>
      </c>
      <c r="C119" s="54">
        <v>4206</v>
      </c>
      <c r="D119" s="55" t="e">
        <f t="shared" si="9"/>
        <v>#NAME?</v>
      </c>
      <c r="E119" s="55" t="e">
        <f t="shared" si="10"/>
        <v>#NAME?</v>
      </c>
      <c r="F119" s="55" t="e">
        <f t="shared" si="11"/>
        <v>#NAME?</v>
      </c>
    </row>
    <row r="120" spans="1:6">
      <c r="A120" s="47" t="s">
        <v>242</v>
      </c>
      <c r="B120" s="53" t="s">
        <v>243</v>
      </c>
      <c r="C120" s="54">
        <v>11327</v>
      </c>
      <c r="D120" s="55" t="e">
        <f t="shared" si="9"/>
        <v>#NAME?</v>
      </c>
      <c r="E120" s="55" t="e">
        <f t="shared" si="10"/>
        <v>#NAME?</v>
      </c>
      <c r="F120" s="55" t="e">
        <f t="shared" si="11"/>
        <v>#NAME?</v>
      </c>
    </row>
    <row r="121" spans="1:6">
      <c r="A121" s="47" t="s">
        <v>244</v>
      </c>
      <c r="B121" s="53" t="s">
        <v>245</v>
      </c>
      <c r="C121" s="54">
        <v>5359</v>
      </c>
      <c r="D121" s="55" t="e">
        <f t="shared" si="9"/>
        <v>#NAME?</v>
      </c>
      <c r="E121" s="55" t="e">
        <f t="shared" si="10"/>
        <v>#NAME?</v>
      </c>
      <c r="F121" s="55" t="e">
        <f t="shared" si="11"/>
        <v>#NAME?</v>
      </c>
    </row>
    <row r="122" spans="1:6">
      <c r="A122" s="47" t="s">
        <v>246</v>
      </c>
      <c r="B122" s="53" t="s">
        <v>247</v>
      </c>
      <c r="C122" s="54">
        <v>3577</v>
      </c>
      <c r="D122" s="55" t="e">
        <f t="shared" si="9"/>
        <v>#NAME?</v>
      </c>
      <c r="E122" s="55" t="e">
        <f t="shared" si="10"/>
        <v>#NAME?</v>
      </c>
      <c r="F122" s="55" t="e">
        <f t="shared" si="11"/>
        <v>#NAME?</v>
      </c>
    </row>
    <row r="123" spans="1:6">
      <c r="B123" s="56"/>
      <c r="C123" s="54">
        <f>SUM(C3:C122)</f>
        <v>983399</v>
      </c>
      <c r="D123" s="54" t="e">
        <f>SUM(D3:D122)</f>
        <v>#NAME?</v>
      </c>
      <c r="E123" s="54" t="e">
        <f>SUM(E3:E122)</f>
        <v>#NAME?</v>
      </c>
      <c r="F123" s="54" t="e">
        <f>SUM(F3:F122)</f>
        <v>#NAME?</v>
      </c>
    </row>
    <row r="124" spans="1:6">
      <c r="B124" s="56"/>
      <c r="C124" s="3"/>
      <c r="D124" s="57"/>
    </row>
    <row r="125" spans="1:6">
      <c r="B125" s="58"/>
      <c r="C125" s="59">
        <v>983399</v>
      </c>
      <c r="D125" s="50" t="e">
        <f>VLOOKUP(B125,_med2008,2,FALSE)</f>
        <v>#NAME?</v>
      </c>
    </row>
    <row r="126" spans="1:6" s="62" customFormat="1">
      <c r="B126" s="60">
        <v>40714</v>
      </c>
      <c r="C126" s="4" t="s">
        <v>548</v>
      </c>
      <c r="D126" s="61">
        <v>0.47415509</v>
      </c>
    </row>
  </sheetData>
  <pageMargins left="0.75" right="0.75" top="1" bottom="1" header="0.5" footer="0.5"/>
  <pageSetup orientation="portrait" r:id="rId1"/>
  <drawing r:id="rId2"/>
</worksheet>
</file>

<file path=xl/worksheets/sheet59.xml><?xml version="1.0" encoding="utf-8"?>
<worksheet xmlns="http://schemas.openxmlformats.org/spreadsheetml/2006/main" xmlns:r="http://schemas.openxmlformats.org/officeDocument/2006/relationships">
  <dimension ref="A1:Z133"/>
  <sheetViews>
    <sheetView workbookViewId="0">
      <pane xSplit="3" ySplit="6" topLeftCell="D103" activePane="bottomRight" state="frozen"/>
      <selection pane="topRight" activeCell="E1" sqref="E1"/>
      <selection pane="bottomLeft" activeCell="A7" sqref="A7"/>
      <selection pane="bottomRight" activeCell="R109" sqref="R109"/>
    </sheetView>
  </sheetViews>
  <sheetFormatPr defaultRowHeight="15.75"/>
  <cols>
    <col min="1" max="1" width="6.125" style="271" bestFit="1" customWidth="1"/>
    <col min="2" max="2" width="26.375" style="775" customWidth="1"/>
    <col min="3" max="3" width="10.375" style="775" customWidth="1"/>
    <col min="4" max="15" width="8.625" style="271" customWidth="1"/>
    <col min="16" max="19" width="9.875" style="271" customWidth="1"/>
    <col min="20" max="20" width="16.125" style="271" customWidth="1"/>
    <col min="21" max="21" width="2.375" style="271" customWidth="1"/>
    <col min="22" max="22" width="2.5" style="271" customWidth="1"/>
    <col min="23" max="16384" width="9" style="271"/>
  </cols>
  <sheetData>
    <row r="1" spans="1:26">
      <c r="A1" s="64" t="s">
        <v>960</v>
      </c>
      <c r="B1" s="271"/>
      <c r="C1" s="271"/>
    </row>
    <row r="3" spans="1:26">
      <c r="B3" s="271"/>
      <c r="C3" s="271"/>
    </row>
    <row r="4" spans="1:26" ht="15.75" customHeight="1">
      <c r="D4" s="1952" t="s">
        <v>647</v>
      </c>
      <c r="E4" s="1954"/>
      <c r="F4" s="1954"/>
      <c r="G4" s="1955"/>
      <c r="H4" s="1952" t="s">
        <v>665</v>
      </c>
      <c r="I4" s="1954"/>
      <c r="J4" s="1954"/>
      <c r="K4" s="1955"/>
      <c r="L4" s="1952" t="s">
        <v>666</v>
      </c>
      <c r="M4" s="1954"/>
      <c r="N4" s="1954"/>
      <c r="O4" s="1955"/>
      <c r="P4" s="1956" t="s">
        <v>728</v>
      </c>
      <c r="Q4" s="1959" t="s">
        <v>862</v>
      </c>
      <c r="R4" s="1960"/>
      <c r="S4" s="1961"/>
      <c r="T4" s="1958" t="s">
        <v>729</v>
      </c>
      <c r="W4" s="1952" t="s">
        <v>667</v>
      </c>
      <c r="X4" s="1953"/>
      <c r="Y4" s="1954"/>
      <c r="Z4" s="1955"/>
    </row>
    <row r="5" spans="1:26">
      <c r="A5" s="776" t="s">
        <v>4</v>
      </c>
      <c r="B5" s="777" t="s">
        <v>657</v>
      </c>
      <c r="C5" s="777" t="s">
        <v>251</v>
      </c>
      <c r="D5" s="760" t="s">
        <v>859</v>
      </c>
      <c r="E5" s="761" t="s">
        <v>860</v>
      </c>
      <c r="F5" s="761" t="s">
        <v>825</v>
      </c>
      <c r="G5" s="762" t="s">
        <v>645</v>
      </c>
      <c r="H5" s="760" t="s">
        <v>859</v>
      </c>
      <c r="I5" s="761" t="s">
        <v>860</v>
      </c>
      <c r="J5" s="761" t="s">
        <v>825</v>
      </c>
      <c r="K5" s="407" t="s">
        <v>645</v>
      </c>
      <c r="L5" s="760" t="s">
        <v>859</v>
      </c>
      <c r="M5" s="761" t="s">
        <v>860</v>
      </c>
      <c r="N5" s="761" t="s">
        <v>825</v>
      </c>
      <c r="O5" s="407" t="s">
        <v>645</v>
      </c>
      <c r="P5" s="1957"/>
      <c r="Q5" s="1021" t="s">
        <v>859</v>
      </c>
      <c r="R5" s="1021" t="s">
        <v>860</v>
      </c>
      <c r="S5" s="1021" t="s">
        <v>825</v>
      </c>
      <c r="T5" s="1958"/>
      <c r="W5" s="763" t="s">
        <v>859</v>
      </c>
      <c r="X5" s="764" t="s">
        <v>860</v>
      </c>
      <c r="Y5" s="765" t="s">
        <v>825</v>
      </c>
      <c r="Z5" s="766" t="s">
        <v>281</v>
      </c>
    </row>
    <row r="6" spans="1:26">
      <c r="A6" s="778" t="s">
        <v>8</v>
      </c>
      <c r="B6" s="779" t="s">
        <v>9</v>
      </c>
      <c r="C6" s="779"/>
      <c r="D6" s="797">
        <f>SUM(D7:D126)</f>
        <v>5681</v>
      </c>
      <c r="E6" s="798">
        <f t="shared" ref="E6:J6" si="0">SUM(E7:E126)</f>
        <v>2828</v>
      </c>
      <c r="F6" s="798">
        <f t="shared" si="0"/>
        <v>271</v>
      </c>
      <c r="G6" s="799">
        <f t="shared" ref="G6:G37" si="1">SUM(D6:F6)</f>
        <v>8780</v>
      </c>
      <c r="H6" s="798">
        <f t="shared" si="0"/>
        <v>1111</v>
      </c>
      <c r="I6" s="798">
        <f t="shared" si="0"/>
        <v>539</v>
      </c>
      <c r="J6" s="798">
        <f t="shared" si="0"/>
        <v>124</v>
      </c>
      <c r="K6" s="799">
        <f t="shared" ref="K6:K37" si="2">SUM(H6:J6)</f>
        <v>1774</v>
      </c>
      <c r="L6" s="800">
        <f>SUM(L7:L126)</f>
        <v>12</v>
      </c>
      <c r="M6" s="801">
        <f>SUM(M7:M126)</f>
        <v>8</v>
      </c>
      <c r="N6" s="801">
        <f>SUM(N7:N126)</f>
        <v>0</v>
      </c>
      <c r="O6" s="802">
        <f t="shared" ref="O6:O37" si="3">SUM(L6:N6)</f>
        <v>20</v>
      </c>
      <c r="P6" s="803">
        <f t="shared" ref="P6:P37" si="4">G6+K6+O6</f>
        <v>10574</v>
      </c>
      <c r="Q6" s="803">
        <f>D6+H6</f>
        <v>6792</v>
      </c>
      <c r="R6" s="803">
        <f>E6+I6</f>
        <v>3367</v>
      </c>
      <c r="S6" s="803">
        <f>F6+J6</f>
        <v>395</v>
      </c>
      <c r="T6" s="803">
        <f>G6+K6</f>
        <v>10554</v>
      </c>
      <c r="W6" s="795">
        <f>IF((D6+H6)=0,"NA",(H6/(D6+H6)))</f>
        <v>0.16357479387514723</v>
      </c>
      <c r="X6" s="795">
        <f>IF((E6+I6)=0,"NA",(I6/(E6+I6)))</f>
        <v>0.16008316008316009</v>
      </c>
      <c r="Y6" s="795">
        <f>IF((F6+J6)=0,"NA",(J6/(F6+J6)))</f>
        <v>0.3139240506329114</v>
      </c>
      <c r="Z6" s="796">
        <f>IF((G6+K6)=0,"NA",(K6/(G6+K6)))</f>
        <v>0.16808792874739437</v>
      </c>
    </row>
    <row r="7" spans="1:26">
      <c r="A7" s="550" t="s">
        <v>10</v>
      </c>
      <c r="B7" s="478" t="s">
        <v>11</v>
      </c>
      <c r="C7" s="505" t="s">
        <v>264</v>
      </c>
      <c r="D7" s="780">
        <v>35</v>
      </c>
      <c r="E7" s="781">
        <v>17</v>
      </c>
      <c r="F7" s="781"/>
      <c r="G7" s="318">
        <f t="shared" si="1"/>
        <v>52</v>
      </c>
      <c r="H7" s="780">
        <v>12</v>
      </c>
      <c r="I7" s="781">
        <v>7</v>
      </c>
      <c r="J7" s="781"/>
      <c r="K7" s="318">
        <f t="shared" si="2"/>
        <v>19</v>
      </c>
      <c r="L7" s="780"/>
      <c r="M7" s="781"/>
      <c r="N7" s="781"/>
      <c r="O7" s="318">
        <f t="shared" si="3"/>
        <v>0</v>
      </c>
      <c r="P7" s="782">
        <f t="shared" si="4"/>
        <v>71</v>
      </c>
      <c r="Q7" s="1022">
        <f t="shared" ref="Q7:Q70" si="5">D7+H7</f>
        <v>47</v>
      </c>
      <c r="R7" s="1022">
        <f t="shared" ref="R7:R70" si="6">E7+I7</f>
        <v>24</v>
      </c>
      <c r="S7" s="1022">
        <f t="shared" ref="S7:S70" si="7">F7+J7</f>
        <v>0</v>
      </c>
      <c r="T7" s="782">
        <f t="shared" ref="T7:T38" si="8">G7+K7</f>
        <v>71</v>
      </c>
      <c r="W7" s="783">
        <f t="shared" ref="W7:W70" si="9">IF((D7+H7)=0,"NA",(H7/(D7+H7)))</f>
        <v>0.25531914893617019</v>
      </c>
      <c r="X7" s="784">
        <f t="shared" ref="X7:X70" si="10">IF((E7+I7)=0,"NA",(I7/(E7+I7)))</f>
        <v>0.29166666666666669</v>
      </c>
      <c r="Y7" s="785" t="str">
        <f t="shared" ref="Y7:Y70" si="11">IF((F7+J7)=0,"NA",(J7/(F7+J7)))</f>
        <v>NA</v>
      </c>
      <c r="Z7" s="786">
        <f t="shared" ref="Z7:Z70" si="12">IF((G7+K7)=0,"NA",(K7/(G7+K7)))</f>
        <v>0.26760563380281688</v>
      </c>
    </row>
    <row r="8" spans="1:26">
      <c r="A8" s="550" t="s">
        <v>12</v>
      </c>
      <c r="B8" s="478" t="s">
        <v>13</v>
      </c>
      <c r="C8" s="505" t="s">
        <v>265</v>
      </c>
      <c r="D8" s="780">
        <v>77</v>
      </c>
      <c r="E8" s="781">
        <v>39</v>
      </c>
      <c r="F8" s="781">
        <v>8</v>
      </c>
      <c r="G8" s="318">
        <f t="shared" si="1"/>
        <v>124</v>
      </c>
      <c r="H8" s="780">
        <v>1</v>
      </c>
      <c r="I8" s="781"/>
      <c r="J8" s="781"/>
      <c r="K8" s="318">
        <f t="shared" si="2"/>
        <v>1</v>
      </c>
      <c r="L8" s="780"/>
      <c r="M8" s="781"/>
      <c r="N8" s="781"/>
      <c r="O8" s="318">
        <f t="shared" si="3"/>
        <v>0</v>
      </c>
      <c r="P8" s="782">
        <f t="shared" si="4"/>
        <v>125</v>
      </c>
      <c r="Q8" s="1022">
        <f t="shared" si="5"/>
        <v>78</v>
      </c>
      <c r="R8" s="1022">
        <f t="shared" si="6"/>
        <v>39</v>
      </c>
      <c r="S8" s="1022">
        <f t="shared" si="7"/>
        <v>8</v>
      </c>
      <c r="T8" s="782">
        <f t="shared" si="8"/>
        <v>125</v>
      </c>
      <c r="W8" s="783">
        <f t="shared" si="9"/>
        <v>1.282051282051282E-2</v>
      </c>
      <c r="X8" s="784">
        <f t="shared" si="10"/>
        <v>0</v>
      </c>
      <c r="Y8" s="785">
        <f t="shared" si="11"/>
        <v>0</v>
      </c>
      <c r="Z8" s="786">
        <f t="shared" si="12"/>
        <v>8.0000000000000002E-3</v>
      </c>
    </row>
    <row r="9" spans="1:26">
      <c r="A9" s="550" t="s">
        <v>16</v>
      </c>
      <c r="B9" s="478" t="s">
        <v>297</v>
      </c>
      <c r="C9" s="505" t="s">
        <v>265</v>
      </c>
      <c r="D9" s="780">
        <v>26</v>
      </c>
      <c r="E9" s="781">
        <v>12</v>
      </c>
      <c r="F9" s="781"/>
      <c r="G9" s="318">
        <f t="shared" si="1"/>
        <v>38</v>
      </c>
      <c r="H9" s="780">
        <v>8</v>
      </c>
      <c r="I9" s="781">
        <v>6</v>
      </c>
      <c r="J9" s="781"/>
      <c r="K9" s="318">
        <f t="shared" si="2"/>
        <v>14</v>
      </c>
      <c r="L9" s="780"/>
      <c r="M9" s="781"/>
      <c r="N9" s="781"/>
      <c r="O9" s="318">
        <f t="shared" si="3"/>
        <v>0</v>
      </c>
      <c r="P9" s="782">
        <f t="shared" si="4"/>
        <v>52</v>
      </c>
      <c r="Q9" s="1022">
        <f t="shared" si="5"/>
        <v>34</v>
      </c>
      <c r="R9" s="1022">
        <f t="shared" si="6"/>
        <v>18</v>
      </c>
      <c r="S9" s="1022">
        <f t="shared" si="7"/>
        <v>0</v>
      </c>
      <c r="T9" s="782">
        <f t="shared" si="8"/>
        <v>52</v>
      </c>
      <c r="W9" s="783">
        <f t="shared" si="9"/>
        <v>0.23529411764705882</v>
      </c>
      <c r="X9" s="784">
        <f t="shared" si="10"/>
        <v>0.33333333333333331</v>
      </c>
      <c r="Y9" s="785" t="str">
        <f t="shared" si="11"/>
        <v>NA</v>
      </c>
      <c r="Z9" s="786">
        <f t="shared" si="12"/>
        <v>0.26923076923076922</v>
      </c>
    </row>
    <row r="10" spans="1:26">
      <c r="A10" s="550" t="s">
        <v>18</v>
      </c>
      <c r="B10" s="478" t="s">
        <v>19</v>
      </c>
      <c r="C10" s="505" t="s">
        <v>266</v>
      </c>
      <c r="D10" s="780">
        <v>9</v>
      </c>
      <c r="E10" s="781">
        <v>6</v>
      </c>
      <c r="F10" s="781"/>
      <c r="G10" s="318">
        <f t="shared" si="1"/>
        <v>15</v>
      </c>
      <c r="H10" s="780">
        <v>1</v>
      </c>
      <c r="I10" s="781"/>
      <c r="J10" s="781"/>
      <c r="K10" s="318">
        <f t="shared" si="2"/>
        <v>1</v>
      </c>
      <c r="L10" s="780"/>
      <c r="M10" s="781"/>
      <c r="N10" s="781"/>
      <c r="O10" s="318">
        <f t="shared" si="3"/>
        <v>0</v>
      </c>
      <c r="P10" s="782">
        <f t="shared" si="4"/>
        <v>16</v>
      </c>
      <c r="Q10" s="1022">
        <f t="shared" si="5"/>
        <v>10</v>
      </c>
      <c r="R10" s="1022">
        <f t="shared" si="6"/>
        <v>6</v>
      </c>
      <c r="S10" s="1022">
        <f t="shared" si="7"/>
        <v>0</v>
      </c>
      <c r="T10" s="782">
        <f t="shared" si="8"/>
        <v>16</v>
      </c>
      <c r="W10" s="783">
        <f t="shared" si="9"/>
        <v>0.1</v>
      </c>
      <c r="X10" s="784">
        <f t="shared" si="10"/>
        <v>0</v>
      </c>
      <c r="Y10" s="785" t="str">
        <f t="shared" si="11"/>
        <v>NA</v>
      </c>
      <c r="Z10" s="786">
        <f t="shared" si="12"/>
        <v>6.25E-2</v>
      </c>
    </row>
    <row r="11" spans="1:26">
      <c r="A11" s="550" t="s">
        <v>20</v>
      </c>
      <c r="B11" s="478" t="s">
        <v>21</v>
      </c>
      <c r="C11" s="505" t="s">
        <v>265</v>
      </c>
      <c r="D11" s="780">
        <v>26</v>
      </c>
      <c r="E11" s="781">
        <v>9</v>
      </c>
      <c r="F11" s="781"/>
      <c r="G11" s="318">
        <f t="shared" si="1"/>
        <v>35</v>
      </c>
      <c r="H11" s="780">
        <v>2</v>
      </c>
      <c r="I11" s="781">
        <v>1</v>
      </c>
      <c r="J11" s="781"/>
      <c r="K11" s="318">
        <f t="shared" si="2"/>
        <v>3</v>
      </c>
      <c r="L11" s="780"/>
      <c r="M11" s="781"/>
      <c r="N11" s="781"/>
      <c r="O11" s="318">
        <f t="shared" si="3"/>
        <v>0</v>
      </c>
      <c r="P11" s="782">
        <f t="shared" si="4"/>
        <v>38</v>
      </c>
      <c r="Q11" s="1022">
        <f t="shared" si="5"/>
        <v>28</v>
      </c>
      <c r="R11" s="1022">
        <f t="shared" si="6"/>
        <v>10</v>
      </c>
      <c r="S11" s="1022">
        <f t="shared" si="7"/>
        <v>0</v>
      </c>
      <c r="T11" s="782">
        <f t="shared" si="8"/>
        <v>38</v>
      </c>
      <c r="W11" s="783">
        <f t="shared" si="9"/>
        <v>7.1428571428571425E-2</v>
      </c>
      <c r="X11" s="784">
        <f t="shared" si="10"/>
        <v>0.1</v>
      </c>
      <c r="Y11" s="785" t="str">
        <f t="shared" si="11"/>
        <v>NA</v>
      </c>
      <c r="Z11" s="786">
        <f t="shared" si="12"/>
        <v>7.8947368421052627E-2</v>
      </c>
    </row>
    <row r="12" spans="1:26">
      <c r="A12" s="550" t="s">
        <v>22</v>
      </c>
      <c r="B12" s="478" t="s">
        <v>23</v>
      </c>
      <c r="C12" s="505" t="s">
        <v>265</v>
      </c>
      <c r="D12" s="780">
        <v>13</v>
      </c>
      <c r="E12" s="781">
        <v>7</v>
      </c>
      <c r="F12" s="781"/>
      <c r="G12" s="318">
        <f t="shared" si="1"/>
        <v>20</v>
      </c>
      <c r="H12" s="780">
        <v>1</v>
      </c>
      <c r="I12" s="781">
        <v>1</v>
      </c>
      <c r="J12" s="781"/>
      <c r="K12" s="318">
        <f t="shared" si="2"/>
        <v>2</v>
      </c>
      <c r="L12" s="780"/>
      <c r="M12" s="781"/>
      <c r="N12" s="781"/>
      <c r="O12" s="318">
        <f t="shared" si="3"/>
        <v>0</v>
      </c>
      <c r="P12" s="782">
        <f t="shared" si="4"/>
        <v>22</v>
      </c>
      <c r="Q12" s="1022">
        <f t="shared" si="5"/>
        <v>14</v>
      </c>
      <c r="R12" s="1022">
        <f t="shared" si="6"/>
        <v>8</v>
      </c>
      <c r="S12" s="1022">
        <f t="shared" si="7"/>
        <v>0</v>
      </c>
      <c r="T12" s="782">
        <f t="shared" si="8"/>
        <v>22</v>
      </c>
      <c r="W12" s="783">
        <f t="shared" si="9"/>
        <v>7.1428571428571425E-2</v>
      </c>
      <c r="X12" s="784">
        <f t="shared" si="10"/>
        <v>0.125</v>
      </c>
      <c r="Y12" s="785" t="str">
        <f t="shared" si="11"/>
        <v>NA</v>
      </c>
      <c r="Z12" s="786">
        <f t="shared" si="12"/>
        <v>9.0909090909090912E-2</v>
      </c>
    </row>
    <row r="13" spans="1:26">
      <c r="A13" s="550" t="s">
        <v>24</v>
      </c>
      <c r="B13" s="478" t="s">
        <v>25</v>
      </c>
      <c r="C13" s="505" t="s">
        <v>267</v>
      </c>
      <c r="D13" s="780">
        <v>105</v>
      </c>
      <c r="E13" s="781">
        <v>55</v>
      </c>
      <c r="F13" s="781">
        <v>3</v>
      </c>
      <c r="G13" s="318">
        <f t="shared" si="1"/>
        <v>163</v>
      </c>
      <c r="H13" s="780">
        <v>9</v>
      </c>
      <c r="I13" s="781">
        <v>5</v>
      </c>
      <c r="J13" s="781"/>
      <c r="K13" s="318">
        <f t="shared" si="2"/>
        <v>14</v>
      </c>
      <c r="L13" s="780"/>
      <c r="M13" s="781"/>
      <c r="N13" s="781"/>
      <c r="O13" s="318">
        <f t="shared" si="3"/>
        <v>0</v>
      </c>
      <c r="P13" s="782">
        <f t="shared" si="4"/>
        <v>177</v>
      </c>
      <c r="Q13" s="1022">
        <f t="shared" si="5"/>
        <v>114</v>
      </c>
      <c r="R13" s="1022">
        <f t="shared" si="6"/>
        <v>60</v>
      </c>
      <c r="S13" s="1022">
        <f t="shared" si="7"/>
        <v>3</v>
      </c>
      <c r="T13" s="782">
        <f t="shared" si="8"/>
        <v>177</v>
      </c>
      <c r="W13" s="783">
        <f t="shared" si="9"/>
        <v>7.8947368421052627E-2</v>
      </c>
      <c r="X13" s="784">
        <f t="shared" si="10"/>
        <v>8.3333333333333329E-2</v>
      </c>
      <c r="Y13" s="785">
        <f t="shared" si="11"/>
        <v>0</v>
      </c>
      <c r="Z13" s="786">
        <f t="shared" si="12"/>
        <v>7.909604519774012E-2</v>
      </c>
    </row>
    <row r="14" spans="1:26">
      <c r="A14" s="550" t="s">
        <v>26</v>
      </c>
      <c r="B14" s="478" t="s">
        <v>298</v>
      </c>
      <c r="C14" s="505" t="s">
        <v>265</v>
      </c>
      <c r="D14" s="780">
        <v>100</v>
      </c>
      <c r="E14" s="781">
        <v>46</v>
      </c>
      <c r="F14" s="781">
        <v>1</v>
      </c>
      <c r="G14" s="318">
        <f t="shared" si="1"/>
        <v>147</v>
      </c>
      <c r="H14" s="780">
        <v>13</v>
      </c>
      <c r="I14" s="781">
        <v>9</v>
      </c>
      <c r="J14" s="781">
        <v>1</v>
      </c>
      <c r="K14" s="318">
        <f t="shared" si="2"/>
        <v>23</v>
      </c>
      <c r="L14" s="780"/>
      <c r="M14" s="781"/>
      <c r="N14" s="781"/>
      <c r="O14" s="318">
        <f t="shared" si="3"/>
        <v>0</v>
      </c>
      <c r="P14" s="782">
        <f t="shared" si="4"/>
        <v>170</v>
      </c>
      <c r="Q14" s="1022">
        <f t="shared" si="5"/>
        <v>113</v>
      </c>
      <c r="R14" s="1022">
        <f t="shared" si="6"/>
        <v>55</v>
      </c>
      <c r="S14" s="1022">
        <f t="shared" si="7"/>
        <v>2</v>
      </c>
      <c r="T14" s="782">
        <f t="shared" si="8"/>
        <v>170</v>
      </c>
      <c r="W14" s="783">
        <f t="shared" si="9"/>
        <v>0.11504424778761062</v>
      </c>
      <c r="X14" s="784">
        <f t="shared" si="10"/>
        <v>0.16363636363636364</v>
      </c>
      <c r="Y14" s="785">
        <f t="shared" si="11"/>
        <v>0.5</v>
      </c>
      <c r="Z14" s="786">
        <f t="shared" si="12"/>
        <v>0.13529411764705881</v>
      </c>
    </row>
    <row r="15" spans="1:26">
      <c r="A15" s="550" t="s">
        <v>27</v>
      </c>
      <c r="B15" s="478" t="s">
        <v>28</v>
      </c>
      <c r="C15" s="505" t="s">
        <v>265</v>
      </c>
      <c r="D15" s="780">
        <v>4</v>
      </c>
      <c r="E15" s="781">
        <v>4</v>
      </c>
      <c r="F15" s="781"/>
      <c r="G15" s="318">
        <f t="shared" si="1"/>
        <v>8</v>
      </c>
      <c r="H15" s="780"/>
      <c r="I15" s="781"/>
      <c r="J15" s="781"/>
      <c r="K15" s="318">
        <f t="shared" si="2"/>
        <v>0</v>
      </c>
      <c r="L15" s="780"/>
      <c r="M15" s="781"/>
      <c r="N15" s="781"/>
      <c r="O15" s="318">
        <f t="shared" si="3"/>
        <v>0</v>
      </c>
      <c r="P15" s="782">
        <f t="shared" si="4"/>
        <v>8</v>
      </c>
      <c r="Q15" s="1022">
        <f t="shared" si="5"/>
        <v>4</v>
      </c>
      <c r="R15" s="1022">
        <f t="shared" si="6"/>
        <v>4</v>
      </c>
      <c r="S15" s="1022">
        <f t="shared" si="7"/>
        <v>0</v>
      </c>
      <c r="T15" s="782">
        <f t="shared" si="8"/>
        <v>8</v>
      </c>
      <c r="W15" s="783">
        <f t="shared" si="9"/>
        <v>0</v>
      </c>
      <c r="X15" s="784">
        <f t="shared" si="10"/>
        <v>0</v>
      </c>
      <c r="Y15" s="785" t="str">
        <f t="shared" si="11"/>
        <v>NA</v>
      </c>
      <c r="Z15" s="786">
        <f t="shared" si="12"/>
        <v>0</v>
      </c>
    </row>
    <row r="16" spans="1:26">
      <c r="A16" s="550" t="s">
        <v>29</v>
      </c>
      <c r="B16" s="478" t="s">
        <v>1012</v>
      </c>
      <c r="C16" s="505" t="s">
        <v>265</v>
      </c>
      <c r="D16" s="780">
        <v>52</v>
      </c>
      <c r="E16" s="781">
        <v>24</v>
      </c>
      <c r="F16" s="781">
        <v>5</v>
      </c>
      <c r="G16" s="318">
        <f t="shared" si="1"/>
        <v>81</v>
      </c>
      <c r="H16" s="780">
        <v>6</v>
      </c>
      <c r="I16" s="781">
        <v>2</v>
      </c>
      <c r="J16" s="781"/>
      <c r="K16" s="318">
        <f t="shared" si="2"/>
        <v>8</v>
      </c>
      <c r="L16" s="780"/>
      <c r="M16" s="781"/>
      <c r="N16" s="781"/>
      <c r="O16" s="318">
        <f t="shared" si="3"/>
        <v>0</v>
      </c>
      <c r="P16" s="782">
        <f t="shared" si="4"/>
        <v>89</v>
      </c>
      <c r="Q16" s="1022">
        <f t="shared" si="5"/>
        <v>58</v>
      </c>
      <c r="R16" s="1022">
        <f t="shared" si="6"/>
        <v>26</v>
      </c>
      <c r="S16" s="1022">
        <f t="shared" si="7"/>
        <v>5</v>
      </c>
      <c r="T16" s="782">
        <f t="shared" si="8"/>
        <v>89</v>
      </c>
      <c r="W16" s="783">
        <f t="shared" si="9"/>
        <v>0.10344827586206896</v>
      </c>
      <c r="X16" s="784">
        <f t="shared" si="10"/>
        <v>7.6923076923076927E-2</v>
      </c>
      <c r="Y16" s="785">
        <f t="shared" si="11"/>
        <v>0</v>
      </c>
      <c r="Z16" s="786">
        <f t="shared" si="12"/>
        <v>8.98876404494382E-2</v>
      </c>
    </row>
    <row r="17" spans="1:26">
      <c r="A17" s="550" t="s">
        <v>30</v>
      </c>
      <c r="B17" s="478" t="s">
        <v>31</v>
      </c>
      <c r="C17" s="505" t="s">
        <v>268</v>
      </c>
      <c r="D17" s="780">
        <v>8</v>
      </c>
      <c r="E17" s="781">
        <v>5</v>
      </c>
      <c r="F17" s="781"/>
      <c r="G17" s="318">
        <f t="shared" si="1"/>
        <v>13</v>
      </c>
      <c r="H17" s="780">
        <v>1</v>
      </c>
      <c r="I17" s="781">
        <v>1</v>
      </c>
      <c r="J17" s="781"/>
      <c r="K17" s="318">
        <f t="shared" si="2"/>
        <v>2</v>
      </c>
      <c r="L17" s="780"/>
      <c r="M17" s="781"/>
      <c r="N17" s="781"/>
      <c r="O17" s="318">
        <f t="shared" si="3"/>
        <v>0</v>
      </c>
      <c r="P17" s="782">
        <f t="shared" si="4"/>
        <v>15</v>
      </c>
      <c r="Q17" s="1022">
        <f t="shared" si="5"/>
        <v>9</v>
      </c>
      <c r="R17" s="1022">
        <f t="shared" si="6"/>
        <v>6</v>
      </c>
      <c r="S17" s="1022">
        <f t="shared" si="7"/>
        <v>0</v>
      </c>
      <c r="T17" s="782">
        <f t="shared" si="8"/>
        <v>15</v>
      </c>
      <c r="W17" s="783">
        <f t="shared" si="9"/>
        <v>0.1111111111111111</v>
      </c>
      <c r="X17" s="784">
        <f t="shared" si="10"/>
        <v>0.16666666666666666</v>
      </c>
      <c r="Y17" s="785" t="str">
        <f t="shared" si="11"/>
        <v>NA</v>
      </c>
      <c r="Z17" s="786">
        <f t="shared" si="12"/>
        <v>0.13333333333333333</v>
      </c>
    </row>
    <row r="18" spans="1:26">
      <c r="A18" s="550" t="s">
        <v>32</v>
      </c>
      <c r="B18" s="478" t="s">
        <v>33</v>
      </c>
      <c r="C18" s="505" t="s">
        <v>265</v>
      </c>
      <c r="D18" s="780">
        <v>13</v>
      </c>
      <c r="E18" s="781">
        <v>7</v>
      </c>
      <c r="F18" s="781"/>
      <c r="G18" s="318">
        <f t="shared" si="1"/>
        <v>20</v>
      </c>
      <c r="H18" s="780">
        <v>3</v>
      </c>
      <c r="I18" s="781">
        <v>1</v>
      </c>
      <c r="J18" s="781"/>
      <c r="K18" s="318">
        <f t="shared" si="2"/>
        <v>4</v>
      </c>
      <c r="L18" s="780"/>
      <c r="M18" s="781"/>
      <c r="N18" s="781"/>
      <c r="O18" s="318">
        <f t="shared" si="3"/>
        <v>0</v>
      </c>
      <c r="P18" s="782">
        <f t="shared" si="4"/>
        <v>24</v>
      </c>
      <c r="Q18" s="1022">
        <f t="shared" si="5"/>
        <v>16</v>
      </c>
      <c r="R18" s="1022">
        <f t="shared" si="6"/>
        <v>8</v>
      </c>
      <c r="S18" s="1022">
        <f t="shared" si="7"/>
        <v>0</v>
      </c>
      <c r="T18" s="782">
        <f t="shared" si="8"/>
        <v>24</v>
      </c>
      <c r="W18" s="783">
        <f t="shared" si="9"/>
        <v>0.1875</v>
      </c>
      <c r="X18" s="784">
        <f t="shared" si="10"/>
        <v>0.125</v>
      </c>
      <c r="Y18" s="785" t="str">
        <f t="shared" si="11"/>
        <v>NA</v>
      </c>
      <c r="Z18" s="786">
        <f t="shared" si="12"/>
        <v>0.16666666666666666</v>
      </c>
    </row>
    <row r="19" spans="1:26">
      <c r="A19" s="550" t="s">
        <v>36</v>
      </c>
      <c r="B19" s="478" t="s">
        <v>37</v>
      </c>
      <c r="C19" s="505" t="s">
        <v>264</v>
      </c>
      <c r="D19" s="780">
        <v>16</v>
      </c>
      <c r="E19" s="781">
        <v>12</v>
      </c>
      <c r="F19" s="781"/>
      <c r="G19" s="318">
        <f t="shared" si="1"/>
        <v>28</v>
      </c>
      <c r="H19" s="780">
        <v>5</v>
      </c>
      <c r="I19" s="781"/>
      <c r="J19" s="781"/>
      <c r="K19" s="318">
        <f t="shared" si="2"/>
        <v>5</v>
      </c>
      <c r="L19" s="780"/>
      <c r="M19" s="781"/>
      <c r="N19" s="781"/>
      <c r="O19" s="318">
        <f t="shared" si="3"/>
        <v>0</v>
      </c>
      <c r="P19" s="782">
        <f t="shared" si="4"/>
        <v>33</v>
      </c>
      <c r="Q19" s="1022">
        <f t="shared" si="5"/>
        <v>21</v>
      </c>
      <c r="R19" s="1022">
        <f t="shared" si="6"/>
        <v>12</v>
      </c>
      <c r="S19" s="1022">
        <f t="shared" si="7"/>
        <v>0</v>
      </c>
      <c r="T19" s="782">
        <f t="shared" si="8"/>
        <v>33</v>
      </c>
      <c r="W19" s="783">
        <f t="shared" si="9"/>
        <v>0.23809523809523808</v>
      </c>
      <c r="X19" s="784">
        <f t="shared" si="10"/>
        <v>0</v>
      </c>
      <c r="Y19" s="785" t="str">
        <f t="shared" si="11"/>
        <v>NA</v>
      </c>
      <c r="Z19" s="786">
        <f t="shared" si="12"/>
        <v>0.15151515151515152</v>
      </c>
    </row>
    <row r="20" spans="1:26">
      <c r="A20" s="550" t="s">
        <v>38</v>
      </c>
      <c r="B20" s="478" t="s">
        <v>39</v>
      </c>
      <c r="C20" s="505" t="s">
        <v>268</v>
      </c>
      <c r="D20" s="780">
        <v>35</v>
      </c>
      <c r="E20" s="781">
        <v>14</v>
      </c>
      <c r="F20" s="781"/>
      <c r="G20" s="318">
        <f t="shared" si="1"/>
        <v>49</v>
      </c>
      <c r="H20" s="780">
        <v>12</v>
      </c>
      <c r="I20" s="781">
        <v>8</v>
      </c>
      <c r="J20" s="781"/>
      <c r="K20" s="318">
        <f t="shared" si="2"/>
        <v>20</v>
      </c>
      <c r="L20" s="780"/>
      <c r="M20" s="781"/>
      <c r="N20" s="781"/>
      <c r="O20" s="318">
        <f t="shared" si="3"/>
        <v>0</v>
      </c>
      <c r="P20" s="782">
        <f t="shared" si="4"/>
        <v>69</v>
      </c>
      <c r="Q20" s="1022">
        <f t="shared" si="5"/>
        <v>47</v>
      </c>
      <c r="R20" s="1022">
        <f t="shared" si="6"/>
        <v>22</v>
      </c>
      <c r="S20" s="1022">
        <f t="shared" si="7"/>
        <v>0</v>
      </c>
      <c r="T20" s="782">
        <f t="shared" si="8"/>
        <v>69</v>
      </c>
      <c r="W20" s="783">
        <f t="shared" si="9"/>
        <v>0.25531914893617019</v>
      </c>
      <c r="X20" s="784">
        <f t="shared" si="10"/>
        <v>0.36363636363636365</v>
      </c>
      <c r="Y20" s="785" t="str">
        <f t="shared" si="11"/>
        <v>NA</v>
      </c>
      <c r="Z20" s="786">
        <f t="shared" si="12"/>
        <v>0.28985507246376813</v>
      </c>
    </row>
    <row r="21" spans="1:26">
      <c r="A21" s="550" t="s">
        <v>40</v>
      </c>
      <c r="B21" s="478" t="s">
        <v>41</v>
      </c>
      <c r="C21" s="505" t="s">
        <v>266</v>
      </c>
      <c r="D21" s="780">
        <v>15</v>
      </c>
      <c r="E21" s="781">
        <v>7</v>
      </c>
      <c r="F21" s="781"/>
      <c r="G21" s="318">
        <f t="shared" si="1"/>
        <v>22</v>
      </c>
      <c r="H21" s="780">
        <v>8</v>
      </c>
      <c r="I21" s="781">
        <v>2</v>
      </c>
      <c r="J21" s="781"/>
      <c r="K21" s="318">
        <f t="shared" si="2"/>
        <v>10</v>
      </c>
      <c r="L21" s="780"/>
      <c r="M21" s="781"/>
      <c r="N21" s="781"/>
      <c r="O21" s="318">
        <f t="shared" si="3"/>
        <v>0</v>
      </c>
      <c r="P21" s="782">
        <f t="shared" si="4"/>
        <v>32</v>
      </c>
      <c r="Q21" s="1022">
        <f t="shared" si="5"/>
        <v>23</v>
      </c>
      <c r="R21" s="1022">
        <f t="shared" si="6"/>
        <v>9</v>
      </c>
      <c r="S21" s="1022">
        <f t="shared" si="7"/>
        <v>0</v>
      </c>
      <c r="T21" s="782">
        <f t="shared" si="8"/>
        <v>32</v>
      </c>
      <c r="W21" s="783">
        <f t="shared" si="9"/>
        <v>0.34782608695652173</v>
      </c>
      <c r="X21" s="784">
        <f t="shared" si="10"/>
        <v>0.22222222222222221</v>
      </c>
      <c r="Y21" s="785" t="str">
        <f t="shared" si="11"/>
        <v>NA</v>
      </c>
      <c r="Z21" s="786">
        <f t="shared" si="12"/>
        <v>0.3125</v>
      </c>
    </row>
    <row r="22" spans="1:26">
      <c r="A22" s="550" t="s">
        <v>42</v>
      </c>
      <c r="B22" s="478" t="s">
        <v>43</v>
      </c>
      <c r="C22" s="505" t="s">
        <v>265</v>
      </c>
      <c r="D22" s="780">
        <v>46</v>
      </c>
      <c r="E22" s="781">
        <v>24</v>
      </c>
      <c r="F22" s="781">
        <v>2</v>
      </c>
      <c r="G22" s="318">
        <f t="shared" si="1"/>
        <v>72</v>
      </c>
      <c r="H22" s="780">
        <v>12</v>
      </c>
      <c r="I22" s="781">
        <v>3</v>
      </c>
      <c r="J22" s="781">
        <v>1</v>
      </c>
      <c r="K22" s="318">
        <f t="shared" si="2"/>
        <v>16</v>
      </c>
      <c r="L22" s="780"/>
      <c r="M22" s="781"/>
      <c r="N22" s="781"/>
      <c r="O22" s="318">
        <f t="shared" si="3"/>
        <v>0</v>
      </c>
      <c r="P22" s="782">
        <f t="shared" si="4"/>
        <v>88</v>
      </c>
      <c r="Q22" s="1022">
        <f t="shared" si="5"/>
        <v>58</v>
      </c>
      <c r="R22" s="1022">
        <f t="shared" si="6"/>
        <v>27</v>
      </c>
      <c r="S22" s="1022">
        <f t="shared" si="7"/>
        <v>3</v>
      </c>
      <c r="T22" s="782">
        <f t="shared" si="8"/>
        <v>88</v>
      </c>
      <c r="W22" s="783">
        <f t="shared" si="9"/>
        <v>0.20689655172413793</v>
      </c>
      <c r="X22" s="784">
        <f t="shared" si="10"/>
        <v>0.1111111111111111</v>
      </c>
      <c r="Y22" s="785">
        <f t="shared" si="11"/>
        <v>0.33333333333333331</v>
      </c>
      <c r="Z22" s="786">
        <f t="shared" si="12"/>
        <v>0.18181818181818182</v>
      </c>
    </row>
    <row r="23" spans="1:26">
      <c r="A23" s="550" t="s">
        <v>44</v>
      </c>
      <c r="B23" s="478" t="s">
        <v>45</v>
      </c>
      <c r="C23" s="505" t="s">
        <v>266</v>
      </c>
      <c r="D23" s="780">
        <v>21</v>
      </c>
      <c r="E23" s="781">
        <v>7</v>
      </c>
      <c r="F23" s="781"/>
      <c r="G23" s="318">
        <f t="shared" si="1"/>
        <v>28</v>
      </c>
      <c r="H23" s="780">
        <v>5</v>
      </c>
      <c r="I23" s="781">
        <v>4</v>
      </c>
      <c r="J23" s="781"/>
      <c r="K23" s="318">
        <f t="shared" si="2"/>
        <v>9</v>
      </c>
      <c r="L23" s="780"/>
      <c r="M23" s="781"/>
      <c r="N23" s="781"/>
      <c r="O23" s="318">
        <f t="shared" si="3"/>
        <v>0</v>
      </c>
      <c r="P23" s="782">
        <f t="shared" si="4"/>
        <v>37</v>
      </c>
      <c r="Q23" s="1022">
        <f t="shared" si="5"/>
        <v>26</v>
      </c>
      <c r="R23" s="1022">
        <f t="shared" si="6"/>
        <v>11</v>
      </c>
      <c r="S23" s="1022">
        <f t="shared" si="7"/>
        <v>0</v>
      </c>
      <c r="T23" s="782">
        <f t="shared" si="8"/>
        <v>37</v>
      </c>
      <c r="W23" s="783">
        <f t="shared" si="9"/>
        <v>0.19230769230769232</v>
      </c>
      <c r="X23" s="784">
        <f t="shared" si="10"/>
        <v>0.36363636363636365</v>
      </c>
      <c r="Y23" s="785" t="str">
        <f t="shared" si="11"/>
        <v>NA</v>
      </c>
      <c r="Z23" s="786">
        <f t="shared" si="12"/>
        <v>0.24324324324324326</v>
      </c>
    </row>
    <row r="24" spans="1:26">
      <c r="A24" s="550" t="s">
        <v>46</v>
      </c>
      <c r="B24" s="478" t="s">
        <v>47</v>
      </c>
      <c r="C24" s="505" t="s">
        <v>268</v>
      </c>
      <c r="D24" s="780">
        <v>23</v>
      </c>
      <c r="E24" s="781">
        <v>13</v>
      </c>
      <c r="F24" s="781"/>
      <c r="G24" s="318">
        <f t="shared" si="1"/>
        <v>36</v>
      </c>
      <c r="H24" s="780">
        <v>4</v>
      </c>
      <c r="I24" s="781">
        <v>2</v>
      </c>
      <c r="J24" s="781">
        <v>1</v>
      </c>
      <c r="K24" s="318">
        <f t="shared" si="2"/>
        <v>7</v>
      </c>
      <c r="L24" s="780"/>
      <c r="M24" s="781"/>
      <c r="N24" s="781"/>
      <c r="O24" s="318">
        <f t="shared" si="3"/>
        <v>0</v>
      </c>
      <c r="P24" s="782">
        <f t="shared" si="4"/>
        <v>43</v>
      </c>
      <c r="Q24" s="1022">
        <f t="shared" si="5"/>
        <v>27</v>
      </c>
      <c r="R24" s="1022">
        <f t="shared" si="6"/>
        <v>15</v>
      </c>
      <c r="S24" s="1022">
        <f t="shared" si="7"/>
        <v>1</v>
      </c>
      <c r="T24" s="782">
        <f t="shared" si="8"/>
        <v>43</v>
      </c>
      <c r="W24" s="783">
        <f t="shared" si="9"/>
        <v>0.14814814814814814</v>
      </c>
      <c r="X24" s="784">
        <f t="shared" si="10"/>
        <v>0.13333333333333333</v>
      </c>
      <c r="Y24" s="785">
        <f t="shared" si="11"/>
        <v>1</v>
      </c>
      <c r="Z24" s="786">
        <f t="shared" si="12"/>
        <v>0.16279069767441862</v>
      </c>
    </row>
    <row r="25" spans="1:26">
      <c r="A25" s="550" t="s">
        <v>48</v>
      </c>
      <c r="B25" s="478" t="s">
        <v>269</v>
      </c>
      <c r="C25" s="505" t="s">
        <v>266</v>
      </c>
      <c r="D25" s="780">
        <v>4</v>
      </c>
      <c r="E25" s="781">
        <v>6</v>
      </c>
      <c r="F25" s="781"/>
      <c r="G25" s="318">
        <f t="shared" si="1"/>
        <v>10</v>
      </c>
      <c r="H25" s="780">
        <v>8</v>
      </c>
      <c r="I25" s="781">
        <v>1</v>
      </c>
      <c r="J25" s="781"/>
      <c r="K25" s="318">
        <f t="shared" si="2"/>
        <v>9</v>
      </c>
      <c r="L25" s="780"/>
      <c r="M25" s="781"/>
      <c r="N25" s="781"/>
      <c r="O25" s="318">
        <f t="shared" si="3"/>
        <v>0</v>
      </c>
      <c r="P25" s="782">
        <f t="shared" si="4"/>
        <v>19</v>
      </c>
      <c r="Q25" s="1022">
        <f t="shared" si="5"/>
        <v>12</v>
      </c>
      <c r="R25" s="1022">
        <f t="shared" si="6"/>
        <v>7</v>
      </c>
      <c r="S25" s="1022">
        <f t="shared" si="7"/>
        <v>0</v>
      </c>
      <c r="T25" s="782">
        <f t="shared" si="8"/>
        <v>19</v>
      </c>
      <c r="W25" s="783">
        <f t="shared" si="9"/>
        <v>0.66666666666666663</v>
      </c>
      <c r="X25" s="784">
        <f t="shared" si="10"/>
        <v>0.14285714285714285</v>
      </c>
      <c r="Y25" s="785" t="str">
        <f t="shared" si="11"/>
        <v>NA</v>
      </c>
      <c r="Z25" s="786">
        <f t="shared" si="12"/>
        <v>0.47368421052631576</v>
      </c>
    </row>
    <row r="26" spans="1:26">
      <c r="A26" s="550" t="s">
        <v>50</v>
      </c>
      <c r="B26" s="478" t="s">
        <v>51</v>
      </c>
      <c r="C26" s="505" t="s">
        <v>265</v>
      </c>
      <c r="D26" s="780">
        <v>16</v>
      </c>
      <c r="E26" s="781">
        <v>6</v>
      </c>
      <c r="F26" s="781"/>
      <c r="G26" s="318">
        <f t="shared" si="1"/>
        <v>22</v>
      </c>
      <c r="H26" s="780">
        <v>8</v>
      </c>
      <c r="I26" s="781">
        <v>2</v>
      </c>
      <c r="J26" s="781">
        <v>1</v>
      </c>
      <c r="K26" s="318">
        <f t="shared" si="2"/>
        <v>11</v>
      </c>
      <c r="L26" s="780">
        <v>1</v>
      </c>
      <c r="M26" s="781"/>
      <c r="N26" s="781"/>
      <c r="O26" s="318">
        <f t="shared" si="3"/>
        <v>1</v>
      </c>
      <c r="P26" s="782">
        <f t="shared" si="4"/>
        <v>34</v>
      </c>
      <c r="Q26" s="1022">
        <f t="shared" si="5"/>
        <v>24</v>
      </c>
      <c r="R26" s="1022">
        <f t="shared" si="6"/>
        <v>8</v>
      </c>
      <c r="S26" s="1022">
        <f t="shared" si="7"/>
        <v>1</v>
      </c>
      <c r="T26" s="782">
        <f t="shared" si="8"/>
        <v>33</v>
      </c>
      <c r="W26" s="783">
        <f t="shared" si="9"/>
        <v>0.33333333333333331</v>
      </c>
      <c r="X26" s="784">
        <f t="shared" si="10"/>
        <v>0.25</v>
      </c>
      <c r="Y26" s="785">
        <f t="shared" si="11"/>
        <v>1</v>
      </c>
      <c r="Z26" s="786">
        <f t="shared" si="12"/>
        <v>0.33333333333333331</v>
      </c>
    </row>
    <row r="27" spans="1:26">
      <c r="A27" s="550" t="s">
        <v>56</v>
      </c>
      <c r="B27" s="478" t="s">
        <v>295</v>
      </c>
      <c r="C27" s="505" t="s">
        <v>266</v>
      </c>
      <c r="D27" s="780">
        <v>115</v>
      </c>
      <c r="E27" s="781">
        <v>63</v>
      </c>
      <c r="F27" s="781">
        <v>6</v>
      </c>
      <c r="G27" s="318">
        <f t="shared" si="1"/>
        <v>184</v>
      </c>
      <c r="H27" s="780">
        <v>21</v>
      </c>
      <c r="I27" s="781">
        <v>14</v>
      </c>
      <c r="J27" s="781">
        <v>4</v>
      </c>
      <c r="K27" s="318">
        <f t="shared" si="2"/>
        <v>39</v>
      </c>
      <c r="L27" s="780"/>
      <c r="M27" s="781"/>
      <c r="N27" s="781"/>
      <c r="O27" s="318">
        <f t="shared" si="3"/>
        <v>0</v>
      </c>
      <c r="P27" s="782">
        <f t="shared" si="4"/>
        <v>223</v>
      </c>
      <c r="Q27" s="1022">
        <f t="shared" si="5"/>
        <v>136</v>
      </c>
      <c r="R27" s="1022">
        <f t="shared" si="6"/>
        <v>77</v>
      </c>
      <c r="S27" s="1022">
        <f t="shared" si="7"/>
        <v>10</v>
      </c>
      <c r="T27" s="782">
        <f t="shared" si="8"/>
        <v>223</v>
      </c>
      <c r="W27" s="783">
        <f t="shared" si="9"/>
        <v>0.15441176470588236</v>
      </c>
      <c r="X27" s="784">
        <f t="shared" si="10"/>
        <v>0.18181818181818182</v>
      </c>
      <c r="Y27" s="785">
        <f t="shared" si="11"/>
        <v>0.4</v>
      </c>
      <c r="Z27" s="786">
        <f t="shared" si="12"/>
        <v>0.17488789237668162</v>
      </c>
    </row>
    <row r="28" spans="1:26">
      <c r="A28" s="550" t="s">
        <v>58</v>
      </c>
      <c r="B28" s="478" t="s">
        <v>59</v>
      </c>
      <c r="C28" s="505" t="s">
        <v>267</v>
      </c>
      <c r="D28" s="780">
        <v>11</v>
      </c>
      <c r="E28" s="781">
        <v>7</v>
      </c>
      <c r="F28" s="781"/>
      <c r="G28" s="318">
        <f t="shared" si="1"/>
        <v>18</v>
      </c>
      <c r="H28" s="780">
        <v>3</v>
      </c>
      <c r="I28" s="781"/>
      <c r="J28" s="781"/>
      <c r="K28" s="318">
        <f t="shared" si="2"/>
        <v>3</v>
      </c>
      <c r="L28" s="780"/>
      <c r="M28" s="781"/>
      <c r="N28" s="781"/>
      <c r="O28" s="318">
        <f t="shared" si="3"/>
        <v>0</v>
      </c>
      <c r="P28" s="782">
        <f t="shared" si="4"/>
        <v>21</v>
      </c>
      <c r="Q28" s="1022">
        <f t="shared" si="5"/>
        <v>14</v>
      </c>
      <c r="R28" s="1022">
        <f t="shared" si="6"/>
        <v>7</v>
      </c>
      <c r="S28" s="1022">
        <f t="shared" si="7"/>
        <v>0</v>
      </c>
      <c r="T28" s="782">
        <f t="shared" si="8"/>
        <v>21</v>
      </c>
      <c r="W28" s="783">
        <f t="shared" si="9"/>
        <v>0.21428571428571427</v>
      </c>
      <c r="X28" s="784">
        <f t="shared" si="10"/>
        <v>0</v>
      </c>
      <c r="Y28" s="785" t="str">
        <f t="shared" si="11"/>
        <v>NA</v>
      </c>
      <c r="Z28" s="786">
        <f t="shared" si="12"/>
        <v>0.14285714285714285</v>
      </c>
    </row>
    <row r="29" spans="1:26">
      <c r="A29" s="550" t="s">
        <v>60</v>
      </c>
      <c r="B29" s="478" t="s">
        <v>61</v>
      </c>
      <c r="C29" s="505" t="s">
        <v>265</v>
      </c>
      <c r="D29" s="780">
        <v>5</v>
      </c>
      <c r="E29" s="781">
        <v>5</v>
      </c>
      <c r="F29" s="781"/>
      <c r="G29" s="318">
        <f t="shared" si="1"/>
        <v>10</v>
      </c>
      <c r="H29" s="780">
        <v>2</v>
      </c>
      <c r="I29" s="781">
        <v>1</v>
      </c>
      <c r="J29" s="781"/>
      <c r="K29" s="318">
        <f t="shared" si="2"/>
        <v>3</v>
      </c>
      <c r="L29" s="780"/>
      <c r="M29" s="781"/>
      <c r="N29" s="781"/>
      <c r="O29" s="318">
        <f t="shared" si="3"/>
        <v>0</v>
      </c>
      <c r="P29" s="782">
        <f t="shared" si="4"/>
        <v>13</v>
      </c>
      <c r="Q29" s="1022">
        <f t="shared" si="5"/>
        <v>7</v>
      </c>
      <c r="R29" s="1022">
        <f t="shared" si="6"/>
        <v>6</v>
      </c>
      <c r="S29" s="1022">
        <f t="shared" si="7"/>
        <v>0</v>
      </c>
      <c r="T29" s="782">
        <f t="shared" si="8"/>
        <v>13</v>
      </c>
      <c r="W29" s="783">
        <f t="shared" si="9"/>
        <v>0.2857142857142857</v>
      </c>
      <c r="X29" s="784">
        <f t="shared" si="10"/>
        <v>0.16666666666666666</v>
      </c>
      <c r="Y29" s="785" t="str">
        <f t="shared" si="11"/>
        <v>NA</v>
      </c>
      <c r="Z29" s="786">
        <f t="shared" si="12"/>
        <v>0.23076923076923078</v>
      </c>
    </row>
    <row r="30" spans="1:26">
      <c r="A30" s="550" t="s">
        <v>62</v>
      </c>
      <c r="B30" s="478" t="s">
        <v>63</v>
      </c>
      <c r="C30" s="505" t="s">
        <v>267</v>
      </c>
      <c r="D30" s="780">
        <v>33</v>
      </c>
      <c r="E30" s="781">
        <v>22</v>
      </c>
      <c r="F30" s="781"/>
      <c r="G30" s="318">
        <f t="shared" si="1"/>
        <v>55</v>
      </c>
      <c r="H30" s="780">
        <v>2</v>
      </c>
      <c r="I30" s="781">
        <v>4</v>
      </c>
      <c r="J30" s="781"/>
      <c r="K30" s="318">
        <f t="shared" si="2"/>
        <v>6</v>
      </c>
      <c r="L30" s="780"/>
      <c r="M30" s="781"/>
      <c r="N30" s="781"/>
      <c r="O30" s="318">
        <f t="shared" si="3"/>
        <v>0</v>
      </c>
      <c r="P30" s="782">
        <f t="shared" si="4"/>
        <v>61</v>
      </c>
      <c r="Q30" s="1022">
        <f t="shared" si="5"/>
        <v>35</v>
      </c>
      <c r="R30" s="1022">
        <f t="shared" si="6"/>
        <v>26</v>
      </c>
      <c r="S30" s="1022">
        <f t="shared" si="7"/>
        <v>0</v>
      </c>
      <c r="T30" s="782">
        <f t="shared" si="8"/>
        <v>61</v>
      </c>
      <c r="W30" s="783">
        <f t="shared" si="9"/>
        <v>5.7142857142857141E-2</v>
      </c>
      <c r="X30" s="784">
        <f t="shared" si="10"/>
        <v>0.15384615384615385</v>
      </c>
      <c r="Y30" s="785" t="str">
        <f t="shared" si="11"/>
        <v>NA</v>
      </c>
      <c r="Z30" s="786">
        <f t="shared" si="12"/>
        <v>9.8360655737704916E-2</v>
      </c>
    </row>
    <row r="31" spans="1:26">
      <c r="A31" s="550" t="s">
        <v>64</v>
      </c>
      <c r="B31" s="478" t="s">
        <v>65</v>
      </c>
      <c r="C31" s="505" t="s">
        <v>266</v>
      </c>
      <c r="D31" s="780">
        <v>13</v>
      </c>
      <c r="E31" s="781">
        <v>6</v>
      </c>
      <c r="F31" s="781"/>
      <c r="G31" s="318">
        <f t="shared" si="1"/>
        <v>19</v>
      </c>
      <c r="H31" s="780">
        <v>1</v>
      </c>
      <c r="I31" s="781">
        <v>1</v>
      </c>
      <c r="J31" s="781"/>
      <c r="K31" s="318">
        <f t="shared" si="2"/>
        <v>2</v>
      </c>
      <c r="L31" s="780"/>
      <c r="M31" s="781"/>
      <c r="N31" s="781"/>
      <c r="O31" s="318">
        <f t="shared" si="3"/>
        <v>0</v>
      </c>
      <c r="P31" s="782">
        <f t="shared" si="4"/>
        <v>21</v>
      </c>
      <c r="Q31" s="1022">
        <f t="shared" si="5"/>
        <v>14</v>
      </c>
      <c r="R31" s="1022">
        <f t="shared" si="6"/>
        <v>7</v>
      </c>
      <c r="S31" s="1022">
        <f t="shared" si="7"/>
        <v>0</v>
      </c>
      <c r="T31" s="782">
        <f t="shared" si="8"/>
        <v>21</v>
      </c>
      <c r="W31" s="783">
        <f t="shared" si="9"/>
        <v>7.1428571428571425E-2</v>
      </c>
      <c r="X31" s="784">
        <f t="shared" si="10"/>
        <v>0.14285714285714285</v>
      </c>
      <c r="Y31" s="785" t="str">
        <f t="shared" si="11"/>
        <v>NA</v>
      </c>
      <c r="Z31" s="786">
        <f t="shared" si="12"/>
        <v>9.5238095238095233E-2</v>
      </c>
    </row>
    <row r="32" spans="1:26">
      <c r="A32" s="550" t="s">
        <v>68</v>
      </c>
      <c r="B32" s="478" t="s">
        <v>69</v>
      </c>
      <c r="C32" s="505" t="s">
        <v>268</v>
      </c>
      <c r="D32" s="780">
        <v>30</v>
      </c>
      <c r="E32" s="781">
        <v>14</v>
      </c>
      <c r="F32" s="781">
        <v>2</v>
      </c>
      <c r="G32" s="318">
        <f t="shared" si="1"/>
        <v>46</v>
      </c>
      <c r="H32" s="780">
        <v>3</v>
      </c>
      <c r="I32" s="781"/>
      <c r="J32" s="781">
        <v>1</v>
      </c>
      <c r="K32" s="318">
        <f t="shared" si="2"/>
        <v>4</v>
      </c>
      <c r="L32" s="780"/>
      <c r="M32" s="781"/>
      <c r="N32" s="781"/>
      <c r="O32" s="318">
        <f t="shared" si="3"/>
        <v>0</v>
      </c>
      <c r="P32" s="782">
        <f t="shared" si="4"/>
        <v>50</v>
      </c>
      <c r="Q32" s="1022">
        <f t="shared" si="5"/>
        <v>33</v>
      </c>
      <c r="R32" s="1022">
        <f t="shared" si="6"/>
        <v>14</v>
      </c>
      <c r="S32" s="1022">
        <f t="shared" si="7"/>
        <v>3</v>
      </c>
      <c r="T32" s="782">
        <f t="shared" si="8"/>
        <v>50</v>
      </c>
      <c r="W32" s="783">
        <f t="shared" si="9"/>
        <v>9.0909090909090912E-2</v>
      </c>
      <c r="X32" s="784">
        <f t="shared" si="10"/>
        <v>0</v>
      </c>
      <c r="Y32" s="785">
        <f t="shared" si="11"/>
        <v>0.33333333333333331</v>
      </c>
      <c r="Z32" s="786">
        <f t="shared" si="12"/>
        <v>0.08</v>
      </c>
    </row>
    <row r="33" spans="1:26">
      <c r="A33" s="550" t="s">
        <v>70</v>
      </c>
      <c r="B33" s="478" t="s">
        <v>71</v>
      </c>
      <c r="C33" s="505" t="s">
        <v>264</v>
      </c>
      <c r="D33" s="780">
        <v>21</v>
      </c>
      <c r="E33" s="781">
        <v>10</v>
      </c>
      <c r="F33" s="781"/>
      <c r="G33" s="318">
        <f t="shared" si="1"/>
        <v>31</v>
      </c>
      <c r="H33" s="780">
        <v>2</v>
      </c>
      <c r="I33" s="781">
        <v>1</v>
      </c>
      <c r="J33" s="781"/>
      <c r="K33" s="318">
        <f t="shared" si="2"/>
        <v>3</v>
      </c>
      <c r="L33" s="780"/>
      <c r="M33" s="781"/>
      <c r="N33" s="781"/>
      <c r="O33" s="318">
        <f t="shared" si="3"/>
        <v>0</v>
      </c>
      <c r="P33" s="782">
        <f t="shared" si="4"/>
        <v>34</v>
      </c>
      <c r="Q33" s="1022">
        <f t="shared" si="5"/>
        <v>23</v>
      </c>
      <c r="R33" s="1022">
        <f t="shared" si="6"/>
        <v>11</v>
      </c>
      <c r="S33" s="1022">
        <f t="shared" si="7"/>
        <v>0</v>
      </c>
      <c r="T33" s="782">
        <f t="shared" si="8"/>
        <v>34</v>
      </c>
      <c r="W33" s="783">
        <f t="shared" si="9"/>
        <v>8.6956521739130432E-2</v>
      </c>
      <c r="X33" s="784">
        <f t="shared" si="10"/>
        <v>9.0909090909090912E-2</v>
      </c>
      <c r="Y33" s="785" t="str">
        <f t="shared" si="11"/>
        <v>NA</v>
      </c>
      <c r="Z33" s="786">
        <f t="shared" si="12"/>
        <v>8.8235294117647065E-2</v>
      </c>
    </row>
    <row r="34" spans="1:26">
      <c r="A34" s="550" t="s">
        <v>72</v>
      </c>
      <c r="B34" s="478" t="s">
        <v>73</v>
      </c>
      <c r="C34" s="505" t="s">
        <v>266</v>
      </c>
      <c r="D34" s="780">
        <v>11</v>
      </c>
      <c r="E34" s="781">
        <v>8</v>
      </c>
      <c r="F34" s="781"/>
      <c r="G34" s="318">
        <f t="shared" si="1"/>
        <v>19</v>
      </c>
      <c r="H34" s="780">
        <v>6</v>
      </c>
      <c r="I34" s="781">
        <v>1</v>
      </c>
      <c r="J34" s="781"/>
      <c r="K34" s="318">
        <f t="shared" si="2"/>
        <v>7</v>
      </c>
      <c r="L34" s="780"/>
      <c r="M34" s="781"/>
      <c r="N34" s="781"/>
      <c r="O34" s="318">
        <f t="shared" si="3"/>
        <v>0</v>
      </c>
      <c r="P34" s="782">
        <f t="shared" si="4"/>
        <v>26</v>
      </c>
      <c r="Q34" s="1022">
        <f t="shared" si="5"/>
        <v>17</v>
      </c>
      <c r="R34" s="1022">
        <f t="shared" si="6"/>
        <v>9</v>
      </c>
      <c r="S34" s="1022">
        <f t="shared" si="7"/>
        <v>0</v>
      </c>
      <c r="T34" s="782">
        <f t="shared" si="8"/>
        <v>26</v>
      </c>
      <c r="W34" s="783">
        <f t="shared" si="9"/>
        <v>0.35294117647058826</v>
      </c>
      <c r="X34" s="784">
        <f t="shared" si="10"/>
        <v>0.1111111111111111</v>
      </c>
      <c r="Y34" s="785" t="str">
        <f t="shared" si="11"/>
        <v>NA</v>
      </c>
      <c r="Z34" s="786">
        <f t="shared" si="12"/>
        <v>0.26923076923076922</v>
      </c>
    </row>
    <row r="35" spans="1:26">
      <c r="A35" s="550" t="s">
        <v>74</v>
      </c>
      <c r="B35" s="478" t="s">
        <v>618</v>
      </c>
      <c r="C35" s="505" t="s">
        <v>267</v>
      </c>
      <c r="D35" s="780">
        <v>526</v>
      </c>
      <c r="E35" s="781">
        <v>332</v>
      </c>
      <c r="F35" s="781">
        <v>147</v>
      </c>
      <c r="G35" s="318">
        <f t="shared" si="1"/>
        <v>1005</v>
      </c>
      <c r="H35" s="780">
        <v>44</v>
      </c>
      <c r="I35" s="781">
        <v>27</v>
      </c>
      <c r="J35" s="781">
        <v>21</v>
      </c>
      <c r="K35" s="318">
        <f t="shared" si="2"/>
        <v>92</v>
      </c>
      <c r="L35" s="780"/>
      <c r="M35" s="781">
        <v>2</v>
      </c>
      <c r="N35" s="781"/>
      <c r="O35" s="318">
        <f t="shared" si="3"/>
        <v>2</v>
      </c>
      <c r="P35" s="787">
        <f t="shared" si="4"/>
        <v>1099</v>
      </c>
      <c r="Q35" s="1023">
        <f t="shared" si="5"/>
        <v>570</v>
      </c>
      <c r="R35" s="1023">
        <f t="shared" si="6"/>
        <v>359</v>
      </c>
      <c r="S35" s="1023">
        <f t="shared" si="7"/>
        <v>168</v>
      </c>
      <c r="T35" s="787">
        <f t="shared" si="8"/>
        <v>1097</v>
      </c>
      <c r="W35" s="783">
        <f t="shared" si="9"/>
        <v>7.7192982456140355E-2</v>
      </c>
      <c r="X35" s="784">
        <f t="shared" si="10"/>
        <v>7.5208913649025072E-2</v>
      </c>
      <c r="Y35" s="785">
        <f t="shared" si="11"/>
        <v>0.125</v>
      </c>
      <c r="Z35" s="786">
        <f t="shared" si="12"/>
        <v>8.3865086599817687E-2</v>
      </c>
    </row>
    <row r="36" spans="1:26">
      <c r="A36" s="550" t="s">
        <v>76</v>
      </c>
      <c r="B36" s="478" t="s">
        <v>77</v>
      </c>
      <c r="C36" s="505" t="s">
        <v>267</v>
      </c>
      <c r="D36" s="780">
        <v>35</v>
      </c>
      <c r="E36" s="781">
        <v>13</v>
      </c>
      <c r="F36" s="781">
        <v>5</v>
      </c>
      <c r="G36" s="318">
        <f t="shared" si="1"/>
        <v>53</v>
      </c>
      <c r="H36" s="780">
        <v>2</v>
      </c>
      <c r="I36" s="781"/>
      <c r="J36" s="781">
        <v>1</v>
      </c>
      <c r="K36" s="318">
        <f t="shared" si="2"/>
        <v>3</v>
      </c>
      <c r="L36" s="780"/>
      <c r="M36" s="781"/>
      <c r="N36" s="781"/>
      <c r="O36" s="318">
        <f t="shared" si="3"/>
        <v>0</v>
      </c>
      <c r="P36" s="782">
        <f t="shared" si="4"/>
        <v>56</v>
      </c>
      <c r="Q36" s="1022">
        <f t="shared" si="5"/>
        <v>37</v>
      </c>
      <c r="R36" s="1022">
        <f t="shared" si="6"/>
        <v>13</v>
      </c>
      <c r="S36" s="1022">
        <f t="shared" si="7"/>
        <v>6</v>
      </c>
      <c r="T36" s="782">
        <f t="shared" si="8"/>
        <v>56</v>
      </c>
      <c r="W36" s="783">
        <f t="shared" si="9"/>
        <v>5.4054054054054057E-2</v>
      </c>
      <c r="X36" s="784">
        <f t="shared" si="10"/>
        <v>0</v>
      </c>
      <c r="Y36" s="785">
        <f t="shared" si="11"/>
        <v>0.16666666666666666</v>
      </c>
      <c r="Z36" s="786">
        <f t="shared" si="12"/>
        <v>5.3571428571428568E-2</v>
      </c>
    </row>
    <row r="37" spans="1:26">
      <c r="A37" s="550" t="s">
        <v>78</v>
      </c>
      <c r="B37" s="478" t="s">
        <v>79</v>
      </c>
      <c r="C37" s="505" t="s">
        <v>268</v>
      </c>
      <c r="D37" s="780">
        <v>13</v>
      </c>
      <c r="E37" s="781">
        <v>3</v>
      </c>
      <c r="F37" s="781"/>
      <c r="G37" s="318">
        <f t="shared" si="1"/>
        <v>16</v>
      </c>
      <c r="H37" s="780">
        <v>1</v>
      </c>
      <c r="I37" s="781"/>
      <c r="J37" s="781">
        <v>1</v>
      </c>
      <c r="K37" s="318">
        <f t="shared" si="2"/>
        <v>2</v>
      </c>
      <c r="L37" s="780"/>
      <c r="M37" s="781"/>
      <c r="N37" s="781"/>
      <c r="O37" s="318">
        <f t="shared" si="3"/>
        <v>0</v>
      </c>
      <c r="P37" s="782">
        <f t="shared" si="4"/>
        <v>18</v>
      </c>
      <c r="Q37" s="1022">
        <f t="shared" si="5"/>
        <v>14</v>
      </c>
      <c r="R37" s="1022">
        <f t="shared" si="6"/>
        <v>3</v>
      </c>
      <c r="S37" s="1022">
        <f t="shared" si="7"/>
        <v>1</v>
      </c>
      <c r="T37" s="782">
        <f t="shared" si="8"/>
        <v>18</v>
      </c>
      <c r="W37" s="783">
        <f t="shared" si="9"/>
        <v>7.1428571428571425E-2</v>
      </c>
      <c r="X37" s="784">
        <f t="shared" si="10"/>
        <v>0</v>
      </c>
      <c r="Y37" s="785">
        <f t="shared" si="11"/>
        <v>1</v>
      </c>
      <c r="Z37" s="786">
        <f t="shared" si="12"/>
        <v>0.1111111111111111</v>
      </c>
    </row>
    <row r="38" spans="1:26">
      <c r="A38" s="550" t="s">
        <v>80</v>
      </c>
      <c r="B38" s="478" t="s">
        <v>81</v>
      </c>
      <c r="C38" s="505" t="s">
        <v>266</v>
      </c>
      <c r="D38" s="780">
        <v>19</v>
      </c>
      <c r="E38" s="781">
        <v>9</v>
      </c>
      <c r="F38" s="781"/>
      <c r="G38" s="318">
        <f t="shared" ref="G38:G69" si="13">SUM(D38:F38)</f>
        <v>28</v>
      </c>
      <c r="H38" s="780">
        <v>3</v>
      </c>
      <c r="I38" s="781">
        <v>2</v>
      </c>
      <c r="J38" s="781"/>
      <c r="K38" s="318">
        <f t="shared" ref="K38:K69" si="14">SUM(H38:J38)</f>
        <v>5</v>
      </c>
      <c r="L38" s="780"/>
      <c r="M38" s="781"/>
      <c r="N38" s="781"/>
      <c r="O38" s="318">
        <f t="shared" ref="O38:O69" si="15">SUM(L38:N38)</f>
        <v>0</v>
      </c>
      <c r="P38" s="782">
        <f t="shared" ref="P38:P69" si="16">G38+K38+O38</f>
        <v>33</v>
      </c>
      <c r="Q38" s="1022">
        <f t="shared" si="5"/>
        <v>22</v>
      </c>
      <c r="R38" s="1022">
        <f t="shared" si="6"/>
        <v>11</v>
      </c>
      <c r="S38" s="1022">
        <f t="shared" si="7"/>
        <v>0</v>
      </c>
      <c r="T38" s="782">
        <f t="shared" si="8"/>
        <v>33</v>
      </c>
      <c r="W38" s="783">
        <f t="shared" si="9"/>
        <v>0.13636363636363635</v>
      </c>
      <c r="X38" s="784">
        <f t="shared" si="10"/>
        <v>0.18181818181818182</v>
      </c>
      <c r="Y38" s="785" t="str">
        <f t="shared" si="11"/>
        <v>NA</v>
      </c>
      <c r="Z38" s="786">
        <f t="shared" si="12"/>
        <v>0.15151515151515152</v>
      </c>
    </row>
    <row r="39" spans="1:26">
      <c r="A39" s="550" t="s">
        <v>84</v>
      </c>
      <c r="B39" s="478" t="s">
        <v>308</v>
      </c>
      <c r="C39" s="505" t="s">
        <v>265</v>
      </c>
      <c r="D39" s="780">
        <v>50</v>
      </c>
      <c r="E39" s="781">
        <v>18</v>
      </c>
      <c r="F39" s="781"/>
      <c r="G39" s="318">
        <f t="shared" si="13"/>
        <v>68</v>
      </c>
      <c r="H39" s="780">
        <v>7</v>
      </c>
      <c r="I39" s="781">
        <v>6</v>
      </c>
      <c r="J39" s="781"/>
      <c r="K39" s="318">
        <f t="shared" si="14"/>
        <v>13</v>
      </c>
      <c r="L39" s="780">
        <v>1</v>
      </c>
      <c r="M39" s="781"/>
      <c r="N39" s="781"/>
      <c r="O39" s="318">
        <f t="shared" si="15"/>
        <v>1</v>
      </c>
      <c r="P39" s="782">
        <f t="shared" si="16"/>
        <v>82</v>
      </c>
      <c r="Q39" s="1022">
        <f t="shared" si="5"/>
        <v>57</v>
      </c>
      <c r="R39" s="1022">
        <f t="shared" si="6"/>
        <v>24</v>
      </c>
      <c r="S39" s="1022">
        <f t="shared" si="7"/>
        <v>0</v>
      </c>
      <c r="T39" s="782">
        <f t="shared" ref="T39:T70" si="17">G39+K39</f>
        <v>81</v>
      </c>
      <c r="W39" s="783">
        <f t="shared" si="9"/>
        <v>0.12280701754385964</v>
      </c>
      <c r="X39" s="784">
        <f t="shared" si="10"/>
        <v>0.25</v>
      </c>
      <c r="Y39" s="785" t="str">
        <f t="shared" si="11"/>
        <v>NA</v>
      </c>
      <c r="Z39" s="786">
        <f t="shared" si="12"/>
        <v>0.16049382716049382</v>
      </c>
    </row>
    <row r="40" spans="1:26">
      <c r="A40" s="550" t="s">
        <v>86</v>
      </c>
      <c r="B40" s="478" t="s">
        <v>87</v>
      </c>
      <c r="C40" s="505" t="s">
        <v>267</v>
      </c>
      <c r="D40" s="780">
        <v>49</v>
      </c>
      <c r="E40" s="781">
        <v>17</v>
      </c>
      <c r="F40" s="781"/>
      <c r="G40" s="318">
        <f t="shared" si="13"/>
        <v>66</v>
      </c>
      <c r="H40" s="780">
        <v>3</v>
      </c>
      <c r="I40" s="781"/>
      <c r="J40" s="781"/>
      <c r="K40" s="318">
        <f t="shared" si="14"/>
        <v>3</v>
      </c>
      <c r="L40" s="780"/>
      <c r="M40" s="781"/>
      <c r="N40" s="781"/>
      <c r="O40" s="318">
        <f t="shared" si="15"/>
        <v>0</v>
      </c>
      <c r="P40" s="782">
        <f t="shared" si="16"/>
        <v>69</v>
      </c>
      <c r="Q40" s="1022">
        <f t="shared" si="5"/>
        <v>52</v>
      </c>
      <c r="R40" s="1022">
        <f t="shared" si="6"/>
        <v>17</v>
      </c>
      <c r="S40" s="1022">
        <f t="shared" si="7"/>
        <v>0</v>
      </c>
      <c r="T40" s="782">
        <f t="shared" si="17"/>
        <v>69</v>
      </c>
      <c r="W40" s="783">
        <f t="shared" si="9"/>
        <v>5.7692307692307696E-2</v>
      </c>
      <c r="X40" s="784">
        <f t="shared" si="10"/>
        <v>0</v>
      </c>
      <c r="Y40" s="785" t="str">
        <f t="shared" si="11"/>
        <v>NA</v>
      </c>
      <c r="Z40" s="786">
        <f t="shared" si="12"/>
        <v>4.3478260869565216E-2</v>
      </c>
    </row>
    <row r="41" spans="1:26">
      <c r="A41" s="550" t="s">
        <v>92</v>
      </c>
      <c r="B41" s="478" t="s">
        <v>93</v>
      </c>
      <c r="C41" s="505" t="s">
        <v>268</v>
      </c>
      <c r="D41" s="780">
        <v>17</v>
      </c>
      <c r="E41" s="781">
        <v>8</v>
      </c>
      <c r="F41" s="781"/>
      <c r="G41" s="318">
        <f t="shared" si="13"/>
        <v>25</v>
      </c>
      <c r="H41" s="780">
        <v>2</v>
      </c>
      <c r="I41" s="781"/>
      <c r="J41" s="781"/>
      <c r="K41" s="318">
        <f t="shared" si="14"/>
        <v>2</v>
      </c>
      <c r="L41" s="780"/>
      <c r="M41" s="781"/>
      <c r="N41" s="781"/>
      <c r="O41" s="318">
        <f t="shared" si="15"/>
        <v>0</v>
      </c>
      <c r="P41" s="782">
        <f t="shared" si="16"/>
        <v>27</v>
      </c>
      <c r="Q41" s="1022">
        <f t="shared" si="5"/>
        <v>19</v>
      </c>
      <c r="R41" s="1022">
        <f t="shared" si="6"/>
        <v>8</v>
      </c>
      <c r="S41" s="1022">
        <f t="shared" si="7"/>
        <v>0</v>
      </c>
      <c r="T41" s="782">
        <f t="shared" si="17"/>
        <v>27</v>
      </c>
      <c r="W41" s="783">
        <f t="shared" si="9"/>
        <v>0.10526315789473684</v>
      </c>
      <c r="X41" s="784">
        <f t="shared" si="10"/>
        <v>0</v>
      </c>
      <c r="Y41" s="785" t="str">
        <f t="shared" si="11"/>
        <v>NA</v>
      </c>
      <c r="Z41" s="786">
        <f t="shared" si="12"/>
        <v>7.407407407407407E-2</v>
      </c>
    </row>
    <row r="42" spans="1:26">
      <c r="A42" s="550" t="s">
        <v>94</v>
      </c>
      <c r="B42" s="478" t="s">
        <v>95</v>
      </c>
      <c r="C42" s="505" t="s">
        <v>264</v>
      </c>
      <c r="D42" s="780">
        <v>28</v>
      </c>
      <c r="E42" s="781">
        <v>14</v>
      </c>
      <c r="F42" s="781"/>
      <c r="G42" s="318">
        <f t="shared" si="13"/>
        <v>42</v>
      </c>
      <c r="H42" s="780">
        <v>5</v>
      </c>
      <c r="I42" s="781">
        <v>4</v>
      </c>
      <c r="J42" s="781"/>
      <c r="K42" s="318">
        <f t="shared" si="14"/>
        <v>9</v>
      </c>
      <c r="L42" s="780"/>
      <c r="M42" s="781"/>
      <c r="N42" s="781"/>
      <c r="O42" s="318">
        <f t="shared" si="15"/>
        <v>0</v>
      </c>
      <c r="P42" s="782">
        <f t="shared" si="16"/>
        <v>51</v>
      </c>
      <c r="Q42" s="1022">
        <f t="shared" si="5"/>
        <v>33</v>
      </c>
      <c r="R42" s="1022">
        <f t="shared" si="6"/>
        <v>18</v>
      </c>
      <c r="S42" s="1022">
        <f t="shared" si="7"/>
        <v>0</v>
      </c>
      <c r="T42" s="782">
        <f t="shared" si="17"/>
        <v>51</v>
      </c>
      <c r="W42" s="783">
        <f t="shared" si="9"/>
        <v>0.15151515151515152</v>
      </c>
      <c r="X42" s="784">
        <f t="shared" si="10"/>
        <v>0.22222222222222221</v>
      </c>
      <c r="Y42" s="785" t="str">
        <f t="shared" si="11"/>
        <v>NA</v>
      </c>
      <c r="Z42" s="786">
        <f t="shared" si="12"/>
        <v>0.17647058823529413</v>
      </c>
    </row>
    <row r="43" spans="1:26">
      <c r="A43" s="550" t="s">
        <v>96</v>
      </c>
      <c r="B43" s="478" t="s">
        <v>97</v>
      </c>
      <c r="C43" s="505" t="s">
        <v>266</v>
      </c>
      <c r="D43" s="780">
        <v>13</v>
      </c>
      <c r="E43" s="781">
        <v>9</v>
      </c>
      <c r="F43" s="781"/>
      <c r="G43" s="318">
        <f t="shared" si="13"/>
        <v>22</v>
      </c>
      <c r="H43" s="780">
        <v>4</v>
      </c>
      <c r="I43" s="781"/>
      <c r="J43" s="781"/>
      <c r="K43" s="318">
        <f t="shared" si="14"/>
        <v>4</v>
      </c>
      <c r="L43" s="780"/>
      <c r="M43" s="781"/>
      <c r="N43" s="781"/>
      <c r="O43" s="318">
        <f t="shared" si="15"/>
        <v>0</v>
      </c>
      <c r="P43" s="782">
        <f t="shared" si="16"/>
        <v>26</v>
      </c>
      <c r="Q43" s="1022">
        <f t="shared" si="5"/>
        <v>17</v>
      </c>
      <c r="R43" s="1022">
        <f t="shared" si="6"/>
        <v>9</v>
      </c>
      <c r="S43" s="1022">
        <f t="shared" si="7"/>
        <v>0</v>
      </c>
      <c r="T43" s="782">
        <f t="shared" si="17"/>
        <v>26</v>
      </c>
      <c r="W43" s="783">
        <f t="shared" si="9"/>
        <v>0.23529411764705882</v>
      </c>
      <c r="X43" s="784">
        <f t="shared" si="10"/>
        <v>0</v>
      </c>
      <c r="Y43" s="785" t="str">
        <f t="shared" si="11"/>
        <v>NA</v>
      </c>
      <c r="Z43" s="786">
        <f t="shared" si="12"/>
        <v>0.15384615384615385</v>
      </c>
    </row>
    <row r="44" spans="1:26">
      <c r="A44" s="550" t="s">
        <v>98</v>
      </c>
      <c r="B44" s="478" t="s">
        <v>99</v>
      </c>
      <c r="C44" s="505" t="s">
        <v>268</v>
      </c>
      <c r="D44" s="780">
        <v>16</v>
      </c>
      <c r="E44" s="781">
        <v>8</v>
      </c>
      <c r="F44" s="781"/>
      <c r="G44" s="318">
        <f t="shared" si="13"/>
        <v>24</v>
      </c>
      <c r="H44" s="780">
        <v>1</v>
      </c>
      <c r="I44" s="781"/>
      <c r="J44" s="781"/>
      <c r="K44" s="318">
        <f t="shared" si="14"/>
        <v>1</v>
      </c>
      <c r="L44" s="780"/>
      <c r="M44" s="781"/>
      <c r="N44" s="781"/>
      <c r="O44" s="318">
        <f t="shared" si="15"/>
        <v>0</v>
      </c>
      <c r="P44" s="782">
        <f t="shared" si="16"/>
        <v>25</v>
      </c>
      <c r="Q44" s="1022">
        <f t="shared" si="5"/>
        <v>17</v>
      </c>
      <c r="R44" s="1022">
        <f t="shared" si="6"/>
        <v>8</v>
      </c>
      <c r="S44" s="1022">
        <f t="shared" si="7"/>
        <v>0</v>
      </c>
      <c r="T44" s="782">
        <f t="shared" si="17"/>
        <v>25</v>
      </c>
      <c r="W44" s="783">
        <f t="shared" si="9"/>
        <v>5.8823529411764705E-2</v>
      </c>
      <c r="X44" s="784">
        <f t="shared" si="10"/>
        <v>0</v>
      </c>
      <c r="Y44" s="785" t="str">
        <f t="shared" si="11"/>
        <v>NA</v>
      </c>
      <c r="Z44" s="786">
        <f t="shared" si="12"/>
        <v>0.04</v>
      </c>
    </row>
    <row r="45" spans="1:26">
      <c r="A45" s="550" t="s">
        <v>100</v>
      </c>
      <c r="B45" s="478" t="s">
        <v>101</v>
      </c>
      <c r="C45" s="505" t="s">
        <v>267</v>
      </c>
      <c r="D45" s="780">
        <v>10</v>
      </c>
      <c r="E45" s="781">
        <v>9</v>
      </c>
      <c r="F45" s="781"/>
      <c r="G45" s="318">
        <f t="shared" si="13"/>
        <v>19</v>
      </c>
      <c r="H45" s="780">
        <v>3</v>
      </c>
      <c r="I45" s="781">
        <v>1</v>
      </c>
      <c r="J45" s="781"/>
      <c r="K45" s="318">
        <f t="shared" si="14"/>
        <v>4</v>
      </c>
      <c r="L45" s="780"/>
      <c r="M45" s="781"/>
      <c r="N45" s="781"/>
      <c r="O45" s="318">
        <f t="shared" si="15"/>
        <v>0</v>
      </c>
      <c r="P45" s="782">
        <f t="shared" si="16"/>
        <v>23</v>
      </c>
      <c r="Q45" s="1022">
        <f t="shared" si="5"/>
        <v>13</v>
      </c>
      <c r="R45" s="1022">
        <f t="shared" si="6"/>
        <v>10</v>
      </c>
      <c r="S45" s="1022">
        <f t="shared" si="7"/>
        <v>0</v>
      </c>
      <c r="T45" s="782">
        <f t="shared" si="17"/>
        <v>23</v>
      </c>
      <c r="W45" s="783">
        <f t="shared" si="9"/>
        <v>0.23076923076923078</v>
      </c>
      <c r="X45" s="784">
        <f t="shared" si="10"/>
        <v>0.1</v>
      </c>
      <c r="Y45" s="785" t="str">
        <f t="shared" si="11"/>
        <v>NA</v>
      </c>
      <c r="Z45" s="786">
        <f t="shared" si="12"/>
        <v>0.17391304347826086</v>
      </c>
    </row>
    <row r="46" spans="1:26">
      <c r="A46" s="550" t="s">
        <v>102</v>
      </c>
      <c r="B46" s="478" t="s">
        <v>282</v>
      </c>
      <c r="C46" s="505" t="s">
        <v>264</v>
      </c>
      <c r="D46" s="780">
        <v>18</v>
      </c>
      <c r="E46" s="781">
        <v>11</v>
      </c>
      <c r="F46" s="781"/>
      <c r="G46" s="318">
        <f t="shared" si="13"/>
        <v>29</v>
      </c>
      <c r="H46" s="780">
        <v>8</v>
      </c>
      <c r="I46" s="781">
        <v>3</v>
      </c>
      <c r="J46" s="781"/>
      <c r="K46" s="318">
        <f t="shared" si="14"/>
        <v>11</v>
      </c>
      <c r="L46" s="780"/>
      <c r="M46" s="781"/>
      <c r="N46" s="781"/>
      <c r="O46" s="318">
        <f t="shared" si="15"/>
        <v>0</v>
      </c>
      <c r="P46" s="782">
        <f t="shared" si="16"/>
        <v>40</v>
      </c>
      <c r="Q46" s="1022">
        <f t="shared" si="5"/>
        <v>26</v>
      </c>
      <c r="R46" s="1022">
        <f t="shared" si="6"/>
        <v>14</v>
      </c>
      <c r="S46" s="1022">
        <f t="shared" si="7"/>
        <v>0</v>
      </c>
      <c r="T46" s="782">
        <f t="shared" si="17"/>
        <v>40</v>
      </c>
      <c r="W46" s="783">
        <f t="shared" si="9"/>
        <v>0.30769230769230771</v>
      </c>
      <c r="X46" s="784">
        <f t="shared" si="10"/>
        <v>0.21428571428571427</v>
      </c>
      <c r="Y46" s="785" t="str">
        <f t="shared" si="11"/>
        <v>NA</v>
      </c>
      <c r="Z46" s="786">
        <f t="shared" si="12"/>
        <v>0.27500000000000002</v>
      </c>
    </row>
    <row r="47" spans="1:26">
      <c r="A47" s="550" t="s">
        <v>104</v>
      </c>
      <c r="B47" s="478" t="s">
        <v>607</v>
      </c>
      <c r="C47" s="505" t="s">
        <v>265</v>
      </c>
      <c r="D47" s="780">
        <v>38</v>
      </c>
      <c r="E47" s="781">
        <v>15</v>
      </c>
      <c r="F47" s="781"/>
      <c r="G47" s="318">
        <f t="shared" si="13"/>
        <v>53</v>
      </c>
      <c r="H47" s="780">
        <v>9</v>
      </c>
      <c r="I47" s="781">
        <v>4</v>
      </c>
      <c r="J47" s="781"/>
      <c r="K47" s="318">
        <f t="shared" si="14"/>
        <v>13</v>
      </c>
      <c r="L47" s="780"/>
      <c r="M47" s="781"/>
      <c r="N47" s="781"/>
      <c r="O47" s="318">
        <f t="shared" si="15"/>
        <v>0</v>
      </c>
      <c r="P47" s="782">
        <f t="shared" si="16"/>
        <v>66</v>
      </c>
      <c r="Q47" s="1022">
        <f t="shared" si="5"/>
        <v>47</v>
      </c>
      <c r="R47" s="1022">
        <f t="shared" si="6"/>
        <v>19</v>
      </c>
      <c r="S47" s="1022">
        <f t="shared" si="7"/>
        <v>0</v>
      </c>
      <c r="T47" s="782">
        <f t="shared" si="17"/>
        <v>66</v>
      </c>
      <c r="W47" s="783">
        <f t="shared" si="9"/>
        <v>0.19148936170212766</v>
      </c>
      <c r="X47" s="784">
        <f t="shared" si="10"/>
        <v>0.21052631578947367</v>
      </c>
      <c r="Y47" s="785" t="str">
        <f t="shared" si="11"/>
        <v>NA</v>
      </c>
      <c r="Z47" s="786">
        <f t="shared" si="12"/>
        <v>0.19696969696969696</v>
      </c>
    </row>
    <row r="48" spans="1:26">
      <c r="A48" s="550" t="s">
        <v>108</v>
      </c>
      <c r="B48" s="478" t="s">
        <v>109</v>
      </c>
      <c r="C48" s="505" t="s">
        <v>266</v>
      </c>
      <c r="D48" s="780">
        <v>33</v>
      </c>
      <c r="E48" s="781">
        <v>17</v>
      </c>
      <c r="F48" s="781">
        <v>1</v>
      </c>
      <c r="G48" s="318">
        <f t="shared" si="13"/>
        <v>51</v>
      </c>
      <c r="H48" s="780">
        <v>11</v>
      </c>
      <c r="I48" s="781">
        <v>1</v>
      </c>
      <c r="J48" s="781">
        <v>6</v>
      </c>
      <c r="K48" s="318">
        <f t="shared" si="14"/>
        <v>18</v>
      </c>
      <c r="L48" s="780"/>
      <c r="M48" s="781"/>
      <c r="N48" s="781"/>
      <c r="O48" s="318">
        <f t="shared" si="15"/>
        <v>0</v>
      </c>
      <c r="P48" s="782">
        <f t="shared" si="16"/>
        <v>69</v>
      </c>
      <c r="Q48" s="1022">
        <f t="shared" si="5"/>
        <v>44</v>
      </c>
      <c r="R48" s="1022">
        <f t="shared" si="6"/>
        <v>18</v>
      </c>
      <c r="S48" s="1022">
        <f t="shared" si="7"/>
        <v>7</v>
      </c>
      <c r="T48" s="782">
        <f t="shared" si="17"/>
        <v>69</v>
      </c>
      <c r="W48" s="783">
        <f t="shared" si="9"/>
        <v>0.25</v>
      </c>
      <c r="X48" s="784">
        <f t="shared" si="10"/>
        <v>5.5555555555555552E-2</v>
      </c>
      <c r="Y48" s="785">
        <f t="shared" si="11"/>
        <v>0.8571428571428571</v>
      </c>
      <c r="Z48" s="786">
        <f t="shared" si="12"/>
        <v>0.2608695652173913</v>
      </c>
    </row>
    <row r="49" spans="1:26">
      <c r="A49" s="550" t="s">
        <v>110</v>
      </c>
      <c r="B49" s="478" t="s">
        <v>111</v>
      </c>
      <c r="C49" s="505" t="s">
        <v>266</v>
      </c>
      <c r="D49" s="780">
        <v>119</v>
      </c>
      <c r="E49" s="781">
        <v>60</v>
      </c>
      <c r="F49" s="781">
        <v>6</v>
      </c>
      <c r="G49" s="318">
        <f t="shared" si="13"/>
        <v>185</v>
      </c>
      <c r="H49" s="780">
        <v>15</v>
      </c>
      <c r="I49" s="781">
        <v>8</v>
      </c>
      <c r="J49" s="781">
        <v>4</v>
      </c>
      <c r="K49" s="318">
        <f t="shared" si="14"/>
        <v>27</v>
      </c>
      <c r="L49" s="780"/>
      <c r="M49" s="781"/>
      <c r="N49" s="781"/>
      <c r="O49" s="318">
        <f t="shared" si="15"/>
        <v>0</v>
      </c>
      <c r="P49" s="782">
        <f t="shared" si="16"/>
        <v>212</v>
      </c>
      <c r="Q49" s="1022">
        <f t="shared" si="5"/>
        <v>134</v>
      </c>
      <c r="R49" s="1022">
        <f t="shared" si="6"/>
        <v>68</v>
      </c>
      <c r="S49" s="1022">
        <f t="shared" si="7"/>
        <v>10</v>
      </c>
      <c r="T49" s="782">
        <f t="shared" si="17"/>
        <v>212</v>
      </c>
      <c r="W49" s="783">
        <f t="shared" si="9"/>
        <v>0.11194029850746269</v>
      </c>
      <c r="X49" s="784">
        <f t="shared" si="10"/>
        <v>0.11764705882352941</v>
      </c>
      <c r="Y49" s="785">
        <f t="shared" si="11"/>
        <v>0.4</v>
      </c>
      <c r="Z49" s="786">
        <f t="shared" si="12"/>
        <v>0.12735849056603774</v>
      </c>
    </row>
    <row r="50" spans="1:26">
      <c r="A50" s="550" t="s">
        <v>112</v>
      </c>
      <c r="B50" s="478" t="s">
        <v>300</v>
      </c>
      <c r="C50" s="505" t="s">
        <v>265</v>
      </c>
      <c r="D50" s="780">
        <v>56</v>
      </c>
      <c r="E50" s="781">
        <v>24</v>
      </c>
      <c r="F50" s="781">
        <v>2</v>
      </c>
      <c r="G50" s="318">
        <f t="shared" si="13"/>
        <v>82</v>
      </c>
      <c r="H50" s="780">
        <v>9</v>
      </c>
      <c r="I50" s="781"/>
      <c r="J50" s="781">
        <v>1</v>
      </c>
      <c r="K50" s="318">
        <f t="shared" si="14"/>
        <v>10</v>
      </c>
      <c r="L50" s="780">
        <v>1</v>
      </c>
      <c r="M50" s="781"/>
      <c r="N50" s="781"/>
      <c r="O50" s="318">
        <f t="shared" si="15"/>
        <v>1</v>
      </c>
      <c r="P50" s="782">
        <f t="shared" si="16"/>
        <v>93</v>
      </c>
      <c r="Q50" s="1022">
        <f t="shared" si="5"/>
        <v>65</v>
      </c>
      <c r="R50" s="1022">
        <f t="shared" si="6"/>
        <v>24</v>
      </c>
      <c r="S50" s="1022">
        <f t="shared" si="7"/>
        <v>3</v>
      </c>
      <c r="T50" s="782">
        <f t="shared" si="17"/>
        <v>92</v>
      </c>
      <c r="W50" s="783">
        <f t="shared" si="9"/>
        <v>0.13846153846153847</v>
      </c>
      <c r="X50" s="784">
        <f t="shared" si="10"/>
        <v>0</v>
      </c>
      <c r="Y50" s="785">
        <f t="shared" si="11"/>
        <v>0.33333333333333331</v>
      </c>
      <c r="Z50" s="786">
        <f t="shared" si="12"/>
        <v>0.10869565217391304</v>
      </c>
    </row>
    <row r="51" spans="1:26">
      <c r="A51" s="550" t="s">
        <v>114</v>
      </c>
      <c r="B51" s="478" t="s">
        <v>115</v>
      </c>
      <c r="C51" s="505" t="s">
        <v>265</v>
      </c>
      <c r="D51" s="780">
        <v>2</v>
      </c>
      <c r="E51" s="781">
        <v>2</v>
      </c>
      <c r="F51" s="781"/>
      <c r="G51" s="318">
        <f t="shared" si="13"/>
        <v>4</v>
      </c>
      <c r="H51" s="780">
        <v>3</v>
      </c>
      <c r="I51" s="781"/>
      <c r="J51" s="781"/>
      <c r="K51" s="318">
        <f t="shared" si="14"/>
        <v>3</v>
      </c>
      <c r="L51" s="780"/>
      <c r="M51" s="781"/>
      <c r="N51" s="781"/>
      <c r="O51" s="318">
        <f t="shared" si="15"/>
        <v>0</v>
      </c>
      <c r="P51" s="782">
        <f t="shared" si="16"/>
        <v>7</v>
      </c>
      <c r="Q51" s="1022">
        <f t="shared" si="5"/>
        <v>5</v>
      </c>
      <c r="R51" s="1022">
        <f t="shared" si="6"/>
        <v>2</v>
      </c>
      <c r="S51" s="1022">
        <f t="shared" si="7"/>
        <v>0</v>
      </c>
      <c r="T51" s="782">
        <f t="shared" si="17"/>
        <v>7</v>
      </c>
      <c r="W51" s="783">
        <f t="shared" si="9"/>
        <v>0.6</v>
      </c>
      <c r="X51" s="784">
        <f t="shared" si="10"/>
        <v>0</v>
      </c>
      <c r="Y51" s="785" t="str">
        <f t="shared" si="11"/>
        <v>NA</v>
      </c>
      <c r="Z51" s="786">
        <f t="shared" si="12"/>
        <v>0.42857142857142855</v>
      </c>
    </row>
    <row r="52" spans="1:26">
      <c r="A52" s="550" t="s">
        <v>118</v>
      </c>
      <c r="B52" s="478" t="s">
        <v>119</v>
      </c>
      <c r="C52" s="505" t="s">
        <v>264</v>
      </c>
      <c r="D52" s="780">
        <v>21</v>
      </c>
      <c r="E52" s="781">
        <v>14</v>
      </c>
      <c r="F52" s="781">
        <v>1</v>
      </c>
      <c r="G52" s="318">
        <f t="shared" si="13"/>
        <v>36</v>
      </c>
      <c r="H52" s="780">
        <v>5</v>
      </c>
      <c r="I52" s="781">
        <v>5</v>
      </c>
      <c r="J52" s="781">
        <v>1</v>
      </c>
      <c r="K52" s="318">
        <f t="shared" si="14"/>
        <v>11</v>
      </c>
      <c r="L52" s="780"/>
      <c r="M52" s="781"/>
      <c r="N52" s="781"/>
      <c r="O52" s="318">
        <f t="shared" si="15"/>
        <v>0</v>
      </c>
      <c r="P52" s="782">
        <f t="shared" si="16"/>
        <v>47</v>
      </c>
      <c r="Q52" s="1022">
        <f t="shared" si="5"/>
        <v>26</v>
      </c>
      <c r="R52" s="1022">
        <f t="shared" si="6"/>
        <v>19</v>
      </c>
      <c r="S52" s="1022">
        <f t="shared" si="7"/>
        <v>2</v>
      </c>
      <c r="T52" s="782">
        <f t="shared" si="17"/>
        <v>47</v>
      </c>
      <c r="W52" s="783">
        <f t="shared" si="9"/>
        <v>0.19230769230769232</v>
      </c>
      <c r="X52" s="784">
        <f t="shared" si="10"/>
        <v>0.26315789473684209</v>
      </c>
      <c r="Y52" s="785">
        <f t="shared" si="11"/>
        <v>0.5</v>
      </c>
      <c r="Z52" s="786">
        <f t="shared" si="12"/>
        <v>0.23404255319148937</v>
      </c>
    </row>
    <row r="53" spans="1:26">
      <c r="A53" s="550" t="s">
        <v>120</v>
      </c>
      <c r="B53" s="478" t="s">
        <v>121</v>
      </c>
      <c r="C53" s="505" t="s">
        <v>264</v>
      </c>
      <c r="D53" s="780">
        <v>32</v>
      </c>
      <c r="E53" s="781">
        <v>22</v>
      </c>
      <c r="F53" s="781"/>
      <c r="G53" s="318">
        <f t="shared" si="13"/>
        <v>54</v>
      </c>
      <c r="H53" s="780">
        <v>6</v>
      </c>
      <c r="I53" s="781">
        <v>1</v>
      </c>
      <c r="J53" s="781"/>
      <c r="K53" s="318">
        <f t="shared" si="14"/>
        <v>7</v>
      </c>
      <c r="L53" s="780"/>
      <c r="M53" s="781"/>
      <c r="N53" s="781"/>
      <c r="O53" s="318">
        <f t="shared" si="15"/>
        <v>0</v>
      </c>
      <c r="P53" s="782">
        <f t="shared" si="16"/>
        <v>61</v>
      </c>
      <c r="Q53" s="1022">
        <f t="shared" si="5"/>
        <v>38</v>
      </c>
      <c r="R53" s="1022">
        <f t="shared" si="6"/>
        <v>23</v>
      </c>
      <c r="S53" s="1022">
        <f t="shared" si="7"/>
        <v>0</v>
      </c>
      <c r="T53" s="782">
        <f t="shared" si="17"/>
        <v>61</v>
      </c>
      <c r="W53" s="783">
        <f t="shared" si="9"/>
        <v>0.15789473684210525</v>
      </c>
      <c r="X53" s="784">
        <f t="shared" si="10"/>
        <v>4.3478260869565216E-2</v>
      </c>
      <c r="Y53" s="785" t="str">
        <f t="shared" si="11"/>
        <v>NA</v>
      </c>
      <c r="Z53" s="786">
        <f t="shared" si="12"/>
        <v>0.11475409836065574</v>
      </c>
    </row>
    <row r="54" spans="1:26">
      <c r="A54" s="550" t="s">
        <v>122</v>
      </c>
      <c r="B54" s="478" t="s">
        <v>271</v>
      </c>
      <c r="C54" s="505" t="s">
        <v>266</v>
      </c>
      <c r="D54" s="780">
        <v>7</v>
      </c>
      <c r="E54" s="781">
        <v>6</v>
      </c>
      <c r="F54" s="781"/>
      <c r="G54" s="318">
        <f t="shared" si="13"/>
        <v>13</v>
      </c>
      <c r="H54" s="780">
        <v>5</v>
      </c>
      <c r="I54" s="781">
        <v>3</v>
      </c>
      <c r="J54" s="781"/>
      <c r="K54" s="318">
        <f t="shared" si="14"/>
        <v>8</v>
      </c>
      <c r="L54" s="780"/>
      <c r="M54" s="781"/>
      <c r="N54" s="781"/>
      <c r="O54" s="318">
        <f t="shared" si="15"/>
        <v>0</v>
      </c>
      <c r="P54" s="782">
        <f t="shared" si="16"/>
        <v>21</v>
      </c>
      <c r="Q54" s="1022">
        <f t="shared" si="5"/>
        <v>12</v>
      </c>
      <c r="R54" s="1022">
        <f t="shared" si="6"/>
        <v>9</v>
      </c>
      <c r="S54" s="1022">
        <f t="shared" si="7"/>
        <v>0</v>
      </c>
      <c r="T54" s="782">
        <f t="shared" si="17"/>
        <v>21</v>
      </c>
      <c r="W54" s="783">
        <f t="shared" si="9"/>
        <v>0.41666666666666669</v>
      </c>
      <c r="X54" s="784">
        <f t="shared" si="10"/>
        <v>0.33333333333333331</v>
      </c>
      <c r="Y54" s="785" t="str">
        <f t="shared" si="11"/>
        <v>NA</v>
      </c>
      <c r="Z54" s="786">
        <f t="shared" si="12"/>
        <v>0.38095238095238093</v>
      </c>
    </row>
    <row r="55" spans="1:26">
      <c r="A55" s="550" t="s">
        <v>124</v>
      </c>
      <c r="B55" s="478" t="s">
        <v>125</v>
      </c>
      <c r="C55" s="505" t="s">
        <v>267</v>
      </c>
      <c r="D55" s="780">
        <v>13</v>
      </c>
      <c r="E55" s="781">
        <v>6</v>
      </c>
      <c r="F55" s="781"/>
      <c r="G55" s="318">
        <f t="shared" si="13"/>
        <v>19</v>
      </c>
      <c r="H55" s="780">
        <v>1</v>
      </c>
      <c r="I55" s="781"/>
      <c r="J55" s="781"/>
      <c r="K55" s="318">
        <f t="shared" si="14"/>
        <v>1</v>
      </c>
      <c r="L55" s="780"/>
      <c r="M55" s="781"/>
      <c r="N55" s="781"/>
      <c r="O55" s="318">
        <f t="shared" si="15"/>
        <v>0</v>
      </c>
      <c r="P55" s="782">
        <f t="shared" si="16"/>
        <v>20</v>
      </c>
      <c r="Q55" s="1022">
        <f t="shared" si="5"/>
        <v>14</v>
      </c>
      <c r="R55" s="1022">
        <f t="shared" si="6"/>
        <v>6</v>
      </c>
      <c r="S55" s="1022">
        <f t="shared" si="7"/>
        <v>0</v>
      </c>
      <c r="T55" s="782">
        <f t="shared" si="17"/>
        <v>20</v>
      </c>
      <c r="W55" s="783">
        <f t="shared" si="9"/>
        <v>7.1428571428571425E-2</v>
      </c>
      <c r="X55" s="784">
        <f t="shared" si="10"/>
        <v>0</v>
      </c>
      <c r="Y55" s="785" t="str">
        <f t="shared" si="11"/>
        <v>NA</v>
      </c>
      <c r="Z55" s="786">
        <f t="shared" si="12"/>
        <v>0.05</v>
      </c>
    </row>
    <row r="56" spans="1:26">
      <c r="A56" s="550" t="s">
        <v>126</v>
      </c>
      <c r="B56" s="478" t="s">
        <v>127</v>
      </c>
      <c r="C56" s="505" t="s">
        <v>266</v>
      </c>
      <c r="D56" s="780">
        <v>8</v>
      </c>
      <c r="E56" s="781">
        <v>7</v>
      </c>
      <c r="F56" s="781"/>
      <c r="G56" s="318">
        <f t="shared" si="13"/>
        <v>15</v>
      </c>
      <c r="H56" s="780">
        <v>1</v>
      </c>
      <c r="I56" s="781">
        <v>2</v>
      </c>
      <c r="J56" s="781"/>
      <c r="K56" s="318">
        <f t="shared" si="14"/>
        <v>3</v>
      </c>
      <c r="L56" s="780"/>
      <c r="M56" s="781">
        <v>1</v>
      </c>
      <c r="N56" s="781"/>
      <c r="O56" s="318">
        <f t="shared" si="15"/>
        <v>1</v>
      </c>
      <c r="P56" s="782">
        <f t="shared" si="16"/>
        <v>19</v>
      </c>
      <c r="Q56" s="1022">
        <f t="shared" si="5"/>
        <v>9</v>
      </c>
      <c r="R56" s="1022">
        <f t="shared" si="6"/>
        <v>9</v>
      </c>
      <c r="S56" s="1022">
        <f t="shared" si="7"/>
        <v>0</v>
      </c>
      <c r="T56" s="782">
        <f t="shared" si="17"/>
        <v>18</v>
      </c>
      <c r="W56" s="783">
        <f t="shared" si="9"/>
        <v>0.1111111111111111</v>
      </c>
      <c r="X56" s="784">
        <f t="shared" si="10"/>
        <v>0.22222222222222221</v>
      </c>
      <c r="Y56" s="785" t="str">
        <f t="shared" si="11"/>
        <v>NA</v>
      </c>
      <c r="Z56" s="786">
        <f t="shared" si="12"/>
        <v>0.16666666666666666</v>
      </c>
    </row>
    <row r="57" spans="1:26">
      <c r="A57" s="550" t="s">
        <v>128</v>
      </c>
      <c r="B57" s="478" t="s">
        <v>129</v>
      </c>
      <c r="C57" s="505" t="s">
        <v>266</v>
      </c>
      <c r="D57" s="780">
        <v>11</v>
      </c>
      <c r="E57" s="781">
        <v>6</v>
      </c>
      <c r="F57" s="781"/>
      <c r="G57" s="318">
        <f t="shared" si="13"/>
        <v>17</v>
      </c>
      <c r="H57" s="780">
        <v>5</v>
      </c>
      <c r="I57" s="781">
        <v>3</v>
      </c>
      <c r="J57" s="781"/>
      <c r="K57" s="318">
        <f t="shared" si="14"/>
        <v>8</v>
      </c>
      <c r="L57" s="780"/>
      <c r="M57" s="781"/>
      <c r="N57" s="781"/>
      <c r="O57" s="318">
        <f t="shared" si="15"/>
        <v>0</v>
      </c>
      <c r="P57" s="782">
        <f t="shared" si="16"/>
        <v>25</v>
      </c>
      <c r="Q57" s="1022">
        <f t="shared" si="5"/>
        <v>16</v>
      </c>
      <c r="R57" s="1022">
        <f t="shared" si="6"/>
        <v>9</v>
      </c>
      <c r="S57" s="1022">
        <f t="shared" si="7"/>
        <v>0</v>
      </c>
      <c r="T57" s="782">
        <f t="shared" si="17"/>
        <v>25</v>
      </c>
      <c r="W57" s="783">
        <f t="shared" si="9"/>
        <v>0.3125</v>
      </c>
      <c r="X57" s="784">
        <f t="shared" si="10"/>
        <v>0.33333333333333331</v>
      </c>
      <c r="Y57" s="785" t="str">
        <f t="shared" si="11"/>
        <v>NA</v>
      </c>
      <c r="Z57" s="786">
        <f t="shared" si="12"/>
        <v>0.32</v>
      </c>
    </row>
    <row r="58" spans="1:26">
      <c r="A58" s="550" t="s">
        <v>130</v>
      </c>
      <c r="B58" s="478" t="s">
        <v>131</v>
      </c>
      <c r="C58" s="505" t="s">
        <v>268</v>
      </c>
      <c r="D58" s="780">
        <v>38</v>
      </c>
      <c r="E58" s="781">
        <v>16</v>
      </c>
      <c r="F58" s="781"/>
      <c r="G58" s="318">
        <f t="shared" si="13"/>
        <v>54</v>
      </c>
      <c r="H58" s="780">
        <v>8</v>
      </c>
      <c r="I58" s="781">
        <v>2</v>
      </c>
      <c r="J58" s="781"/>
      <c r="K58" s="318">
        <f t="shared" si="14"/>
        <v>10</v>
      </c>
      <c r="L58" s="780"/>
      <c r="M58" s="781"/>
      <c r="N58" s="781"/>
      <c r="O58" s="318">
        <f t="shared" si="15"/>
        <v>0</v>
      </c>
      <c r="P58" s="782">
        <f t="shared" si="16"/>
        <v>64</v>
      </c>
      <c r="Q58" s="1022">
        <f t="shared" si="5"/>
        <v>46</v>
      </c>
      <c r="R58" s="1022">
        <f t="shared" si="6"/>
        <v>18</v>
      </c>
      <c r="S58" s="1022">
        <f t="shared" si="7"/>
        <v>0</v>
      </c>
      <c r="T58" s="782">
        <f t="shared" si="17"/>
        <v>64</v>
      </c>
      <c r="W58" s="783">
        <f t="shared" si="9"/>
        <v>0.17391304347826086</v>
      </c>
      <c r="X58" s="784">
        <f t="shared" si="10"/>
        <v>0.1111111111111111</v>
      </c>
      <c r="Y58" s="785" t="str">
        <f t="shared" si="11"/>
        <v>NA</v>
      </c>
      <c r="Z58" s="786">
        <f t="shared" si="12"/>
        <v>0.15625</v>
      </c>
    </row>
    <row r="59" spans="1:26">
      <c r="A59" s="550" t="s">
        <v>132</v>
      </c>
      <c r="B59" s="478" t="s">
        <v>133</v>
      </c>
      <c r="C59" s="505" t="s">
        <v>267</v>
      </c>
      <c r="D59" s="780">
        <v>75</v>
      </c>
      <c r="E59" s="781">
        <v>43</v>
      </c>
      <c r="F59" s="781"/>
      <c r="G59" s="318">
        <f t="shared" si="13"/>
        <v>118</v>
      </c>
      <c r="H59" s="780">
        <v>14</v>
      </c>
      <c r="I59" s="781">
        <v>2</v>
      </c>
      <c r="J59" s="781"/>
      <c r="K59" s="318">
        <f t="shared" si="14"/>
        <v>16</v>
      </c>
      <c r="L59" s="780"/>
      <c r="M59" s="781"/>
      <c r="N59" s="781"/>
      <c r="O59" s="318">
        <f t="shared" si="15"/>
        <v>0</v>
      </c>
      <c r="P59" s="782">
        <f t="shared" si="16"/>
        <v>134</v>
      </c>
      <c r="Q59" s="1022">
        <f t="shared" si="5"/>
        <v>89</v>
      </c>
      <c r="R59" s="1022">
        <f t="shared" si="6"/>
        <v>45</v>
      </c>
      <c r="S59" s="1022">
        <f t="shared" si="7"/>
        <v>0</v>
      </c>
      <c r="T59" s="782">
        <f t="shared" si="17"/>
        <v>134</v>
      </c>
      <c r="W59" s="783">
        <f t="shared" si="9"/>
        <v>0.15730337078651685</v>
      </c>
      <c r="X59" s="784">
        <f t="shared" si="10"/>
        <v>4.4444444444444446E-2</v>
      </c>
      <c r="Y59" s="785" t="str">
        <f t="shared" si="11"/>
        <v>NA</v>
      </c>
      <c r="Z59" s="786">
        <f t="shared" si="12"/>
        <v>0.11940298507462686</v>
      </c>
    </row>
    <row r="60" spans="1:26">
      <c r="A60" s="550" t="s">
        <v>134</v>
      </c>
      <c r="B60" s="478" t="s">
        <v>135</v>
      </c>
      <c r="C60" s="505" t="s">
        <v>267</v>
      </c>
      <c r="D60" s="780">
        <v>30</v>
      </c>
      <c r="E60" s="781">
        <v>10</v>
      </c>
      <c r="F60" s="781"/>
      <c r="G60" s="318">
        <f t="shared" si="13"/>
        <v>40</v>
      </c>
      <c r="H60" s="780">
        <v>3</v>
      </c>
      <c r="I60" s="781"/>
      <c r="J60" s="781"/>
      <c r="K60" s="318">
        <f t="shared" si="14"/>
        <v>3</v>
      </c>
      <c r="L60" s="780"/>
      <c r="M60" s="781"/>
      <c r="N60" s="781"/>
      <c r="O60" s="318">
        <f t="shared" si="15"/>
        <v>0</v>
      </c>
      <c r="P60" s="782">
        <f t="shared" si="16"/>
        <v>43</v>
      </c>
      <c r="Q60" s="1022">
        <f t="shared" si="5"/>
        <v>33</v>
      </c>
      <c r="R60" s="1022">
        <f t="shared" si="6"/>
        <v>10</v>
      </c>
      <c r="S60" s="1022">
        <f t="shared" si="7"/>
        <v>0</v>
      </c>
      <c r="T60" s="782">
        <f t="shared" si="17"/>
        <v>43</v>
      </c>
      <c r="W60" s="783">
        <f t="shared" si="9"/>
        <v>9.0909090909090912E-2</v>
      </c>
      <c r="X60" s="784">
        <f t="shared" si="10"/>
        <v>0</v>
      </c>
      <c r="Y60" s="785" t="str">
        <f t="shared" si="11"/>
        <v>NA</v>
      </c>
      <c r="Z60" s="786">
        <f t="shared" si="12"/>
        <v>6.9767441860465115E-2</v>
      </c>
    </row>
    <row r="61" spans="1:26">
      <c r="A61" s="550" t="s">
        <v>136</v>
      </c>
      <c r="B61" s="478" t="s">
        <v>137</v>
      </c>
      <c r="C61" s="505" t="s">
        <v>266</v>
      </c>
      <c r="D61" s="780">
        <v>8</v>
      </c>
      <c r="E61" s="781">
        <v>6</v>
      </c>
      <c r="F61" s="781"/>
      <c r="G61" s="318">
        <f t="shared" si="13"/>
        <v>14</v>
      </c>
      <c r="H61" s="780">
        <v>2</v>
      </c>
      <c r="I61" s="781">
        <v>1</v>
      </c>
      <c r="J61" s="781"/>
      <c r="K61" s="318">
        <f t="shared" si="14"/>
        <v>3</v>
      </c>
      <c r="L61" s="780"/>
      <c r="M61" s="781"/>
      <c r="N61" s="781"/>
      <c r="O61" s="318">
        <f t="shared" si="15"/>
        <v>0</v>
      </c>
      <c r="P61" s="782">
        <f t="shared" si="16"/>
        <v>17</v>
      </c>
      <c r="Q61" s="1022">
        <f t="shared" si="5"/>
        <v>10</v>
      </c>
      <c r="R61" s="1022">
        <f t="shared" si="6"/>
        <v>7</v>
      </c>
      <c r="S61" s="1022">
        <f t="shared" si="7"/>
        <v>0</v>
      </c>
      <c r="T61" s="782">
        <f t="shared" si="17"/>
        <v>17</v>
      </c>
      <c r="W61" s="783">
        <f t="shared" si="9"/>
        <v>0.2</v>
      </c>
      <c r="X61" s="784">
        <f t="shared" si="10"/>
        <v>0.14285714285714285</v>
      </c>
      <c r="Y61" s="785" t="str">
        <f t="shared" si="11"/>
        <v>NA</v>
      </c>
      <c r="Z61" s="786">
        <f t="shared" si="12"/>
        <v>0.17647058823529413</v>
      </c>
    </row>
    <row r="62" spans="1:26">
      <c r="A62" s="550" t="s">
        <v>140</v>
      </c>
      <c r="B62" s="478" t="s">
        <v>141</v>
      </c>
      <c r="C62" s="505" t="s">
        <v>267</v>
      </c>
      <c r="D62" s="780">
        <v>14</v>
      </c>
      <c r="E62" s="781">
        <v>6</v>
      </c>
      <c r="F62" s="781">
        <v>1</v>
      </c>
      <c r="G62" s="318">
        <f t="shared" si="13"/>
        <v>21</v>
      </c>
      <c r="H62" s="780"/>
      <c r="I62" s="781">
        <v>1</v>
      </c>
      <c r="J62" s="781"/>
      <c r="K62" s="318">
        <f t="shared" si="14"/>
        <v>1</v>
      </c>
      <c r="L62" s="780"/>
      <c r="M62" s="781"/>
      <c r="N62" s="781"/>
      <c r="O62" s="318">
        <f t="shared" si="15"/>
        <v>0</v>
      </c>
      <c r="P62" s="782">
        <f t="shared" si="16"/>
        <v>22</v>
      </c>
      <c r="Q62" s="1022">
        <f t="shared" si="5"/>
        <v>14</v>
      </c>
      <c r="R62" s="1022">
        <f t="shared" si="6"/>
        <v>7</v>
      </c>
      <c r="S62" s="1022">
        <f t="shared" si="7"/>
        <v>1</v>
      </c>
      <c r="T62" s="782">
        <f t="shared" si="17"/>
        <v>22</v>
      </c>
      <c r="W62" s="783">
        <f t="shared" si="9"/>
        <v>0</v>
      </c>
      <c r="X62" s="784">
        <f t="shared" si="10"/>
        <v>0.14285714285714285</v>
      </c>
      <c r="Y62" s="785">
        <f t="shared" si="11"/>
        <v>0</v>
      </c>
      <c r="Z62" s="786">
        <f t="shared" si="12"/>
        <v>4.5454545454545456E-2</v>
      </c>
    </row>
    <row r="63" spans="1:26">
      <c r="A63" s="550" t="s">
        <v>146</v>
      </c>
      <c r="B63" s="478" t="s">
        <v>147</v>
      </c>
      <c r="C63" s="505" t="s">
        <v>264</v>
      </c>
      <c r="D63" s="780">
        <v>9</v>
      </c>
      <c r="E63" s="781">
        <v>4</v>
      </c>
      <c r="F63" s="781"/>
      <c r="G63" s="318">
        <f t="shared" si="13"/>
        <v>13</v>
      </c>
      <c r="H63" s="780"/>
      <c r="I63" s="781"/>
      <c r="J63" s="781"/>
      <c r="K63" s="318">
        <f t="shared" si="14"/>
        <v>0</v>
      </c>
      <c r="L63" s="780"/>
      <c r="M63" s="781"/>
      <c r="N63" s="781"/>
      <c r="O63" s="318">
        <f t="shared" si="15"/>
        <v>0</v>
      </c>
      <c r="P63" s="782">
        <f t="shared" si="16"/>
        <v>13</v>
      </c>
      <c r="Q63" s="1022">
        <f t="shared" si="5"/>
        <v>9</v>
      </c>
      <c r="R63" s="1022">
        <f t="shared" si="6"/>
        <v>4</v>
      </c>
      <c r="S63" s="1022">
        <f t="shared" si="7"/>
        <v>0</v>
      </c>
      <c r="T63" s="782">
        <f t="shared" si="17"/>
        <v>13</v>
      </c>
      <c r="W63" s="783">
        <f t="shared" si="9"/>
        <v>0</v>
      </c>
      <c r="X63" s="784">
        <f t="shared" si="10"/>
        <v>0</v>
      </c>
      <c r="Y63" s="785" t="str">
        <f t="shared" si="11"/>
        <v>NA</v>
      </c>
      <c r="Z63" s="786">
        <f t="shared" si="12"/>
        <v>0</v>
      </c>
    </row>
    <row r="64" spans="1:26">
      <c r="A64" s="550" t="s">
        <v>148</v>
      </c>
      <c r="B64" s="478" t="s">
        <v>149</v>
      </c>
      <c r="C64" s="505" t="s">
        <v>265</v>
      </c>
      <c r="D64" s="780">
        <v>24</v>
      </c>
      <c r="E64" s="781">
        <v>14</v>
      </c>
      <c r="F64" s="781"/>
      <c r="G64" s="318">
        <f t="shared" si="13"/>
        <v>38</v>
      </c>
      <c r="H64" s="780">
        <v>4</v>
      </c>
      <c r="I64" s="781">
        <v>1</v>
      </c>
      <c r="J64" s="781"/>
      <c r="K64" s="318">
        <f t="shared" si="14"/>
        <v>5</v>
      </c>
      <c r="L64" s="780"/>
      <c r="M64" s="781"/>
      <c r="N64" s="781"/>
      <c r="O64" s="318">
        <f t="shared" si="15"/>
        <v>0</v>
      </c>
      <c r="P64" s="782">
        <f t="shared" si="16"/>
        <v>43</v>
      </c>
      <c r="Q64" s="1022">
        <f t="shared" si="5"/>
        <v>28</v>
      </c>
      <c r="R64" s="1022">
        <f t="shared" si="6"/>
        <v>15</v>
      </c>
      <c r="S64" s="1022">
        <f t="shared" si="7"/>
        <v>0</v>
      </c>
      <c r="T64" s="782">
        <f t="shared" si="17"/>
        <v>43</v>
      </c>
      <c r="W64" s="783">
        <f t="shared" si="9"/>
        <v>0.14285714285714285</v>
      </c>
      <c r="X64" s="784">
        <f t="shared" si="10"/>
        <v>6.6666666666666666E-2</v>
      </c>
      <c r="Y64" s="785" t="str">
        <f t="shared" si="11"/>
        <v>NA</v>
      </c>
      <c r="Z64" s="786">
        <f t="shared" si="12"/>
        <v>0.11627906976744186</v>
      </c>
    </row>
    <row r="65" spans="1:26">
      <c r="A65" s="550" t="s">
        <v>150</v>
      </c>
      <c r="B65" s="478" t="s">
        <v>151</v>
      </c>
      <c r="C65" s="505" t="s">
        <v>266</v>
      </c>
      <c r="D65" s="780">
        <v>9</v>
      </c>
      <c r="E65" s="781">
        <v>5</v>
      </c>
      <c r="F65" s="781"/>
      <c r="G65" s="318">
        <f t="shared" si="13"/>
        <v>14</v>
      </c>
      <c r="H65" s="780">
        <v>2</v>
      </c>
      <c r="I65" s="781">
        <v>1</v>
      </c>
      <c r="J65" s="781"/>
      <c r="K65" s="318">
        <f t="shared" si="14"/>
        <v>3</v>
      </c>
      <c r="L65" s="780"/>
      <c r="M65" s="781"/>
      <c r="N65" s="781"/>
      <c r="O65" s="318">
        <f t="shared" si="15"/>
        <v>0</v>
      </c>
      <c r="P65" s="782">
        <f t="shared" si="16"/>
        <v>17</v>
      </c>
      <c r="Q65" s="1022">
        <f t="shared" si="5"/>
        <v>11</v>
      </c>
      <c r="R65" s="1022">
        <f t="shared" si="6"/>
        <v>6</v>
      </c>
      <c r="S65" s="1022">
        <f t="shared" si="7"/>
        <v>0</v>
      </c>
      <c r="T65" s="782">
        <f t="shared" si="17"/>
        <v>17</v>
      </c>
      <c r="W65" s="783">
        <f t="shared" si="9"/>
        <v>0.18181818181818182</v>
      </c>
      <c r="X65" s="784">
        <f t="shared" si="10"/>
        <v>0.16666666666666666</v>
      </c>
      <c r="Y65" s="785" t="str">
        <f t="shared" si="11"/>
        <v>NA</v>
      </c>
      <c r="Z65" s="786">
        <f t="shared" si="12"/>
        <v>0.17647058823529413</v>
      </c>
    </row>
    <row r="66" spans="1:26">
      <c r="A66" s="550" t="s">
        <v>152</v>
      </c>
      <c r="B66" s="478" t="s">
        <v>153</v>
      </c>
      <c r="C66" s="505" t="s">
        <v>268</v>
      </c>
      <c r="D66" s="780">
        <v>46</v>
      </c>
      <c r="E66" s="781">
        <v>15</v>
      </c>
      <c r="F66" s="781"/>
      <c r="G66" s="318">
        <f t="shared" si="13"/>
        <v>61</v>
      </c>
      <c r="H66" s="780">
        <v>8</v>
      </c>
      <c r="I66" s="781">
        <v>9</v>
      </c>
      <c r="J66" s="781"/>
      <c r="K66" s="318">
        <f t="shared" si="14"/>
        <v>17</v>
      </c>
      <c r="L66" s="780"/>
      <c r="M66" s="781"/>
      <c r="N66" s="781"/>
      <c r="O66" s="318">
        <f t="shared" si="15"/>
        <v>0</v>
      </c>
      <c r="P66" s="782">
        <f t="shared" si="16"/>
        <v>78</v>
      </c>
      <c r="Q66" s="1022">
        <f t="shared" si="5"/>
        <v>54</v>
      </c>
      <c r="R66" s="1022">
        <f t="shared" si="6"/>
        <v>24</v>
      </c>
      <c r="S66" s="1022">
        <f t="shared" si="7"/>
        <v>0</v>
      </c>
      <c r="T66" s="782">
        <f t="shared" si="17"/>
        <v>78</v>
      </c>
      <c r="W66" s="783">
        <f t="shared" si="9"/>
        <v>0.14814814814814814</v>
      </c>
      <c r="X66" s="784">
        <f t="shared" si="10"/>
        <v>0.375</v>
      </c>
      <c r="Y66" s="785" t="str">
        <f t="shared" si="11"/>
        <v>NA</v>
      </c>
      <c r="Z66" s="786">
        <f t="shared" si="12"/>
        <v>0.21794871794871795</v>
      </c>
    </row>
    <row r="67" spans="1:26">
      <c r="A67" s="550" t="s">
        <v>154</v>
      </c>
      <c r="B67" s="478" t="s">
        <v>155</v>
      </c>
      <c r="C67" s="505" t="s">
        <v>265</v>
      </c>
      <c r="D67" s="780">
        <v>9</v>
      </c>
      <c r="E67" s="781">
        <v>4</v>
      </c>
      <c r="F67" s="781"/>
      <c r="G67" s="318">
        <f t="shared" si="13"/>
        <v>13</v>
      </c>
      <c r="H67" s="780">
        <v>3</v>
      </c>
      <c r="I67" s="781">
        <v>3</v>
      </c>
      <c r="J67" s="781"/>
      <c r="K67" s="318">
        <f t="shared" si="14"/>
        <v>6</v>
      </c>
      <c r="L67" s="780"/>
      <c r="M67" s="781"/>
      <c r="N67" s="781"/>
      <c r="O67" s="318">
        <f t="shared" si="15"/>
        <v>0</v>
      </c>
      <c r="P67" s="782">
        <f t="shared" si="16"/>
        <v>19</v>
      </c>
      <c r="Q67" s="1022">
        <f t="shared" si="5"/>
        <v>12</v>
      </c>
      <c r="R67" s="1022">
        <f t="shared" si="6"/>
        <v>7</v>
      </c>
      <c r="S67" s="1022">
        <f t="shared" si="7"/>
        <v>0</v>
      </c>
      <c r="T67" s="782">
        <f t="shared" si="17"/>
        <v>19</v>
      </c>
      <c r="W67" s="783">
        <f t="shared" si="9"/>
        <v>0.25</v>
      </c>
      <c r="X67" s="784">
        <f t="shared" si="10"/>
        <v>0.42857142857142855</v>
      </c>
      <c r="Y67" s="785" t="str">
        <f t="shared" si="11"/>
        <v>NA</v>
      </c>
      <c r="Z67" s="786">
        <f t="shared" si="12"/>
        <v>0.31578947368421051</v>
      </c>
    </row>
    <row r="68" spans="1:26">
      <c r="A68" s="550" t="s">
        <v>156</v>
      </c>
      <c r="B68" s="478" t="s">
        <v>157</v>
      </c>
      <c r="C68" s="505" t="s">
        <v>266</v>
      </c>
      <c r="D68" s="780">
        <v>10</v>
      </c>
      <c r="E68" s="781">
        <v>5</v>
      </c>
      <c r="F68" s="781"/>
      <c r="G68" s="318">
        <f t="shared" si="13"/>
        <v>15</v>
      </c>
      <c r="H68" s="780"/>
      <c r="I68" s="781">
        <v>2</v>
      </c>
      <c r="J68" s="781">
        <v>4</v>
      </c>
      <c r="K68" s="318">
        <f t="shared" si="14"/>
        <v>6</v>
      </c>
      <c r="L68" s="780"/>
      <c r="M68" s="781"/>
      <c r="N68" s="781"/>
      <c r="O68" s="318">
        <f t="shared" si="15"/>
        <v>0</v>
      </c>
      <c r="P68" s="782">
        <f t="shared" si="16"/>
        <v>21</v>
      </c>
      <c r="Q68" s="1022">
        <f t="shared" si="5"/>
        <v>10</v>
      </c>
      <c r="R68" s="1022">
        <f t="shared" si="6"/>
        <v>7</v>
      </c>
      <c r="S68" s="1022">
        <f t="shared" si="7"/>
        <v>4</v>
      </c>
      <c r="T68" s="782">
        <f t="shared" si="17"/>
        <v>21</v>
      </c>
      <c r="W68" s="783">
        <f t="shared" si="9"/>
        <v>0</v>
      </c>
      <c r="X68" s="784">
        <f t="shared" si="10"/>
        <v>0.2857142857142857</v>
      </c>
      <c r="Y68" s="785">
        <f t="shared" si="11"/>
        <v>1</v>
      </c>
      <c r="Z68" s="786">
        <f t="shared" si="12"/>
        <v>0.2857142857142857</v>
      </c>
    </row>
    <row r="69" spans="1:26">
      <c r="A69" s="550" t="s">
        <v>162</v>
      </c>
      <c r="B69" s="478" t="s">
        <v>163</v>
      </c>
      <c r="C69" s="505" t="s">
        <v>264</v>
      </c>
      <c r="D69" s="780">
        <v>22</v>
      </c>
      <c r="E69" s="781">
        <v>10</v>
      </c>
      <c r="F69" s="781"/>
      <c r="G69" s="318">
        <f t="shared" si="13"/>
        <v>32</v>
      </c>
      <c r="H69" s="780">
        <v>6</v>
      </c>
      <c r="I69" s="781">
        <v>3</v>
      </c>
      <c r="J69" s="781">
        <v>1</v>
      </c>
      <c r="K69" s="318">
        <f t="shared" si="14"/>
        <v>10</v>
      </c>
      <c r="L69" s="780"/>
      <c r="M69" s="781"/>
      <c r="N69" s="781"/>
      <c r="O69" s="318">
        <f t="shared" si="15"/>
        <v>0</v>
      </c>
      <c r="P69" s="782">
        <f t="shared" si="16"/>
        <v>42</v>
      </c>
      <c r="Q69" s="1022">
        <f t="shared" si="5"/>
        <v>28</v>
      </c>
      <c r="R69" s="1022">
        <f t="shared" si="6"/>
        <v>13</v>
      </c>
      <c r="S69" s="1022">
        <f t="shared" si="7"/>
        <v>1</v>
      </c>
      <c r="T69" s="782">
        <f t="shared" si="17"/>
        <v>42</v>
      </c>
      <c r="W69" s="783">
        <f t="shared" si="9"/>
        <v>0.21428571428571427</v>
      </c>
      <c r="X69" s="784">
        <f t="shared" si="10"/>
        <v>0.23076923076923078</v>
      </c>
      <c r="Y69" s="785">
        <f t="shared" si="11"/>
        <v>1</v>
      </c>
      <c r="Z69" s="786">
        <f t="shared" si="12"/>
        <v>0.23809523809523808</v>
      </c>
    </row>
    <row r="70" spans="1:26">
      <c r="A70" s="550" t="s">
        <v>164</v>
      </c>
      <c r="B70" s="478" t="s">
        <v>165</v>
      </c>
      <c r="C70" s="505" t="s">
        <v>266</v>
      </c>
      <c r="D70" s="780">
        <v>10</v>
      </c>
      <c r="E70" s="781">
        <v>6</v>
      </c>
      <c r="F70" s="781"/>
      <c r="G70" s="318">
        <f t="shared" ref="G70:G101" si="18">SUM(D70:F70)</f>
        <v>16</v>
      </c>
      <c r="H70" s="780">
        <v>3</v>
      </c>
      <c r="I70" s="781">
        <v>1</v>
      </c>
      <c r="J70" s="781"/>
      <c r="K70" s="318">
        <f t="shared" ref="K70:K101" si="19">SUM(H70:J70)</f>
        <v>4</v>
      </c>
      <c r="L70" s="780">
        <v>2</v>
      </c>
      <c r="M70" s="781"/>
      <c r="N70" s="781"/>
      <c r="O70" s="318">
        <f t="shared" ref="O70:O101" si="20">SUM(L70:N70)</f>
        <v>2</v>
      </c>
      <c r="P70" s="782">
        <f t="shared" ref="P70:P101" si="21">G70+K70+O70</f>
        <v>22</v>
      </c>
      <c r="Q70" s="1022">
        <f t="shared" si="5"/>
        <v>13</v>
      </c>
      <c r="R70" s="1022">
        <f t="shared" si="6"/>
        <v>7</v>
      </c>
      <c r="S70" s="1022">
        <f t="shared" si="7"/>
        <v>0</v>
      </c>
      <c r="T70" s="782">
        <f t="shared" si="17"/>
        <v>20</v>
      </c>
      <c r="W70" s="783">
        <f t="shared" si="9"/>
        <v>0.23076923076923078</v>
      </c>
      <c r="X70" s="784">
        <f t="shared" si="10"/>
        <v>0.14285714285714285</v>
      </c>
      <c r="Y70" s="785" t="str">
        <f t="shared" si="11"/>
        <v>NA</v>
      </c>
      <c r="Z70" s="786">
        <f t="shared" si="12"/>
        <v>0.2</v>
      </c>
    </row>
    <row r="71" spans="1:26">
      <c r="A71" s="550" t="s">
        <v>168</v>
      </c>
      <c r="B71" s="478" t="s">
        <v>169</v>
      </c>
      <c r="C71" s="505" t="s">
        <v>266</v>
      </c>
      <c r="D71" s="780">
        <v>18</v>
      </c>
      <c r="E71" s="781">
        <v>7</v>
      </c>
      <c r="F71" s="781"/>
      <c r="G71" s="318">
        <f t="shared" si="18"/>
        <v>25</v>
      </c>
      <c r="H71" s="780"/>
      <c r="I71" s="781">
        <v>2</v>
      </c>
      <c r="J71" s="781"/>
      <c r="K71" s="318">
        <f t="shared" si="19"/>
        <v>2</v>
      </c>
      <c r="L71" s="780"/>
      <c r="M71" s="781"/>
      <c r="N71" s="781"/>
      <c r="O71" s="318">
        <f t="shared" si="20"/>
        <v>0</v>
      </c>
      <c r="P71" s="782">
        <f t="shared" si="21"/>
        <v>27</v>
      </c>
      <c r="Q71" s="1022">
        <f t="shared" ref="Q71:Q126" si="22">D71+H71</f>
        <v>18</v>
      </c>
      <c r="R71" s="1022">
        <f t="shared" ref="R71:R126" si="23">E71+I71</f>
        <v>9</v>
      </c>
      <c r="S71" s="1022">
        <f t="shared" ref="S71:S126" si="24">F71+J71</f>
        <v>0</v>
      </c>
      <c r="T71" s="782">
        <f t="shared" ref="T71:T102" si="25">G71+K71</f>
        <v>27</v>
      </c>
      <c r="W71" s="783">
        <f t="shared" ref="W71:W126" si="26">IF((D71+H71)=0,"NA",(H71/(D71+H71)))</f>
        <v>0</v>
      </c>
      <c r="X71" s="784">
        <f t="shared" ref="X71:X126" si="27">IF((E71+I71)=0,"NA",(I71/(E71+I71)))</f>
        <v>0.22222222222222221</v>
      </c>
      <c r="Y71" s="785" t="str">
        <f t="shared" ref="Y71:Y126" si="28">IF((F71+J71)=0,"NA",(J71/(F71+J71)))</f>
        <v>NA</v>
      </c>
      <c r="Z71" s="786">
        <f t="shared" ref="Z71:Z126" si="29">IF((G71+K71)=0,"NA",(K71/(G71+K71)))</f>
        <v>7.407407407407407E-2</v>
      </c>
    </row>
    <row r="72" spans="1:26">
      <c r="A72" s="550" t="s">
        <v>170</v>
      </c>
      <c r="B72" s="478" t="s">
        <v>171</v>
      </c>
      <c r="C72" s="505" t="s">
        <v>267</v>
      </c>
      <c r="D72" s="780">
        <v>20</v>
      </c>
      <c r="E72" s="781">
        <v>11</v>
      </c>
      <c r="F72" s="781"/>
      <c r="G72" s="318">
        <f t="shared" si="18"/>
        <v>31</v>
      </c>
      <c r="H72" s="780">
        <v>7</v>
      </c>
      <c r="I72" s="781">
        <v>6</v>
      </c>
      <c r="J72" s="781"/>
      <c r="K72" s="318">
        <f t="shared" si="19"/>
        <v>13</v>
      </c>
      <c r="L72" s="780">
        <v>2</v>
      </c>
      <c r="M72" s="781">
        <v>1</v>
      </c>
      <c r="N72" s="781"/>
      <c r="O72" s="318">
        <f t="shared" si="20"/>
        <v>3</v>
      </c>
      <c r="P72" s="782">
        <f t="shared" si="21"/>
        <v>47</v>
      </c>
      <c r="Q72" s="1022">
        <f t="shared" si="22"/>
        <v>27</v>
      </c>
      <c r="R72" s="1022">
        <f t="shared" si="23"/>
        <v>17</v>
      </c>
      <c r="S72" s="1022">
        <f t="shared" si="24"/>
        <v>0</v>
      </c>
      <c r="T72" s="782">
        <f t="shared" si="25"/>
        <v>44</v>
      </c>
      <c r="W72" s="783">
        <f t="shared" si="26"/>
        <v>0.25925925925925924</v>
      </c>
      <c r="X72" s="784">
        <f t="shared" si="27"/>
        <v>0.35294117647058826</v>
      </c>
      <c r="Y72" s="785" t="str">
        <f t="shared" si="28"/>
        <v>NA</v>
      </c>
      <c r="Z72" s="786">
        <f t="shared" si="29"/>
        <v>0.29545454545454547</v>
      </c>
    </row>
    <row r="73" spans="1:26">
      <c r="A73" s="550" t="s">
        <v>172</v>
      </c>
      <c r="B73" s="478" t="s">
        <v>173</v>
      </c>
      <c r="C73" s="505" t="s">
        <v>267</v>
      </c>
      <c r="D73" s="780">
        <v>20</v>
      </c>
      <c r="E73" s="781">
        <v>6</v>
      </c>
      <c r="F73" s="781"/>
      <c r="G73" s="318">
        <f t="shared" si="18"/>
        <v>26</v>
      </c>
      <c r="H73" s="780">
        <v>1</v>
      </c>
      <c r="I73" s="781">
        <v>1</v>
      </c>
      <c r="J73" s="781"/>
      <c r="K73" s="318">
        <f t="shared" si="19"/>
        <v>2</v>
      </c>
      <c r="L73" s="780"/>
      <c r="M73" s="781"/>
      <c r="N73" s="781"/>
      <c r="O73" s="318">
        <f t="shared" si="20"/>
        <v>0</v>
      </c>
      <c r="P73" s="782">
        <f t="shared" si="21"/>
        <v>28</v>
      </c>
      <c r="Q73" s="1022">
        <f t="shared" si="22"/>
        <v>21</v>
      </c>
      <c r="R73" s="1022">
        <f t="shared" si="23"/>
        <v>7</v>
      </c>
      <c r="S73" s="1022">
        <f t="shared" si="24"/>
        <v>0</v>
      </c>
      <c r="T73" s="782">
        <f t="shared" si="25"/>
        <v>28</v>
      </c>
      <c r="W73" s="783">
        <f t="shared" si="26"/>
        <v>4.7619047619047616E-2</v>
      </c>
      <c r="X73" s="784">
        <f t="shared" si="27"/>
        <v>0.14285714285714285</v>
      </c>
      <c r="Y73" s="785" t="str">
        <f t="shared" si="28"/>
        <v>NA</v>
      </c>
      <c r="Z73" s="786">
        <f t="shared" si="29"/>
        <v>7.1428571428571425E-2</v>
      </c>
    </row>
    <row r="74" spans="1:26">
      <c r="A74" s="550" t="s">
        <v>174</v>
      </c>
      <c r="B74" s="478" t="s">
        <v>175</v>
      </c>
      <c r="C74" s="505" t="s">
        <v>268</v>
      </c>
      <c r="D74" s="780">
        <v>16</v>
      </c>
      <c r="E74" s="781">
        <v>7</v>
      </c>
      <c r="F74" s="781"/>
      <c r="G74" s="318">
        <f t="shared" si="18"/>
        <v>23</v>
      </c>
      <c r="H74" s="780">
        <v>5</v>
      </c>
      <c r="I74" s="781">
        <v>1</v>
      </c>
      <c r="J74" s="781">
        <v>1</v>
      </c>
      <c r="K74" s="318">
        <f t="shared" si="19"/>
        <v>7</v>
      </c>
      <c r="L74" s="780"/>
      <c r="M74" s="781"/>
      <c r="N74" s="781"/>
      <c r="O74" s="318">
        <f t="shared" si="20"/>
        <v>0</v>
      </c>
      <c r="P74" s="782">
        <f t="shared" si="21"/>
        <v>30</v>
      </c>
      <c r="Q74" s="1022">
        <f t="shared" si="22"/>
        <v>21</v>
      </c>
      <c r="R74" s="1022">
        <f t="shared" si="23"/>
        <v>8</v>
      </c>
      <c r="S74" s="1022">
        <f t="shared" si="24"/>
        <v>1</v>
      </c>
      <c r="T74" s="782">
        <f t="shared" si="25"/>
        <v>30</v>
      </c>
      <c r="W74" s="783">
        <f t="shared" si="26"/>
        <v>0.23809523809523808</v>
      </c>
      <c r="X74" s="784">
        <f t="shared" si="27"/>
        <v>0.125</v>
      </c>
      <c r="Y74" s="785">
        <f t="shared" si="28"/>
        <v>1</v>
      </c>
      <c r="Z74" s="786">
        <f t="shared" si="29"/>
        <v>0.23333333333333334</v>
      </c>
    </row>
    <row r="75" spans="1:26">
      <c r="A75" s="550" t="s">
        <v>178</v>
      </c>
      <c r="B75" s="478" t="s">
        <v>179</v>
      </c>
      <c r="C75" s="505" t="s">
        <v>265</v>
      </c>
      <c r="D75" s="780">
        <v>48</v>
      </c>
      <c r="E75" s="781">
        <v>21</v>
      </c>
      <c r="F75" s="781"/>
      <c r="G75" s="318">
        <f t="shared" si="18"/>
        <v>69</v>
      </c>
      <c r="H75" s="780">
        <v>4</v>
      </c>
      <c r="I75" s="781">
        <v>2</v>
      </c>
      <c r="J75" s="781"/>
      <c r="K75" s="318">
        <f t="shared" si="19"/>
        <v>6</v>
      </c>
      <c r="L75" s="780"/>
      <c r="M75" s="781"/>
      <c r="N75" s="781"/>
      <c r="O75" s="318">
        <f t="shared" si="20"/>
        <v>0</v>
      </c>
      <c r="P75" s="782">
        <f t="shared" si="21"/>
        <v>75</v>
      </c>
      <c r="Q75" s="1022">
        <f t="shared" si="22"/>
        <v>52</v>
      </c>
      <c r="R75" s="1022">
        <f t="shared" si="23"/>
        <v>23</v>
      </c>
      <c r="S75" s="1022">
        <f t="shared" si="24"/>
        <v>0</v>
      </c>
      <c r="T75" s="782">
        <f t="shared" si="25"/>
        <v>75</v>
      </c>
      <c r="W75" s="783">
        <f t="shared" si="26"/>
        <v>7.6923076923076927E-2</v>
      </c>
      <c r="X75" s="784">
        <f t="shared" si="27"/>
        <v>8.6956521739130432E-2</v>
      </c>
      <c r="Y75" s="785" t="str">
        <f t="shared" si="28"/>
        <v>NA</v>
      </c>
      <c r="Z75" s="786">
        <f t="shared" si="29"/>
        <v>0.08</v>
      </c>
    </row>
    <row r="76" spans="1:26">
      <c r="A76" s="550" t="s">
        <v>182</v>
      </c>
      <c r="B76" s="478" t="s">
        <v>183</v>
      </c>
      <c r="C76" s="505" t="s">
        <v>266</v>
      </c>
      <c r="D76" s="780">
        <v>13</v>
      </c>
      <c r="E76" s="781">
        <v>7</v>
      </c>
      <c r="F76" s="781"/>
      <c r="G76" s="318">
        <f t="shared" si="18"/>
        <v>20</v>
      </c>
      <c r="H76" s="780">
        <v>3</v>
      </c>
      <c r="I76" s="781">
        <v>2</v>
      </c>
      <c r="J76" s="781">
        <v>2</v>
      </c>
      <c r="K76" s="318">
        <f t="shared" si="19"/>
        <v>7</v>
      </c>
      <c r="L76" s="780"/>
      <c r="M76" s="781"/>
      <c r="N76" s="781"/>
      <c r="O76" s="318">
        <f t="shared" si="20"/>
        <v>0</v>
      </c>
      <c r="P76" s="782">
        <f t="shared" si="21"/>
        <v>27</v>
      </c>
      <c r="Q76" s="1022">
        <f t="shared" si="22"/>
        <v>16</v>
      </c>
      <c r="R76" s="1022">
        <f t="shared" si="23"/>
        <v>9</v>
      </c>
      <c r="S76" s="1022">
        <f t="shared" si="24"/>
        <v>2</v>
      </c>
      <c r="T76" s="782">
        <f t="shared" si="25"/>
        <v>27</v>
      </c>
      <c r="W76" s="783">
        <f t="shared" si="26"/>
        <v>0.1875</v>
      </c>
      <c r="X76" s="784">
        <f t="shared" si="27"/>
        <v>0.22222222222222221</v>
      </c>
      <c r="Y76" s="785">
        <f t="shared" si="28"/>
        <v>1</v>
      </c>
      <c r="Z76" s="786">
        <f t="shared" si="29"/>
        <v>0.25925925925925924</v>
      </c>
    </row>
    <row r="77" spans="1:26">
      <c r="A77" s="550" t="s">
        <v>184</v>
      </c>
      <c r="B77" s="478" t="s">
        <v>185</v>
      </c>
      <c r="C77" s="505" t="s">
        <v>266</v>
      </c>
      <c r="D77" s="780">
        <v>23</v>
      </c>
      <c r="E77" s="781">
        <v>10</v>
      </c>
      <c r="F77" s="781">
        <v>1</v>
      </c>
      <c r="G77" s="318">
        <f t="shared" si="18"/>
        <v>34</v>
      </c>
      <c r="H77" s="780">
        <v>4</v>
      </c>
      <c r="I77" s="781">
        <v>3</v>
      </c>
      <c r="J77" s="781">
        <v>2</v>
      </c>
      <c r="K77" s="318">
        <f t="shared" si="19"/>
        <v>9</v>
      </c>
      <c r="L77" s="780"/>
      <c r="M77" s="781"/>
      <c r="N77" s="781"/>
      <c r="O77" s="318">
        <f t="shared" si="20"/>
        <v>0</v>
      </c>
      <c r="P77" s="782">
        <f t="shared" si="21"/>
        <v>43</v>
      </c>
      <c r="Q77" s="1022">
        <f t="shared" si="22"/>
        <v>27</v>
      </c>
      <c r="R77" s="1022">
        <f t="shared" si="23"/>
        <v>13</v>
      </c>
      <c r="S77" s="1022">
        <f t="shared" si="24"/>
        <v>3</v>
      </c>
      <c r="T77" s="782">
        <f t="shared" si="25"/>
        <v>43</v>
      </c>
      <c r="W77" s="783">
        <f t="shared" si="26"/>
        <v>0.14814814814814814</v>
      </c>
      <c r="X77" s="784">
        <f t="shared" si="27"/>
        <v>0.23076923076923078</v>
      </c>
      <c r="Y77" s="785">
        <f t="shared" si="28"/>
        <v>0.66666666666666663</v>
      </c>
      <c r="Z77" s="786">
        <f t="shared" si="29"/>
        <v>0.20930232558139536</v>
      </c>
    </row>
    <row r="78" spans="1:26">
      <c r="A78" s="550" t="s">
        <v>186</v>
      </c>
      <c r="B78" s="478" t="s">
        <v>187</v>
      </c>
      <c r="C78" s="505" t="s">
        <v>264</v>
      </c>
      <c r="D78" s="780">
        <v>12</v>
      </c>
      <c r="E78" s="781">
        <v>12</v>
      </c>
      <c r="F78" s="781">
        <v>1</v>
      </c>
      <c r="G78" s="318">
        <f t="shared" si="18"/>
        <v>25</v>
      </c>
      <c r="H78" s="780"/>
      <c r="I78" s="781"/>
      <c r="J78" s="781">
        <v>2</v>
      </c>
      <c r="K78" s="318">
        <f t="shared" si="19"/>
        <v>2</v>
      </c>
      <c r="L78" s="780"/>
      <c r="M78" s="781"/>
      <c r="N78" s="781"/>
      <c r="O78" s="318">
        <f t="shared" si="20"/>
        <v>0</v>
      </c>
      <c r="P78" s="782">
        <f t="shared" si="21"/>
        <v>27</v>
      </c>
      <c r="Q78" s="1022">
        <f t="shared" si="22"/>
        <v>12</v>
      </c>
      <c r="R78" s="1022">
        <f t="shared" si="23"/>
        <v>12</v>
      </c>
      <c r="S78" s="1022">
        <f t="shared" si="24"/>
        <v>3</v>
      </c>
      <c r="T78" s="782">
        <f t="shared" si="25"/>
        <v>27</v>
      </c>
      <c r="W78" s="783">
        <f t="shared" si="26"/>
        <v>0</v>
      </c>
      <c r="X78" s="784">
        <f t="shared" si="27"/>
        <v>0</v>
      </c>
      <c r="Y78" s="785">
        <f t="shared" si="28"/>
        <v>0.66666666666666663</v>
      </c>
      <c r="Z78" s="786">
        <f t="shared" si="29"/>
        <v>7.407407407407407E-2</v>
      </c>
    </row>
    <row r="79" spans="1:26">
      <c r="A79" s="550" t="s">
        <v>188</v>
      </c>
      <c r="B79" s="478" t="s">
        <v>189</v>
      </c>
      <c r="C79" s="505" t="s">
        <v>267</v>
      </c>
      <c r="D79" s="780">
        <v>171</v>
      </c>
      <c r="E79" s="781">
        <v>65</v>
      </c>
      <c r="F79" s="781">
        <v>7</v>
      </c>
      <c r="G79" s="318">
        <f t="shared" si="18"/>
        <v>243</v>
      </c>
      <c r="H79" s="780">
        <v>50</v>
      </c>
      <c r="I79" s="781">
        <v>29</v>
      </c>
      <c r="J79" s="781">
        <v>15</v>
      </c>
      <c r="K79" s="318">
        <f t="shared" si="19"/>
        <v>94</v>
      </c>
      <c r="L79" s="780">
        <v>3</v>
      </c>
      <c r="M79" s="781"/>
      <c r="N79" s="781"/>
      <c r="O79" s="318">
        <f t="shared" si="20"/>
        <v>3</v>
      </c>
      <c r="P79" s="782">
        <f t="shared" si="21"/>
        <v>340</v>
      </c>
      <c r="Q79" s="1022">
        <f t="shared" si="22"/>
        <v>221</v>
      </c>
      <c r="R79" s="1022">
        <f t="shared" si="23"/>
        <v>94</v>
      </c>
      <c r="S79" s="1022">
        <f t="shared" si="24"/>
        <v>22</v>
      </c>
      <c r="T79" s="782">
        <f t="shared" si="25"/>
        <v>337</v>
      </c>
      <c r="W79" s="783">
        <f t="shared" si="26"/>
        <v>0.22624434389140272</v>
      </c>
      <c r="X79" s="784">
        <f t="shared" si="27"/>
        <v>0.30851063829787234</v>
      </c>
      <c r="Y79" s="785">
        <f t="shared" si="28"/>
        <v>0.68181818181818177</v>
      </c>
      <c r="Z79" s="786">
        <f t="shared" si="29"/>
        <v>0.27893175074183979</v>
      </c>
    </row>
    <row r="80" spans="1:26">
      <c r="A80" s="550" t="s">
        <v>190</v>
      </c>
      <c r="B80" s="478" t="s">
        <v>191</v>
      </c>
      <c r="C80" s="505" t="s">
        <v>268</v>
      </c>
      <c r="D80" s="780">
        <v>37</v>
      </c>
      <c r="E80" s="781">
        <v>18</v>
      </c>
      <c r="F80" s="781"/>
      <c r="G80" s="318">
        <f t="shared" si="18"/>
        <v>55</v>
      </c>
      <c r="H80" s="780">
        <v>7</v>
      </c>
      <c r="I80" s="781">
        <v>4</v>
      </c>
      <c r="J80" s="781">
        <v>1</v>
      </c>
      <c r="K80" s="318">
        <f t="shared" si="19"/>
        <v>12</v>
      </c>
      <c r="L80" s="780"/>
      <c r="M80" s="781"/>
      <c r="N80" s="781"/>
      <c r="O80" s="318">
        <f t="shared" si="20"/>
        <v>0</v>
      </c>
      <c r="P80" s="782">
        <f t="shared" si="21"/>
        <v>67</v>
      </c>
      <c r="Q80" s="1022">
        <f t="shared" si="22"/>
        <v>44</v>
      </c>
      <c r="R80" s="1022">
        <f t="shared" si="23"/>
        <v>22</v>
      </c>
      <c r="S80" s="1022">
        <f t="shared" si="24"/>
        <v>1</v>
      </c>
      <c r="T80" s="782">
        <f t="shared" si="25"/>
        <v>67</v>
      </c>
      <c r="W80" s="783">
        <f t="shared" si="26"/>
        <v>0.15909090909090909</v>
      </c>
      <c r="X80" s="784">
        <f t="shared" si="27"/>
        <v>0.18181818181818182</v>
      </c>
      <c r="Y80" s="785">
        <f t="shared" si="28"/>
        <v>1</v>
      </c>
      <c r="Z80" s="786">
        <f t="shared" si="29"/>
        <v>0.17910447761194029</v>
      </c>
    </row>
    <row r="81" spans="1:26">
      <c r="A81" s="550" t="s">
        <v>194</v>
      </c>
      <c r="B81" s="478" t="s">
        <v>195</v>
      </c>
      <c r="C81" s="505" t="s">
        <v>267</v>
      </c>
      <c r="D81" s="780">
        <v>7</v>
      </c>
      <c r="E81" s="781">
        <v>4</v>
      </c>
      <c r="F81" s="781"/>
      <c r="G81" s="318">
        <f t="shared" si="18"/>
        <v>11</v>
      </c>
      <c r="H81" s="780">
        <v>1</v>
      </c>
      <c r="I81" s="781"/>
      <c r="J81" s="781"/>
      <c r="K81" s="318">
        <f t="shared" si="19"/>
        <v>1</v>
      </c>
      <c r="L81" s="780"/>
      <c r="M81" s="781"/>
      <c r="N81" s="781"/>
      <c r="O81" s="318">
        <f t="shared" si="20"/>
        <v>0</v>
      </c>
      <c r="P81" s="782">
        <f t="shared" si="21"/>
        <v>12</v>
      </c>
      <c r="Q81" s="1022">
        <f t="shared" si="22"/>
        <v>8</v>
      </c>
      <c r="R81" s="1022">
        <f t="shared" si="23"/>
        <v>4</v>
      </c>
      <c r="S81" s="1022">
        <f t="shared" si="24"/>
        <v>0</v>
      </c>
      <c r="T81" s="782">
        <f t="shared" si="25"/>
        <v>12</v>
      </c>
      <c r="W81" s="783">
        <f t="shared" si="26"/>
        <v>0.125</v>
      </c>
      <c r="X81" s="784">
        <f t="shared" si="27"/>
        <v>0</v>
      </c>
      <c r="Y81" s="785" t="str">
        <f t="shared" si="28"/>
        <v>NA</v>
      </c>
      <c r="Z81" s="786">
        <f t="shared" si="29"/>
        <v>8.3333333333333329E-2</v>
      </c>
    </row>
    <row r="82" spans="1:26">
      <c r="A82" s="550" t="s">
        <v>198</v>
      </c>
      <c r="B82" s="478" t="s">
        <v>199</v>
      </c>
      <c r="C82" s="505" t="s">
        <v>266</v>
      </c>
      <c r="D82" s="780">
        <v>6</v>
      </c>
      <c r="E82" s="781">
        <v>6</v>
      </c>
      <c r="F82" s="781"/>
      <c r="G82" s="318">
        <f t="shared" si="18"/>
        <v>12</v>
      </c>
      <c r="H82" s="780">
        <v>4</v>
      </c>
      <c r="I82" s="781">
        <v>2</v>
      </c>
      <c r="J82" s="781"/>
      <c r="K82" s="318">
        <f t="shared" si="19"/>
        <v>6</v>
      </c>
      <c r="L82" s="780"/>
      <c r="M82" s="781"/>
      <c r="N82" s="781"/>
      <c r="O82" s="318">
        <f t="shared" si="20"/>
        <v>0</v>
      </c>
      <c r="P82" s="782">
        <f t="shared" si="21"/>
        <v>18</v>
      </c>
      <c r="Q82" s="1022">
        <f t="shared" si="22"/>
        <v>10</v>
      </c>
      <c r="R82" s="1022">
        <f t="shared" si="23"/>
        <v>8</v>
      </c>
      <c r="S82" s="1022">
        <f t="shared" si="24"/>
        <v>0</v>
      </c>
      <c r="T82" s="782">
        <f t="shared" si="25"/>
        <v>18</v>
      </c>
      <c r="W82" s="783">
        <f t="shared" si="26"/>
        <v>0.4</v>
      </c>
      <c r="X82" s="784">
        <f t="shared" si="27"/>
        <v>0.25</v>
      </c>
      <c r="Y82" s="785" t="str">
        <f t="shared" si="28"/>
        <v>NA</v>
      </c>
      <c r="Z82" s="786">
        <f t="shared" si="29"/>
        <v>0.33333333333333331</v>
      </c>
    </row>
    <row r="83" spans="1:26">
      <c r="A83" s="550" t="s">
        <v>202</v>
      </c>
      <c r="B83" s="478" t="s">
        <v>620</v>
      </c>
      <c r="C83" s="505" t="s">
        <v>265</v>
      </c>
      <c r="D83" s="780">
        <v>72</v>
      </c>
      <c r="E83" s="781">
        <v>25</v>
      </c>
      <c r="F83" s="781"/>
      <c r="G83" s="318">
        <f t="shared" si="18"/>
        <v>97</v>
      </c>
      <c r="H83" s="780">
        <v>6</v>
      </c>
      <c r="I83" s="781"/>
      <c r="J83" s="781"/>
      <c r="K83" s="318">
        <f t="shared" si="19"/>
        <v>6</v>
      </c>
      <c r="L83" s="780"/>
      <c r="M83" s="781"/>
      <c r="N83" s="781"/>
      <c r="O83" s="318">
        <f t="shared" si="20"/>
        <v>0</v>
      </c>
      <c r="P83" s="782">
        <f t="shared" si="21"/>
        <v>103</v>
      </c>
      <c r="Q83" s="1022">
        <f t="shared" si="22"/>
        <v>78</v>
      </c>
      <c r="R83" s="1022">
        <f t="shared" si="23"/>
        <v>25</v>
      </c>
      <c r="S83" s="1022">
        <f t="shared" si="24"/>
        <v>0</v>
      </c>
      <c r="T83" s="782">
        <f t="shared" si="25"/>
        <v>103</v>
      </c>
      <c r="W83" s="783">
        <f t="shared" si="26"/>
        <v>7.6923076923076927E-2</v>
      </c>
      <c r="X83" s="784">
        <f t="shared" si="27"/>
        <v>0</v>
      </c>
      <c r="Y83" s="785" t="str">
        <f t="shared" si="28"/>
        <v>NA</v>
      </c>
      <c r="Z83" s="786">
        <f t="shared" si="29"/>
        <v>5.8252427184466021E-2</v>
      </c>
    </row>
    <row r="84" spans="1:26">
      <c r="A84" s="550" t="s">
        <v>204</v>
      </c>
      <c r="B84" s="478" t="s">
        <v>293</v>
      </c>
      <c r="C84" s="505" t="s">
        <v>265</v>
      </c>
      <c r="D84" s="780">
        <v>22</v>
      </c>
      <c r="E84" s="781">
        <v>9</v>
      </c>
      <c r="F84" s="781"/>
      <c r="G84" s="318">
        <f t="shared" si="18"/>
        <v>31</v>
      </c>
      <c r="H84" s="780">
        <v>5</v>
      </c>
      <c r="I84" s="781">
        <v>4</v>
      </c>
      <c r="J84" s="781"/>
      <c r="K84" s="318">
        <f t="shared" si="19"/>
        <v>9</v>
      </c>
      <c r="L84" s="780">
        <v>1</v>
      </c>
      <c r="M84" s="781"/>
      <c r="N84" s="781"/>
      <c r="O84" s="318">
        <f t="shared" si="20"/>
        <v>1</v>
      </c>
      <c r="P84" s="782">
        <f t="shared" si="21"/>
        <v>41</v>
      </c>
      <c r="Q84" s="1022">
        <f t="shared" si="22"/>
        <v>27</v>
      </c>
      <c r="R84" s="1022">
        <f t="shared" si="23"/>
        <v>13</v>
      </c>
      <c r="S84" s="1022">
        <f t="shared" si="24"/>
        <v>0</v>
      </c>
      <c r="T84" s="782">
        <f t="shared" si="25"/>
        <v>40</v>
      </c>
      <c r="W84" s="783">
        <f t="shared" si="26"/>
        <v>0.18518518518518517</v>
      </c>
      <c r="X84" s="784">
        <f t="shared" si="27"/>
        <v>0.30769230769230771</v>
      </c>
      <c r="Y84" s="785" t="str">
        <f t="shared" si="28"/>
        <v>NA</v>
      </c>
      <c r="Z84" s="786">
        <f t="shared" si="29"/>
        <v>0.22500000000000001</v>
      </c>
    </row>
    <row r="85" spans="1:26">
      <c r="A85" s="550" t="s">
        <v>206</v>
      </c>
      <c r="B85" s="478" t="s">
        <v>294</v>
      </c>
      <c r="C85" s="505" t="s">
        <v>267</v>
      </c>
      <c r="D85" s="780">
        <v>82</v>
      </c>
      <c r="E85" s="781">
        <v>30</v>
      </c>
      <c r="F85" s="781"/>
      <c r="G85" s="318">
        <f t="shared" si="18"/>
        <v>112</v>
      </c>
      <c r="H85" s="780">
        <v>19</v>
      </c>
      <c r="I85" s="781">
        <v>1</v>
      </c>
      <c r="J85" s="781"/>
      <c r="K85" s="318">
        <f t="shared" si="19"/>
        <v>20</v>
      </c>
      <c r="L85" s="780"/>
      <c r="M85" s="781"/>
      <c r="N85" s="781"/>
      <c r="O85" s="318">
        <f t="shared" si="20"/>
        <v>0</v>
      </c>
      <c r="P85" s="782">
        <f t="shared" si="21"/>
        <v>132</v>
      </c>
      <c r="Q85" s="1022">
        <f t="shared" si="22"/>
        <v>101</v>
      </c>
      <c r="R85" s="1022">
        <f t="shared" si="23"/>
        <v>31</v>
      </c>
      <c r="S85" s="1022">
        <f t="shared" si="24"/>
        <v>0</v>
      </c>
      <c r="T85" s="782">
        <f t="shared" si="25"/>
        <v>132</v>
      </c>
      <c r="W85" s="783">
        <f t="shared" si="26"/>
        <v>0.18811881188118812</v>
      </c>
      <c r="X85" s="784">
        <f t="shared" si="27"/>
        <v>3.2258064516129031E-2</v>
      </c>
      <c r="Y85" s="785" t="str">
        <f t="shared" si="28"/>
        <v>NA</v>
      </c>
      <c r="Z85" s="786">
        <f t="shared" si="29"/>
        <v>0.15151515151515152</v>
      </c>
    </row>
    <row r="86" spans="1:26">
      <c r="A86" s="550" t="s">
        <v>208</v>
      </c>
      <c r="B86" s="478" t="s">
        <v>209</v>
      </c>
      <c r="C86" s="505" t="s">
        <v>268</v>
      </c>
      <c r="D86" s="780">
        <v>27</v>
      </c>
      <c r="E86" s="781">
        <v>12</v>
      </c>
      <c r="F86" s="781">
        <v>1</v>
      </c>
      <c r="G86" s="318">
        <f t="shared" si="18"/>
        <v>40</v>
      </c>
      <c r="H86" s="780">
        <v>6</v>
      </c>
      <c r="I86" s="781">
        <v>1</v>
      </c>
      <c r="J86" s="781"/>
      <c r="K86" s="318">
        <f t="shared" si="19"/>
        <v>7</v>
      </c>
      <c r="L86" s="780"/>
      <c r="M86" s="781"/>
      <c r="N86" s="781"/>
      <c r="O86" s="318">
        <f t="shared" si="20"/>
        <v>0</v>
      </c>
      <c r="P86" s="782">
        <f t="shared" si="21"/>
        <v>47</v>
      </c>
      <c r="Q86" s="1022">
        <f t="shared" si="22"/>
        <v>33</v>
      </c>
      <c r="R86" s="1022">
        <f t="shared" si="23"/>
        <v>13</v>
      </c>
      <c r="S86" s="1022">
        <f t="shared" si="24"/>
        <v>1</v>
      </c>
      <c r="T86" s="782">
        <f t="shared" si="25"/>
        <v>47</v>
      </c>
      <c r="W86" s="783">
        <f t="shared" si="26"/>
        <v>0.18181818181818182</v>
      </c>
      <c r="X86" s="784">
        <f t="shared" si="27"/>
        <v>7.6923076923076927E-2</v>
      </c>
      <c r="Y86" s="785">
        <f t="shared" si="28"/>
        <v>0</v>
      </c>
      <c r="Z86" s="786">
        <f t="shared" si="29"/>
        <v>0.14893617021276595</v>
      </c>
    </row>
    <row r="87" spans="1:26">
      <c r="A87" s="550" t="s">
        <v>210</v>
      </c>
      <c r="B87" s="478" t="s">
        <v>211</v>
      </c>
      <c r="C87" s="505" t="s">
        <v>268</v>
      </c>
      <c r="D87" s="780">
        <v>28</v>
      </c>
      <c r="E87" s="781">
        <v>9</v>
      </c>
      <c r="F87" s="781"/>
      <c r="G87" s="318">
        <f t="shared" si="18"/>
        <v>37</v>
      </c>
      <c r="H87" s="780">
        <v>2</v>
      </c>
      <c r="I87" s="781">
        <v>3</v>
      </c>
      <c r="J87" s="781"/>
      <c r="K87" s="318">
        <f t="shared" si="19"/>
        <v>5</v>
      </c>
      <c r="L87" s="780"/>
      <c r="M87" s="781"/>
      <c r="N87" s="781"/>
      <c r="O87" s="318">
        <f t="shared" si="20"/>
        <v>0</v>
      </c>
      <c r="P87" s="782">
        <f t="shared" si="21"/>
        <v>42</v>
      </c>
      <c r="Q87" s="1022">
        <f t="shared" si="22"/>
        <v>30</v>
      </c>
      <c r="R87" s="1022">
        <f t="shared" si="23"/>
        <v>12</v>
      </c>
      <c r="S87" s="1022">
        <f t="shared" si="24"/>
        <v>0</v>
      </c>
      <c r="T87" s="782">
        <f t="shared" si="25"/>
        <v>42</v>
      </c>
      <c r="W87" s="783">
        <f t="shared" si="26"/>
        <v>6.6666666666666666E-2</v>
      </c>
      <c r="X87" s="784">
        <f t="shared" si="27"/>
        <v>0.25</v>
      </c>
      <c r="Y87" s="785" t="str">
        <f t="shared" si="28"/>
        <v>NA</v>
      </c>
      <c r="Z87" s="786">
        <f t="shared" si="29"/>
        <v>0.11904761904761904</v>
      </c>
    </row>
    <row r="88" spans="1:26">
      <c r="A88" s="550" t="s">
        <v>212</v>
      </c>
      <c r="B88" s="478" t="s">
        <v>213</v>
      </c>
      <c r="C88" s="505" t="s">
        <v>267</v>
      </c>
      <c r="D88" s="780">
        <v>24</v>
      </c>
      <c r="E88" s="781">
        <v>10</v>
      </c>
      <c r="F88" s="781">
        <v>2</v>
      </c>
      <c r="G88" s="318">
        <f t="shared" si="18"/>
        <v>36</v>
      </c>
      <c r="H88" s="780">
        <v>6</v>
      </c>
      <c r="I88" s="781">
        <v>2</v>
      </c>
      <c r="J88" s="781">
        <v>3</v>
      </c>
      <c r="K88" s="318">
        <f t="shared" si="19"/>
        <v>11</v>
      </c>
      <c r="L88" s="780"/>
      <c r="M88" s="781"/>
      <c r="N88" s="781"/>
      <c r="O88" s="318">
        <f t="shared" si="20"/>
        <v>0</v>
      </c>
      <c r="P88" s="782">
        <f t="shared" si="21"/>
        <v>47</v>
      </c>
      <c r="Q88" s="1022">
        <f t="shared" si="22"/>
        <v>30</v>
      </c>
      <c r="R88" s="1022">
        <f t="shared" si="23"/>
        <v>12</v>
      </c>
      <c r="S88" s="1022">
        <f t="shared" si="24"/>
        <v>5</v>
      </c>
      <c r="T88" s="782">
        <f t="shared" si="25"/>
        <v>47</v>
      </c>
      <c r="W88" s="783">
        <f t="shared" si="26"/>
        <v>0.2</v>
      </c>
      <c r="X88" s="784">
        <f t="shared" si="27"/>
        <v>0.16666666666666666</v>
      </c>
      <c r="Y88" s="785">
        <f t="shared" si="28"/>
        <v>0.6</v>
      </c>
      <c r="Z88" s="786">
        <f t="shared" si="29"/>
        <v>0.23404255319148937</v>
      </c>
    </row>
    <row r="89" spans="1:26">
      <c r="A89" s="550" t="s">
        <v>214</v>
      </c>
      <c r="B89" s="478" t="s">
        <v>215</v>
      </c>
      <c r="C89" s="505" t="s">
        <v>268</v>
      </c>
      <c r="D89" s="780">
        <v>39</v>
      </c>
      <c r="E89" s="781">
        <v>16</v>
      </c>
      <c r="F89" s="781"/>
      <c r="G89" s="318">
        <f t="shared" si="18"/>
        <v>55</v>
      </c>
      <c r="H89" s="780">
        <v>7</v>
      </c>
      <c r="I89" s="781">
        <v>7</v>
      </c>
      <c r="J89" s="781"/>
      <c r="K89" s="318">
        <f t="shared" si="19"/>
        <v>14</v>
      </c>
      <c r="L89" s="780"/>
      <c r="M89" s="781"/>
      <c r="N89" s="781"/>
      <c r="O89" s="318">
        <f t="shared" si="20"/>
        <v>0</v>
      </c>
      <c r="P89" s="782">
        <f t="shared" si="21"/>
        <v>69</v>
      </c>
      <c r="Q89" s="1022">
        <f t="shared" si="22"/>
        <v>46</v>
      </c>
      <c r="R89" s="1022">
        <f t="shared" si="23"/>
        <v>23</v>
      </c>
      <c r="S89" s="1022">
        <f t="shared" si="24"/>
        <v>0</v>
      </c>
      <c r="T89" s="782">
        <f t="shared" si="25"/>
        <v>69</v>
      </c>
      <c r="W89" s="783">
        <f t="shared" si="26"/>
        <v>0.15217391304347827</v>
      </c>
      <c r="X89" s="784">
        <f t="shared" si="27"/>
        <v>0.30434782608695654</v>
      </c>
      <c r="Y89" s="785" t="str">
        <f t="shared" si="28"/>
        <v>NA</v>
      </c>
      <c r="Z89" s="786">
        <f t="shared" si="29"/>
        <v>0.20289855072463769</v>
      </c>
    </row>
    <row r="90" spans="1:26">
      <c r="A90" s="550" t="s">
        <v>216</v>
      </c>
      <c r="B90" s="478" t="s">
        <v>217</v>
      </c>
      <c r="C90" s="505" t="s">
        <v>264</v>
      </c>
      <c r="D90" s="780">
        <v>16</v>
      </c>
      <c r="E90" s="781">
        <v>11</v>
      </c>
      <c r="F90" s="781">
        <v>1</v>
      </c>
      <c r="G90" s="318">
        <f t="shared" si="18"/>
        <v>28</v>
      </c>
      <c r="H90" s="780">
        <v>6</v>
      </c>
      <c r="I90" s="781">
        <v>2</v>
      </c>
      <c r="J90" s="781">
        <v>2</v>
      </c>
      <c r="K90" s="318">
        <f t="shared" si="19"/>
        <v>10</v>
      </c>
      <c r="L90" s="780">
        <v>1</v>
      </c>
      <c r="M90" s="781"/>
      <c r="N90" s="781"/>
      <c r="O90" s="318">
        <f t="shared" si="20"/>
        <v>1</v>
      </c>
      <c r="P90" s="782">
        <f t="shared" si="21"/>
        <v>39</v>
      </c>
      <c r="Q90" s="1022">
        <f t="shared" si="22"/>
        <v>22</v>
      </c>
      <c r="R90" s="1022">
        <f t="shared" si="23"/>
        <v>13</v>
      </c>
      <c r="S90" s="1022">
        <f t="shared" si="24"/>
        <v>3</v>
      </c>
      <c r="T90" s="782">
        <f t="shared" si="25"/>
        <v>38</v>
      </c>
      <c r="W90" s="783">
        <f t="shared" si="26"/>
        <v>0.27272727272727271</v>
      </c>
      <c r="X90" s="784">
        <f t="shared" si="27"/>
        <v>0.15384615384615385</v>
      </c>
      <c r="Y90" s="785">
        <f t="shared" si="28"/>
        <v>0.66666666666666663</v>
      </c>
      <c r="Z90" s="786">
        <f t="shared" si="29"/>
        <v>0.26315789473684209</v>
      </c>
    </row>
    <row r="91" spans="1:26">
      <c r="A91" s="550" t="s">
        <v>218</v>
      </c>
      <c r="B91" s="478" t="s">
        <v>219</v>
      </c>
      <c r="C91" s="505" t="s">
        <v>267</v>
      </c>
      <c r="D91" s="780">
        <v>55</v>
      </c>
      <c r="E91" s="781">
        <v>23</v>
      </c>
      <c r="F91" s="781">
        <v>4</v>
      </c>
      <c r="G91" s="318">
        <f t="shared" si="18"/>
        <v>82</v>
      </c>
      <c r="H91" s="780">
        <v>5</v>
      </c>
      <c r="I91" s="781">
        <v>6</v>
      </c>
      <c r="J91" s="781">
        <v>1</v>
      </c>
      <c r="K91" s="318">
        <f t="shared" si="19"/>
        <v>12</v>
      </c>
      <c r="L91" s="780"/>
      <c r="M91" s="781"/>
      <c r="N91" s="781"/>
      <c r="O91" s="318">
        <f t="shared" si="20"/>
        <v>0</v>
      </c>
      <c r="P91" s="782">
        <f t="shared" si="21"/>
        <v>94</v>
      </c>
      <c r="Q91" s="1022">
        <f t="shared" si="22"/>
        <v>60</v>
      </c>
      <c r="R91" s="1022">
        <f t="shared" si="23"/>
        <v>29</v>
      </c>
      <c r="S91" s="1022">
        <f t="shared" si="24"/>
        <v>5</v>
      </c>
      <c r="T91" s="782">
        <f t="shared" si="25"/>
        <v>94</v>
      </c>
      <c r="W91" s="783">
        <f t="shared" si="26"/>
        <v>8.3333333333333329E-2</v>
      </c>
      <c r="X91" s="784">
        <f t="shared" si="27"/>
        <v>0.20689655172413793</v>
      </c>
      <c r="Y91" s="785">
        <f t="shared" si="28"/>
        <v>0.2</v>
      </c>
      <c r="Z91" s="786">
        <f t="shared" si="29"/>
        <v>0.1276595744680851</v>
      </c>
    </row>
    <row r="92" spans="1:26">
      <c r="A92" s="550" t="s">
        <v>220</v>
      </c>
      <c r="B92" s="478" t="s">
        <v>221</v>
      </c>
      <c r="C92" s="505" t="s">
        <v>267</v>
      </c>
      <c r="D92" s="780">
        <v>43</v>
      </c>
      <c r="E92" s="781">
        <v>14</v>
      </c>
      <c r="F92" s="781"/>
      <c r="G92" s="318">
        <f t="shared" si="18"/>
        <v>57</v>
      </c>
      <c r="H92" s="780">
        <v>6</v>
      </c>
      <c r="I92" s="781">
        <v>3</v>
      </c>
      <c r="J92" s="781">
        <v>1</v>
      </c>
      <c r="K92" s="318">
        <f t="shared" si="19"/>
        <v>10</v>
      </c>
      <c r="L92" s="780"/>
      <c r="M92" s="781"/>
      <c r="N92" s="781"/>
      <c r="O92" s="318">
        <f t="shared" si="20"/>
        <v>0</v>
      </c>
      <c r="P92" s="782">
        <f t="shared" si="21"/>
        <v>67</v>
      </c>
      <c r="Q92" s="1022">
        <f t="shared" si="22"/>
        <v>49</v>
      </c>
      <c r="R92" s="1022">
        <f t="shared" si="23"/>
        <v>17</v>
      </c>
      <c r="S92" s="1022">
        <f t="shared" si="24"/>
        <v>1</v>
      </c>
      <c r="T92" s="782">
        <f t="shared" si="25"/>
        <v>67</v>
      </c>
      <c r="W92" s="783">
        <f t="shared" si="26"/>
        <v>0.12244897959183673</v>
      </c>
      <c r="X92" s="784">
        <f t="shared" si="27"/>
        <v>0.17647058823529413</v>
      </c>
      <c r="Y92" s="785">
        <f t="shared" si="28"/>
        <v>1</v>
      </c>
      <c r="Z92" s="786">
        <f t="shared" si="29"/>
        <v>0.14925373134328357</v>
      </c>
    </row>
    <row r="93" spans="1:26">
      <c r="A93" s="550" t="s">
        <v>224</v>
      </c>
      <c r="B93" s="478" t="s">
        <v>225</v>
      </c>
      <c r="C93" s="505" t="s">
        <v>264</v>
      </c>
      <c r="D93" s="780">
        <v>17</v>
      </c>
      <c r="E93" s="781">
        <v>9</v>
      </c>
      <c r="F93" s="781"/>
      <c r="G93" s="318">
        <f t="shared" si="18"/>
        <v>26</v>
      </c>
      <c r="H93" s="780"/>
      <c r="I93" s="781"/>
      <c r="J93" s="781"/>
      <c r="K93" s="318">
        <f t="shared" si="19"/>
        <v>0</v>
      </c>
      <c r="L93" s="780"/>
      <c r="M93" s="781"/>
      <c r="N93" s="781"/>
      <c r="O93" s="318">
        <f t="shared" si="20"/>
        <v>0</v>
      </c>
      <c r="P93" s="782">
        <f t="shared" si="21"/>
        <v>26</v>
      </c>
      <c r="Q93" s="1022">
        <f t="shared" si="22"/>
        <v>17</v>
      </c>
      <c r="R93" s="1022">
        <f t="shared" si="23"/>
        <v>9</v>
      </c>
      <c r="S93" s="1022">
        <f t="shared" si="24"/>
        <v>0</v>
      </c>
      <c r="T93" s="782">
        <f t="shared" si="25"/>
        <v>26</v>
      </c>
      <c r="W93" s="783">
        <f t="shared" si="26"/>
        <v>0</v>
      </c>
      <c r="X93" s="784">
        <f t="shared" si="27"/>
        <v>0</v>
      </c>
      <c r="Y93" s="785" t="str">
        <f t="shared" si="28"/>
        <v>NA</v>
      </c>
      <c r="Z93" s="786">
        <f t="shared" si="29"/>
        <v>0</v>
      </c>
    </row>
    <row r="94" spans="1:26">
      <c r="A94" s="550" t="s">
        <v>226</v>
      </c>
      <c r="B94" s="478" t="s">
        <v>227</v>
      </c>
      <c r="C94" s="505" t="s">
        <v>264</v>
      </c>
      <c r="D94" s="780">
        <v>19</v>
      </c>
      <c r="E94" s="781">
        <v>9</v>
      </c>
      <c r="F94" s="781"/>
      <c r="G94" s="318">
        <f t="shared" si="18"/>
        <v>28</v>
      </c>
      <c r="H94" s="780"/>
      <c r="I94" s="781"/>
      <c r="J94" s="781"/>
      <c r="K94" s="318">
        <f t="shared" si="19"/>
        <v>0</v>
      </c>
      <c r="L94" s="780"/>
      <c r="M94" s="781"/>
      <c r="N94" s="781"/>
      <c r="O94" s="318">
        <f t="shared" si="20"/>
        <v>0</v>
      </c>
      <c r="P94" s="782">
        <f t="shared" si="21"/>
        <v>28</v>
      </c>
      <c r="Q94" s="1022">
        <f t="shared" si="22"/>
        <v>19</v>
      </c>
      <c r="R94" s="1022">
        <f t="shared" si="23"/>
        <v>9</v>
      </c>
      <c r="S94" s="1022">
        <f t="shared" si="24"/>
        <v>0</v>
      </c>
      <c r="T94" s="782">
        <f t="shared" si="25"/>
        <v>28</v>
      </c>
      <c r="W94" s="783">
        <f t="shared" si="26"/>
        <v>0</v>
      </c>
      <c r="X94" s="784">
        <f t="shared" si="27"/>
        <v>0</v>
      </c>
      <c r="Y94" s="785" t="str">
        <f t="shared" si="28"/>
        <v>NA</v>
      </c>
      <c r="Z94" s="786">
        <f t="shared" si="29"/>
        <v>0</v>
      </c>
    </row>
    <row r="95" spans="1:26">
      <c r="A95" s="550" t="s">
        <v>228</v>
      </c>
      <c r="B95" s="478" t="s">
        <v>229</v>
      </c>
      <c r="C95" s="505" t="s">
        <v>268</v>
      </c>
      <c r="D95" s="780">
        <v>56</v>
      </c>
      <c r="E95" s="781">
        <v>21</v>
      </c>
      <c r="F95" s="781"/>
      <c r="G95" s="318">
        <f t="shared" si="18"/>
        <v>77</v>
      </c>
      <c r="H95" s="780">
        <v>6</v>
      </c>
      <c r="I95" s="781">
        <v>7</v>
      </c>
      <c r="J95" s="781">
        <v>1</v>
      </c>
      <c r="K95" s="318">
        <f t="shared" si="19"/>
        <v>14</v>
      </c>
      <c r="L95" s="780"/>
      <c r="M95" s="781"/>
      <c r="N95" s="781"/>
      <c r="O95" s="318">
        <f t="shared" si="20"/>
        <v>0</v>
      </c>
      <c r="P95" s="782">
        <f t="shared" si="21"/>
        <v>91</v>
      </c>
      <c r="Q95" s="1022">
        <f t="shared" si="22"/>
        <v>62</v>
      </c>
      <c r="R95" s="1022">
        <f t="shared" si="23"/>
        <v>28</v>
      </c>
      <c r="S95" s="1022">
        <f t="shared" si="24"/>
        <v>1</v>
      </c>
      <c r="T95" s="782">
        <f t="shared" si="25"/>
        <v>91</v>
      </c>
      <c r="W95" s="783">
        <f t="shared" si="26"/>
        <v>9.6774193548387094E-2</v>
      </c>
      <c r="X95" s="784">
        <f t="shared" si="27"/>
        <v>0.25</v>
      </c>
      <c r="Y95" s="785">
        <f t="shared" si="28"/>
        <v>1</v>
      </c>
      <c r="Z95" s="786">
        <f t="shared" si="29"/>
        <v>0.15384615384615385</v>
      </c>
    </row>
    <row r="96" spans="1:26">
      <c r="A96" s="550" t="s">
        <v>232</v>
      </c>
      <c r="B96" s="478" t="s">
        <v>233</v>
      </c>
      <c r="C96" s="505" t="s">
        <v>267</v>
      </c>
      <c r="D96" s="780">
        <v>28</v>
      </c>
      <c r="E96" s="781">
        <v>10</v>
      </c>
      <c r="F96" s="781"/>
      <c r="G96" s="318">
        <f t="shared" si="18"/>
        <v>38</v>
      </c>
      <c r="H96" s="780">
        <v>3</v>
      </c>
      <c r="I96" s="781">
        <v>4</v>
      </c>
      <c r="J96" s="781"/>
      <c r="K96" s="318">
        <f t="shared" si="19"/>
        <v>7</v>
      </c>
      <c r="L96" s="780"/>
      <c r="M96" s="781"/>
      <c r="N96" s="781"/>
      <c r="O96" s="318">
        <f t="shared" si="20"/>
        <v>0</v>
      </c>
      <c r="P96" s="782">
        <f t="shared" si="21"/>
        <v>45</v>
      </c>
      <c r="Q96" s="1022">
        <f t="shared" si="22"/>
        <v>31</v>
      </c>
      <c r="R96" s="1022">
        <f t="shared" si="23"/>
        <v>14</v>
      </c>
      <c r="S96" s="1022">
        <f t="shared" si="24"/>
        <v>0</v>
      </c>
      <c r="T96" s="782">
        <f t="shared" si="25"/>
        <v>45</v>
      </c>
      <c r="W96" s="783">
        <f t="shared" si="26"/>
        <v>9.6774193548387094E-2</v>
      </c>
      <c r="X96" s="784">
        <f t="shared" si="27"/>
        <v>0.2857142857142857</v>
      </c>
      <c r="Y96" s="785" t="str">
        <f t="shared" si="28"/>
        <v>NA</v>
      </c>
      <c r="Z96" s="786">
        <f t="shared" si="29"/>
        <v>0.15555555555555556</v>
      </c>
    </row>
    <row r="97" spans="1:26">
      <c r="A97" s="550" t="s">
        <v>234</v>
      </c>
      <c r="B97" s="478" t="s">
        <v>235</v>
      </c>
      <c r="C97" s="505" t="s">
        <v>268</v>
      </c>
      <c r="D97" s="780">
        <v>44</v>
      </c>
      <c r="E97" s="781">
        <v>14</v>
      </c>
      <c r="F97" s="781">
        <v>2</v>
      </c>
      <c r="G97" s="318">
        <f t="shared" si="18"/>
        <v>60</v>
      </c>
      <c r="H97" s="780">
        <v>7</v>
      </c>
      <c r="I97" s="781">
        <v>7</v>
      </c>
      <c r="J97" s="781">
        <v>1</v>
      </c>
      <c r="K97" s="318">
        <f t="shared" si="19"/>
        <v>15</v>
      </c>
      <c r="L97" s="780"/>
      <c r="M97" s="781"/>
      <c r="N97" s="781"/>
      <c r="O97" s="318">
        <f t="shared" si="20"/>
        <v>0</v>
      </c>
      <c r="P97" s="782">
        <f t="shared" si="21"/>
        <v>75</v>
      </c>
      <c r="Q97" s="1022">
        <f t="shared" si="22"/>
        <v>51</v>
      </c>
      <c r="R97" s="1022">
        <f t="shared" si="23"/>
        <v>21</v>
      </c>
      <c r="S97" s="1022">
        <f t="shared" si="24"/>
        <v>3</v>
      </c>
      <c r="T97" s="782">
        <f t="shared" si="25"/>
        <v>75</v>
      </c>
      <c r="W97" s="783">
        <f t="shared" si="26"/>
        <v>0.13725490196078433</v>
      </c>
      <c r="X97" s="784">
        <f t="shared" si="27"/>
        <v>0.33333333333333331</v>
      </c>
      <c r="Y97" s="785">
        <f t="shared" si="28"/>
        <v>0.33333333333333331</v>
      </c>
      <c r="Z97" s="786">
        <f t="shared" si="29"/>
        <v>0.2</v>
      </c>
    </row>
    <row r="98" spans="1:26">
      <c r="A98" s="550" t="s">
        <v>236</v>
      </c>
      <c r="B98" s="478" t="s">
        <v>237</v>
      </c>
      <c r="C98" s="505" t="s">
        <v>266</v>
      </c>
      <c r="D98" s="780">
        <v>15</v>
      </c>
      <c r="E98" s="781">
        <v>8</v>
      </c>
      <c r="F98" s="781"/>
      <c r="G98" s="318">
        <f t="shared" si="18"/>
        <v>23</v>
      </c>
      <c r="H98" s="780">
        <v>3</v>
      </c>
      <c r="I98" s="781">
        <v>2</v>
      </c>
      <c r="J98" s="781"/>
      <c r="K98" s="318">
        <f t="shared" si="19"/>
        <v>5</v>
      </c>
      <c r="L98" s="780"/>
      <c r="M98" s="781">
        <v>1</v>
      </c>
      <c r="N98" s="781"/>
      <c r="O98" s="318">
        <f t="shared" si="20"/>
        <v>1</v>
      </c>
      <c r="P98" s="782">
        <f t="shared" si="21"/>
        <v>29</v>
      </c>
      <c r="Q98" s="1022">
        <f t="shared" si="22"/>
        <v>18</v>
      </c>
      <c r="R98" s="1022">
        <f t="shared" si="23"/>
        <v>10</v>
      </c>
      <c r="S98" s="1022">
        <f t="shared" si="24"/>
        <v>0</v>
      </c>
      <c r="T98" s="782">
        <f t="shared" si="25"/>
        <v>28</v>
      </c>
      <c r="W98" s="783">
        <f t="shared" si="26"/>
        <v>0.16666666666666666</v>
      </c>
      <c r="X98" s="784">
        <f t="shared" si="27"/>
        <v>0.2</v>
      </c>
      <c r="Y98" s="785" t="str">
        <f t="shared" si="28"/>
        <v>NA</v>
      </c>
      <c r="Z98" s="786">
        <f t="shared" si="29"/>
        <v>0.17857142857142858</v>
      </c>
    </row>
    <row r="99" spans="1:26">
      <c r="A99" s="550" t="s">
        <v>242</v>
      </c>
      <c r="B99" s="478" t="s">
        <v>243</v>
      </c>
      <c r="C99" s="505" t="s">
        <v>268</v>
      </c>
      <c r="D99" s="780">
        <v>57</v>
      </c>
      <c r="E99" s="781">
        <v>20</v>
      </c>
      <c r="F99" s="781"/>
      <c r="G99" s="318">
        <f t="shared" si="18"/>
        <v>77</v>
      </c>
      <c r="H99" s="780">
        <v>8</v>
      </c>
      <c r="I99" s="781">
        <v>6</v>
      </c>
      <c r="J99" s="781">
        <v>2</v>
      </c>
      <c r="K99" s="318">
        <f t="shared" si="19"/>
        <v>16</v>
      </c>
      <c r="L99" s="780"/>
      <c r="M99" s="781"/>
      <c r="N99" s="781"/>
      <c r="O99" s="318">
        <f t="shared" si="20"/>
        <v>0</v>
      </c>
      <c r="P99" s="782">
        <f t="shared" si="21"/>
        <v>93</v>
      </c>
      <c r="Q99" s="1022">
        <f t="shared" si="22"/>
        <v>65</v>
      </c>
      <c r="R99" s="1022">
        <f t="shared" si="23"/>
        <v>26</v>
      </c>
      <c r="S99" s="1022">
        <f t="shared" si="24"/>
        <v>2</v>
      </c>
      <c r="T99" s="782">
        <f t="shared" si="25"/>
        <v>93</v>
      </c>
      <c r="W99" s="783">
        <f t="shared" si="26"/>
        <v>0.12307692307692308</v>
      </c>
      <c r="X99" s="784">
        <f t="shared" si="27"/>
        <v>0.23076923076923078</v>
      </c>
      <c r="Y99" s="785">
        <f t="shared" si="28"/>
        <v>1</v>
      </c>
      <c r="Z99" s="786">
        <f t="shared" si="29"/>
        <v>0.17204301075268819</v>
      </c>
    </row>
    <row r="100" spans="1:26">
      <c r="A100" s="550" t="s">
        <v>244</v>
      </c>
      <c r="B100" s="478" t="s">
        <v>245</v>
      </c>
      <c r="C100" s="505" t="s">
        <v>268</v>
      </c>
      <c r="D100" s="780">
        <v>35</v>
      </c>
      <c r="E100" s="781">
        <v>12</v>
      </c>
      <c r="F100" s="781">
        <v>1</v>
      </c>
      <c r="G100" s="318">
        <f t="shared" si="18"/>
        <v>48</v>
      </c>
      <c r="H100" s="780">
        <v>1</v>
      </c>
      <c r="I100" s="781"/>
      <c r="J100" s="781"/>
      <c r="K100" s="318">
        <f t="shared" si="19"/>
        <v>1</v>
      </c>
      <c r="L100" s="780"/>
      <c r="M100" s="781"/>
      <c r="N100" s="781"/>
      <c r="O100" s="318">
        <f t="shared" si="20"/>
        <v>0</v>
      </c>
      <c r="P100" s="782">
        <f t="shared" si="21"/>
        <v>49</v>
      </c>
      <c r="Q100" s="1022">
        <f t="shared" si="22"/>
        <v>36</v>
      </c>
      <c r="R100" s="1022">
        <f t="shared" si="23"/>
        <v>12</v>
      </c>
      <c r="S100" s="1022">
        <f t="shared" si="24"/>
        <v>1</v>
      </c>
      <c r="T100" s="782">
        <f t="shared" si="25"/>
        <v>49</v>
      </c>
      <c r="W100" s="783">
        <f t="shared" si="26"/>
        <v>2.7777777777777776E-2</v>
      </c>
      <c r="X100" s="784">
        <f t="shared" si="27"/>
        <v>0</v>
      </c>
      <c r="Y100" s="785">
        <f t="shared" si="28"/>
        <v>0</v>
      </c>
      <c r="Z100" s="786">
        <f t="shared" si="29"/>
        <v>2.0408163265306121E-2</v>
      </c>
    </row>
    <row r="101" spans="1:26">
      <c r="A101" s="550" t="s">
        <v>246</v>
      </c>
      <c r="B101" s="478" t="s">
        <v>247</v>
      </c>
      <c r="C101" s="505" t="s">
        <v>264</v>
      </c>
      <c r="D101" s="780">
        <v>33</v>
      </c>
      <c r="E101" s="781">
        <v>22</v>
      </c>
      <c r="F101" s="781"/>
      <c r="G101" s="318">
        <f t="shared" si="18"/>
        <v>55</v>
      </c>
      <c r="H101" s="780">
        <v>21</v>
      </c>
      <c r="I101" s="781">
        <v>9</v>
      </c>
      <c r="J101" s="781"/>
      <c r="K101" s="318">
        <f t="shared" si="19"/>
        <v>30</v>
      </c>
      <c r="L101" s="780"/>
      <c r="M101" s="781"/>
      <c r="N101" s="781"/>
      <c r="O101" s="318">
        <f t="shared" si="20"/>
        <v>0</v>
      </c>
      <c r="P101" s="782">
        <f t="shared" si="21"/>
        <v>85</v>
      </c>
      <c r="Q101" s="1022">
        <f t="shared" si="22"/>
        <v>54</v>
      </c>
      <c r="R101" s="1022">
        <f t="shared" si="23"/>
        <v>31</v>
      </c>
      <c r="S101" s="1022">
        <f t="shared" si="24"/>
        <v>0</v>
      </c>
      <c r="T101" s="782">
        <f t="shared" si="25"/>
        <v>85</v>
      </c>
      <c r="W101" s="783">
        <f t="shared" si="26"/>
        <v>0.3888888888888889</v>
      </c>
      <c r="X101" s="784">
        <f t="shared" si="27"/>
        <v>0.29032258064516131</v>
      </c>
      <c r="Y101" s="785" t="str">
        <f t="shared" si="28"/>
        <v>NA</v>
      </c>
      <c r="Z101" s="786">
        <f t="shared" si="29"/>
        <v>0.35294117647058826</v>
      </c>
    </row>
    <row r="102" spans="1:26">
      <c r="A102" s="550" t="s">
        <v>14</v>
      </c>
      <c r="B102" s="478" t="s">
        <v>15</v>
      </c>
      <c r="C102" s="505" t="s">
        <v>267</v>
      </c>
      <c r="D102" s="780">
        <v>108</v>
      </c>
      <c r="E102" s="781">
        <v>88</v>
      </c>
      <c r="F102" s="781">
        <v>21</v>
      </c>
      <c r="G102" s="318">
        <f t="shared" ref="G102:G126" si="30">SUM(D102:F102)</f>
        <v>217</v>
      </c>
      <c r="H102" s="780">
        <v>24</v>
      </c>
      <c r="I102" s="781">
        <v>11</v>
      </c>
      <c r="J102" s="781">
        <v>7</v>
      </c>
      <c r="K102" s="318">
        <f t="shared" ref="K102:K126" si="31">SUM(H102:J102)</f>
        <v>42</v>
      </c>
      <c r="L102" s="780"/>
      <c r="M102" s="781"/>
      <c r="N102" s="781"/>
      <c r="O102" s="318">
        <f t="shared" ref="O102:O126" si="32">SUM(L102:N102)</f>
        <v>0</v>
      </c>
      <c r="P102" s="782">
        <f t="shared" ref="P102:P126" si="33">G102+K102+O102</f>
        <v>259</v>
      </c>
      <c r="Q102" s="1022">
        <f t="shared" si="22"/>
        <v>132</v>
      </c>
      <c r="R102" s="1022">
        <f t="shared" si="23"/>
        <v>99</v>
      </c>
      <c r="S102" s="1022">
        <f t="shared" si="24"/>
        <v>28</v>
      </c>
      <c r="T102" s="782">
        <f t="shared" si="25"/>
        <v>259</v>
      </c>
      <c r="W102" s="783">
        <f t="shared" si="26"/>
        <v>0.18181818181818182</v>
      </c>
      <c r="X102" s="784">
        <f t="shared" si="27"/>
        <v>0.1111111111111111</v>
      </c>
      <c r="Y102" s="785">
        <f t="shared" si="28"/>
        <v>0.25</v>
      </c>
      <c r="Z102" s="786">
        <f t="shared" si="29"/>
        <v>0.16216216216216217</v>
      </c>
    </row>
    <row r="103" spans="1:26">
      <c r="A103" s="550" t="s">
        <v>34</v>
      </c>
      <c r="B103" s="478" t="s">
        <v>35</v>
      </c>
      <c r="C103" s="505" t="s">
        <v>268</v>
      </c>
      <c r="D103" s="780">
        <v>31</v>
      </c>
      <c r="E103" s="781">
        <v>14</v>
      </c>
      <c r="F103" s="781"/>
      <c r="G103" s="318">
        <f t="shared" si="30"/>
        <v>45</v>
      </c>
      <c r="H103" s="780">
        <v>8</v>
      </c>
      <c r="I103" s="781">
        <v>5</v>
      </c>
      <c r="J103" s="781"/>
      <c r="K103" s="318">
        <f t="shared" si="31"/>
        <v>13</v>
      </c>
      <c r="L103" s="780"/>
      <c r="M103" s="781"/>
      <c r="N103" s="781"/>
      <c r="O103" s="318">
        <f t="shared" si="32"/>
        <v>0</v>
      </c>
      <c r="P103" s="782">
        <f t="shared" si="33"/>
        <v>58</v>
      </c>
      <c r="Q103" s="1022">
        <f t="shared" si="22"/>
        <v>39</v>
      </c>
      <c r="R103" s="1022">
        <f t="shared" si="23"/>
        <v>19</v>
      </c>
      <c r="S103" s="1022">
        <f t="shared" si="24"/>
        <v>0</v>
      </c>
      <c r="T103" s="782">
        <f t="shared" ref="T103:T126" si="34">G103+K103</f>
        <v>58</v>
      </c>
      <c r="W103" s="783">
        <f t="shared" si="26"/>
        <v>0.20512820512820512</v>
      </c>
      <c r="X103" s="784">
        <f t="shared" si="27"/>
        <v>0.26315789473684209</v>
      </c>
      <c r="Y103" s="785" t="str">
        <f t="shared" si="28"/>
        <v>NA</v>
      </c>
      <c r="Z103" s="786">
        <f t="shared" si="29"/>
        <v>0.22413793103448276</v>
      </c>
    </row>
    <row r="104" spans="1:26">
      <c r="A104" s="550" t="s">
        <v>52</v>
      </c>
      <c r="B104" s="478" t="s">
        <v>53</v>
      </c>
      <c r="C104" s="505" t="s">
        <v>265</v>
      </c>
      <c r="D104" s="780">
        <v>66</v>
      </c>
      <c r="E104" s="781">
        <v>31</v>
      </c>
      <c r="F104" s="781">
        <v>1</v>
      </c>
      <c r="G104" s="318">
        <f t="shared" si="30"/>
        <v>98</v>
      </c>
      <c r="H104" s="780">
        <v>6</v>
      </c>
      <c r="I104" s="781">
        <v>1</v>
      </c>
      <c r="J104" s="781">
        <v>4</v>
      </c>
      <c r="K104" s="318">
        <f t="shared" si="31"/>
        <v>11</v>
      </c>
      <c r="L104" s="780"/>
      <c r="M104" s="781"/>
      <c r="N104" s="781"/>
      <c r="O104" s="318">
        <f t="shared" si="32"/>
        <v>0</v>
      </c>
      <c r="P104" s="782">
        <f t="shared" si="33"/>
        <v>109</v>
      </c>
      <c r="Q104" s="1022">
        <f t="shared" si="22"/>
        <v>72</v>
      </c>
      <c r="R104" s="1022">
        <f t="shared" si="23"/>
        <v>32</v>
      </c>
      <c r="S104" s="1022">
        <f t="shared" si="24"/>
        <v>5</v>
      </c>
      <c r="T104" s="782">
        <f t="shared" si="34"/>
        <v>109</v>
      </c>
      <c r="W104" s="783">
        <f t="shared" si="26"/>
        <v>8.3333333333333329E-2</v>
      </c>
      <c r="X104" s="784">
        <f t="shared" si="27"/>
        <v>3.125E-2</v>
      </c>
      <c r="Y104" s="785">
        <f t="shared" si="28"/>
        <v>0.8</v>
      </c>
      <c r="Z104" s="786">
        <f t="shared" si="29"/>
        <v>0.10091743119266056</v>
      </c>
    </row>
    <row r="105" spans="1:26">
      <c r="A105" s="550" t="s">
        <v>54</v>
      </c>
      <c r="B105" s="478" t="s">
        <v>55</v>
      </c>
      <c r="C105" s="505" t="s">
        <v>264</v>
      </c>
      <c r="D105" s="780">
        <v>160</v>
      </c>
      <c r="E105" s="781">
        <v>76</v>
      </c>
      <c r="F105" s="781">
        <v>4</v>
      </c>
      <c r="G105" s="318">
        <f t="shared" si="30"/>
        <v>240</v>
      </c>
      <c r="H105" s="780">
        <v>44</v>
      </c>
      <c r="I105" s="781">
        <v>19</v>
      </c>
      <c r="J105" s="781">
        <v>1</v>
      </c>
      <c r="K105" s="318">
        <f t="shared" si="31"/>
        <v>64</v>
      </c>
      <c r="L105" s="780"/>
      <c r="M105" s="781"/>
      <c r="N105" s="781"/>
      <c r="O105" s="318">
        <f t="shared" si="32"/>
        <v>0</v>
      </c>
      <c r="P105" s="782">
        <f t="shared" si="33"/>
        <v>304</v>
      </c>
      <c r="Q105" s="1022">
        <f t="shared" si="22"/>
        <v>204</v>
      </c>
      <c r="R105" s="1022">
        <f t="shared" si="23"/>
        <v>95</v>
      </c>
      <c r="S105" s="1022">
        <f t="shared" si="24"/>
        <v>5</v>
      </c>
      <c r="T105" s="782">
        <f t="shared" si="34"/>
        <v>304</v>
      </c>
      <c r="W105" s="783">
        <f t="shared" si="26"/>
        <v>0.21568627450980393</v>
      </c>
      <c r="X105" s="784">
        <f t="shared" si="27"/>
        <v>0.2</v>
      </c>
      <c r="Y105" s="785">
        <f t="shared" si="28"/>
        <v>0.2</v>
      </c>
      <c r="Z105" s="786">
        <f t="shared" si="29"/>
        <v>0.21052631578947367</v>
      </c>
    </row>
    <row r="106" spans="1:26">
      <c r="A106" s="550" t="s">
        <v>66</v>
      </c>
      <c r="B106" s="478" t="s">
        <v>67</v>
      </c>
      <c r="C106" s="505" t="s">
        <v>265</v>
      </c>
      <c r="D106" s="780">
        <v>69</v>
      </c>
      <c r="E106" s="781">
        <v>28</v>
      </c>
      <c r="F106" s="781"/>
      <c r="G106" s="318">
        <f t="shared" si="30"/>
        <v>97</v>
      </c>
      <c r="H106" s="780">
        <v>8</v>
      </c>
      <c r="I106" s="781"/>
      <c r="J106" s="781"/>
      <c r="K106" s="318">
        <f t="shared" si="31"/>
        <v>8</v>
      </c>
      <c r="L106" s="780"/>
      <c r="M106" s="781"/>
      <c r="N106" s="781"/>
      <c r="O106" s="318">
        <f t="shared" si="32"/>
        <v>0</v>
      </c>
      <c r="P106" s="782">
        <f t="shared" si="33"/>
        <v>105</v>
      </c>
      <c r="Q106" s="1022">
        <f t="shared" si="22"/>
        <v>77</v>
      </c>
      <c r="R106" s="1022">
        <f t="shared" si="23"/>
        <v>28</v>
      </c>
      <c r="S106" s="1022">
        <f t="shared" si="24"/>
        <v>0</v>
      </c>
      <c r="T106" s="782">
        <f t="shared" si="34"/>
        <v>105</v>
      </c>
      <c r="W106" s="783">
        <f t="shared" si="26"/>
        <v>0.1038961038961039</v>
      </c>
      <c r="X106" s="784">
        <f t="shared" si="27"/>
        <v>0</v>
      </c>
      <c r="Y106" s="785" t="str">
        <f t="shared" si="28"/>
        <v>NA</v>
      </c>
      <c r="Z106" s="786">
        <f t="shared" si="29"/>
        <v>7.6190476190476197E-2</v>
      </c>
    </row>
    <row r="107" spans="1:26">
      <c r="A107" s="550" t="s">
        <v>82</v>
      </c>
      <c r="B107" s="478" t="s">
        <v>311</v>
      </c>
      <c r="C107" s="505" t="s">
        <v>264</v>
      </c>
      <c r="D107" s="780">
        <v>15</v>
      </c>
      <c r="E107" s="781">
        <v>7</v>
      </c>
      <c r="F107" s="781"/>
      <c r="G107" s="318">
        <f t="shared" si="30"/>
        <v>22</v>
      </c>
      <c r="H107" s="780">
        <v>6</v>
      </c>
      <c r="I107" s="781"/>
      <c r="J107" s="781"/>
      <c r="K107" s="318">
        <f t="shared" si="31"/>
        <v>6</v>
      </c>
      <c r="L107" s="780"/>
      <c r="M107" s="781"/>
      <c r="N107" s="781"/>
      <c r="O107" s="318">
        <f t="shared" si="32"/>
        <v>0</v>
      </c>
      <c r="P107" s="782">
        <f t="shared" si="33"/>
        <v>28</v>
      </c>
      <c r="Q107" s="1022">
        <f t="shared" si="22"/>
        <v>21</v>
      </c>
      <c r="R107" s="1022">
        <f t="shared" si="23"/>
        <v>7</v>
      </c>
      <c r="S107" s="1022">
        <f t="shared" si="24"/>
        <v>0</v>
      </c>
      <c r="T107" s="782">
        <f t="shared" si="34"/>
        <v>28</v>
      </c>
      <c r="W107" s="783">
        <f t="shared" si="26"/>
        <v>0.2857142857142857</v>
      </c>
      <c r="X107" s="784">
        <f t="shared" si="27"/>
        <v>0</v>
      </c>
      <c r="Y107" s="785" t="str">
        <f t="shared" si="28"/>
        <v>NA</v>
      </c>
      <c r="Z107" s="786">
        <f t="shared" si="29"/>
        <v>0.21428571428571427</v>
      </c>
    </row>
    <row r="108" spans="1:26">
      <c r="A108" s="550" t="s">
        <v>88</v>
      </c>
      <c r="B108" s="478" t="s">
        <v>89</v>
      </c>
      <c r="C108" s="505" t="s">
        <v>267</v>
      </c>
      <c r="D108" s="780">
        <v>24</v>
      </c>
      <c r="E108" s="781">
        <v>11</v>
      </c>
      <c r="F108" s="781"/>
      <c r="G108" s="318">
        <f t="shared" si="30"/>
        <v>35</v>
      </c>
      <c r="H108" s="780">
        <v>3</v>
      </c>
      <c r="I108" s="781">
        <v>2</v>
      </c>
      <c r="J108" s="781">
        <v>2</v>
      </c>
      <c r="K108" s="318">
        <f t="shared" si="31"/>
        <v>7</v>
      </c>
      <c r="L108" s="780"/>
      <c r="M108" s="781"/>
      <c r="N108" s="781"/>
      <c r="O108" s="318">
        <f t="shared" si="32"/>
        <v>0</v>
      </c>
      <c r="P108" s="782">
        <f t="shared" si="33"/>
        <v>42</v>
      </c>
      <c r="Q108" s="1022">
        <f t="shared" si="22"/>
        <v>27</v>
      </c>
      <c r="R108" s="1022">
        <f t="shared" si="23"/>
        <v>13</v>
      </c>
      <c r="S108" s="1022">
        <f t="shared" si="24"/>
        <v>2</v>
      </c>
      <c r="T108" s="782">
        <f t="shared" si="34"/>
        <v>42</v>
      </c>
      <c r="W108" s="783">
        <f t="shared" si="26"/>
        <v>0.1111111111111111</v>
      </c>
      <c r="X108" s="784">
        <f t="shared" si="27"/>
        <v>0.15384615384615385</v>
      </c>
      <c r="Y108" s="785">
        <f t="shared" si="28"/>
        <v>1</v>
      </c>
      <c r="Z108" s="786">
        <f t="shared" si="29"/>
        <v>0.16666666666666666</v>
      </c>
    </row>
    <row r="109" spans="1:26">
      <c r="A109" s="550" t="s">
        <v>90</v>
      </c>
      <c r="B109" s="478" t="s">
        <v>91</v>
      </c>
      <c r="C109" s="505" t="s">
        <v>268</v>
      </c>
      <c r="D109" s="780">
        <v>11</v>
      </c>
      <c r="E109" s="781">
        <v>6</v>
      </c>
      <c r="F109" s="781"/>
      <c r="G109" s="318">
        <f t="shared" si="30"/>
        <v>17</v>
      </c>
      <c r="H109" s="780"/>
      <c r="I109" s="781"/>
      <c r="J109" s="781"/>
      <c r="K109" s="318">
        <f t="shared" si="31"/>
        <v>0</v>
      </c>
      <c r="L109" s="780"/>
      <c r="M109" s="781"/>
      <c r="N109" s="781"/>
      <c r="O109" s="318">
        <f t="shared" si="32"/>
        <v>0</v>
      </c>
      <c r="P109" s="782">
        <f t="shared" si="33"/>
        <v>17</v>
      </c>
      <c r="Q109" s="1022">
        <f t="shared" si="22"/>
        <v>11</v>
      </c>
      <c r="R109" s="1022">
        <f t="shared" si="23"/>
        <v>6</v>
      </c>
      <c r="S109" s="1022">
        <f t="shared" si="24"/>
        <v>0</v>
      </c>
      <c r="T109" s="782">
        <f t="shared" si="34"/>
        <v>17</v>
      </c>
      <c r="W109" s="783">
        <f t="shared" si="26"/>
        <v>0</v>
      </c>
      <c r="X109" s="784">
        <f t="shared" si="27"/>
        <v>0</v>
      </c>
      <c r="Y109" s="785" t="str">
        <f t="shared" si="28"/>
        <v>NA</v>
      </c>
      <c r="Z109" s="786">
        <f t="shared" si="29"/>
        <v>0</v>
      </c>
    </row>
    <row r="110" spans="1:26">
      <c r="A110" s="550" t="s">
        <v>106</v>
      </c>
      <c r="B110" s="478" t="s">
        <v>107</v>
      </c>
      <c r="C110" s="505" t="s">
        <v>264</v>
      </c>
      <c r="D110" s="780">
        <v>129</v>
      </c>
      <c r="E110" s="781">
        <v>45</v>
      </c>
      <c r="F110" s="781">
        <v>2</v>
      </c>
      <c r="G110" s="318">
        <f t="shared" si="30"/>
        <v>176</v>
      </c>
      <c r="H110" s="780">
        <v>23</v>
      </c>
      <c r="I110" s="781">
        <v>20</v>
      </c>
      <c r="J110" s="781"/>
      <c r="K110" s="318">
        <f t="shared" si="31"/>
        <v>43</v>
      </c>
      <c r="L110" s="780"/>
      <c r="M110" s="781"/>
      <c r="N110" s="781"/>
      <c r="O110" s="318">
        <f t="shared" si="32"/>
        <v>0</v>
      </c>
      <c r="P110" s="782">
        <f t="shared" si="33"/>
        <v>219</v>
      </c>
      <c r="Q110" s="1022">
        <f t="shared" si="22"/>
        <v>152</v>
      </c>
      <c r="R110" s="1022">
        <f t="shared" si="23"/>
        <v>65</v>
      </c>
      <c r="S110" s="1022">
        <f t="shared" si="24"/>
        <v>2</v>
      </c>
      <c r="T110" s="782">
        <f t="shared" si="34"/>
        <v>219</v>
      </c>
      <c r="W110" s="783">
        <f t="shared" si="26"/>
        <v>0.15131578947368421</v>
      </c>
      <c r="X110" s="784">
        <f t="shared" si="27"/>
        <v>0.30769230769230771</v>
      </c>
      <c r="Y110" s="785">
        <f t="shared" si="28"/>
        <v>0</v>
      </c>
      <c r="Z110" s="786">
        <f t="shared" si="29"/>
        <v>0.19634703196347031</v>
      </c>
    </row>
    <row r="111" spans="1:26">
      <c r="A111" s="550" t="s">
        <v>116</v>
      </c>
      <c r="B111" s="478" t="s">
        <v>117</v>
      </c>
      <c r="C111" s="505" t="s">
        <v>266</v>
      </c>
      <c r="D111" s="780">
        <v>34</v>
      </c>
      <c r="E111" s="781">
        <v>16</v>
      </c>
      <c r="F111" s="781"/>
      <c r="G111" s="318">
        <f t="shared" si="30"/>
        <v>50</v>
      </c>
      <c r="H111" s="780">
        <v>4</v>
      </c>
      <c r="I111" s="781">
        <v>2</v>
      </c>
      <c r="J111" s="781"/>
      <c r="K111" s="318">
        <f t="shared" si="31"/>
        <v>6</v>
      </c>
      <c r="L111" s="780"/>
      <c r="M111" s="781"/>
      <c r="N111" s="781"/>
      <c r="O111" s="318">
        <f t="shared" si="32"/>
        <v>0</v>
      </c>
      <c r="P111" s="782">
        <f t="shared" si="33"/>
        <v>56</v>
      </c>
      <c r="Q111" s="1022">
        <f t="shared" si="22"/>
        <v>38</v>
      </c>
      <c r="R111" s="1022">
        <f t="shared" si="23"/>
        <v>18</v>
      </c>
      <c r="S111" s="1022">
        <f t="shared" si="24"/>
        <v>0</v>
      </c>
      <c r="T111" s="782">
        <f t="shared" si="34"/>
        <v>56</v>
      </c>
      <c r="W111" s="783">
        <f t="shared" si="26"/>
        <v>0.10526315789473684</v>
      </c>
      <c r="X111" s="784">
        <f t="shared" si="27"/>
        <v>0.1111111111111111</v>
      </c>
      <c r="Y111" s="785" t="str">
        <f t="shared" si="28"/>
        <v>NA</v>
      </c>
      <c r="Z111" s="786">
        <f t="shared" si="29"/>
        <v>0.10714285714285714</v>
      </c>
    </row>
    <row r="112" spans="1:26">
      <c r="A112" s="550" t="s">
        <v>138</v>
      </c>
      <c r="B112" s="478" t="s">
        <v>139</v>
      </c>
      <c r="C112" s="505" t="s">
        <v>265</v>
      </c>
      <c r="D112" s="780">
        <v>105</v>
      </c>
      <c r="E112" s="781">
        <v>37</v>
      </c>
      <c r="F112" s="781">
        <v>2</v>
      </c>
      <c r="G112" s="318">
        <f t="shared" si="30"/>
        <v>144</v>
      </c>
      <c r="H112" s="780">
        <v>40</v>
      </c>
      <c r="I112" s="781">
        <v>10</v>
      </c>
      <c r="J112" s="781"/>
      <c r="K112" s="318">
        <f t="shared" si="31"/>
        <v>50</v>
      </c>
      <c r="L112" s="780"/>
      <c r="M112" s="781"/>
      <c r="N112" s="781"/>
      <c r="O112" s="318">
        <f t="shared" si="32"/>
        <v>0</v>
      </c>
      <c r="P112" s="782">
        <f t="shared" si="33"/>
        <v>194</v>
      </c>
      <c r="Q112" s="1022">
        <f t="shared" si="22"/>
        <v>145</v>
      </c>
      <c r="R112" s="1022">
        <f t="shared" si="23"/>
        <v>47</v>
      </c>
      <c r="S112" s="1022">
        <f t="shared" si="24"/>
        <v>2</v>
      </c>
      <c r="T112" s="782">
        <f t="shared" si="34"/>
        <v>194</v>
      </c>
      <c r="W112" s="783">
        <f t="shared" si="26"/>
        <v>0.27586206896551724</v>
      </c>
      <c r="X112" s="784">
        <f t="shared" si="27"/>
        <v>0.21276595744680851</v>
      </c>
      <c r="Y112" s="785">
        <f t="shared" si="28"/>
        <v>0</v>
      </c>
      <c r="Z112" s="786">
        <f t="shared" si="29"/>
        <v>0.25773195876288657</v>
      </c>
    </row>
    <row r="113" spans="1:26">
      <c r="A113" s="550" t="s">
        <v>142</v>
      </c>
      <c r="B113" s="478" t="s">
        <v>143</v>
      </c>
      <c r="C113" s="505" t="s">
        <v>267</v>
      </c>
      <c r="D113" s="780">
        <v>20</v>
      </c>
      <c r="E113" s="781">
        <v>12</v>
      </c>
      <c r="F113" s="781"/>
      <c r="G113" s="318">
        <f t="shared" si="30"/>
        <v>32</v>
      </c>
      <c r="H113" s="780">
        <v>4</v>
      </c>
      <c r="I113" s="781">
        <v>1</v>
      </c>
      <c r="J113" s="781">
        <v>1</v>
      </c>
      <c r="K113" s="318">
        <f t="shared" si="31"/>
        <v>6</v>
      </c>
      <c r="L113" s="780"/>
      <c r="M113" s="781"/>
      <c r="N113" s="781"/>
      <c r="O113" s="318">
        <f t="shared" si="32"/>
        <v>0</v>
      </c>
      <c r="P113" s="782">
        <f t="shared" si="33"/>
        <v>38</v>
      </c>
      <c r="Q113" s="1022">
        <f t="shared" si="22"/>
        <v>24</v>
      </c>
      <c r="R113" s="1022">
        <f t="shared" si="23"/>
        <v>13</v>
      </c>
      <c r="S113" s="1022">
        <f t="shared" si="24"/>
        <v>1</v>
      </c>
      <c r="T113" s="782">
        <f t="shared" si="34"/>
        <v>38</v>
      </c>
      <c r="W113" s="783">
        <f t="shared" si="26"/>
        <v>0.16666666666666666</v>
      </c>
      <c r="X113" s="784">
        <f t="shared" si="27"/>
        <v>7.6923076923076927E-2</v>
      </c>
      <c r="Y113" s="785">
        <f t="shared" si="28"/>
        <v>1</v>
      </c>
      <c r="Z113" s="786">
        <f t="shared" si="29"/>
        <v>0.15789473684210525</v>
      </c>
    </row>
    <row r="114" spans="1:26">
      <c r="A114" s="550" t="s">
        <v>144</v>
      </c>
      <c r="B114" s="478" t="s">
        <v>145</v>
      </c>
      <c r="C114" s="505" t="s">
        <v>267</v>
      </c>
      <c r="D114" s="780">
        <v>7</v>
      </c>
      <c r="E114" s="781">
        <v>7</v>
      </c>
      <c r="F114" s="781"/>
      <c r="G114" s="318">
        <f t="shared" si="30"/>
        <v>14</v>
      </c>
      <c r="H114" s="780">
        <v>5</v>
      </c>
      <c r="I114" s="781">
        <v>3</v>
      </c>
      <c r="J114" s="781"/>
      <c r="K114" s="318">
        <f t="shared" si="31"/>
        <v>8</v>
      </c>
      <c r="L114" s="780"/>
      <c r="M114" s="781"/>
      <c r="N114" s="781"/>
      <c r="O114" s="318">
        <f t="shared" si="32"/>
        <v>0</v>
      </c>
      <c r="P114" s="782">
        <f t="shared" si="33"/>
        <v>22</v>
      </c>
      <c r="Q114" s="1022">
        <f t="shared" si="22"/>
        <v>12</v>
      </c>
      <c r="R114" s="1022">
        <f t="shared" si="23"/>
        <v>10</v>
      </c>
      <c r="S114" s="1022">
        <f t="shared" si="24"/>
        <v>0</v>
      </c>
      <c r="T114" s="782">
        <f t="shared" si="34"/>
        <v>22</v>
      </c>
      <c r="W114" s="783">
        <f t="shared" si="26"/>
        <v>0.41666666666666669</v>
      </c>
      <c r="X114" s="784">
        <f t="shared" si="27"/>
        <v>0.3</v>
      </c>
      <c r="Y114" s="785" t="str">
        <f t="shared" si="28"/>
        <v>NA</v>
      </c>
      <c r="Z114" s="786">
        <f t="shared" si="29"/>
        <v>0.36363636363636365</v>
      </c>
    </row>
    <row r="115" spans="1:26">
      <c r="A115" s="550" t="s">
        <v>158</v>
      </c>
      <c r="B115" s="478" t="s">
        <v>159</v>
      </c>
      <c r="C115" s="505" t="s">
        <v>264</v>
      </c>
      <c r="D115" s="780">
        <v>191</v>
      </c>
      <c r="E115" s="781">
        <v>134</v>
      </c>
      <c r="F115" s="781">
        <v>5</v>
      </c>
      <c r="G115" s="318">
        <f t="shared" si="30"/>
        <v>330</v>
      </c>
      <c r="H115" s="780">
        <v>41</v>
      </c>
      <c r="I115" s="781">
        <v>29</v>
      </c>
      <c r="J115" s="781">
        <v>2</v>
      </c>
      <c r="K115" s="318">
        <f t="shared" si="31"/>
        <v>72</v>
      </c>
      <c r="L115" s="780"/>
      <c r="M115" s="781">
        <v>2</v>
      </c>
      <c r="N115" s="781"/>
      <c r="O115" s="318">
        <f t="shared" si="32"/>
        <v>2</v>
      </c>
      <c r="P115" s="782">
        <f t="shared" si="33"/>
        <v>404</v>
      </c>
      <c r="Q115" s="1022">
        <f t="shared" si="22"/>
        <v>232</v>
      </c>
      <c r="R115" s="1022">
        <f t="shared" si="23"/>
        <v>163</v>
      </c>
      <c r="S115" s="1022">
        <f t="shared" si="24"/>
        <v>7</v>
      </c>
      <c r="T115" s="782">
        <f t="shared" si="34"/>
        <v>402</v>
      </c>
      <c r="W115" s="783">
        <f t="shared" si="26"/>
        <v>0.17672413793103448</v>
      </c>
      <c r="X115" s="784">
        <f t="shared" si="27"/>
        <v>0.17791411042944785</v>
      </c>
      <c r="Y115" s="785">
        <f t="shared" si="28"/>
        <v>0.2857142857142857</v>
      </c>
      <c r="Z115" s="786">
        <f t="shared" si="29"/>
        <v>0.17910447761194029</v>
      </c>
    </row>
    <row r="116" spans="1:26">
      <c r="A116" s="550" t="s">
        <v>160</v>
      </c>
      <c r="B116" s="478" t="s">
        <v>161</v>
      </c>
      <c r="C116" s="505" t="s">
        <v>264</v>
      </c>
      <c r="D116" s="780">
        <v>272</v>
      </c>
      <c r="E116" s="781">
        <v>160</v>
      </c>
      <c r="F116" s="781">
        <v>4</v>
      </c>
      <c r="G116" s="318">
        <f t="shared" si="30"/>
        <v>436</v>
      </c>
      <c r="H116" s="780">
        <v>87</v>
      </c>
      <c r="I116" s="781">
        <v>33</v>
      </c>
      <c r="J116" s="781">
        <v>5</v>
      </c>
      <c r="K116" s="318">
        <f t="shared" si="31"/>
        <v>125</v>
      </c>
      <c r="L116" s="780"/>
      <c r="M116" s="781"/>
      <c r="N116" s="781"/>
      <c r="O116" s="318">
        <f t="shared" si="32"/>
        <v>0</v>
      </c>
      <c r="P116" s="782">
        <f t="shared" si="33"/>
        <v>561</v>
      </c>
      <c r="Q116" s="1022">
        <f t="shared" si="22"/>
        <v>359</v>
      </c>
      <c r="R116" s="1022">
        <f t="shared" si="23"/>
        <v>193</v>
      </c>
      <c r="S116" s="1022">
        <f t="shared" si="24"/>
        <v>9</v>
      </c>
      <c r="T116" s="782">
        <f t="shared" si="34"/>
        <v>561</v>
      </c>
      <c r="W116" s="783">
        <f t="shared" si="26"/>
        <v>0.24233983286908078</v>
      </c>
      <c r="X116" s="784">
        <f t="shared" si="27"/>
        <v>0.17098445595854922</v>
      </c>
      <c r="Y116" s="785">
        <f t="shared" si="28"/>
        <v>0.55555555555555558</v>
      </c>
      <c r="Z116" s="786">
        <f t="shared" si="29"/>
        <v>0.22281639928698752</v>
      </c>
    </row>
    <row r="117" spans="1:26">
      <c r="A117" s="550" t="s">
        <v>166</v>
      </c>
      <c r="B117" s="478" t="s">
        <v>167</v>
      </c>
      <c r="C117" s="505" t="s">
        <v>268</v>
      </c>
      <c r="D117" s="780">
        <v>10</v>
      </c>
      <c r="E117" s="781">
        <v>5</v>
      </c>
      <c r="F117" s="781"/>
      <c r="G117" s="318">
        <f t="shared" si="30"/>
        <v>15</v>
      </c>
      <c r="H117" s="780"/>
      <c r="I117" s="781"/>
      <c r="J117" s="781"/>
      <c r="K117" s="318">
        <f t="shared" si="31"/>
        <v>0</v>
      </c>
      <c r="L117" s="780"/>
      <c r="M117" s="781"/>
      <c r="N117" s="781"/>
      <c r="O117" s="318">
        <f t="shared" si="32"/>
        <v>0</v>
      </c>
      <c r="P117" s="782">
        <f t="shared" si="33"/>
        <v>15</v>
      </c>
      <c r="Q117" s="1022">
        <f t="shared" si="22"/>
        <v>10</v>
      </c>
      <c r="R117" s="1022">
        <f t="shared" si="23"/>
        <v>5</v>
      </c>
      <c r="S117" s="1022">
        <f t="shared" si="24"/>
        <v>0</v>
      </c>
      <c r="T117" s="782">
        <f t="shared" si="34"/>
        <v>15</v>
      </c>
      <c r="W117" s="783">
        <f t="shared" si="26"/>
        <v>0</v>
      </c>
      <c r="X117" s="784">
        <f t="shared" si="27"/>
        <v>0</v>
      </c>
      <c r="Y117" s="785" t="str">
        <f t="shared" si="28"/>
        <v>NA</v>
      </c>
      <c r="Z117" s="786">
        <f t="shared" si="29"/>
        <v>0</v>
      </c>
    </row>
    <row r="118" spans="1:26">
      <c r="A118" s="550" t="s">
        <v>176</v>
      </c>
      <c r="B118" s="478" t="s">
        <v>177</v>
      </c>
      <c r="C118" s="505" t="s">
        <v>266</v>
      </c>
      <c r="D118" s="780">
        <v>68</v>
      </c>
      <c r="E118" s="781">
        <v>32</v>
      </c>
      <c r="F118" s="781"/>
      <c r="G118" s="318">
        <f t="shared" si="30"/>
        <v>100</v>
      </c>
      <c r="H118" s="780">
        <v>34</v>
      </c>
      <c r="I118" s="781">
        <v>16</v>
      </c>
      <c r="J118" s="781"/>
      <c r="K118" s="318">
        <f t="shared" si="31"/>
        <v>50</v>
      </c>
      <c r="L118" s="780"/>
      <c r="M118" s="781"/>
      <c r="N118" s="781"/>
      <c r="O118" s="318">
        <f t="shared" si="32"/>
        <v>0</v>
      </c>
      <c r="P118" s="782">
        <f t="shared" si="33"/>
        <v>150</v>
      </c>
      <c r="Q118" s="1022">
        <f t="shared" si="22"/>
        <v>102</v>
      </c>
      <c r="R118" s="1022">
        <f t="shared" si="23"/>
        <v>48</v>
      </c>
      <c r="S118" s="1022">
        <f t="shared" si="24"/>
        <v>0</v>
      </c>
      <c r="T118" s="782">
        <f t="shared" si="34"/>
        <v>150</v>
      </c>
      <c r="W118" s="783">
        <f t="shared" si="26"/>
        <v>0.33333333333333331</v>
      </c>
      <c r="X118" s="784">
        <f t="shared" si="27"/>
        <v>0.33333333333333331</v>
      </c>
      <c r="Y118" s="785" t="str">
        <f t="shared" si="28"/>
        <v>NA</v>
      </c>
      <c r="Z118" s="786">
        <f t="shared" si="29"/>
        <v>0.33333333333333331</v>
      </c>
    </row>
    <row r="119" spans="1:26">
      <c r="A119" s="550" t="s">
        <v>180</v>
      </c>
      <c r="B119" s="478" t="s">
        <v>181</v>
      </c>
      <c r="C119" s="505" t="s">
        <v>264</v>
      </c>
      <c r="D119" s="780">
        <v>131</v>
      </c>
      <c r="E119" s="781">
        <v>69</v>
      </c>
      <c r="F119" s="781">
        <v>1</v>
      </c>
      <c r="G119" s="318">
        <f t="shared" si="30"/>
        <v>201</v>
      </c>
      <c r="H119" s="780">
        <v>47</v>
      </c>
      <c r="I119" s="781">
        <v>30</v>
      </c>
      <c r="J119" s="781"/>
      <c r="K119" s="318">
        <f t="shared" si="31"/>
        <v>77</v>
      </c>
      <c r="L119" s="780"/>
      <c r="M119" s="781"/>
      <c r="N119" s="781"/>
      <c r="O119" s="318">
        <f t="shared" si="32"/>
        <v>0</v>
      </c>
      <c r="P119" s="782">
        <f t="shared" si="33"/>
        <v>278</v>
      </c>
      <c r="Q119" s="1022">
        <f t="shared" si="22"/>
        <v>178</v>
      </c>
      <c r="R119" s="1022">
        <f t="shared" si="23"/>
        <v>99</v>
      </c>
      <c r="S119" s="1022">
        <f t="shared" si="24"/>
        <v>1</v>
      </c>
      <c r="T119" s="782">
        <f t="shared" si="34"/>
        <v>278</v>
      </c>
      <c r="W119" s="783">
        <f t="shared" si="26"/>
        <v>0.2640449438202247</v>
      </c>
      <c r="X119" s="784">
        <f t="shared" si="27"/>
        <v>0.30303030303030304</v>
      </c>
      <c r="Y119" s="785">
        <f t="shared" si="28"/>
        <v>0</v>
      </c>
      <c r="Z119" s="786">
        <f t="shared" si="29"/>
        <v>0.27697841726618705</v>
      </c>
    </row>
    <row r="120" spans="1:26">
      <c r="A120" s="550" t="s">
        <v>192</v>
      </c>
      <c r="B120" s="478" t="s">
        <v>193</v>
      </c>
      <c r="C120" s="505" t="s">
        <v>268</v>
      </c>
      <c r="D120" s="780">
        <v>12</v>
      </c>
      <c r="E120" s="781">
        <v>5</v>
      </c>
      <c r="F120" s="781"/>
      <c r="G120" s="318">
        <f t="shared" si="30"/>
        <v>17</v>
      </c>
      <c r="H120" s="780">
        <v>3</v>
      </c>
      <c r="I120" s="781">
        <v>1</v>
      </c>
      <c r="J120" s="781"/>
      <c r="K120" s="318">
        <f t="shared" si="31"/>
        <v>4</v>
      </c>
      <c r="L120" s="780"/>
      <c r="M120" s="781"/>
      <c r="N120" s="781"/>
      <c r="O120" s="318">
        <f t="shared" si="32"/>
        <v>0</v>
      </c>
      <c r="P120" s="782">
        <f t="shared" si="33"/>
        <v>21</v>
      </c>
      <c r="Q120" s="1022">
        <f t="shared" si="22"/>
        <v>15</v>
      </c>
      <c r="R120" s="1022">
        <f t="shared" si="23"/>
        <v>6</v>
      </c>
      <c r="S120" s="1022">
        <f t="shared" si="24"/>
        <v>0</v>
      </c>
      <c r="T120" s="782">
        <f t="shared" si="34"/>
        <v>21</v>
      </c>
      <c r="W120" s="783">
        <f t="shared" si="26"/>
        <v>0.2</v>
      </c>
      <c r="X120" s="784">
        <f t="shared" si="27"/>
        <v>0.16666666666666666</v>
      </c>
      <c r="Y120" s="785" t="str">
        <f t="shared" si="28"/>
        <v>NA</v>
      </c>
      <c r="Z120" s="786">
        <f t="shared" si="29"/>
        <v>0.19047619047619047</v>
      </c>
    </row>
    <row r="121" spans="1:26">
      <c r="A121" s="550" t="s">
        <v>196</v>
      </c>
      <c r="B121" s="478" t="s">
        <v>312</v>
      </c>
      <c r="C121" s="505" t="s">
        <v>266</v>
      </c>
      <c r="D121" s="780">
        <v>252</v>
      </c>
      <c r="E121" s="781">
        <v>144</v>
      </c>
      <c r="F121" s="781">
        <v>19</v>
      </c>
      <c r="G121" s="318">
        <f t="shared" si="30"/>
        <v>415</v>
      </c>
      <c r="H121" s="780">
        <v>76</v>
      </c>
      <c r="I121" s="781">
        <v>39</v>
      </c>
      <c r="J121" s="781">
        <v>10</v>
      </c>
      <c r="K121" s="318">
        <f t="shared" si="31"/>
        <v>125</v>
      </c>
      <c r="L121" s="780"/>
      <c r="M121" s="781">
        <v>1</v>
      </c>
      <c r="N121" s="781"/>
      <c r="O121" s="318">
        <f t="shared" si="32"/>
        <v>1</v>
      </c>
      <c r="P121" s="782">
        <f t="shared" si="33"/>
        <v>541</v>
      </c>
      <c r="Q121" s="1022">
        <f t="shared" si="22"/>
        <v>328</v>
      </c>
      <c r="R121" s="1022">
        <f t="shared" si="23"/>
        <v>183</v>
      </c>
      <c r="S121" s="1022">
        <f t="shared" si="24"/>
        <v>29</v>
      </c>
      <c r="T121" s="782">
        <f t="shared" si="34"/>
        <v>540</v>
      </c>
      <c r="W121" s="783">
        <f t="shared" si="26"/>
        <v>0.23170731707317074</v>
      </c>
      <c r="X121" s="784">
        <f t="shared" si="27"/>
        <v>0.21311475409836064</v>
      </c>
      <c r="Y121" s="785">
        <f t="shared" si="28"/>
        <v>0.34482758620689657</v>
      </c>
      <c r="Z121" s="786">
        <f t="shared" si="29"/>
        <v>0.23148148148148148</v>
      </c>
    </row>
    <row r="122" spans="1:26">
      <c r="A122" s="550" t="s">
        <v>200</v>
      </c>
      <c r="B122" s="478" t="s">
        <v>313</v>
      </c>
      <c r="C122" s="505" t="s">
        <v>265</v>
      </c>
      <c r="D122" s="780">
        <v>154</v>
      </c>
      <c r="E122" s="781">
        <v>67</v>
      </c>
      <c r="F122" s="781"/>
      <c r="G122" s="318">
        <f t="shared" si="30"/>
        <v>221</v>
      </c>
      <c r="H122" s="780">
        <v>12</v>
      </c>
      <c r="I122" s="781">
        <v>5</v>
      </c>
      <c r="J122" s="781">
        <v>8</v>
      </c>
      <c r="K122" s="318">
        <f t="shared" si="31"/>
        <v>25</v>
      </c>
      <c r="L122" s="780"/>
      <c r="M122" s="781"/>
      <c r="N122" s="781"/>
      <c r="O122" s="318">
        <f t="shared" si="32"/>
        <v>0</v>
      </c>
      <c r="P122" s="782">
        <f t="shared" si="33"/>
        <v>246</v>
      </c>
      <c r="Q122" s="1022">
        <f t="shared" si="22"/>
        <v>166</v>
      </c>
      <c r="R122" s="1022">
        <f t="shared" si="23"/>
        <v>72</v>
      </c>
      <c r="S122" s="1022">
        <f t="shared" si="24"/>
        <v>8</v>
      </c>
      <c r="T122" s="782">
        <f t="shared" si="34"/>
        <v>246</v>
      </c>
      <c r="W122" s="783">
        <f t="shared" si="26"/>
        <v>7.2289156626506021E-2</v>
      </c>
      <c r="X122" s="784">
        <f t="shared" si="27"/>
        <v>6.9444444444444448E-2</v>
      </c>
      <c r="Y122" s="785">
        <f t="shared" si="28"/>
        <v>1</v>
      </c>
      <c r="Z122" s="786">
        <f t="shared" si="29"/>
        <v>0.1016260162601626</v>
      </c>
    </row>
    <row r="123" spans="1:26">
      <c r="A123" s="550" t="s">
        <v>222</v>
      </c>
      <c r="B123" s="478" t="s">
        <v>223</v>
      </c>
      <c r="C123" s="505" t="s">
        <v>264</v>
      </c>
      <c r="D123" s="780">
        <v>82</v>
      </c>
      <c r="E123" s="781">
        <v>30</v>
      </c>
      <c r="F123" s="781">
        <v>2</v>
      </c>
      <c r="G123" s="318">
        <f t="shared" si="30"/>
        <v>114</v>
      </c>
      <c r="H123" s="780">
        <v>9</v>
      </c>
      <c r="I123" s="781">
        <v>2</v>
      </c>
      <c r="J123" s="781">
        <v>1</v>
      </c>
      <c r="K123" s="318">
        <f t="shared" si="31"/>
        <v>12</v>
      </c>
      <c r="L123" s="780"/>
      <c r="M123" s="781"/>
      <c r="N123" s="781"/>
      <c r="O123" s="318">
        <f t="shared" si="32"/>
        <v>0</v>
      </c>
      <c r="P123" s="782">
        <f t="shared" si="33"/>
        <v>126</v>
      </c>
      <c r="Q123" s="1022">
        <f t="shared" si="22"/>
        <v>91</v>
      </c>
      <c r="R123" s="1022">
        <f t="shared" si="23"/>
        <v>32</v>
      </c>
      <c r="S123" s="1022">
        <f t="shared" si="24"/>
        <v>3</v>
      </c>
      <c r="T123" s="782">
        <f t="shared" si="34"/>
        <v>126</v>
      </c>
      <c r="W123" s="783">
        <f t="shared" si="26"/>
        <v>9.8901098901098897E-2</v>
      </c>
      <c r="X123" s="784">
        <f t="shared" si="27"/>
        <v>6.25E-2</v>
      </c>
      <c r="Y123" s="785">
        <f t="shared" si="28"/>
        <v>0.33333333333333331</v>
      </c>
      <c r="Z123" s="786">
        <f t="shared" si="29"/>
        <v>9.5238095238095233E-2</v>
      </c>
    </row>
    <row r="124" spans="1:26">
      <c r="A124" s="550" t="s">
        <v>230</v>
      </c>
      <c r="B124" s="478" t="s">
        <v>231</v>
      </c>
      <c r="C124" s="505" t="s">
        <v>264</v>
      </c>
      <c r="D124" s="780">
        <v>265</v>
      </c>
      <c r="E124" s="781">
        <v>99</v>
      </c>
      <c r="F124" s="781"/>
      <c r="G124" s="318">
        <f t="shared" si="30"/>
        <v>364</v>
      </c>
      <c r="H124" s="780">
        <v>58</v>
      </c>
      <c r="I124" s="781">
        <v>19</v>
      </c>
      <c r="J124" s="781"/>
      <c r="K124" s="318">
        <f t="shared" si="31"/>
        <v>77</v>
      </c>
      <c r="L124" s="780"/>
      <c r="M124" s="781"/>
      <c r="N124" s="781"/>
      <c r="O124" s="318">
        <f t="shared" si="32"/>
        <v>0</v>
      </c>
      <c r="P124" s="782">
        <f t="shared" si="33"/>
        <v>441</v>
      </c>
      <c r="Q124" s="1022">
        <f t="shared" si="22"/>
        <v>323</v>
      </c>
      <c r="R124" s="1022">
        <f t="shared" si="23"/>
        <v>118</v>
      </c>
      <c r="S124" s="1022">
        <f t="shared" si="24"/>
        <v>0</v>
      </c>
      <c r="T124" s="782">
        <f t="shared" si="34"/>
        <v>441</v>
      </c>
      <c r="W124" s="783">
        <f t="shared" si="26"/>
        <v>0.17956656346749225</v>
      </c>
      <c r="X124" s="784">
        <f t="shared" si="27"/>
        <v>0.16101694915254236</v>
      </c>
      <c r="Y124" s="785" t="str">
        <f t="shared" si="28"/>
        <v>NA</v>
      </c>
      <c r="Z124" s="786">
        <f t="shared" si="29"/>
        <v>0.17460317460317459</v>
      </c>
    </row>
    <row r="125" spans="1:26">
      <c r="A125" s="550" t="s">
        <v>238</v>
      </c>
      <c r="B125" s="478" t="s">
        <v>239</v>
      </c>
      <c r="C125" s="505" t="s">
        <v>264</v>
      </c>
      <c r="D125" s="780">
        <v>10</v>
      </c>
      <c r="E125" s="781">
        <v>5</v>
      </c>
      <c r="F125" s="781"/>
      <c r="G125" s="318">
        <f t="shared" si="30"/>
        <v>15</v>
      </c>
      <c r="H125" s="780"/>
      <c r="I125" s="781"/>
      <c r="J125" s="781"/>
      <c r="K125" s="318">
        <f t="shared" si="31"/>
        <v>0</v>
      </c>
      <c r="L125" s="780"/>
      <c r="M125" s="781"/>
      <c r="N125" s="781"/>
      <c r="O125" s="318">
        <f t="shared" si="32"/>
        <v>0</v>
      </c>
      <c r="P125" s="782">
        <f t="shared" si="33"/>
        <v>15</v>
      </c>
      <c r="Q125" s="1022">
        <f t="shared" si="22"/>
        <v>10</v>
      </c>
      <c r="R125" s="1022">
        <f t="shared" si="23"/>
        <v>5</v>
      </c>
      <c r="S125" s="1022">
        <f t="shared" si="24"/>
        <v>0</v>
      </c>
      <c r="T125" s="782">
        <f t="shared" si="34"/>
        <v>15</v>
      </c>
      <c r="W125" s="783">
        <f t="shared" si="26"/>
        <v>0</v>
      </c>
      <c r="X125" s="784">
        <f t="shared" si="27"/>
        <v>0</v>
      </c>
      <c r="Y125" s="785" t="str">
        <f t="shared" si="28"/>
        <v>NA</v>
      </c>
      <c r="Z125" s="786">
        <f t="shared" si="29"/>
        <v>0</v>
      </c>
    </row>
    <row r="126" spans="1:26">
      <c r="A126" s="788" t="s">
        <v>240</v>
      </c>
      <c r="B126" s="789" t="s">
        <v>241</v>
      </c>
      <c r="C126" s="790" t="s">
        <v>267</v>
      </c>
      <c r="D126" s="928">
        <v>31</v>
      </c>
      <c r="E126" s="929">
        <v>13</v>
      </c>
      <c r="F126" s="929"/>
      <c r="G126" s="930">
        <f t="shared" si="30"/>
        <v>44</v>
      </c>
      <c r="H126" s="928">
        <v>1</v>
      </c>
      <c r="I126" s="929">
        <v>2</v>
      </c>
      <c r="J126" s="929"/>
      <c r="K126" s="930">
        <f t="shared" si="31"/>
        <v>3</v>
      </c>
      <c r="L126" s="928"/>
      <c r="M126" s="929"/>
      <c r="N126" s="929"/>
      <c r="O126" s="930">
        <f t="shared" si="32"/>
        <v>0</v>
      </c>
      <c r="P126" s="931">
        <f t="shared" si="33"/>
        <v>47</v>
      </c>
      <c r="Q126" s="1024">
        <f t="shared" si="22"/>
        <v>32</v>
      </c>
      <c r="R126" s="1024">
        <f t="shared" si="23"/>
        <v>15</v>
      </c>
      <c r="S126" s="1024">
        <f t="shared" si="24"/>
        <v>0</v>
      </c>
      <c r="T126" s="931">
        <f t="shared" si="34"/>
        <v>47</v>
      </c>
      <c r="W126" s="932">
        <f t="shared" si="26"/>
        <v>3.125E-2</v>
      </c>
      <c r="X126" s="933">
        <f t="shared" si="27"/>
        <v>0.13333333333333333</v>
      </c>
      <c r="Y126" s="934" t="str">
        <f t="shared" si="28"/>
        <v>NA</v>
      </c>
      <c r="Z126" s="935">
        <f t="shared" si="29"/>
        <v>6.3829787234042548E-2</v>
      </c>
    </row>
    <row r="127" spans="1:26">
      <c r="A127" s="532"/>
      <c r="B127" s="532"/>
      <c r="C127" s="532"/>
    </row>
    <row r="128" spans="1:26" ht="16.5" customHeight="1">
      <c r="A128" s="975" t="s">
        <v>962</v>
      </c>
      <c r="B128" s="532"/>
      <c r="C128" s="532"/>
      <c r="D128" s="532"/>
    </row>
    <row r="129" spans="1:4">
      <c r="A129" s="792" t="s">
        <v>824</v>
      </c>
      <c r="B129" s="792"/>
      <c r="C129" s="792"/>
      <c r="D129" s="792"/>
    </row>
    <row r="130" spans="1:4">
      <c r="A130" s="791" t="s">
        <v>668</v>
      </c>
      <c r="B130" s="532"/>
      <c r="C130" s="532"/>
      <c r="D130" s="532"/>
    </row>
    <row r="131" spans="1:4">
      <c r="A131" s="791" t="s">
        <v>961</v>
      </c>
      <c r="B131" s="532"/>
      <c r="C131" s="532"/>
      <c r="D131" s="532"/>
    </row>
    <row r="132" spans="1:4">
      <c r="A132" s="271" t="s">
        <v>248</v>
      </c>
      <c r="B132" s="793"/>
      <c r="C132" s="793"/>
    </row>
    <row r="133" spans="1:4">
      <c r="A133" s="271" t="s">
        <v>249</v>
      </c>
      <c r="B133" s="430" t="s">
        <v>250</v>
      </c>
      <c r="C133" s="794"/>
    </row>
  </sheetData>
  <autoFilter ref="A5:C5"/>
  <mergeCells count="7">
    <mergeCell ref="W4:Z4"/>
    <mergeCell ref="D4:G4"/>
    <mergeCell ref="H4:K4"/>
    <mergeCell ref="L4:O4"/>
    <mergeCell ref="P4:P5"/>
    <mergeCell ref="T4:T5"/>
    <mergeCell ref="Q4:S4"/>
  </mergeCells>
  <hyperlinks>
    <hyperlink ref="B133"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33"/>
  <sheetViews>
    <sheetView workbookViewId="0">
      <pane ySplit="3" topLeftCell="A54" activePane="bottomLeft" state="frozen"/>
      <selection pane="bottomLeft" activeCell="E48" sqref="E48"/>
    </sheetView>
  </sheetViews>
  <sheetFormatPr defaultRowHeight="15.75"/>
  <cols>
    <col min="1" max="1" width="4.625" style="538" customWidth="1"/>
    <col min="2" max="2" width="35.125" style="537" customWidth="1"/>
    <col min="3" max="3" width="16" style="537" customWidth="1"/>
    <col min="4" max="4" width="12.25" style="271" customWidth="1"/>
    <col min="5" max="5" width="22.375" style="271" customWidth="1"/>
    <col min="6" max="6" width="18.25" style="271" customWidth="1"/>
    <col min="7" max="16384" width="9" style="271"/>
  </cols>
  <sheetData>
    <row r="1" spans="1:6">
      <c r="A1" s="64" t="s">
        <v>678</v>
      </c>
      <c r="B1" s="271"/>
      <c r="C1" s="271"/>
    </row>
    <row r="2" spans="1:6">
      <c r="A2" s="401"/>
      <c r="B2" s="401"/>
      <c r="C2" s="401"/>
    </row>
    <row r="3" spans="1:6">
      <c r="A3" s="401" t="s">
        <v>4</v>
      </c>
      <c r="B3" s="535" t="s">
        <v>612</v>
      </c>
      <c r="C3" s="535" t="s">
        <v>251</v>
      </c>
      <c r="D3" s="64" t="s">
        <v>649</v>
      </c>
      <c r="E3" s="64" t="s">
        <v>679</v>
      </c>
    </row>
    <row r="4" spans="1:6">
      <c r="A4" s="536" t="s">
        <v>10</v>
      </c>
      <c r="B4" s="537" t="s">
        <v>11</v>
      </c>
      <c r="C4" s="537" t="s">
        <v>264</v>
      </c>
      <c r="D4" s="271" t="s">
        <v>660</v>
      </c>
      <c r="F4" s="266"/>
    </row>
    <row r="5" spans="1:6">
      <c r="A5" s="536" t="s">
        <v>12</v>
      </c>
      <c r="B5" s="537" t="s">
        <v>13</v>
      </c>
      <c r="C5" s="537" t="s">
        <v>265</v>
      </c>
      <c r="D5" s="271" t="s">
        <v>650</v>
      </c>
      <c r="E5" s="271" t="s">
        <v>669</v>
      </c>
      <c r="F5" s="266"/>
    </row>
    <row r="6" spans="1:6">
      <c r="A6" s="536" t="s">
        <v>16</v>
      </c>
      <c r="B6" s="537" t="s">
        <v>297</v>
      </c>
      <c r="C6" s="537" t="s">
        <v>265</v>
      </c>
      <c r="D6" s="271" t="s">
        <v>660</v>
      </c>
      <c r="F6" s="266"/>
    </row>
    <row r="7" spans="1:6">
      <c r="A7" s="536" t="s">
        <v>18</v>
      </c>
      <c r="B7" s="537" t="s">
        <v>19</v>
      </c>
      <c r="C7" s="537" t="s">
        <v>266</v>
      </c>
      <c r="D7" s="271" t="s">
        <v>650</v>
      </c>
      <c r="E7" s="271" t="s">
        <v>670</v>
      </c>
      <c r="F7" s="266"/>
    </row>
    <row r="8" spans="1:6">
      <c r="A8" s="536" t="s">
        <v>20</v>
      </c>
      <c r="B8" s="537" t="s">
        <v>21</v>
      </c>
      <c r="C8" s="537" t="s">
        <v>265</v>
      </c>
      <c r="D8" s="271" t="s">
        <v>660</v>
      </c>
      <c r="F8" s="266"/>
    </row>
    <row r="9" spans="1:6">
      <c r="A9" s="536" t="s">
        <v>22</v>
      </c>
      <c r="B9" s="537" t="s">
        <v>23</v>
      </c>
      <c r="C9" s="537" t="s">
        <v>265</v>
      </c>
      <c r="D9" s="271" t="s">
        <v>660</v>
      </c>
      <c r="F9" s="266"/>
    </row>
    <row r="10" spans="1:6">
      <c r="A10" s="536" t="s">
        <v>24</v>
      </c>
      <c r="B10" s="537" t="s">
        <v>25</v>
      </c>
      <c r="C10" s="537" t="s">
        <v>267</v>
      </c>
      <c r="D10" s="271" t="s">
        <v>660</v>
      </c>
      <c r="F10" s="266"/>
    </row>
    <row r="11" spans="1:6">
      <c r="A11" s="536" t="s">
        <v>26</v>
      </c>
      <c r="B11" s="271" t="s">
        <v>706</v>
      </c>
      <c r="C11" s="537" t="s">
        <v>265</v>
      </c>
      <c r="D11" s="271" t="s">
        <v>660</v>
      </c>
      <c r="F11" s="266"/>
    </row>
    <row r="12" spans="1:6">
      <c r="A12" s="536" t="s">
        <v>27</v>
      </c>
      <c r="B12" s="537" t="s">
        <v>28</v>
      </c>
      <c r="C12" s="537" t="s">
        <v>265</v>
      </c>
      <c r="D12" s="271" t="s">
        <v>660</v>
      </c>
      <c r="F12" s="266"/>
    </row>
    <row r="13" spans="1:6">
      <c r="A13" s="536" t="s">
        <v>29</v>
      </c>
      <c r="B13" s="505" t="s">
        <v>1012</v>
      </c>
      <c r="C13" s="537" t="s">
        <v>265</v>
      </c>
      <c r="D13" s="271" t="s">
        <v>660</v>
      </c>
      <c r="F13" s="266"/>
    </row>
    <row r="14" spans="1:6">
      <c r="A14" s="536" t="s">
        <v>30</v>
      </c>
      <c r="B14" s="537" t="s">
        <v>31</v>
      </c>
      <c r="C14" s="537" t="s">
        <v>268</v>
      </c>
      <c r="D14" s="271" t="s">
        <v>660</v>
      </c>
      <c r="F14" s="266"/>
    </row>
    <row r="15" spans="1:6">
      <c r="A15" s="536" t="s">
        <v>32</v>
      </c>
      <c r="B15" s="537" t="s">
        <v>33</v>
      </c>
      <c r="C15" s="537" t="s">
        <v>265</v>
      </c>
      <c r="D15" s="271" t="s">
        <v>660</v>
      </c>
      <c r="F15" s="266"/>
    </row>
    <row r="16" spans="1:6">
      <c r="A16" s="536" t="s">
        <v>36</v>
      </c>
      <c r="B16" s="537" t="s">
        <v>37</v>
      </c>
      <c r="C16" s="537" t="s">
        <v>264</v>
      </c>
      <c r="D16" s="271" t="s">
        <v>660</v>
      </c>
      <c r="F16" s="266"/>
    </row>
    <row r="17" spans="1:6">
      <c r="A17" s="536" t="s">
        <v>38</v>
      </c>
      <c r="B17" s="537" t="s">
        <v>39</v>
      </c>
      <c r="C17" s="537" t="s">
        <v>268</v>
      </c>
      <c r="D17" s="271" t="s">
        <v>660</v>
      </c>
      <c r="F17" s="266"/>
    </row>
    <row r="18" spans="1:6">
      <c r="A18" s="536" t="s">
        <v>40</v>
      </c>
      <c r="B18" s="537" t="s">
        <v>41</v>
      </c>
      <c r="C18" s="537" t="s">
        <v>266</v>
      </c>
      <c r="D18" s="271" t="s">
        <v>660</v>
      </c>
      <c r="F18" s="266"/>
    </row>
    <row r="19" spans="1:6">
      <c r="A19" s="536" t="s">
        <v>42</v>
      </c>
      <c r="B19" s="537" t="s">
        <v>43</v>
      </c>
      <c r="C19" s="537" t="s">
        <v>265</v>
      </c>
      <c r="D19" s="271" t="s">
        <v>660</v>
      </c>
      <c r="F19" s="266"/>
    </row>
    <row r="20" spans="1:6">
      <c r="A20" s="536" t="s">
        <v>44</v>
      </c>
      <c r="B20" s="537" t="s">
        <v>45</v>
      </c>
      <c r="C20" s="537" t="s">
        <v>266</v>
      </c>
      <c r="D20" s="271" t="s">
        <v>660</v>
      </c>
      <c r="F20" s="266"/>
    </row>
    <row r="21" spans="1:6">
      <c r="A21" s="536" t="s">
        <v>46</v>
      </c>
      <c r="B21" s="537" t="s">
        <v>47</v>
      </c>
      <c r="C21" s="537" t="s">
        <v>268</v>
      </c>
      <c r="D21" s="271" t="s">
        <v>660</v>
      </c>
      <c r="F21" s="266"/>
    </row>
    <row r="22" spans="1:6">
      <c r="A22" s="536" t="s">
        <v>48</v>
      </c>
      <c r="B22" s="537" t="s">
        <v>269</v>
      </c>
      <c r="C22" s="537" t="s">
        <v>266</v>
      </c>
      <c r="D22" s="271" t="s">
        <v>660</v>
      </c>
      <c r="F22" s="266"/>
    </row>
    <row r="23" spans="1:6">
      <c r="A23" s="536" t="s">
        <v>50</v>
      </c>
      <c r="B23" s="537" t="s">
        <v>51</v>
      </c>
      <c r="C23" s="537" t="s">
        <v>265</v>
      </c>
      <c r="D23" s="271" t="s">
        <v>660</v>
      </c>
      <c r="F23" s="266"/>
    </row>
    <row r="24" spans="1:6">
      <c r="A24" s="536" t="s">
        <v>56</v>
      </c>
      <c r="B24" s="537" t="s">
        <v>295</v>
      </c>
      <c r="C24" s="537" t="s">
        <v>266</v>
      </c>
      <c r="D24" s="271" t="s">
        <v>660</v>
      </c>
      <c r="F24" s="266"/>
    </row>
    <row r="25" spans="1:6">
      <c r="A25" s="536" t="s">
        <v>58</v>
      </c>
      <c r="B25" s="537" t="s">
        <v>59</v>
      </c>
      <c r="C25" s="537" t="s">
        <v>267</v>
      </c>
      <c r="D25" s="271" t="s">
        <v>660</v>
      </c>
      <c r="F25" s="266"/>
    </row>
    <row r="26" spans="1:6">
      <c r="A26" s="536" t="s">
        <v>60</v>
      </c>
      <c r="B26" s="537" t="s">
        <v>61</v>
      </c>
      <c r="C26" s="537" t="s">
        <v>265</v>
      </c>
      <c r="D26" s="271" t="s">
        <v>660</v>
      </c>
      <c r="F26" s="266"/>
    </row>
    <row r="27" spans="1:6">
      <c r="A27" s="536" t="s">
        <v>62</v>
      </c>
      <c r="B27" s="537" t="s">
        <v>63</v>
      </c>
      <c r="C27" s="537" t="s">
        <v>267</v>
      </c>
      <c r="D27" s="271" t="s">
        <v>660</v>
      </c>
      <c r="F27" s="266"/>
    </row>
    <row r="28" spans="1:6">
      <c r="A28" s="536" t="s">
        <v>64</v>
      </c>
      <c r="B28" s="537" t="s">
        <v>65</v>
      </c>
      <c r="C28" s="537" t="s">
        <v>266</v>
      </c>
      <c r="D28" s="271" t="s">
        <v>660</v>
      </c>
      <c r="F28" s="266"/>
    </row>
    <row r="29" spans="1:6">
      <c r="A29" s="536" t="s">
        <v>68</v>
      </c>
      <c r="B29" s="537" t="s">
        <v>69</v>
      </c>
      <c r="C29" s="537" t="s">
        <v>268</v>
      </c>
      <c r="D29" s="271" t="s">
        <v>660</v>
      </c>
      <c r="F29" s="266"/>
    </row>
    <row r="30" spans="1:6">
      <c r="A30" s="536" t="s">
        <v>70</v>
      </c>
      <c r="B30" s="537" t="s">
        <v>71</v>
      </c>
      <c r="C30" s="537" t="s">
        <v>264</v>
      </c>
      <c r="D30" s="271" t="s">
        <v>650</v>
      </c>
      <c r="E30" s="271" t="s">
        <v>670</v>
      </c>
      <c r="F30" s="266"/>
    </row>
    <row r="31" spans="1:6">
      <c r="A31" s="536" t="s">
        <v>72</v>
      </c>
      <c r="B31" s="537" t="s">
        <v>73</v>
      </c>
      <c r="C31" s="537" t="s">
        <v>266</v>
      </c>
      <c r="D31" s="271" t="s">
        <v>660</v>
      </c>
      <c r="F31" s="266"/>
    </row>
    <row r="32" spans="1:6">
      <c r="A32" s="536" t="s">
        <v>74</v>
      </c>
      <c r="B32" s="537" t="s">
        <v>651</v>
      </c>
      <c r="C32" s="537" t="s">
        <v>267</v>
      </c>
      <c r="D32" s="271" t="s">
        <v>650</v>
      </c>
      <c r="E32" s="271" t="s">
        <v>1234</v>
      </c>
      <c r="F32" s="266"/>
    </row>
    <row r="33" spans="1:6">
      <c r="A33" s="536" t="s">
        <v>76</v>
      </c>
      <c r="B33" s="537" t="s">
        <v>77</v>
      </c>
      <c r="C33" s="537" t="s">
        <v>267</v>
      </c>
      <c r="D33" s="271" t="s">
        <v>650</v>
      </c>
      <c r="E33" s="271" t="s">
        <v>670</v>
      </c>
      <c r="F33" s="266"/>
    </row>
    <row r="34" spans="1:6">
      <c r="A34" s="536" t="s">
        <v>78</v>
      </c>
      <c r="B34" s="537" t="s">
        <v>79</v>
      </c>
      <c r="C34" s="537" t="s">
        <v>268</v>
      </c>
      <c r="D34" s="271" t="s">
        <v>660</v>
      </c>
      <c r="F34" s="266"/>
    </row>
    <row r="35" spans="1:6">
      <c r="A35" s="536" t="s">
        <v>80</v>
      </c>
      <c r="B35" s="537" t="s">
        <v>81</v>
      </c>
      <c r="C35" s="537" t="s">
        <v>266</v>
      </c>
      <c r="D35" s="271" t="s">
        <v>660</v>
      </c>
      <c r="F35" s="266"/>
    </row>
    <row r="36" spans="1:6">
      <c r="A36" s="536" t="s">
        <v>84</v>
      </c>
      <c r="B36" s="537" t="s">
        <v>85</v>
      </c>
      <c r="C36" s="537" t="s">
        <v>265</v>
      </c>
      <c r="D36" s="271" t="s">
        <v>660</v>
      </c>
      <c r="F36" s="266"/>
    </row>
    <row r="37" spans="1:6">
      <c r="A37" s="536" t="s">
        <v>86</v>
      </c>
      <c r="B37" s="537" t="s">
        <v>87</v>
      </c>
      <c r="C37" s="537" t="s">
        <v>267</v>
      </c>
      <c r="D37" s="271" t="s">
        <v>660</v>
      </c>
      <c r="F37" s="266"/>
    </row>
    <row r="38" spans="1:6">
      <c r="A38" s="536" t="s">
        <v>92</v>
      </c>
      <c r="B38" s="537" t="s">
        <v>93</v>
      </c>
      <c r="C38" s="537" t="s">
        <v>268</v>
      </c>
      <c r="D38" s="271" t="s">
        <v>660</v>
      </c>
      <c r="F38" s="266"/>
    </row>
    <row r="39" spans="1:6">
      <c r="A39" s="536" t="s">
        <v>94</v>
      </c>
      <c r="B39" s="537" t="s">
        <v>95</v>
      </c>
      <c r="C39" s="537" t="s">
        <v>264</v>
      </c>
      <c r="D39" s="271" t="s">
        <v>660</v>
      </c>
      <c r="F39" s="266"/>
    </row>
    <row r="40" spans="1:6">
      <c r="A40" s="536" t="s">
        <v>96</v>
      </c>
      <c r="B40" s="537" t="s">
        <v>97</v>
      </c>
      <c r="C40" s="537" t="s">
        <v>266</v>
      </c>
      <c r="D40" s="271" t="s">
        <v>660</v>
      </c>
      <c r="F40" s="266"/>
    </row>
    <row r="41" spans="1:6">
      <c r="A41" s="536" t="s">
        <v>98</v>
      </c>
      <c r="B41" s="537" t="s">
        <v>99</v>
      </c>
      <c r="C41" s="537" t="s">
        <v>268</v>
      </c>
      <c r="D41" s="271" t="s">
        <v>660</v>
      </c>
      <c r="F41" s="266"/>
    </row>
    <row r="42" spans="1:6">
      <c r="A42" s="536" t="s">
        <v>100</v>
      </c>
      <c r="B42" s="537" t="s">
        <v>101</v>
      </c>
      <c r="C42" s="537" t="s">
        <v>267</v>
      </c>
      <c r="D42" s="271" t="s">
        <v>660</v>
      </c>
      <c r="F42" s="266"/>
    </row>
    <row r="43" spans="1:6">
      <c r="A43" s="536" t="s">
        <v>102</v>
      </c>
      <c r="B43" s="537" t="s">
        <v>282</v>
      </c>
      <c r="C43" s="537" t="s">
        <v>264</v>
      </c>
      <c r="D43" s="271" t="s">
        <v>660</v>
      </c>
      <c r="F43" s="266"/>
    </row>
    <row r="44" spans="1:6">
      <c r="A44" s="536" t="s">
        <v>104</v>
      </c>
      <c r="B44" s="537" t="s">
        <v>105</v>
      </c>
      <c r="C44" s="537" t="s">
        <v>265</v>
      </c>
      <c r="D44" s="271" t="s">
        <v>660</v>
      </c>
      <c r="F44" s="266"/>
    </row>
    <row r="45" spans="1:6">
      <c r="A45" s="536" t="s">
        <v>108</v>
      </c>
      <c r="B45" s="537" t="s">
        <v>109</v>
      </c>
      <c r="C45" s="537" t="s">
        <v>266</v>
      </c>
      <c r="D45" s="271" t="s">
        <v>650</v>
      </c>
      <c r="E45" s="271" t="s">
        <v>1235</v>
      </c>
      <c r="F45" s="266"/>
    </row>
    <row r="46" spans="1:6">
      <c r="A46" s="536" t="s">
        <v>110</v>
      </c>
      <c r="B46" s="537" t="s">
        <v>111</v>
      </c>
      <c r="C46" s="537" t="s">
        <v>266</v>
      </c>
      <c r="D46" s="271" t="s">
        <v>660</v>
      </c>
      <c r="F46" s="266"/>
    </row>
    <row r="47" spans="1:6">
      <c r="A47" s="536" t="s">
        <v>112</v>
      </c>
      <c r="B47" s="537" t="s">
        <v>300</v>
      </c>
      <c r="C47" s="537" t="s">
        <v>265</v>
      </c>
      <c r="D47" s="271" t="s">
        <v>660</v>
      </c>
      <c r="F47" s="266"/>
    </row>
    <row r="48" spans="1:6">
      <c r="A48" s="536" t="s">
        <v>114</v>
      </c>
      <c r="B48" s="537" t="s">
        <v>115</v>
      </c>
      <c r="C48" s="537" t="s">
        <v>265</v>
      </c>
      <c r="D48" s="271" t="s">
        <v>660</v>
      </c>
      <c r="F48" s="266"/>
    </row>
    <row r="49" spans="1:6">
      <c r="A49" s="536" t="s">
        <v>118</v>
      </c>
      <c r="B49" s="537" t="s">
        <v>270</v>
      </c>
      <c r="C49" s="537" t="s">
        <v>264</v>
      </c>
      <c r="D49" s="271" t="s">
        <v>660</v>
      </c>
      <c r="F49" s="266"/>
    </row>
    <row r="50" spans="1:6">
      <c r="A50" s="536" t="s">
        <v>120</v>
      </c>
      <c r="B50" s="537" t="s">
        <v>121</v>
      </c>
      <c r="C50" s="537" t="s">
        <v>264</v>
      </c>
      <c r="D50" s="271" t="s">
        <v>650</v>
      </c>
      <c r="E50" s="271" t="s">
        <v>669</v>
      </c>
      <c r="F50" s="266"/>
    </row>
    <row r="51" spans="1:6">
      <c r="A51" s="536" t="s">
        <v>122</v>
      </c>
      <c r="B51" s="537" t="s">
        <v>287</v>
      </c>
      <c r="C51" s="537" t="s">
        <v>266</v>
      </c>
      <c r="D51" s="271" t="s">
        <v>650</v>
      </c>
      <c r="E51" s="271" t="s">
        <v>670</v>
      </c>
      <c r="F51" s="266"/>
    </row>
    <row r="52" spans="1:6">
      <c r="A52" s="536" t="s">
        <v>124</v>
      </c>
      <c r="B52" s="537" t="s">
        <v>125</v>
      </c>
      <c r="C52" s="537" t="s">
        <v>267</v>
      </c>
      <c r="D52" s="271" t="s">
        <v>660</v>
      </c>
      <c r="F52" s="266"/>
    </row>
    <row r="53" spans="1:6">
      <c r="A53" s="536" t="s">
        <v>126</v>
      </c>
      <c r="B53" s="537" t="s">
        <v>127</v>
      </c>
      <c r="C53" s="537" t="s">
        <v>266</v>
      </c>
      <c r="D53" s="271" t="s">
        <v>660</v>
      </c>
      <c r="F53" s="266"/>
    </row>
    <row r="54" spans="1:6">
      <c r="A54" s="536" t="s">
        <v>128</v>
      </c>
      <c r="B54" s="537" t="s">
        <v>129</v>
      </c>
      <c r="C54" s="537" t="s">
        <v>266</v>
      </c>
      <c r="D54" s="271" t="s">
        <v>660</v>
      </c>
      <c r="F54" s="266"/>
    </row>
    <row r="55" spans="1:6">
      <c r="A55" s="536" t="s">
        <v>130</v>
      </c>
      <c r="B55" s="537" t="s">
        <v>131</v>
      </c>
      <c r="C55" s="537" t="s">
        <v>268</v>
      </c>
      <c r="D55" s="271" t="s">
        <v>660</v>
      </c>
      <c r="F55" s="266"/>
    </row>
    <row r="56" spans="1:6">
      <c r="A56" s="536" t="s">
        <v>132</v>
      </c>
      <c r="B56" s="537" t="s">
        <v>133</v>
      </c>
      <c r="C56" s="537" t="s">
        <v>267</v>
      </c>
      <c r="D56" s="271" t="s">
        <v>650</v>
      </c>
      <c r="E56" s="271" t="s">
        <v>670</v>
      </c>
      <c r="F56" s="266"/>
    </row>
    <row r="57" spans="1:6">
      <c r="A57" s="536" t="s">
        <v>134</v>
      </c>
      <c r="B57" s="537" t="s">
        <v>135</v>
      </c>
      <c r="C57" s="537" t="s">
        <v>267</v>
      </c>
      <c r="D57" s="271" t="s">
        <v>650</v>
      </c>
      <c r="E57" s="271" t="s">
        <v>670</v>
      </c>
      <c r="F57" s="266"/>
    </row>
    <row r="58" spans="1:6">
      <c r="A58" s="536" t="s">
        <v>136</v>
      </c>
      <c r="B58" s="537" t="s">
        <v>137</v>
      </c>
      <c r="C58" s="537" t="s">
        <v>266</v>
      </c>
      <c r="D58" s="271" t="s">
        <v>650</v>
      </c>
      <c r="E58" s="271" t="s">
        <v>670</v>
      </c>
      <c r="F58" s="266"/>
    </row>
    <row r="59" spans="1:6">
      <c r="A59" s="536" t="s">
        <v>140</v>
      </c>
      <c r="B59" s="537" t="s">
        <v>141</v>
      </c>
      <c r="C59" s="537" t="s">
        <v>267</v>
      </c>
      <c r="D59" s="271" t="s">
        <v>660</v>
      </c>
      <c r="F59" s="266"/>
    </row>
    <row r="60" spans="1:6">
      <c r="A60" s="536" t="s">
        <v>146</v>
      </c>
      <c r="B60" s="537" t="s">
        <v>147</v>
      </c>
      <c r="C60" s="537" t="s">
        <v>264</v>
      </c>
      <c r="D60" s="271" t="s">
        <v>660</v>
      </c>
      <c r="F60" s="266"/>
    </row>
    <row r="61" spans="1:6">
      <c r="A61" s="536" t="s">
        <v>148</v>
      </c>
      <c r="B61" s="537" t="s">
        <v>149</v>
      </c>
      <c r="C61" s="537" t="s">
        <v>265</v>
      </c>
      <c r="D61" s="271" t="s">
        <v>660</v>
      </c>
      <c r="F61" s="266"/>
    </row>
    <row r="62" spans="1:6">
      <c r="A62" s="536" t="s">
        <v>150</v>
      </c>
      <c r="B62" s="537" t="s">
        <v>151</v>
      </c>
      <c r="C62" s="537" t="s">
        <v>266</v>
      </c>
      <c r="D62" s="271" t="s">
        <v>650</v>
      </c>
      <c r="E62" s="271" t="s">
        <v>670</v>
      </c>
      <c r="F62" s="266"/>
    </row>
    <row r="63" spans="1:6">
      <c r="A63" s="536" t="s">
        <v>152</v>
      </c>
      <c r="B63" s="537" t="s">
        <v>153</v>
      </c>
      <c r="C63" s="537" t="s">
        <v>268</v>
      </c>
      <c r="D63" s="271" t="s">
        <v>660</v>
      </c>
      <c r="F63" s="266"/>
    </row>
    <row r="64" spans="1:6">
      <c r="A64" s="536" t="s">
        <v>154</v>
      </c>
      <c r="B64" s="537" t="s">
        <v>155</v>
      </c>
      <c r="C64" s="537" t="s">
        <v>265</v>
      </c>
      <c r="D64" s="271" t="s">
        <v>660</v>
      </c>
      <c r="F64" s="266"/>
    </row>
    <row r="65" spans="1:6">
      <c r="A65" s="536" t="s">
        <v>156</v>
      </c>
      <c r="B65" s="537" t="s">
        <v>157</v>
      </c>
      <c r="C65" s="537" t="s">
        <v>266</v>
      </c>
      <c r="D65" s="271" t="s">
        <v>650</v>
      </c>
      <c r="E65" s="271" t="s">
        <v>670</v>
      </c>
      <c r="F65" s="266"/>
    </row>
    <row r="66" spans="1:6">
      <c r="A66" s="536" t="s">
        <v>162</v>
      </c>
      <c r="B66" s="537" t="s">
        <v>163</v>
      </c>
      <c r="C66" s="537" t="s">
        <v>264</v>
      </c>
      <c r="D66" s="271" t="s">
        <v>660</v>
      </c>
      <c r="F66" s="266"/>
    </row>
    <row r="67" spans="1:6">
      <c r="A67" s="536" t="s">
        <v>164</v>
      </c>
      <c r="B67" s="537" t="s">
        <v>165</v>
      </c>
      <c r="C67" s="537" t="s">
        <v>266</v>
      </c>
      <c r="D67" s="271" t="s">
        <v>660</v>
      </c>
      <c r="F67" s="266"/>
    </row>
    <row r="68" spans="1:6">
      <c r="A68" s="536" t="s">
        <v>168</v>
      </c>
      <c r="B68" s="537" t="s">
        <v>169</v>
      </c>
      <c r="C68" s="537" t="s">
        <v>266</v>
      </c>
      <c r="D68" s="271" t="s">
        <v>660</v>
      </c>
      <c r="F68" s="266"/>
    </row>
    <row r="69" spans="1:6">
      <c r="A69" s="536" t="s">
        <v>170</v>
      </c>
      <c r="B69" s="537" t="s">
        <v>171</v>
      </c>
      <c r="C69" s="537" t="s">
        <v>267</v>
      </c>
      <c r="D69" s="271" t="s">
        <v>660</v>
      </c>
      <c r="F69" s="266"/>
    </row>
    <row r="70" spans="1:6">
      <c r="A70" s="536" t="s">
        <v>172</v>
      </c>
      <c r="B70" s="537" t="s">
        <v>173</v>
      </c>
      <c r="C70" s="537" t="s">
        <v>267</v>
      </c>
      <c r="D70" s="271" t="s">
        <v>660</v>
      </c>
      <c r="F70" s="266"/>
    </row>
    <row r="71" spans="1:6">
      <c r="A71" s="536" t="s">
        <v>174</v>
      </c>
      <c r="B71" s="537" t="s">
        <v>175</v>
      </c>
      <c r="C71" s="537" t="s">
        <v>268</v>
      </c>
      <c r="D71" s="271" t="s">
        <v>660</v>
      </c>
      <c r="F71" s="266"/>
    </row>
    <row r="72" spans="1:6">
      <c r="A72" s="536" t="s">
        <v>178</v>
      </c>
      <c r="B72" s="537" t="s">
        <v>179</v>
      </c>
      <c r="C72" s="537" t="s">
        <v>265</v>
      </c>
      <c r="D72" s="271" t="s">
        <v>660</v>
      </c>
      <c r="F72" s="266"/>
    </row>
    <row r="73" spans="1:6">
      <c r="A73" s="536" t="s">
        <v>182</v>
      </c>
      <c r="B73" s="537" t="s">
        <v>183</v>
      </c>
      <c r="C73" s="537" t="s">
        <v>266</v>
      </c>
      <c r="D73" s="271" t="s">
        <v>660</v>
      </c>
      <c r="F73" s="266"/>
    </row>
    <row r="74" spans="1:6">
      <c r="A74" s="536" t="s">
        <v>184</v>
      </c>
      <c r="B74" s="537" t="s">
        <v>185</v>
      </c>
      <c r="C74" s="537" t="s">
        <v>266</v>
      </c>
      <c r="D74" s="271" t="s">
        <v>660</v>
      </c>
      <c r="F74" s="266"/>
    </row>
    <row r="75" spans="1:6">
      <c r="A75" s="536" t="s">
        <v>186</v>
      </c>
      <c r="B75" s="537" t="s">
        <v>187</v>
      </c>
      <c r="C75" s="537" t="s">
        <v>264</v>
      </c>
      <c r="D75" s="271" t="s">
        <v>650</v>
      </c>
      <c r="E75" s="271" t="s">
        <v>670</v>
      </c>
      <c r="F75" s="266"/>
    </row>
    <row r="76" spans="1:6">
      <c r="A76" s="536" t="s">
        <v>188</v>
      </c>
      <c r="B76" s="537" t="s">
        <v>189</v>
      </c>
      <c r="C76" s="537" t="s">
        <v>267</v>
      </c>
      <c r="D76" s="271" t="s">
        <v>650</v>
      </c>
      <c r="E76" s="271" t="s">
        <v>1236</v>
      </c>
      <c r="F76" s="266"/>
    </row>
    <row r="77" spans="1:6">
      <c r="A77" s="536" t="s">
        <v>190</v>
      </c>
      <c r="B77" s="537" t="s">
        <v>191</v>
      </c>
      <c r="C77" s="537" t="s">
        <v>268</v>
      </c>
      <c r="D77" s="271" t="s">
        <v>660</v>
      </c>
      <c r="F77" s="266"/>
    </row>
    <row r="78" spans="1:6">
      <c r="A78" s="536" t="s">
        <v>194</v>
      </c>
      <c r="B78" s="537" t="s">
        <v>195</v>
      </c>
      <c r="C78" s="537" t="s">
        <v>267</v>
      </c>
      <c r="D78" s="271" t="s">
        <v>660</v>
      </c>
      <c r="F78" s="266"/>
    </row>
    <row r="79" spans="1:6">
      <c r="A79" s="536" t="s">
        <v>198</v>
      </c>
      <c r="B79" s="537" t="s">
        <v>272</v>
      </c>
      <c r="C79" s="537" t="s">
        <v>266</v>
      </c>
      <c r="D79" s="271" t="s">
        <v>660</v>
      </c>
      <c r="F79" s="266"/>
    </row>
    <row r="80" spans="1:6">
      <c r="A80" s="536" t="s">
        <v>202</v>
      </c>
      <c r="B80" s="537" t="s">
        <v>620</v>
      </c>
      <c r="C80" s="537" t="s">
        <v>265</v>
      </c>
      <c r="D80" s="271" t="s">
        <v>650</v>
      </c>
      <c r="E80" s="271" t="s">
        <v>669</v>
      </c>
      <c r="F80" s="266"/>
    </row>
    <row r="81" spans="1:6">
      <c r="A81" s="536" t="s">
        <v>204</v>
      </c>
      <c r="B81" s="537" t="s">
        <v>293</v>
      </c>
      <c r="C81" s="537" t="s">
        <v>265</v>
      </c>
      <c r="D81" s="271" t="s">
        <v>660</v>
      </c>
      <c r="F81" s="266"/>
    </row>
    <row r="82" spans="1:6">
      <c r="A82" s="536" t="s">
        <v>206</v>
      </c>
      <c r="B82" s="537" t="s">
        <v>294</v>
      </c>
      <c r="C82" s="537" t="s">
        <v>267</v>
      </c>
      <c r="D82" s="271" t="s">
        <v>650</v>
      </c>
      <c r="E82" s="271" t="s">
        <v>714</v>
      </c>
      <c r="F82" s="266"/>
    </row>
    <row r="83" spans="1:6">
      <c r="A83" s="536" t="s">
        <v>208</v>
      </c>
      <c r="B83" s="537" t="s">
        <v>209</v>
      </c>
      <c r="C83" s="537" t="s">
        <v>268</v>
      </c>
      <c r="D83" s="271" t="s">
        <v>660</v>
      </c>
      <c r="F83" s="266"/>
    </row>
    <row r="84" spans="1:6">
      <c r="A84" s="536" t="s">
        <v>210</v>
      </c>
      <c r="B84" s="537" t="s">
        <v>211</v>
      </c>
      <c r="C84" s="537" t="s">
        <v>268</v>
      </c>
      <c r="D84" s="271" t="s">
        <v>660</v>
      </c>
      <c r="F84" s="266"/>
    </row>
    <row r="85" spans="1:6">
      <c r="A85" s="536" t="s">
        <v>212</v>
      </c>
      <c r="B85" s="537" t="s">
        <v>522</v>
      </c>
      <c r="C85" s="537" t="s">
        <v>267</v>
      </c>
      <c r="D85" s="271" t="s">
        <v>660</v>
      </c>
      <c r="F85" s="266"/>
    </row>
    <row r="86" spans="1:6">
      <c r="A86" s="536" t="s">
        <v>214</v>
      </c>
      <c r="B86" s="537" t="s">
        <v>215</v>
      </c>
      <c r="C86" s="537" t="s">
        <v>268</v>
      </c>
      <c r="D86" s="271" t="s">
        <v>660</v>
      </c>
      <c r="F86" s="266"/>
    </row>
    <row r="87" spans="1:6">
      <c r="A87" s="536" t="s">
        <v>216</v>
      </c>
      <c r="B87" s="537" t="s">
        <v>217</v>
      </c>
      <c r="C87" s="537" t="s">
        <v>264</v>
      </c>
      <c r="D87" s="271" t="s">
        <v>660</v>
      </c>
      <c r="F87" s="266"/>
    </row>
    <row r="88" spans="1:6">
      <c r="A88" s="536" t="s">
        <v>218</v>
      </c>
      <c r="B88" s="537" t="s">
        <v>219</v>
      </c>
      <c r="C88" s="537" t="s">
        <v>267</v>
      </c>
      <c r="D88" s="271" t="s">
        <v>650</v>
      </c>
      <c r="E88" s="271" t="s">
        <v>670</v>
      </c>
      <c r="F88" s="266"/>
    </row>
    <row r="89" spans="1:6">
      <c r="A89" s="536" t="s">
        <v>220</v>
      </c>
      <c r="B89" s="537" t="s">
        <v>221</v>
      </c>
      <c r="C89" s="537" t="s">
        <v>267</v>
      </c>
      <c r="D89" s="271" t="s">
        <v>660</v>
      </c>
      <c r="F89" s="266"/>
    </row>
    <row r="90" spans="1:6">
      <c r="A90" s="536" t="s">
        <v>224</v>
      </c>
      <c r="B90" s="537" t="s">
        <v>225</v>
      </c>
      <c r="C90" s="537" t="s">
        <v>264</v>
      </c>
      <c r="D90" s="271" t="s">
        <v>660</v>
      </c>
      <c r="F90" s="266"/>
    </row>
    <row r="91" spans="1:6">
      <c r="A91" s="536" t="s">
        <v>226</v>
      </c>
      <c r="B91" s="537" t="s">
        <v>227</v>
      </c>
      <c r="C91" s="537" t="s">
        <v>264</v>
      </c>
      <c r="D91" s="271" t="s">
        <v>660</v>
      </c>
      <c r="F91" s="266"/>
    </row>
    <row r="92" spans="1:6">
      <c r="A92" s="536" t="s">
        <v>228</v>
      </c>
      <c r="B92" s="537" t="s">
        <v>229</v>
      </c>
      <c r="C92" s="537" t="s">
        <v>268</v>
      </c>
      <c r="D92" s="271" t="s">
        <v>660</v>
      </c>
      <c r="F92" s="266"/>
    </row>
    <row r="93" spans="1:6">
      <c r="A93" s="536" t="s">
        <v>232</v>
      </c>
      <c r="B93" s="537" t="s">
        <v>233</v>
      </c>
      <c r="C93" s="537" t="s">
        <v>267</v>
      </c>
      <c r="D93" s="271" t="s">
        <v>650</v>
      </c>
      <c r="E93" s="271" t="s">
        <v>670</v>
      </c>
      <c r="F93" s="266"/>
    </row>
    <row r="94" spans="1:6">
      <c r="A94" s="536" t="s">
        <v>234</v>
      </c>
      <c r="B94" s="537" t="s">
        <v>235</v>
      </c>
      <c r="C94" s="537" t="s">
        <v>268</v>
      </c>
      <c r="D94" s="271" t="s">
        <v>660</v>
      </c>
      <c r="F94" s="266"/>
    </row>
    <row r="95" spans="1:6">
      <c r="A95" s="536" t="s">
        <v>236</v>
      </c>
      <c r="B95" s="537" t="s">
        <v>237</v>
      </c>
      <c r="C95" s="537" t="s">
        <v>266</v>
      </c>
      <c r="D95" s="271" t="s">
        <v>660</v>
      </c>
      <c r="F95" s="266"/>
    </row>
    <row r="96" spans="1:6">
      <c r="A96" s="536" t="s">
        <v>242</v>
      </c>
      <c r="B96" s="537" t="s">
        <v>243</v>
      </c>
      <c r="C96" s="537" t="s">
        <v>268</v>
      </c>
      <c r="D96" s="271" t="s">
        <v>660</v>
      </c>
      <c r="F96" s="266"/>
    </row>
    <row r="97" spans="1:6">
      <c r="A97" s="536" t="s">
        <v>244</v>
      </c>
      <c r="B97" s="537" t="s">
        <v>245</v>
      </c>
      <c r="C97" s="537" t="s">
        <v>268</v>
      </c>
      <c r="D97" s="271" t="s">
        <v>660</v>
      </c>
      <c r="F97" s="266"/>
    </row>
    <row r="98" spans="1:6">
      <c r="A98" s="536" t="s">
        <v>246</v>
      </c>
      <c r="B98" s="537" t="s">
        <v>247</v>
      </c>
      <c r="C98" s="537" t="s">
        <v>264</v>
      </c>
      <c r="D98" s="271" t="s">
        <v>660</v>
      </c>
      <c r="F98" s="266"/>
    </row>
    <row r="99" spans="1:6">
      <c r="A99" s="536" t="s">
        <v>14</v>
      </c>
      <c r="B99" s="537" t="s">
        <v>15</v>
      </c>
      <c r="C99" s="537" t="s">
        <v>267</v>
      </c>
      <c r="D99" s="271" t="s">
        <v>650</v>
      </c>
      <c r="E99" s="271" t="s">
        <v>1237</v>
      </c>
      <c r="F99" s="266"/>
    </row>
    <row r="100" spans="1:6">
      <c r="A100" s="536" t="s">
        <v>34</v>
      </c>
      <c r="B100" s="537" t="s">
        <v>35</v>
      </c>
      <c r="C100" s="537" t="s">
        <v>268</v>
      </c>
      <c r="D100" s="271" t="s">
        <v>660</v>
      </c>
      <c r="F100" s="266"/>
    </row>
    <row r="101" spans="1:6">
      <c r="A101" s="536" t="s">
        <v>52</v>
      </c>
      <c r="B101" s="537" t="s">
        <v>53</v>
      </c>
      <c r="C101" s="537" t="s">
        <v>265</v>
      </c>
      <c r="D101" s="271" t="s">
        <v>650</v>
      </c>
      <c r="E101" s="271" t="s">
        <v>669</v>
      </c>
      <c r="F101" s="266"/>
    </row>
    <row r="102" spans="1:6">
      <c r="A102" s="536" t="s">
        <v>54</v>
      </c>
      <c r="B102" s="537" t="s">
        <v>55</v>
      </c>
      <c r="C102" s="537" t="s">
        <v>264</v>
      </c>
      <c r="D102" s="271" t="s">
        <v>650</v>
      </c>
      <c r="E102" s="271" t="s">
        <v>1237</v>
      </c>
      <c r="F102" s="266"/>
    </row>
    <row r="103" spans="1:6">
      <c r="A103" s="536" t="s">
        <v>66</v>
      </c>
      <c r="B103" s="537" t="s">
        <v>67</v>
      </c>
      <c r="C103" s="537" t="s">
        <v>265</v>
      </c>
      <c r="D103" s="271" t="s">
        <v>650</v>
      </c>
      <c r="E103" s="271" t="s">
        <v>669</v>
      </c>
      <c r="F103" s="266"/>
    </row>
    <row r="104" spans="1:6">
      <c r="A104" s="536" t="s">
        <v>82</v>
      </c>
      <c r="B104" s="537" t="s">
        <v>83</v>
      </c>
      <c r="C104" s="537" t="s">
        <v>264</v>
      </c>
      <c r="D104" s="271" t="s">
        <v>650</v>
      </c>
      <c r="E104" s="271" t="s">
        <v>1237</v>
      </c>
      <c r="F104" s="266"/>
    </row>
    <row r="105" spans="1:6">
      <c r="A105" s="536" t="s">
        <v>88</v>
      </c>
      <c r="B105" s="537" t="s">
        <v>89</v>
      </c>
      <c r="C105" s="537" t="s">
        <v>267</v>
      </c>
      <c r="D105" s="271" t="s">
        <v>660</v>
      </c>
      <c r="F105" s="266"/>
    </row>
    <row r="106" spans="1:6">
      <c r="A106" s="536" t="s">
        <v>90</v>
      </c>
      <c r="B106" s="537" t="s">
        <v>91</v>
      </c>
      <c r="C106" s="537" t="s">
        <v>268</v>
      </c>
      <c r="D106" s="271" t="s">
        <v>650</v>
      </c>
      <c r="E106" s="271" t="s">
        <v>1237</v>
      </c>
      <c r="F106" s="266"/>
    </row>
    <row r="107" spans="1:6">
      <c r="A107" s="536" t="s">
        <v>106</v>
      </c>
      <c r="B107" s="537" t="s">
        <v>107</v>
      </c>
      <c r="C107" s="537" t="s">
        <v>264</v>
      </c>
      <c r="D107" s="271" t="s">
        <v>650</v>
      </c>
      <c r="E107" s="271" t="s">
        <v>669</v>
      </c>
      <c r="F107" s="266"/>
    </row>
    <row r="108" spans="1:6">
      <c r="A108" s="536" t="s">
        <v>116</v>
      </c>
      <c r="B108" s="537" t="s">
        <v>117</v>
      </c>
      <c r="C108" s="537" t="s">
        <v>266</v>
      </c>
      <c r="D108" s="271" t="s">
        <v>650</v>
      </c>
      <c r="E108" s="271" t="s">
        <v>1237</v>
      </c>
      <c r="F108" s="266"/>
    </row>
    <row r="109" spans="1:6">
      <c r="A109" s="536" t="s">
        <v>138</v>
      </c>
      <c r="B109" s="537" t="s">
        <v>139</v>
      </c>
      <c r="C109" s="537" t="s">
        <v>265</v>
      </c>
      <c r="D109" s="271" t="s">
        <v>650</v>
      </c>
      <c r="E109" s="271" t="s">
        <v>669</v>
      </c>
      <c r="F109" s="266"/>
    </row>
    <row r="110" spans="1:6">
      <c r="A110" s="536" t="s">
        <v>142</v>
      </c>
      <c r="B110" s="537" t="s">
        <v>143</v>
      </c>
      <c r="C110" s="537" t="s">
        <v>267</v>
      </c>
      <c r="D110" s="271" t="s">
        <v>650</v>
      </c>
      <c r="E110" s="271" t="s">
        <v>1237</v>
      </c>
      <c r="F110" s="266"/>
    </row>
    <row r="111" spans="1:6">
      <c r="A111" s="536" t="s">
        <v>144</v>
      </c>
      <c r="B111" s="537" t="s">
        <v>145</v>
      </c>
      <c r="C111" s="537" t="s">
        <v>267</v>
      </c>
      <c r="D111" s="271" t="s">
        <v>650</v>
      </c>
      <c r="E111" s="271" t="s">
        <v>1237</v>
      </c>
      <c r="F111" s="266"/>
    </row>
    <row r="112" spans="1:6">
      <c r="A112" s="536" t="s">
        <v>158</v>
      </c>
      <c r="B112" s="537" t="s">
        <v>159</v>
      </c>
      <c r="C112" s="537" t="s">
        <v>264</v>
      </c>
      <c r="D112" s="271" t="s">
        <v>650</v>
      </c>
      <c r="E112" s="271" t="s">
        <v>669</v>
      </c>
      <c r="F112" s="266"/>
    </row>
    <row r="113" spans="1:6">
      <c r="A113" s="536" t="s">
        <v>160</v>
      </c>
      <c r="B113" s="537" t="s">
        <v>161</v>
      </c>
      <c r="C113" s="537" t="s">
        <v>264</v>
      </c>
      <c r="D113" s="271" t="s">
        <v>650</v>
      </c>
      <c r="E113" s="271" t="s">
        <v>669</v>
      </c>
      <c r="F113" s="266"/>
    </row>
    <row r="114" spans="1:6">
      <c r="A114" s="536" t="s">
        <v>166</v>
      </c>
      <c r="B114" s="537" t="s">
        <v>167</v>
      </c>
      <c r="C114" s="537" t="s">
        <v>268</v>
      </c>
      <c r="D114" s="271" t="s">
        <v>650</v>
      </c>
      <c r="E114" s="271" t="s">
        <v>1237</v>
      </c>
      <c r="F114" s="266"/>
    </row>
    <row r="115" spans="1:6">
      <c r="A115" s="536" t="s">
        <v>176</v>
      </c>
      <c r="B115" s="537" t="s">
        <v>177</v>
      </c>
      <c r="C115" s="537" t="s">
        <v>266</v>
      </c>
      <c r="D115" s="271" t="s">
        <v>650</v>
      </c>
      <c r="E115" s="271" t="s">
        <v>1237</v>
      </c>
      <c r="F115" s="266"/>
    </row>
    <row r="116" spans="1:6">
      <c r="A116" s="536" t="s">
        <v>180</v>
      </c>
      <c r="B116" s="537" t="s">
        <v>181</v>
      </c>
      <c r="C116" s="537" t="s">
        <v>264</v>
      </c>
      <c r="D116" s="271" t="s">
        <v>650</v>
      </c>
      <c r="E116" s="271" t="s">
        <v>669</v>
      </c>
      <c r="F116" s="266"/>
    </row>
    <row r="117" spans="1:6">
      <c r="A117" s="536" t="s">
        <v>192</v>
      </c>
      <c r="B117" s="537" t="s">
        <v>193</v>
      </c>
      <c r="C117" s="537" t="s">
        <v>268</v>
      </c>
      <c r="D117" s="271" t="s">
        <v>660</v>
      </c>
      <c r="F117" s="266"/>
    </row>
    <row r="118" spans="1:6">
      <c r="A118" s="536" t="s">
        <v>196</v>
      </c>
      <c r="B118" s="537" t="s">
        <v>197</v>
      </c>
      <c r="C118" s="537" t="s">
        <v>266</v>
      </c>
      <c r="D118" s="271" t="s">
        <v>650</v>
      </c>
      <c r="E118" s="271" t="s">
        <v>1238</v>
      </c>
      <c r="F118" s="266"/>
    </row>
    <row r="119" spans="1:6">
      <c r="A119" s="536" t="s">
        <v>200</v>
      </c>
      <c r="B119" s="537" t="s">
        <v>201</v>
      </c>
      <c r="C119" s="537" t="s">
        <v>265</v>
      </c>
      <c r="D119" s="271" t="s">
        <v>650</v>
      </c>
      <c r="E119" s="271" t="s">
        <v>669</v>
      </c>
      <c r="F119" s="266"/>
    </row>
    <row r="120" spans="1:6">
      <c r="A120" s="536" t="s">
        <v>222</v>
      </c>
      <c r="B120" s="537" t="s">
        <v>223</v>
      </c>
      <c r="C120" s="537" t="s">
        <v>264</v>
      </c>
      <c r="D120" s="271" t="s">
        <v>650</v>
      </c>
      <c r="E120" s="271" t="s">
        <v>669</v>
      </c>
      <c r="F120" s="266"/>
    </row>
    <row r="121" spans="1:6">
      <c r="A121" s="536" t="s">
        <v>230</v>
      </c>
      <c r="B121" s="537" t="s">
        <v>231</v>
      </c>
      <c r="C121" s="537" t="s">
        <v>264</v>
      </c>
      <c r="D121" s="271" t="s">
        <v>650</v>
      </c>
      <c r="E121" s="271" t="s">
        <v>669</v>
      </c>
      <c r="F121" s="266"/>
    </row>
    <row r="122" spans="1:6">
      <c r="A122" s="536" t="s">
        <v>238</v>
      </c>
      <c r="B122" s="537" t="s">
        <v>239</v>
      </c>
      <c r="C122" s="537" t="s">
        <v>264</v>
      </c>
      <c r="D122" s="271" t="s">
        <v>650</v>
      </c>
      <c r="E122" s="271" t="s">
        <v>669</v>
      </c>
      <c r="F122" s="266"/>
    </row>
    <row r="123" spans="1:6">
      <c r="A123" s="536" t="s">
        <v>240</v>
      </c>
      <c r="B123" s="537" t="s">
        <v>241</v>
      </c>
      <c r="C123" s="537" t="s">
        <v>267</v>
      </c>
      <c r="D123" s="271" t="s">
        <v>650</v>
      </c>
      <c r="E123" s="271" t="s">
        <v>1237</v>
      </c>
      <c r="F123" s="266"/>
    </row>
    <row r="125" spans="1:6">
      <c r="C125" s="539" t="s">
        <v>681</v>
      </c>
      <c r="D125" s="271">
        <f>COUNTIF(D4:D123,"Administrative")</f>
        <v>79</v>
      </c>
    </row>
    <row r="126" spans="1:6">
      <c r="C126" s="539" t="s">
        <v>652</v>
      </c>
      <c r="D126" s="271">
        <f>COUNTIF(D3:D123,"Advisory")</f>
        <v>41</v>
      </c>
    </row>
    <row r="127" spans="1:6">
      <c r="C127" s="539"/>
    </row>
    <row r="128" spans="1:6">
      <c r="A128" s="540" t="s">
        <v>680</v>
      </c>
      <c r="C128" s="541"/>
    </row>
    <row r="130" spans="1:2">
      <c r="A130" s="540" t="s">
        <v>818</v>
      </c>
    </row>
    <row r="132" spans="1:2" s="428" customFormat="1">
      <c r="A132" s="428" t="s">
        <v>248</v>
      </c>
    </row>
    <row r="133" spans="1:2" s="428" customFormat="1">
      <c r="A133" s="429" t="s">
        <v>249</v>
      </c>
      <c r="B133" s="430" t="s">
        <v>250</v>
      </c>
    </row>
  </sheetData>
  <autoFilter ref="A3:D3"/>
  <dataValidations count="1">
    <dataValidation type="list" allowBlank="1" showInputMessage="1" showErrorMessage="1" sqref="E4:F123">
      <formula1>$H$201:$H$205</formula1>
    </dataValidation>
  </dataValidations>
  <hyperlinks>
    <hyperlink ref="B133" r:id="rId1"/>
  </hyperlinks>
  <pageMargins left="0.7" right="0.7" top="0.75" bottom="0.75" header="0.3" footer="0.3"/>
  <pageSetup orientation="portrait" r:id="rId2"/>
</worksheet>
</file>

<file path=xl/worksheets/sheet60.xml><?xml version="1.0" encoding="utf-8"?>
<worksheet xmlns="http://schemas.openxmlformats.org/spreadsheetml/2006/main" xmlns:r="http://schemas.openxmlformats.org/officeDocument/2006/relationships">
  <dimension ref="A1:V137"/>
  <sheetViews>
    <sheetView topLeftCell="A102" workbookViewId="0">
      <selection activeCell="A128" sqref="A128:IV133"/>
    </sheetView>
  </sheetViews>
  <sheetFormatPr defaultColWidth="9.125" defaultRowHeight="12.75"/>
  <cols>
    <col min="1" max="1" width="8.5" style="96" customWidth="1"/>
    <col min="2" max="2" width="26.375" style="97" customWidth="1"/>
    <col min="3" max="3" width="9.25" style="97" customWidth="1"/>
    <col min="4" max="5" width="9.75" style="97" customWidth="1"/>
    <col min="6" max="6" width="1.75" style="97" customWidth="1"/>
    <col min="7" max="7" width="9.875" style="97" bestFit="1" customWidth="1"/>
    <col min="8" max="8" width="9.625" style="97" customWidth="1"/>
    <col min="9" max="9" width="1.5" style="97" customWidth="1"/>
    <col min="10" max="10" width="9.875" style="97" bestFit="1" customWidth="1"/>
    <col min="11" max="11" width="9" style="97" bestFit="1" customWidth="1"/>
    <col min="12" max="12" width="1.125" style="97" customWidth="1"/>
    <col min="13" max="13" width="9.875" style="97" bestFit="1" customWidth="1"/>
    <col min="14" max="14" width="9" style="97" bestFit="1" customWidth="1"/>
    <col min="15" max="15" width="1.5" style="97" customWidth="1"/>
    <col min="16" max="16" width="11" style="117" customWidth="1"/>
    <col min="17" max="18" width="9.25" style="95" customWidth="1"/>
    <col min="19" max="19" width="11.125" style="95" bestFit="1" customWidth="1"/>
    <col min="20" max="16384" width="9.125" style="96"/>
  </cols>
  <sheetData>
    <row r="1" spans="1:22" ht="17.25" customHeight="1">
      <c r="A1" s="1965" t="s">
        <v>631</v>
      </c>
      <c r="B1" s="1965"/>
      <c r="C1" s="1965"/>
      <c r="D1" s="1965"/>
      <c r="E1" s="1965"/>
      <c r="F1" s="1965"/>
      <c r="G1" s="1965"/>
      <c r="H1" s="1965"/>
      <c r="I1" s="1965"/>
      <c r="J1" s="1965"/>
      <c r="K1" s="1965"/>
      <c r="L1" s="194"/>
      <c r="M1" s="194"/>
      <c r="N1" s="194"/>
      <c r="O1" s="194"/>
      <c r="P1" s="180"/>
      <c r="Q1" s="180"/>
      <c r="R1" s="180"/>
    </row>
    <row r="2" spans="1:22" ht="17.25" customHeight="1">
      <c r="A2" s="320"/>
      <c r="B2" s="320"/>
      <c r="C2" s="320"/>
      <c r="D2" s="320"/>
      <c r="E2" s="320"/>
      <c r="F2" s="320"/>
      <c r="G2" s="320"/>
      <c r="H2" s="320"/>
      <c r="I2" s="320"/>
      <c r="J2" s="320"/>
      <c r="K2" s="320"/>
      <c r="L2" s="194"/>
      <c r="M2" s="194"/>
      <c r="N2" s="194"/>
      <c r="O2" s="194"/>
      <c r="P2" s="180"/>
      <c r="Q2" s="180"/>
      <c r="R2" s="180"/>
    </row>
    <row r="3" spans="1:22" ht="17.25" customHeight="1">
      <c r="A3" s="195"/>
      <c r="B3" s="195"/>
      <c r="C3" s="195"/>
      <c r="D3" s="182"/>
      <c r="E3" s="182"/>
      <c r="F3" s="195"/>
      <c r="G3" s="182"/>
      <c r="H3" s="182"/>
      <c r="I3" s="195"/>
      <c r="J3" s="182"/>
      <c r="K3" s="182"/>
      <c r="L3" s="194"/>
      <c r="M3" s="94"/>
      <c r="N3" s="94"/>
      <c r="O3" s="194"/>
      <c r="P3" s="180"/>
      <c r="Q3" s="180"/>
      <c r="R3" s="180"/>
    </row>
    <row r="4" spans="1:22" ht="25.5" customHeight="1">
      <c r="D4" s="1962" t="s">
        <v>632</v>
      </c>
      <c r="E4" s="1962"/>
      <c r="F4" s="180"/>
      <c r="G4" s="1962" t="s">
        <v>2</v>
      </c>
      <c r="H4" s="1962"/>
      <c r="I4" s="180"/>
      <c r="J4" s="1962" t="s">
        <v>633</v>
      </c>
      <c r="K4" s="1962"/>
      <c r="L4" s="98"/>
      <c r="M4" s="1962" t="s">
        <v>634</v>
      </c>
      <c r="N4" s="1962"/>
      <c r="O4" s="180"/>
      <c r="P4" s="1962" t="s">
        <v>635</v>
      </c>
      <c r="Q4" s="1962"/>
      <c r="R4" s="1962"/>
      <c r="S4" s="1962"/>
    </row>
    <row r="5" spans="1:22" ht="38.25">
      <c r="A5" s="99" t="s">
        <v>4</v>
      </c>
      <c r="B5" s="100" t="s">
        <v>5</v>
      </c>
      <c r="C5" s="100" t="s">
        <v>251</v>
      </c>
      <c r="D5" s="209" t="s">
        <v>636</v>
      </c>
      <c r="E5" s="209" t="s">
        <v>281</v>
      </c>
      <c r="F5" s="98"/>
      <c r="G5" s="209" t="s">
        <v>636</v>
      </c>
      <c r="H5" s="209" t="s">
        <v>281</v>
      </c>
      <c r="I5" s="98"/>
      <c r="J5" s="209" t="s">
        <v>636</v>
      </c>
      <c r="K5" s="209" t="s">
        <v>281</v>
      </c>
      <c r="L5" s="98"/>
      <c r="M5" s="209" t="s">
        <v>636</v>
      </c>
      <c r="N5" s="209" t="s">
        <v>281</v>
      </c>
      <c r="O5" s="98"/>
      <c r="P5" s="201" t="s">
        <v>632</v>
      </c>
      <c r="Q5" s="201" t="s">
        <v>2</v>
      </c>
      <c r="R5" s="201" t="s">
        <v>3</v>
      </c>
      <c r="S5" s="201" t="s">
        <v>634</v>
      </c>
    </row>
    <row r="6" spans="1:22">
      <c r="A6" s="196" t="s">
        <v>8</v>
      </c>
      <c r="B6" s="197" t="s">
        <v>9</v>
      </c>
      <c r="C6" s="197"/>
      <c r="D6" s="213">
        <v>444292</v>
      </c>
      <c r="E6" s="214">
        <v>1635360</v>
      </c>
      <c r="F6" s="198"/>
      <c r="G6" s="210">
        <v>203435</v>
      </c>
      <c r="H6" s="210">
        <v>1044656</v>
      </c>
      <c r="I6" s="200"/>
      <c r="J6" s="210">
        <v>178609</v>
      </c>
      <c r="K6" s="210">
        <v>322077</v>
      </c>
      <c r="L6" s="200"/>
      <c r="M6" s="210">
        <v>49259</v>
      </c>
      <c r="N6" s="210">
        <v>173510</v>
      </c>
      <c r="O6" s="199"/>
      <c r="P6" s="202">
        <f>(D6/E6)*100</f>
        <v>27.167840720086094</v>
      </c>
      <c r="Q6" s="202">
        <f>(G6/H6)*100</f>
        <v>19.473874653474446</v>
      </c>
      <c r="R6" s="202">
        <f>(J6/K6)*100</f>
        <v>55.455372473042161</v>
      </c>
      <c r="S6" s="202">
        <f>IF(N6&lt;1,"NA", ((M6/N6)*100))</f>
        <v>28.389718171863294</v>
      </c>
    </row>
    <row r="7" spans="1:22">
      <c r="A7" s="101" t="s">
        <v>10</v>
      </c>
      <c r="B7" s="102" t="s">
        <v>11</v>
      </c>
      <c r="C7" s="103" t="s">
        <v>264</v>
      </c>
      <c r="D7" s="215">
        <v>2089</v>
      </c>
      <c r="E7" s="216">
        <v>5645</v>
      </c>
      <c r="F7" s="104"/>
      <c r="G7" s="211">
        <v>869</v>
      </c>
      <c r="H7" s="211">
        <v>3396</v>
      </c>
      <c r="I7" s="106"/>
      <c r="J7" s="211">
        <v>1026</v>
      </c>
      <c r="K7" s="211">
        <v>1557</v>
      </c>
      <c r="L7" s="107"/>
      <c r="M7" s="211">
        <v>245</v>
      </c>
      <c r="N7" s="211">
        <v>921</v>
      </c>
      <c r="O7" s="105"/>
      <c r="P7" s="203">
        <f t="shared" ref="P7:P70" si="0">(D7/E7)*100</f>
        <v>37.006200177147917</v>
      </c>
      <c r="Q7" s="204">
        <f t="shared" ref="Q7:Q70" si="1">(G7/H7)*100</f>
        <v>25.588928150765604</v>
      </c>
      <c r="R7" s="204">
        <f t="shared" ref="R7:R70" si="2">(J7/K7)*100</f>
        <v>65.895953757225428</v>
      </c>
      <c r="S7" s="203">
        <f t="shared" ref="S7:S70" si="3">IF(N7&lt;1,"NA", ((M7/N7)*100))</f>
        <v>26.601520086862106</v>
      </c>
      <c r="T7" s="108"/>
      <c r="U7" s="109"/>
      <c r="V7" s="109"/>
    </row>
    <row r="8" spans="1:22">
      <c r="A8" s="101" t="s">
        <v>12</v>
      </c>
      <c r="B8" s="102" t="s">
        <v>13</v>
      </c>
      <c r="C8" s="103" t="s">
        <v>265</v>
      </c>
      <c r="D8" s="215">
        <v>4442</v>
      </c>
      <c r="E8" s="216">
        <v>19580</v>
      </c>
      <c r="F8" s="104"/>
      <c r="G8" s="211">
        <v>2663</v>
      </c>
      <c r="H8" s="211">
        <v>15250</v>
      </c>
      <c r="I8" s="107"/>
      <c r="J8" s="211">
        <v>1081</v>
      </c>
      <c r="K8" s="211">
        <v>1788</v>
      </c>
      <c r="L8" s="107"/>
      <c r="M8" s="211">
        <v>461</v>
      </c>
      <c r="N8" s="211">
        <v>1462</v>
      </c>
      <c r="O8" s="105"/>
      <c r="P8" s="203">
        <f t="shared" si="0"/>
        <v>22.68641470888662</v>
      </c>
      <c r="Q8" s="204">
        <f t="shared" si="1"/>
        <v>17.462295081967213</v>
      </c>
      <c r="R8" s="204">
        <f t="shared" si="2"/>
        <v>60.458612975391503</v>
      </c>
      <c r="S8" s="203">
        <f t="shared" si="3"/>
        <v>31.532147742818058</v>
      </c>
      <c r="T8" s="108"/>
      <c r="U8" s="109"/>
      <c r="V8" s="109"/>
    </row>
    <row r="9" spans="1:22">
      <c r="A9" s="101" t="s">
        <v>16</v>
      </c>
      <c r="B9" s="102" t="s">
        <v>605</v>
      </c>
      <c r="C9" s="103" t="s">
        <v>265</v>
      </c>
      <c r="D9" s="215">
        <v>1246</v>
      </c>
      <c r="E9" s="216">
        <v>4119</v>
      </c>
      <c r="F9" s="104"/>
      <c r="G9" s="211">
        <v>970</v>
      </c>
      <c r="H9" s="211">
        <v>3662</v>
      </c>
      <c r="I9" s="107"/>
      <c r="J9" s="211">
        <v>167</v>
      </c>
      <c r="K9" s="211">
        <v>244</v>
      </c>
      <c r="L9" s="107"/>
      <c r="M9" s="211">
        <v>24</v>
      </c>
      <c r="N9" s="211">
        <v>71</v>
      </c>
      <c r="O9" s="105"/>
      <c r="P9" s="203">
        <f t="shared" si="0"/>
        <v>30.25006069434329</v>
      </c>
      <c r="Q9" s="204">
        <f t="shared" si="1"/>
        <v>26.488257782632441</v>
      </c>
      <c r="R9" s="204">
        <f t="shared" si="2"/>
        <v>68.442622950819683</v>
      </c>
      <c r="S9" s="203">
        <f t="shared" si="3"/>
        <v>33.802816901408448</v>
      </c>
      <c r="T9" s="108"/>
      <c r="U9" s="109"/>
      <c r="V9" s="109"/>
    </row>
    <row r="10" spans="1:22">
      <c r="A10" s="101" t="s">
        <v>18</v>
      </c>
      <c r="B10" s="102" t="s">
        <v>19</v>
      </c>
      <c r="C10" s="103" t="s">
        <v>266</v>
      </c>
      <c r="D10" s="215">
        <v>628</v>
      </c>
      <c r="E10" s="216">
        <v>2321</v>
      </c>
      <c r="F10" s="104"/>
      <c r="G10" s="211">
        <v>381</v>
      </c>
      <c r="H10" s="211">
        <v>1778</v>
      </c>
      <c r="I10" s="107"/>
      <c r="J10" s="211">
        <v>210</v>
      </c>
      <c r="K10" s="211">
        <v>413</v>
      </c>
      <c r="L10" s="107"/>
      <c r="M10" s="211">
        <v>19</v>
      </c>
      <c r="N10" s="211">
        <v>79</v>
      </c>
      <c r="O10" s="105"/>
      <c r="P10" s="203">
        <f t="shared" si="0"/>
        <v>27.057302886686774</v>
      </c>
      <c r="Q10" s="204">
        <f t="shared" si="1"/>
        <v>21.428571428571427</v>
      </c>
      <c r="R10" s="204">
        <f t="shared" si="2"/>
        <v>50.847457627118644</v>
      </c>
      <c r="S10" s="203">
        <f t="shared" si="3"/>
        <v>24.050632911392405</v>
      </c>
      <c r="T10" s="108"/>
      <c r="U10" s="109"/>
      <c r="V10" s="109"/>
    </row>
    <row r="11" spans="1:22">
      <c r="A11" s="101" t="s">
        <v>20</v>
      </c>
      <c r="B11" s="102" t="s">
        <v>21</v>
      </c>
      <c r="C11" s="103" t="s">
        <v>265</v>
      </c>
      <c r="D11" s="215">
        <v>1922</v>
      </c>
      <c r="E11" s="216">
        <v>5977</v>
      </c>
      <c r="F11" s="104"/>
      <c r="G11" s="211">
        <v>1150</v>
      </c>
      <c r="H11" s="211">
        <v>4492</v>
      </c>
      <c r="I11" s="107"/>
      <c r="J11" s="211">
        <v>576</v>
      </c>
      <c r="K11" s="211">
        <v>1038</v>
      </c>
      <c r="L11" s="107"/>
      <c r="M11" s="211">
        <v>54</v>
      </c>
      <c r="N11" s="211">
        <v>169</v>
      </c>
      <c r="O11" s="105"/>
      <c r="P11" s="203">
        <f t="shared" si="0"/>
        <v>32.156600301154427</v>
      </c>
      <c r="Q11" s="204">
        <f t="shared" si="1"/>
        <v>25.601068566340164</v>
      </c>
      <c r="R11" s="204">
        <f t="shared" si="2"/>
        <v>55.49132947976878</v>
      </c>
      <c r="S11" s="203">
        <f t="shared" si="3"/>
        <v>31.952662721893493</v>
      </c>
      <c r="T11" s="108"/>
      <c r="U11" s="109"/>
      <c r="V11" s="109"/>
    </row>
    <row r="12" spans="1:22">
      <c r="A12" s="101" t="s">
        <v>22</v>
      </c>
      <c r="B12" s="102" t="s">
        <v>23</v>
      </c>
      <c r="C12" s="103" t="s">
        <v>265</v>
      </c>
      <c r="D12" s="215">
        <v>845</v>
      </c>
      <c r="E12" s="216">
        <v>2826</v>
      </c>
      <c r="F12" s="104"/>
      <c r="G12" s="211">
        <v>448</v>
      </c>
      <c r="H12" s="211">
        <v>2111</v>
      </c>
      <c r="I12" s="107"/>
      <c r="J12" s="211">
        <v>342</v>
      </c>
      <c r="K12" s="211">
        <v>581</v>
      </c>
      <c r="L12" s="107"/>
      <c r="M12" s="211">
        <v>20</v>
      </c>
      <c r="N12" s="211">
        <v>48</v>
      </c>
      <c r="O12" s="105"/>
      <c r="P12" s="203">
        <f t="shared" si="0"/>
        <v>29.900920028308565</v>
      </c>
      <c r="Q12" s="204">
        <f t="shared" si="1"/>
        <v>21.222169587873047</v>
      </c>
      <c r="R12" s="204">
        <f t="shared" si="2"/>
        <v>58.86402753872634</v>
      </c>
      <c r="S12" s="203">
        <f t="shared" si="3"/>
        <v>41.666666666666671</v>
      </c>
      <c r="T12" s="108"/>
      <c r="U12" s="109"/>
      <c r="V12" s="109"/>
    </row>
    <row r="13" spans="1:22">
      <c r="A13" s="101" t="s">
        <v>24</v>
      </c>
      <c r="B13" s="102" t="s">
        <v>25</v>
      </c>
      <c r="C13" s="103" t="s">
        <v>267</v>
      </c>
      <c r="D13" s="215">
        <v>5359</v>
      </c>
      <c r="E13" s="216">
        <v>30162</v>
      </c>
      <c r="F13" s="104"/>
      <c r="G13" s="211">
        <v>2466</v>
      </c>
      <c r="H13" s="211">
        <v>19885</v>
      </c>
      <c r="I13" s="107"/>
      <c r="J13" s="211">
        <v>1226</v>
      </c>
      <c r="K13" s="211">
        <v>2625</v>
      </c>
      <c r="L13" s="107"/>
      <c r="M13" s="211">
        <v>1695</v>
      </c>
      <c r="N13" s="211">
        <v>6108</v>
      </c>
      <c r="O13" s="105"/>
      <c r="P13" s="203">
        <f t="shared" si="0"/>
        <v>17.767389430409125</v>
      </c>
      <c r="Q13" s="204">
        <f t="shared" si="1"/>
        <v>12.401307518229823</v>
      </c>
      <c r="R13" s="204">
        <f t="shared" si="2"/>
        <v>46.704761904761902</v>
      </c>
      <c r="S13" s="203">
        <f t="shared" si="3"/>
        <v>27.75049115913556</v>
      </c>
      <c r="T13" s="108"/>
      <c r="U13" s="109"/>
      <c r="V13" s="109"/>
    </row>
    <row r="14" spans="1:22">
      <c r="A14" s="101" t="s">
        <v>26</v>
      </c>
      <c r="B14" s="102" t="s">
        <v>706</v>
      </c>
      <c r="C14" s="103" t="s">
        <v>265</v>
      </c>
      <c r="D14" s="215">
        <v>6433</v>
      </c>
      <c r="E14" s="216">
        <v>22064</v>
      </c>
      <c r="F14" s="104"/>
      <c r="G14" s="211">
        <v>4824</v>
      </c>
      <c r="H14" s="211">
        <v>19009</v>
      </c>
      <c r="I14" s="107"/>
      <c r="J14" s="211">
        <v>876</v>
      </c>
      <c r="K14" s="211">
        <v>1361</v>
      </c>
      <c r="L14" s="107"/>
      <c r="M14" s="211">
        <v>359</v>
      </c>
      <c r="N14" s="211">
        <v>1159</v>
      </c>
      <c r="O14" s="105"/>
      <c r="P14" s="203">
        <f t="shared" si="0"/>
        <v>29.156091370558375</v>
      </c>
      <c r="Q14" s="204">
        <f t="shared" si="1"/>
        <v>25.377452785522646</v>
      </c>
      <c r="R14" s="204">
        <f t="shared" si="2"/>
        <v>64.364437913299042</v>
      </c>
      <c r="S14" s="203">
        <f t="shared" si="3"/>
        <v>30.97497842968076</v>
      </c>
      <c r="T14" s="108"/>
      <c r="U14" s="109"/>
      <c r="V14" s="109"/>
    </row>
    <row r="15" spans="1:22">
      <c r="A15" s="101" t="s">
        <v>27</v>
      </c>
      <c r="B15" s="102" t="s">
        <v>28</v>
      </c>
      <c r="C15" s="103" t="s">
        <v>265</v>
      </c>
      <c r="D15" s="215">
        <v>162</v>
      </c>
      <c r="E15" s="216">
        <v>710</v>
      </c>
      <c r="F15" s="104"/>
      <c r="G15" s="211">
        <v>142</v>
      </c>
      <c r="H15" s="211">
        <v>664</v>
      </c>
      <c r="I15" s="107"/>
      <c r="J15" s="211">
        <v>7</v>
      </c>
      <c r="K15" s="211">
        <v>24</v>
      </c>
      <c r="L15" s="107"/>
      <c r="M15" s="211">
        <v>8</v>
      </c>
      <c r="N15" s="211">
        <v>29</v>
      </c>
      <c r="O15" s="105"/>
      <c r="P15" s="203">
        <f t="shared" si="0"/>
        <v>22.816901408450704</v>
      </c>
      <c r="Q15" s="204">
        <f t="shared" si="1"/>
        <v>21.385542168674696</v>
      </c>
      <c r="R15" s="204">
        <f t="shared" si="2"/>
        <v>29.166666666666668</v>
      </c>
      <c r="S15" s="203">
        <f t="shared" si="3"/>
        <v>27.586206896551722</v>
      </c>
      <c r="T15" s="108"/>
      <c r="U15" s="109"/>
      <c r="V15" s="109"/>
    </row>
    <row r="16" spans="1:22">
      <c r="A16" s="101" t="s">
        <v>29</v>
      </c>
      <c r="B16" s="102" t="s">
        <v>619</v>
      </c>
      <c r="C16" s="103" t="s">
        <v>265</v>
      </c>
      <c r="D16" s="215">
        <v>3036</v>
      </c>
      <c r="E16" s="216">
        <v>14897</v>
      </c>
      <c r="F16" s="104"/>
      <c r="G16" s="211">
        <v>2416</v>
      </c>
      <c r="H16" s="211">
        <v>13271</v>
      </c>
      <c r="I16" s="107"/>
      <c r="J16" s="211">
        <v>392</v>
      </c>
      <c r="K16" s="211">
        <v>843</v>
      </c>
      <c r="L16" s="107"/>
      <c r="M16" s="211">
        <v>117</v>
      </c>
      <c r="N16" s="211">
        <v>408</v>
      </c>
      <c r="O16" s="105"/>
      <c r="P16" s="203">
        <f t="shared" si="0"/>
        <v>20.379942270255757</v>
      </c>
      <c r="Q16" s="204">
        <f t="shared" si="1"/>
        <v>18.205108884032853</v>
      </c>
      <c r="R16" s="204">
        <f t="shared" si="2"/>
        <v>46.500593119810205</v>
      </c>
      <c r="S16" s="203">
        <f t="shared" si="3"/>
        <v>28.676470588235293</v>
      </c>
      <c r="T16" s="108"/>
      <c r="U16" s="109"/>
      <c r="V16" s="109"/>
    </row>
    <row r="17" spans="1:22">
      <c r="A17" s="101" t="s">
        <v>30</v>
      </c>
      <c r="B17" s="102" t="s">
        <v>31</v>
      </c>
      <c r="C17" s="103" t="s">
        <v>268</v>
      </c>
      <c r="D17" s="215">
        <v>216</v>
      </c>
      <c r="E17" s="216">
        <v>1053</v>
      </c>
      <c r="F17" s="104"/>
      <c r="G17" s="211">
        <v>211</v>
      </c>
      <c r="H17" s="211">
        <v>1023</v>
      </c>
      <c r="I17" s="107"/>
      <c r="J17" s="211">
        <v>3</v>
      </c>
      <c r="K17" s="211">
        <v>9</v>
      </c>
      <c r="L17" s="107"/>
      <c r="M17" s="211">
        <v>2</v>
      </c>
      <c r="N17" s="211">
        <v>7</v>
      </c>
      <c r="O17" s="105"/>
      <c r="P17" s="203">
        <f t="shared" si="0"/>
        <v>20.512820512820511</v>
      </c>
      <c r="Q17" s="204">
        <f t="shared" si="1"/>
        <v>20.625610948191593</v>
      </c>
      <c r="R17" s="204">
        <f t="shared" si="2"/>
        <v>33.333333333333329</v>
      </c>
      <c r="S17" s="203">
        <f t="shared" si="3"/>
        <v>28.571428571428569</v>
      </c>
      <c r="T17" s="108"/>
      <c r="U17" s="109"/>
      <c r="V17" s="109"/>
    </row>
    <row r="18" spans="1:22">
      <c r="A18" s="101" t="s">
        <v>32</v>
      </c>
      <c r="B18" s="102" t="s">
        <v>33</v>
      </c>
      <c r="C18" s="103" t="s">
        <v>265</v>
      </c>
      <c r="D18" s="215">
        <v>1217</v>
      </c>
      <c r="E18" s="216">
        <v>6697</v>
      </c>
      <c r="F18" s="104"/>
      <c r="G18" s="211">
        <v>1121</v>
      </c>
      <c r="H18" s="211">
        <v>6321</v>
      </c>
      <c r="I18" s="107"/>
      <c r="J18" s="211">
        <v>39</v>
      </c>
      <c r="K18" s="211">
        <v>149</v>
      </c>
      <c r="L18" s="107"/>
      <c r="M18" s="211">
        <v>27</v>
      </c>
      <c r="N18" s="211">
        <v>113</v>
      </c>
      <c r="O18" s="105"/>
      <c r="P18" s="203">
        <f t="shared" si="0"/>
        <v>18.172315962371211</v>
      </c>
      <c r="Q18" s="204">
        <f t="shared" si="1"/>
        <v>17.73453567473501</v>
      </c>
      <c r="R18" s="204">
        <f t="shared" si="2"/>
        <v>26.174496644295303</v>
      </c>
      <c r="S18" s="203">
        <f t="shared" si="3"/>
        <v>23.893805309734514</v>
      </c>
      <c r="T18" s="108"/>
      <c r="U18" s="109"/>
      <c r="V18" s="109"/>
    </row>
    <row r="19" spans="1:22">
      <c r="A19" s="101" t="s">
        <v>36</v>
      </c>
      <c r="B19" s="102" t="s">
        <v>37</v>
      </c>
      <c r="C19" s="103" t="s">
        <v>264</v>
      </c>
      <c r="D19" s="215">
        <v>1326</v>
      </c>
      <c r="E19" s="216">
        <v>2644</v>
      </c>
      <c r="F19" s="104"/>
      <c r="G19" s="211">
        <v>310</v>
      </c>
      <c r="H19" s="211">
        <v>965</v>
      </c>
      <c r="I19" s="107"/>
      <c r="J19" s="211">
        <v>970</v>
      </c>
      <c r="K19" s="211">
        <v>1569</v>
      </c>
      <c r="L19" s="107"/>
      <c r="M19" s="211">
        <v>28</v>
      </c>
      <c r="N19" s="211">
        <v>82</v>
      </c>
      <c r="O19" s="105"/>
      <c r="P19" s="203">
        <f t="shared" si="0"/>
        <v>50.151285930408477</v>
      </c>
      <c r="Q19" s="204">
        <f t="shared" si="1"/>
        <v>32.124352331606218</v>
      </c>
      <c r="R19" s="204">
        <f t="shared" si="2"/>
        <v>61.822817080943274</v>
      </c>
      <c r="S19" s="203">
        <f t="shared" si="3"/>
        <v>34.146341463414636</v>
      </c>
      <c r="T19" s="108"/>
      <c r="U19" s="109"/>
      <c r="V19" s="109"/>
    </row>
    <row r="20" spans="1:22">
      <c r="A20" s="101" t="s">
        <v>38</v>
      </c>
      <c r="B20" s="102" t="s">
        <v>39</v>
      </c>
      <c r="C20" s="103" t="s">
        <v>268</v>
      </c>
      <c r="D20" s="215">
        <v>990</v>
      </c>
      <c r="E20" s="216">
        <v>3681</v>
      </c>
      <c r="F20" s="104"/>
      <c r="G20" s="211">
        <v>972</v>
      </c>
      <c r="H20" s="211">
        <v>3643</v>
      </c>
      <c r="I20" s="107"/>
      <c r="J20" s="211">
        <v>5</v>
      </c>
      <c r="K20" s="211">
        <v>6</v>
      </c>
      <c r="L20" s="107"/>
      <c r="M20" s="211">
        <v>9</v>
      </c>
      <c r="N20" s="211">
        <v>14</v>
      </c>
      <c r="O20" s="105"/>
      <c r="P20" s="203">
        <f t="shared" si="0"/>
        <v>26.894865525672373</v>
      </c>
      <c r="Q20" s="204">
        <f t="shared" si="1"/>
        <v>26.681306615426848</v>
      </c>
      <c r="R20" s="204">
        <f t="shared" si="2"/>
        <v>83.333333333333343</v>
      </c>
      <c r="S20" s="203">
        <f t="shared" si="3"/>
        <v>64.285714285714292</v>
      </c>
      <c r="T20" s="108"/>
      <c r="U20" s="109"/>
      <c r="V20" s="109"/>
    </row>
    <row r="21" spans="1:22">
      <c r="A21" s="101" t="s">
        <v>40</v>
      </c>
      <c r="B21" s="102" t="s">
        <v>41</v>
      </c>
      <c r="C21" s="103" t="s">
        <v>266</v>
      </c>
      <c r="D21" s="215">
        <v>1017</v>
      </c>
      <c r="E21" s="216">
        <v>2708</v>
      </c>
      <c r="F21" s="104"/>
      <c r="G21" s="211">
        <v>480</v>
      </c>
      <c r="H21" s="211">
        <v>1752</v>
      </c>
      <c r="I21" s="107"/>
      <c r="J21" s="211">
        <v>454</v>
      </c>
      <c r="K21" s="211">
        <v>786</v>
      </c>
      <c r="L21" s="107"/>
      <c r="M21" s="211">
        <v>29</v>
      </c>
      <c r="N21" s="211">
        <v>68</v>
      </c>
      <c r="O21" s="105"/>
      <c r="P21" s="203">
        <f t="shared" si="0"/>
        <v>37.55539143279173</v>
      </c>
      <c r="Q21" s="204">
        <f t="shared" si="1"/>
        <v>27.397260273972602</v>
      </c>
      <c r="R21" s="204">
        <f t="shared" si="2"/>
        <v>57.760814249363868</v>
      </c>
      <c r="S21" s="203">
        <f t="shared" si="3"/>
        <v>42.647058823529413</v>
      </c>
      <c r="T21" s="108"/>
      <c r="U21" s="109"/>
      <c r="V21" s="109"/>
    </row>
    <row r="22" spans="1:22">
      <c r="A22" s="101" t="s">
        <v>42</v>
      </c>
      <c r="B22" s="102" t="s">
        <v>43</v>
      </c>
      <c r="C22" s="103" t="s">
        <v>265</v>
      </c>
      <c r="D22" s="215">
        <v>2981</v>
      </c>
      <c r="E22" s="216">
        <v>10559</v>
      </c>
      <c r="F22" s="104"/>
      <c r="G22" s="211">
        <v>1998</v>
      </c>
      <c r="H22" s="211">
        <v>8538</v>
      </c>
      <c r="I22" s="107"/>
      <c r="J22" s="211">
        <v>714</v>
      </c>
      <c r="K22" s="211">
        <v>1322</v>
      </c>
      <c r="L22" s="107"/>
      <c r="M22" s="211">
        <v>93</v>
      </c>
      <c r="N22" s="211">
        <v>248</v>
      </c>
      <c r="O22" s="105"/>
      <c r="P22" s="203">
        <f t="shared" si="0"/>
        <v>28.231840136376551</v>
      </c>
      <c r="Q22" s="204">
        <f t="shared" si="1"/>
        <v>23.401264933239634</v>
      </c>
      <c r="R22" s="204">
        <f t="shared" si="2"/>
        <v>54.0090771558245</v>
      </c>
      <c r="S22" s="203">
        <f t="shared" si="3"/>
        <v>37.5</v>
      </c>
      <c r="T22" s="108"/>
      <c r="U22" s="109"/>
      <c r="V22" s="109"/>
    </row>
    <row r="23" spans="1:22">
      <c r="A23" s="101" t="s">
        <v>44</v>
      </c>
      <c r="B23" s="102" t="s">
        <v>45</v>
      </c>
      <c r="C23" s="103" t="s">
        <v>266</v>
      </c>
      <c r="D23" s="215">
        <v>1585</v>
      </c>
      <c r="E23" s="216">
        <v>5526</v>
      </c>
      <c r="F23" s="104"/>
      <c r="G23" s="211">
        <v>825</v>
      </c>
      <c r="H23" s="211">
        <v>3670</v>
      </c>
      <c r="I23" s="107"/>
      <c r="J23" s="211">
        <v>590</v>
      </c>
      <c r="K23" s="211">
        <v>1349</v>
      </c>
      <c r="L23" s="107"/>
      <c r="M23" s="211">
        <v>81</v>
      </c>
      <c r="N23" s="211">
        <v>311</v>
      </c>
      <c r="O23" s="105"/>
      <c r="P23" s="203">
        <f t="shared" si="0"/>
        <v>28.682591386174451</v>
      </c>
      <c r="Q23" s="204">
        <f t="shared" si="1"/>
        <v>22.479564032697546</v>
      </c>
      <c r="R23" s="204">
        <f t="shared" si="2"/>
        <v>43.73610081541883</v>
      </c>
      <c r="S23" s="203">
        <f t="shared" si="3"/>
        <v>26.04501607717042</v>
      </c>
      <c r="T23" s="108"/>
      <c r="U23" s="109"/>
      <c r="V23" s="109"/>
    </row>
    <row r="24" spans="1:22">
      <c r="A24" s="101" t="s">
        <v>46</v>
      </c>
      <c r="B24" s="102" t="s">
        <v>47</v>
      </c>
      <c r="C24" s="103" t="s">
        <v>268</v>
      </c>
      <c r="D24" s="215">
        <v>1519</v>
      </c>
      <c r="E24" s="216">
        <v>5425</v>
      </c>
      <c r="F24" s="104"/>
      <c r="G24" s="211">
        <v>1414</v>
      </c>
      <c r="H24" s="211">
        <v>5157</v>
      </c>
      <c r="I24" s="107"/>
      <c r="J24" s="211">
        <v>22</v>
      </c>
      <c r="K24" s="211">
        <v>37</v>
      </c>
      <c r="L24" s="107"/>
      <c r="M24" s="211">
        <v>94</v>
      </c>
      <c r="N24" s="211">
        <v>262</v>
      </c>
      <c r="O24" s="105"/>
      <c r="P24" s="203">
        <f t="shared" si="0"/>
        <v>28.000000000000004</v>
      </c>
      <c r="Q24" s="204">
        <f t="shared" si="1"/>
        <v>27.419042078727941</v>
      </c>
      <c r="R24" s="204">
        <f t="shared" si="2"/>
        <v>59.45945945945946</v>
      </c>
      <c r="S24" s="203">
        <f t="shared" si="3"/>
        <v>35.877862595419849</v>
      </c>
      <c r="T24" s="108"/>
      <c r="U24" s="109"/>
      <c r="V24" s="109"/>
    </row>
    <row r="25" spans="1:22">
      <c r="A25" s="101" t="s">
        <v>48</v>
      </c>
      <c r="B25" s="102" t="s">
        <v>269</v>
      </c>
      <c r="C25" s="103" t="s">
        <v>266</v>
      </c>
      <c r="D25" s="215">
        <v>299</v>
      </c>
      <c r="E25" s="216">
        <v>948</v>
      </c>
      <c r="F25" s="104"/>
      <c r="G25" s="211">
        <v>85</v>
      </c>
      <c r="H25" s="211">
        <v>426</v>
      </c>
      <c r="I25" s="107"/>
      <c r="J25" s="211">
        <v>184</v>
      </c>
      <c r="K25" s="211">
        <v>381</v>
      </c>
      <c r="L25" s="107"/>
      <c r="M25" s="211">
        <v>5</v>
      </c>
      <c r="N25" s="211">
        <v>17</v>
      </c>
      <c r="O25" s="105"/>
      <c r="P25" s="203">
        <f t="shared" si="0"/>
        <v>31.540084388185651</v>
      </c>
      <c r="Q25" s="204">
        <f t="shared" si="1"/>
        <v>19.953051643192488</v>
      </c>
      <c r="R25" s="204">
        <f t="shared" si="2"/>
        <v>48.293963254593173</v>
      </c>
      <c r="S25" s="203">
        <f t="shared" si="3"/>
        <v>29.411764705882355</v>
      </c>
      <c r="T25" s="108"/>
      <c r="U25" s="109"/>
      <c r="V25" s="109"/>
    </row>
    <row r="26" spans="1:22">
      <c r="A26" s="101" t="s">
        <v>50</v>
      </c>
      <c r="B26" s="102" t="s">
        <v>51</v>
      </c>
      <c r="C26" s="103" t="s">
        <v>265</v>
      </c>
      <c r="D26" s="215">
        <v>821</v>
      </c>
      <c r="E26" s="216">
        <v>2418</v>
      </c>
      <c r="F26" s="104"/>
      <c r="G26" s="211">
        <v>398</v>
      </c>
      <c r="H26" s="211">
        <v>1615</v>
      </c>
      <c r="I26" s="107"/>
      <c r="J26" s="211">
        <v>375</v>
      </c>
      <c r="K26" s="211">
        <v>687</v>
      </c>
      <c r="L26" s="107"/>
      <c r="M26" s="211">
        <v>34</v>
      </c>
      <c r="N26" s="211">
        <v>66</v>
      </c>
      <c r="O26" s="105"/>
      <c r="P26" s="203">
        <f t="shared" si="0"/>
        <v>33.953680727874271</v>
      </c>
      <c r="Q26" s="204">
        <f t="shared" si="1"/>
        <v>24.643962848297214</v>
      </c>
      <c r="R26" s="204">
        <f t="shared" si="2"/>
        <v>54.585152838427952</v>
      </c>
      <c r="S26" s="203">
        <f t="shared" si="3"/>
        <v>51.515151515151516</v>
      </c>
      <c r="T26" s="108"/>
      <c r="U26" s="109"/>
      <c r="V26" s="109"/>
    </row>
    <row r="27" spans="1:22">
      <c r="A27" s="101" t="s">
        <v>56</v>
      </c>
      <c r="B27" s="102" t="s">
        <v>295</v>
      </c>
      <c r="C27" s="103" t="s">
        <v>266</v>
      </c>
      <c r="D27" s="215">
        <v>20205</v>
      </c>
      <c r="E27" s="216">
        <v>77370</v>
      </c>
      <c r="F27" s="104"/>
      <c r="G27" s="211">
        <v>9324</v>
      </c>
      <c r="H27" s="211">
        <v>49962</v>
      </c>
      <c r="I27" s="107"/>
      <c r="J27" s="211">
        <v>8120</v>
      </c>
      <c r="K27" s="211">
        <v>17070</v>
      </c>
      <c r="L27" s="107"/>
      <c r="M27" s="211">
        <v>2199</v>
      </c>
      <c r="N27" s="211">
        <v>7351</v>
      </c>
      <c r="O27" s="105"/>
      <c r="P27" s="203">
        <f t="shared" si="0"/>
        <v>26.114773167894533</v>
      </c>
      <c r="Q27" s="204">
        <f t="shared" si="1"/>
        <v>18.66218325927705</v>
      </c>
      <c r="R27" s="204">
        <f t="shared" si="2"/>
        <v>47.568834212067955</v>
      </c>
      <c r="S27" s="203">
        <f t="shared" si="3"/>
        <v>29.914297374506869</v>
      </c>
      <c r="T27" s="108"/>
      <c r="U27" s="109"/>
      <c r="V27" s="109"/>
    </row>
    <row r="28" spans="1:22">
      <c r="A28" s="101" t="s">
        <v>58</v>
      </c>
      <c r="B28" s="102" t="s">
        <v>59</v>
      </c>
      <c r="C28" s="103" t="s">
        <v>267</v>
      </c>
      <c r="D28" s="215">
        <v>537</v>
      </c>
      <c r="E28" s="216">
        <v>2896</v>
      </c>
      <c r="F28" s="104"/>
      <c r="G28" s="211">
        <v>447</v>
      </c>
      <c r="H28" s="211">
        <v>2583</v>
      </c>
      <c r="I28" s="107"/>
      <c r="J28" s="211">
        <v>40</v>
      </c>
      <c r="K28" s="211">
        <v>89</v>
      </c>
      <c r="L28" s="107"/>
      <c r="M28" s="211">
        <v>32</v>
      </c>
      <c r="N28" s="211">
        <v>168</v>
      </c>
      <c r="O28" s="105"/>
      <c r="P28" s="203">
        <f t="shared" si="0"/>
        <v>18.542817679558009</v>
      </c>
      <c r="Q28" s="204">
        <f t="shared" si="1"/>
        <v>17.305458768873404</v>
      </c>
      <c r="R28" s="204">
        <f t="shared" si="2"/>
        <v>44.943820224719097</v>
      </c>
      <c r="S28" s="203">
        <f t="shared" si="3"/>
        <v>19.047619047619047</v>
      </c>
      <c r="T28" s="108"/>
      <c r="U28" s="109"/>
      <c r="V28" s="109"/>
    </row>
    <row r="29" spans="1:22">
      <c r="A29" s="101" t="s">
        <v>60</v>
      </c>
      <c r="B29" s="102" t="s">
        <v>61</v>
      </c>
      <c r="C29" s="103" t="s">
        <v>265</v>
      </c>
      <c r="D29" s="215">
        <v>220</v>
      </c>
      <c r="E29" s="216">
        <v>966</v>
      </c>
      <c r="F29" s="104"/>
      <c r="G29" s="211">
        <v>217</v>
      </c>
      <c r="H29" s="211">
        <v>946</v>
      </c>
      <c r="I29" s="107"/>
      <c r="J29" s="211">
        <v>0</v>
      </c>
      <c r="K29" s="211">
        <v>2</v>
      </c>
      <c r="L29" s="107"/>
      <c r="M29" s="211">
        <v>2</v>
      </c>
      <c r="N29" s="211">
        <v>11</v>
      </c>
      <c r="O29" s="105"/>
      <c r="P29" s="203">
        <f t="shared" si="0"/>
        <v>22.77432712215321</v>
      </c>
      <c r="Q29" s="204">
        <f t="shared" si="1"/>
        <v>22.938689217758984</v>
      </c>
      <c r="R29" s="204">
        <f t="shared" si="2"/>
        <v>0</v>
      </c>
      <c r="S29" s="203">
        <f t="shared" si="3"/>
        <v>18.181818181818183</v>
      </c>
      <c r="T29" s="108"/>
      <c r="U29" s="109"/>
      <c r="V29" s="109"/>
    </row>
    <row r="30" spans="1:22">
      <c r="A30" s="101" t="s">
        <v>62</v>
      </c>
      <c r="B30" s="102" t="s">
        <v>63</v>
      </c>
      <c r="C30" s="103" t="s">
        <v>267</v>
      </c>
      <c r="D30" s="215">
        <v>2536</v>
      </c>
      <c r="E30" s="216">
        <v>10317</v>
      </c>
      <c r="F30" s="104"/>
      <c r="G30" s="211">
        <v>1365</v>
      </c>
      <c r="H30" s="211">
        <v>7457</v>
      </c>
      <c r="I30" s="107"/>
      <c r="J30" s="211">
        <v>679</v>
      </c>
      <c r="K30" s="211">
        <v>1310</v>
      </c>
      <c r="L30" s="107"/>
      <c r="M30" s="211">
        <v>341</v>
      </c>
      <c r="N30" s="211">
        <v>1258</v>
      </c>
      <c r="O30" s="105"/>
      <c r="P30" s="203">
        <f t="shared" si="0"/>
        <v>24.580788989047203</v>
      </c>
      <c r="Q30" s="204">
        <f t="shared" si="1"/>
        <v>18.30494837065844</v>
      </c>
      <c r="R30" s="204">
        <f t="shared" si="2"/>
        <v>51.832061068702295</v>
      </c>
      <c r="S30" s="203">
        <f t="shared" si="3"/>
        <v>27.106518282988873</v>
      </c>
      <c r="T30" s="108"/>
      <c r="U30" s="109"/>
      <c r="V30" s="109"/>
    </row>
    <row r="31" spans="1:22">
      <c r="A31" s="101" t="s">
        <v>64</v>
      </c>
      <c r="B31" s="102" t="s">
        <v>65</v>
      </c>
      <c r="C31" s="103" t="s">
        <v>266</v>
      </c>
      <c r="D31" s="215">
        <v>595</v>
      </c>
      <c r="E31" s="216">
        <v>1853</v>
      </c>
      <c r="F31" s="104"/>
      <c r="G31" s="211">
        <v>275</v>
      </c>
      <c r="H31" s="211">
        <v>1211</v>
      </c>
      <c r="I31" s="107"/>
      <c r="J31" s="211">
        <v>287</v>
      </c>
      <c r="K31" s="211">
        <v>529</v>
      </c>
      <c r="L31" s="107"/>
      <c r="M31" s="211">
        <v>16</v>
      </c>
      <c r="N31" s="211">
        <v>67</v>
      </c>
      <c r="O31" s="105"/>
      <c r="P31" s="203">
        <f t="shared" si="0"/>
        <v>32.11009174311927</v>
      </c>
      <c r="Q31" s="204">
        <f t="shared" si="1"/>
        <v>22.708505367464905</v>
      </c>
      <c r="R31" s="204">
        <f t="shared" si="2"/>
        <v>54.253308128544418</v>
      </c>
      <c r="S31" s="203">
        <f t="shared" si="3"/>
        <v>23.880597014925371</v>
      </c>
      <c r="T31" s="108"/>
      <c r="U31" s="109"/>
      <c r="V31" s="109"/>
    </row>
    <row r="32" spans="1:22">
      <c r="A32" s="101" t="s">
        <v>68</v>
      </c>
      <c r="B32" s="102" t="s">
        <v>69</v>
      </c>
      <c r="C32" s="103" t="s">
        <v>268</v>
      </c>
      <c r="D32" s="215">
        <v>713</v>
      </c>
      <c r="E32" s="216">
        <v>2891</v>
      </c>
      <c r="F32" s="104"/>
      <c r="G32" s="211">
        <v>695</v>
      </c>
      <c r="H32" s="211">
        <v>2845</v>
      </c>
      <c r="I32" s="107"/>
      <c r="J32" s="211">
        <v>8</v>
      </c>
      <c r="K32" s="211">
        <v>14</v>
      </c>
      <c r="L32" s="107"/>
      <c r="M32" s="211">
        <v>9</v>
      </c>
      <c r="N32" s="211">
        <v>27</v>
      </c>
      <c r="O32" s="105"/>
      <c r="P32" s="203">
        <f t="shared" si="0"/>
        <v>24.662746454514011</v>
      </c>
      <c r="Q32" s="204">
        <f t="shared" si="1"/>
        <v>24.42882249560633</v>
      </c>
      <c r="R32" s="204">
        <f t="shared" si="2"/>
        <v>57.142857142857139</v>
      </c>
      <c r="S32" s="203">
        <f t="shared" si="3"/>
        <v>33.333333333333329</v>
      </c>
      <c r="T32" s="108"/>
      <c r="U32" s="109"/>
      <c r="V32" s="109"/>
    </row>
    <row r="33" spans="1:22">
      <c r="A33" s="101" t="s">
        <v>70</v>
      </c>
      <c r="B33" s="102" t="s">
        <v>71</v>
      </c>
      <c r="C33" s="103" t="s">
        <v>264</v>
      </c>
      <c r="D33" s="215">
        <v>1785</v>
      </c>
      <c r="E33" s="216">
        <v>5303</v>
      </c>
      <c r="F33" s="104"/>
      <c r="G33" s="211">
        <v>834</v>
      </c>
      <c r="H33" s="211">
        <v>3388</v>
      </c>
      <c r="I33" s="107"/>
      <c r="J33" s="211">
        <v>859</v>
      </c>
      <c r="K33" s="211">
        <v>1628</v>
      </c>
      <c r="L33" s="107"/>
      <c r="M33" s="211">
        <v>50</v>
      </c>
      <c r="N33" s="211">
        <v>239</v>
      </c>
      <c r="O33" s="105"/>
      <c r="P33" s="203">
        <f t="shared" si="0"/>
        <v>33.660192343956254</v>
      </c>
      <c r="Q33" s="204">
        <f t="shared" si="1"/>
        <v>24.61629279811098</v>
      </c>
      <c r="R33" s="204">
        <f t="shared" si="2"/>
        <v>52.764127764127764</v>
      </c>
      <c r="S33" s="203">
        <f t="shared" si="3"/>
        <v>20.920502092050206</v>
      </c>
      <c r="T33" s="108"/>
      <c r="U33" s="109"/>
      <c r="V33" s="109"/>
    </row>
    <row r="34" spans="1:22">
      <c r="A34" s="101" t="s">
        <v>72</v>
      </c>
      <c r="B34" s="102" t="s">
        <v>73</v>
      </c>
      <c r="C34" s="103" t="s">
        <v>266</v>
      </c>
      <c r="D34" s="215">
        <v>825</v>
      </c>
      <c r="E34" s="216">
        <v>1937</v>
      </c>
      <c r="F34" s="104"/>
      <c r="G34" s="211">
        <v>245</v>
      </c>
      <c r="H34" s="211">
        <v>978</v>
      </c>
      <c r="I34" s="107"/>
      <c r="J34" s="211">
        <v>511</v>
      </c>
      <c r="K34" s="211">
        <v>808</v>
      </c>
      <c r="L34" s="107"/>
      <c r="M34" s="211">
        <v>32</v>
      </c>
      <c r="N34" s="211">
        <v>86</v>
      </c>
      <c r="O34" s="105"/>
      <c r="P34" s="203">
        <f t="shared" si="0"/>
        <v>42.591636551368097</v>
      </c>
      <c r="Q34" s="204">
        <f t="shared" si="1"/>
        <v>25.051124744376281</v>
      </c>
      <c r="R34" s="204">
        <f t="shared" si="2"/>
        <v>63.242574257425744</v>
      </c>
      <c r="S34" s="203">
        <f t="shared" si="3"/>
        <v>37.209302325581397</v>
      </c>
      <c r="T34" s="108"/>
      <c r="U34" s="109"/>
      <c r="V34" s="109"/>
    </row>
    <row r="35" spans="1:22">
      <c r="A35" s="101" t="s">
        <v>74</v>
      </c>
      <c r="B35" s="102" t="s">
        <v>618</v>
      </c>
      <c r="C35" s="103" t="s">
        <v>267</v>
      </c>
      <c r="D35" s="215">
        <v>40722</v>
      </c>
      <c r="E35" s="216">
        <v>248438</v>
      </c>
      <c r="F35" s="104"/>
      <c r="G35" s="211">
        <v>19519</v>
      </c>
      <c r="H35" s="211">
        <v>146411</v>
      </c>
      <c r="I35" s="107"/>
      <c r="J35" s="211">
        <v>9151</v>
      </c>
      <c r="K35" s="211">
        <v>23526</v>
      </c>
      <c r="L35" s="107"/>
      <c r="M35" s="211">
        <v>10967</v>
      </c>
      <c r="N35" s="211">
        <v>42015</v>
      </c>
      <c r="O35" s="105"/>
      <c r="P35" s="203">
        <f t="shared" si="0"/>
        <v>16.391212294415507</v>
      </c>
      <c r="Q35" s="204">
        <f t="shared" si="1"/>
        <v>13.331648578317203</v>
      </c>
      <c r="R35" s="204">
        <f t="shared" si="2"/>
        <v>38.897390121567625</v>
      </c>
      <c r="S35" s="203">
        <f t="shared" si="3"/>
        <v>26.102582411043674</v>
      </c>
      <c r="T35" s="108"/>
      <c r="U35" s="109"/>
      <c r="V35" s="109"/>
    </row>
    <row r="36" spans="1:22">
      <c r="A36" s="101" t="s">
        <v>76</v>
      </c>
      <c r="B36" s="102" t="s">
        <v>77</v>
      </c>
      <c r="C36" s="103" t="s">
        <v>267</v>
      </c>
      <c r="D36" s="215">
        <v>2535</v>
      </c>
      <c r="E36" s="216">
        <v>14530</v>
      </c>
      <c r="F36" s="104"/>
      <c r="G36" s="211">
        <v>1880</v>
      </c>
      <c r="H36" s="211">
        <v>12201</v>
      </c>
      <c r="I36" s="107"/>
      <c r="J36" s="211">
        <v>352</v>
      </c>
      <c r="K36" s="211">
        <v>898</v>
      </c>
      <c r="L36" s="107"/>
      <c r="M36" s="211">
        <v>201</v>
      </c>
      <c r="N36" s="211">
        <v>1361</v>
      </c>
      <c r="O36" s="105"/>
      <c r="P36" s="203">
        <f t="shared" si="0"/>
        <v>17.44666207845836</v>
      </c>
      <c r="Q36" s="204">
        <f t="shared" si="1"/>
        <v>15.408573067781328</v>
      </c>
      <c r="R36" s="204">
        <f t="shared" si="2"/>
        <v>39.198218262806236</v>
      </c>
      <c r="S36" s="203">
        <f t="shared" si="3"/>
        <v>14.768552534900808</v>
      </c>
      <c r="T36" s="108"/>
      <c r="U36" s="109"/>
      <c r="V36" s="109"/>
    </row>
    <row r="37" spans="1:22">
      <c r="A37" s="101" t="s">
        <v>78</v>
      </c>
      <c r="B37" s="102" t="s">
        <v>79</v>
      </c>
      <c r="C37" s="103" t="s">
        <v>268</v>
      </c>
      <c r="D37" s="215">
        <v>695</v>
      </c>
      <c r="E37" s="216">
        <v>2996</v>
      </c>
      <c r="F37" s="104"/>
      <c r="G37" s="211">
        <v>644</v>
      </c>
      <c r="H37" s="211">
        <v>2859</v>
      </c>
      <c r="I37" s="107"/>
      <c r="J37" s="211">
        <v>18</v>
      </c>
      <c r="K37" s="211">
        <v>28</v>
      </c>
      <c r="L37" s="107"/>
      <c r="M37" s="211">
        <v>36</v>
      </c>
      <c r="N37" s="211">
        <v>119</v>
      </c>
      <c r="O37" s="105"/>
      <c r="P37" s="203">
        <f t="shared" si="0"/>
        <v>23.197596795727637</v>
      </c>
      <c r="Q37" s="204">
        <f t="shared" si="1"/>
        <v>22.525358516963973</v>
      </c>
      <c r="R37" s="204">
        <f t="shared" si="2"/>
        <v>64.285714285714292</v>
      </c>
      <c r="S37" s="203">
        <f t="shared" si="3"/>
        <v>30.252100840336134</v>
      </c>
      <c r="T37" s="108"/>
      <c r="U37" s="109"/>
      <c r="V37" s="109"/>
    </row>
    <row r="38" spans="1:22">
      <c r="A38" s="101" t="s">
        <v>80</v>
      </c>
      <c r="B38" s="102" t="s">
        <v>81</v>
      </c>
      <c r="C38" s="103" t="s">
        <v>266</v>
      </c>
      <c r="D38" s="215">
        <v>1133</v>
      </c>
      <c r="E38" s="216">
        <v>5255</v>
      </c>
      <c r="F38" s="104"/>
      <c r="G38" s="211">
        <v>741</v>
      </c>
      <c r="H38" s="211">
        <v>4246</v>
      </c>
      <c r="I38" s="107"/>
      <c r="J38" s="211">
        <v>270</v>
      </c>
      <c r="K38" s="211">
        <v>607</v>
      </c>
      <c r="L38" s="107"/>
      <c r="M38" s="211">
        <v>53</v>
      </c>
      <c r="N38" s="211">
        <v>259</v>
      </c>
      <c r="O38" s="105"/>
      <c r="P38" s="203">
        <f t="shared" si="0"/>
        <v>21.560418648905806</v>
      </c>
      <c r="Q38" s="204">
        <f t="shared" si="1"/>
        <v>17.451719265190768</v>
      </c>
      <c r="R38" s="204">
        <f t="shared" si="2"/>
        <v>44.481054365733115</v>
      </c>
      <c r="S38" s="203">
        <f t="shared" si="3"/>
        <v>20.463320463320464</v>
      </c>
      <c r="T38" s="108"/>
      <c r="U38" s="109"/>
      <c r="V38" s="109"/>
    </row>
    <row r="39" spans="1:22">
      <c r="A39" s="101" t="s">
        <v>84</v>
      </c>
      <c r="B39" s="102" t="s">
        <v>308</v>
      </c>
      <c r="C39" s="103" t="s">
        <v>265</v>
      </c>
      <c r="D39" s="215">
        <v>2881</v>
      </c>
      <c r="E39" s="216">
        <v>10070</v>
      </c>
      <c r="F39" s="104"/>
      <c r="G39" s="211">
        <v>2240</v>
      </c>
      <c r="H39" s="211">
        <v>8784</v>
      </c>
      <c r="I39" s="107"/>
      <c r="J39" s="211">
        <v>401</v>
      </c>
      <c r="K39" s="211">
        <v>661</v>
      </c>
      <c r="L39" s="107"/>
      <c r="M39" s="211">
        <v>131</v>
      </c>
      <c r="N39" s="211">
        <v>461</v>
      </c>
      <c r="O39" s="105"/>
      <c r="P39" s="203">
        <f t="shared" si="0"/>
        <v>28.609731876861964</v>
      </c>
      <c r="Q39" s="204">
        <f t="shared" si="1"/>
        <v>25.500910746812387</v>
      </c>
      <c r="R39" s="204">
        <f t="shared" si="2"/>
        <v>60.665658093797283</v>
      </c>
      <c r="S39" s="203">
        <f t="shared" si="3"/>
        <v>28.416485900216919</v>
      </c>
      <c r="T39" s="108"/>
      <c r="U39" s="109"/>
      <c r="V39" s="109"/>
    </row>
    <row r="40" spans="1:22">
      <c r="A40" s="101" t="s">
        <v>86</v>
      </c>
      <c r="B40" s="102" t="s">
        <v>87</v>
      </c>
      <c r="C40" s="103" t="s">
        <v>267</v>
      </c>
      <c r="D40" s="215">
        <v>3866</v>
      </c>
      <c r="E40" s="216">
        <v>17412</v>
      </c>
      <c r="F40" s="104"/>
      <c r="G40" s="211">
        <v>3103</v>
      </c>
      <c r="H40" s="211">
        <v>14783</v>
      </c>
      <c r="I40" s="107"/>
      <c r="J40" s="211">
        <v>311</v>
      </c>
      <c r="K40" s="211">
        <v>793</v>
      </c>
      <c r="L40" s="107"/>
      <c r="M40" s="211">
        <v>412</v>
      </c>
      <c r="N40" s="211">
        <v>1766</v>
      </c>
      <c r="O40" s="105"/>
      <c r="P40" s="203">
        <f t="shared" si="0"/>
        <v>22.203078336779232</v>
      </c>
      <c r="Q40" s="204">
        <f t="shared" si="1"/>
        <v>20.990326726645474</v>
      </c>
      <c r="R40" s="204">
        <f t="shared" si="2"/>
        <v>39.218158890290042</v>
      </c>
      <c r="S40" s="203">
        <f t="shared" si="3"/>
        <v>23.32955832389581</v>
      </c>
      <c r="T40" s="108"/>
      <c r="U40" s="109"/>
      <c r="V40" s="109"/>
    </row>
    <row r="41" spans="1:22">
      <c r="A41" s="101" t="s">
        <v>92</v>
      </c>
      <c r="B41" s="102" t="s">
        <v>93</v>
      </c>
      <c r="C41" s="103" t="s">
        <v>268</v>
      </c>
      <c r="D41" s="215">
        <v>847</v>
      </c>
      <c r="E41" s="216">
        <v>3246</v>
      </c>
      <c r="F41" s="104"/>
      <c r="G41" s="211">
        <v>781</v>
      </c>
      <c r="H41" s="211">
        <v>3112</v>
      </c>
      <c r="I41" s="107"/>
      <c r="J41" s="211">
        <v>22</v>
      </c>
      <c r="K41" s="211">
        <v>36</v>
      </c>
      <c r="L41" s="107"/>
      <c r="M41" s="211">
        <v>27</v>
      </c>
      <c r="N41" s="211">
        <v>70</v>
      </c>
      <c r="O41" s="105"/>
      <c r="P41" s="203">
        <f t="shared" si="0"/>
        <v>26.093653727664819</v>
      </c>
      <c r="Q41" s="204">
        <f t="shared" si="1"/>
        <v>25.096401028277636</v>
      </c>
      <c r="R41" s="204">
        <f t="shared" si="2"/>
        <v>61.111111111111114</v>
      </c>
      <c r="S41" s="203">
        <f t="shared" si="3"/>
        <v>38.571428571428577</v>
      </c>
      <c r="T41" s="108"/>
      <c r="U41" s="109"/>
      <c r="V41" s="109"/>
    </row>
    <row r="42" spans="1:22">
      <c r="A42" s="101" t="s">
        <v>94</v>
      </c>
      <c r="B42" s="102" t="s">
        <v>95</v>
      </c>
      <c r="C42" s="103" t="s">
        <v>264</v>
      </c>
      <c r="D42" s="215">
        <v>1686</v>
      </c>
      <c r="E42" s="216">
        <v>7025</v>
      </c>
      <c r="F42" s="104"/>
      <c r="G42" s="211">
        <v>1328</v>
      </c>
      <c r="H42" s="211">
        <v>6082</v>
      </c>
      <c r="I42" s="107"/>
      <c r="J42" s="211">
        <v>196</v>
      </c>
      <c r="K42" s="211">
        <v>458</v>
      </c>
      <c r="L42" s="107"/>
      <c r="M42" s="211">
        <v>58</v>
      </c>
      <c r="N42" s="211">
        <v>278</v>
      </c>
      <c r="O42" s="105"/>
      <c r="P42" s="203">
        <f t="shared" si="0"/>
        <v>24</v>
      </c>
      <c r="Q42" s="204">
        <f t="shared" si="1"/>
        <v>21.834922722788555</v>
      </c>
      <c r="R42" s="204">
        <f t="shared" si="2"/>
        <v>42.79475982532751</v>
      </c>
      <c r="S42" s="203">
        <f t="shared" si="3"/>
        <v>20.863309352517987</v>
      </c>
      <c r="T42" s="108"/>
      <c r="U42" s="109"/>
      <c r="V42" s="109"/>
    </row>
    <row r="43" spans="1:22">
      <c r="A43" s="101" t="s">
        <v>96</v>
      </c>
      <c r="B43" s="102" t="s">
        <v>97</v>
      </c>
      <c r="C43" s="103" t="s">
        <v>266</v>
      </c>
      <c r="D43" s="215">
        <v>632</v>
      </c>
      <c r="E43" s="216">
        <v>3924</v>
      </c>
      <c r="F43" s="104"/>
      <c r="G43" s="211">
        <v>424</v>
      </c>
      <c r="H43" s="211">
        <v>3245</v>
      </c>
      <c r="I43" s="107"/>
      <c r="J43" s="211">
        <v>179</v>
      </c>
      <c r="K43" s="211">
        <v>468</v>
      </c>
      <c r="L43" s="107"/>
      <c r="M43" s="211">
        <v>17</v>
      </c>
      <c r="N43" s="211">
        <v>133</v>
      </c>
      <c r="O43" s="105"/>
      <c r="P43" s="203">
        <f t="shared" si="0"/>
        <v>16.106014271151885</v>
      </c>
      <c r="Q43" s="204">
        <f t="shared" si="1"/>
        <v>13.066255778120183</v>
      </c>
      <c r="R43" s="204">
        <f t="shared" si="2"/>
        <v>38.247863247863243</v>
      </c>
      <c r="S43" s="203">
        <f t="shared" si="3"/>
        <v>12.781954887218044</v>
      </c>
      <c r="T43" s="108"/>
      <c r="U43" s="109"/>
      <c r="V43" s="109"/>
    </row>
    <row r="44" spans="1:22">
      <c r="A44" s="101" t="s">
        <v>98</v>
      </c>
      <c r="B44" s="102" t="s">
        <v>99</v>
      </c>
      <c r="C44" s="103" t="s">
        <v>268</v>
      </c>
      <c r="D44" s="215">
        <v>750</v>
      </c>
      <c r="E44" s="216">
        <v>2547</v>
      </c>
      <c r="F44" s="104"/>
      <c r="G44" s="211">
        <v>663</v>
      </c>
      <c r="H44" s="211">
        <v>2360</v>
      </c>
      <c r="I44" s="107"/>
      <c r="J44" s="211">
        <v>40</v>
      </c>
      <c r="K44" s="211">
        <v>62</v>
      </c>
      <c r="L44" s="107"/>
      <c r="M44" s="211">
        <v>46</v>
      </c>
      <c r="N44" s="211">
        <v>134</v>
      </c>
      <c r="O44" s="105"/>
      <c r="P44" s="203">
        <f t="shared" si="0"/>
        <v>29.446407538280329</v>
      </c>
      <c r="Q44" s="204">
        <f t="shared" si="1"/>
        <v>28.093220338983048</v>
      </c>
      <c r="R44" s="204">
        <f t="shared" si="2"/>
        <v>64.516129032258064</v>
      </c>
      <c r="S44" s="203">
        <f t="shared" si="3"/>
        <v>34.328358208955223</v>
      </c>
      <c r="T44" s="108"/>
      <c r="U44" s="109"/>
      <c r="V44" s="109"/>
    </row>
    <row r="45" spans="1:22">
      <c r="A45" s="101" t="s">
        <v>100</v>
      </c>
      <c r="B45" s="102" t="s">
        <v>101</v>
      </c>
      <c r="C45" s="103" t="s">
        <v>267</v>
      </c>
      <c r="D45" s="215">
        <v>910</v>
      </c>
      <c r="E45" s="216">
        <v>4007</v>
      </c>
      <c r="F45" s="104"/>
      <c r="G45" s="211">
        <v>665</v>
      </c>
      <c r="H45" s="211">
        <v>3341</v>
      </c>
      <c r="I45" s="107"/>
      <c r="J45" s="211">
        <v>135</v>
      </c>
      <c r="K45" s="211">
        <v>241</v>
      </c>
      <c r="L45" s="107"/>
      <c r="M45" s="211">
        <v>52</v>
      </c>
      <c r="N45" s="211">
        <v>275</v>
      </c>
      <c r="O45" s="105"/>
      <c r="P45" s="203">
        <f t="shared" si="0"/>
        <v>22.710257050162216</v>
      </c>
      <c r="Q45" s="204">
        <f t="shared" si="1"/>
        <v>19.904220293325352</v>
      </c>
      <c r="R45" s="204">
        <f t="shared" si="2"/>
        <v>56.016597510373444</v>
      </c>
      <c r="S45" s="203">
        <f t="shared" si="3"/>
        <v>18.90909090909091</v>
      </c>
      <c r="T45" s="108"/>
      <c r="U45" s="109"/>
      <c r="V45" s="109"/>
    </row>
    <row r="46" spans="1:22">
      <c r="A46" s="101" t="s">
        <v>102</v>
      </c>
      <c r="B46" s="102" t="s">
        <v>282</v>
      </c>
      <c r="C46" s="103" t="s">
        <v>264</v>
      </c>
      <c r="D46" s="215">
        <v>1510</v>
      </c>
      <c r="E46" s="216">
        <v>2790</v>
      </c>
      <c r="F46" s="104"/>
      <c r="G46" s="211">
        <v>235</v>
      </c>
      <c r="H46" s="211">
        <v>856</v>
      </c>
      <c r="I46" s="107"/>
      <c r="J46" s="211">
        <v>1206</v>
      </c>
      <c r="K46" s="211">
        <v>1787</v>
      </c>
      <c r="L46" s="107"/>
      <c r="M46" s="211">
        <v>36</v>
      </c>
      <c r="N46" s="211">
        <v>102</v>
      </c>
      <c r="O46" s="105"/>
      <c r="P46" s="203">
        <f t="shared" si="0"/>
        <v>54.121863799283155</v>
      </c>
      <c r="Q46" s="204">
        <f t="shared" si="1"/>
        <v>27.453271028037385</v>
      </c>
      <c r="R46" s="204">
        <f t="shared" si="2"/>
        <v>67.48740906547286</v>
      </c>
      <c r="S46" s="203">
        <f t="shared" si="3"/>
        <v>35.294117647058826</v>
      </c>
      <c r="T46" s="108"/>
      <c r="U46" s="109"/>
      <c r="V46" s="109"/>
    </row>
    <row r="47" spans="1:22">
      <c r="A47" s="101" t="s">
        <v>104</v>
      </c>
      <c r="B47" s="102" t="s">
        <v>607</v>
      </c>
      <c r="C47" s="103" t="s">
        <v>265</v>
      </c>
      <c r="D47" s="215">
        <v>2563</v>
      </c>
      <c r="E47" s="216">
        <v>6631</v>
      </c>
      <c r="F47" s="104"/>
      <c r="G47" s="211">
        <v>994</v>
      </c>
      <c r="H47" s="211">
        <v>3899</v>
      </c>
      <c r="I47" s="107"/>
      <c r="J47" s="211">
        <v>1411</v>
      </c>
      <c r="K47" s="211">
        <v>2392</v>
      </c>
      <c r="L47" s="107"/>
      <c r="M47" s="211">
        <v>62</v>
      </c>
      <c r="N47" s="211">
        <v>206</v>
      </c>
      <c r="O47" s="105"/>
      <c r="P47" s="203">
        <f t="shared" si="0"/>
        <v>38.651787060775142</v>
      </c>
      <c r="Q47" s="204">
        <f t="shared" si="1"/>
        <v>25.493716337522443</v>
      </c>
      <c r="R47" s="204">
        <f t="shared" si="2"/>
        <v>58.988294314381271</v>
      </c>
      <c r="S47" s="203">
        <f t="shared" si="3"/>
        <v>30.097087378640776</v>
      </c>
      <c r="T47" s="108"/>
      <c r="U47" s="109"/>
      <c r="V47" s="109"/>
    </row>
    <row r="48" spans="1:22">
      <c r="A48" s="101" t="s">
        <v>108</v>
      </c>
      <c r="B48" s="102" t="s">
        <v>109</v>
      </c>
      <c r="C48" s="103" t="s">
        <v>266</v>
      </c>
      <c r="D48" s="215">
        <v>4332</v>
      </c>
      <c r="E48" s="216">
        <v>22831</v>
      </c>
      <c r="F48" s="104"/>
      <c r="G48" s="211">
        <v>3249</v>
      </c>
      <c r="H48" s="211">
        <v>19794</v>
      </c>
      <c r="I48" s="107"/>
      <c r="J48" s="211">
        <v>789</v>
      </c>
      <c r="K48" s="211">
        <v>1668</v>
      </c>
      <c r="L48" s="107"/>
      <c r="M48" s="211">
        <v>140</v>
      </c>
      <c r="N48" s="211">
        <v>662</v>
      </c>
      <c r="O48" s="105"/>
      <c r="P48" s="203">
        <f t="shared" si="0"/>
        <v>18.974201743243835</v>
      </c>
      <c r="Q48" s="204">
        <f t="shared" si="1"/>
        <v>16.41406486814186</v>
      </c>
      <c r="R48" s="204">
        <f t="shared" si="2"/>
        <v>47.302158273381295</v>
      </c>
      <c r="S48" s="203">
        <f t="shared" si="3"/>
        <v>21.148036253776432</v>
      </c>
      <c r="T48" s="108"/>
      <c r="U48" s="109"/>
      <c r="V48" s="109"/>
    </row>
    <row r="49" spans="1:22">
      <c r="A49" s="101" t="s">
        <v>110</v>
      </c>
      <c r="B49" s="102" t="s">
        <v>111</v>
      </c>
      <c r="C49" s="103" t="s">
        <v>266</v>
      </c>
      <c r="D49" s="215">
        <v>21007</v>
      </c>
      <c r="E49" s="216">
        <v>66860</v>
      </c>
      <c r="F49" s="104"/>
      <c r="G49" s="211">
        <v>6461</v>
      </c>
      <c r="H49" s="211">
        <v>35579</v>
      </c>
      <c r="I49" s="107"/>
      <c r="J49" s="211">
        <v>12349</v>
      </c>
      <c r="K49" s="211">
        <v>21013</v>
      </c>
      <c r="L49" s="110"/>
      <c r="M49" s="211">
        <v>1505</v>
      </c>
      <c r="N49" s="211">
        <v>4354</v>
      </c>
      <c r="O49" s="105"/>
      <c r="P49" s="205">
        <f t="shared" si="0"/>
        <v>31.419383787017647</v>
      </c>
      <c r="Q49" s="204">
        <f t="shared" si="1"/>
        <v>18.159588521318756</v>
      </c>
      <c r="R49" s="204">
        <f t="shared" si="2"/>
        <v>58.768381478132582</v>
      </c>
      <c r="S49" s="203">
        <f t="shared" si="3"/>
        <v>34.565916398713824</v>
      </c>
      <c r="T49" s="108"/>
      <c r="U49" s="109"/>
      <c r="V49" s="109"/>
    </row>
    <row r="50" spans="1:22">
      <c r="A50" s="101" t="s">
        <v>112</v>
      </c>
      <c r="B50" s="102" t="s">
        <v>300</v>
      </c>
      <c r="C50" s="103" t="s">
        <v>265</v>
      </c>
      <c r="D50" s="215">
        <v>4636</v>
      </c>
      <c r="E50" s="216">
        <v>11572</v>
      </c>
      <c r="F50" s="104"/>
      <c r="G50" s="211">
        <v>2149</v>
      </c>
      <c r="H50" s="211">
        <v>7196</v>
      </c>
      <c r="I50" s="107"/>
      <c r="J50" s="211">
        <v>1907</v>
      </c>
      <c r="K50" s="211">
        <v>3041</v>
      </c>
      <c r="L50" s="110"/>
      <c r="M50" s="211">
        <v>415</v>
      </c>
      <c r="N50" s="211">
        <v>1164</v>
      </c>
      <c r="O50" s="105"/>
      <c r="P50" s="205">
        <f t="shared" si="0"/>
        <v>40.06221914967162</v>
      </c>
      <c r="Q50" s="204">
        <f t="shared" si="1"/>
        <v>29.863813229571985</v>
      </c>
      <c r="R50" s="204">
        <f t="shared" si="2"/>
        <v>62.709634988490627</v>
      </c>
      <c r="S50" s="203">
        <f t="shared" si="3"/>
        <v>35.65292096219931</v>
      </c>
      <c r="T50" s="108"/>
      <c r="U50" s="109"/>
      <c r="V50" s="109"/>
    </row>
    <row r="51" spans="1:22">
      <c r="A51" s="101" t="s">
        <v>114</v>
      </c>
      <c r="B51" s="102" t="s">
        <v>115</v>
      </c>
      <c r="C51" s="103" t="s">
        <v>265</v>
      </c>
      <c r="D51" s="215">
        <v>57</v>
      </c>
      <c r="E51" s="216">
        <v>311</v>
      </c>
      <c r="F51" s="104"/>
      <c r="G51" s="211">
        <v>55</v>
      </c>
      <c r="H51" s="211">
        <v>309</v>
      </c>
      <c r="I51" s="107"/>
      <c r="J51" s="211">
        <v>2</v>
      </c>
      <c r="K51" s="211">
        <v>2</v>
      </c>
      <c r="L51" s="110"/>
      <c r="M51" s="211">
        <v>0</v>
      </c>
      <c r="N51" s="211">
        <v>0</v>
      </c>
      <c r="O51" s="105"/>
      <c r="P51" s="205">
        <f t="shared" si="0"/>
        <v>18.327974276527332</v>
      </c>
      <c r="Q51" s="204">
        <f t="shared" si="1"/>
        <v>17.79935275080906</v>
      </c>
      <c r="R51" s="204">
        <f t="shared" si="2"/>
        <v>100</v>
      </c>
      <c r="S51" s="203" t="str">
        <f t="shared" si="3"/>
        <v>NA</v>
      </c>
      <c r="T51" s="108"/>
      <c r="U51" s="109"/>
      <c r="V51" s="109"/>
    </row>
    <row r="52" spans="1:22">
      <c r="A52" s="101" t="s">
        <v>118</v>
      </c>
      <c r="B52" s="102" t="s">
        <v>119</v>
      </c>
      <c r="C52" s="103" t="s">
        <v>264</v>
      </c>
      <c r="D52" s="215">
        <v>1834</v>
      </c>
      <c r="E52" s="216">
        <v>6991</v>
      </c>
      <c r="F52" s="104"/>
      <c r="G52" s="211">
        <v>879</v>
      </c>
      <c r="H52" s="211">
        <v>4950</v>
      </c>
      <c r="I52" s="107"/>
      <c r="J52" s="211">
        <v>846</v>
      </c>
      <c r="K52" s="211">
        <v>1612</v>
      </c>
      <c r="L52" s="110"/>
      <c r="M52" s="211">
        <v>61</v>
      </c>
      <c r="N52" s="211">
        <v>221</v>
      </c>
      <c r="O52" s="105"/>
      <c r="P52" s="205">
        <f t="shared" si="0"/>
        <v>26.233729080246032</v>
      </c>
      <c r="Q52" s="204">
        <f t="shared" si="1"/>
        <v>17.757575757575758</v>
      </c>
      <c r="R52" s="204">
        <f t="shared" si="2"/>
        <v>52.481389578163771</v>
      </c>
      <c r="S52" s="203">
        <f t="shared" si="3"/>
        <v>27.601809954751133</v>
      </c>
      <c r="T52" s="108"/>
      <c r="U52" s="109"/>
      <c r="V52" s="109"/>
    </row>
    <row r="53" spans="1:22">
      <c r="A53" s="101" t="s">
        <v>120</v>
      </c>
      <c r="B53" s="102" t="s">
        <v>121</v>
      </c>
      <c r="C53" s="103" t="s">
        <v>264</v>
      </c>
      <c r="D53" s="215">
        <v>3017</v>
      </c>
      <c r="E53" s="216">
        <v>13018</v>
      </c>
      <c r="F53" s="104"/>
      <c r="G53" s="211">
        <v>1657</v>
      </c>
      <c r="H53" s="211">
        <v>9918</v>
      </c>
      <c r="I53" s="107"/>
      <c r="J53" s="211">
        <v>936</v>
      </c>
      <c r="K53" s="211">
        <v>1676</v>
      </c>
      <c r="L53" s="110"/>
      <c r="M53" s="211">
        <v>291</v>
      </c>
      <c r="N53" s="211">
        <v>917</v>
      </c>
      <c r="O53" s="105"/>
      <c r="P53" s="205">
        <f t="shared" si="0"/>
        <v>23.175603011215241</v>
      </c>
      <c r="Q53" s="204">
        <f t="shared" si="1"/>
        <v>16.706997378503729</v>
      </c>
      <c r="R53" s="204">
        <f t="shared" si="2"/>
        <v>55.847255369928405</v>
      </c>
      <c r="S53" s="203">
        <f t="shared" si="3"/>
        <v>31.733914940021812</v>
      </c>
      <c r="T53" s="108"/>
      <c r="U53" s="109"/>
      <c r="V53" s="109"/>
    </row>
    <row r="54" spans="1:22">
      <c r="A54" s="101" t="s">
        <v>122</v>
      </c>
      <c r="B54" s="102" t="s">
        <v>271</v>
      </c>
      <c r="C54" s="103" t="s">
        <v>266</v>
      </c>
      <c r="D54" s="215">
        <v>341</v>
      </c>
      <c r="E54" s="216">
        <v>1202</v>
      </c>
      <c r="F54" s="104"/>
      <c r="G54" s="211">
        <v>185</v>
      </c>
      <c r="H54" s="211">
        <v>850</v>
      </c>
      <c r="I54" s="107"/>
      <c r="J54" s="211">
        <v>123</v>
      </c>
      <c r="K54" s="211">
        <v>259</v>
      </c>
      <c r="L54" s="110"/>
      <c r="M54" s="211">
        <v>11</v>
      </c>
      <c r="N54" s="211">
        <v>72</v>
      </c>
      <c r="O54" s="105"/>
      <c r="P54" s="205">
        <f t="shared" si="0"/>
        <v>28.369384359401</v>
      </c>
      <c r="Q54" s="204">
        <f t="shared" si="1"/>
        <v>21.764705882352942</v>
      </c>
      <c r="R54" s="204">
        <f t="shared" si="2"/>
        <v>47.490347490347489</v>
      </c>
      <c r="S54" s="203">
        <f t="shared" si="3"/>
        <v>15.277777777777779</v>
      </c>
      <c r="T54" s="108"/>
      <c r="U54" s="109"/>
      <c r="V54" s="109"/>
    </row>
    <row r="55" spans="1:22">
      <c r="A55" s="101" t="s">
        <v>124</v>
      </c>
      <c r="B55" s="102" t="s">
        <v>125</v>
      </c>
      <c r="C55" s="103" t="s">
        <v>267</v>
      </c>
      <c r="D55" s="215">
        <v>1214</v>
      </c>
      <c r="E55" s="216">
        <v>5771</v>
      </c>
      <c r="F55" s="104"/>
      <c r="G55" s="211">
        <v>732</v>
      </c>
      <c r="H55" s="211">
        <v>4347</v>
      </c>
      <c r="I55" s="107"/>
      <c r="J55" s="211">
        <v>375</v>
      </c>
      <c r="K55" s="211">
        <v>931</v>
      </c>
      <c r="L55" s="110"/>
      <c r="M55" s="211">
        <v>56</v>
      </c>
      <c r="N55" s="211">
        <v>292</v>
      </c>
      <c r="O55" s="105"/>
      <c r="P55" s="205">
        <f t="shared" si="0"/>
        <v>21.036215560561427</v>
      </c>
      <c r="Q55" s="204">
        <f t="shared" si="1"/>
        <v>16.839199447895101</v>
      </c>
      <c r="R55" s="204">
        <f t="shared" si="2"/>
        <v>40.27926960257787</v>
      </c>
      <c r="S55" s="203">
        <f t="shared" si="3"/>
        <v>19.17808219178082</v>
      </c>
      <c r="T55" s="108"/>
      <c r="U55" s="109"/>
      <c r="V55" s="109"/>
    </row>
    <row r="56" spans="1:22">
      <c r="A56" s="101" t="s">
        <v>126</v>
      </c>
      <c r="B56" s="102" t="s">
        <v>127</v>
      </c>
      <c r="C56" s="103" t="s">
        <v>266</v>
      </c>
      <c r="D56" s="215">
        <v>814</v>
      </c>
      <c r="E56" s="216">
        <v>3459</v>
      </c>
      <c r="F56" s="104"/>
      <c r="G56" s="211">
        <v>571</v>
      </c>
      <c r="H56" s="211">
        <v>2797</v>
      </c>
      <c r="I56" s="107"/>
      <c r="J56" s="211">
        <v>169</v>
      </c>
      <c r="K56" s="211">
        <v>400</v>
      </c>
      <c r="L56" s="110"/>
      <c r="M56" s="211">
        <v>27</v>
      </c>
      <c r="N56" s="211">
        <v>99</v>
      </c>
      <c r="O56" s="105"/>
      <c r="P56" s="205">
        <f t="shared" si="0"/>
        <v>23.53281295172015</v>
      </c>
      <c r="Q56" s="204">
        <f t="shared" si="1"/>
        <v>20.414730067929927</v>
      </c>
      <c r="R56" s="204">
        <f t="shared" si="2"/>
        <v>42.25</v>
      </c>
      <c r="S56" s="203">
        <f t="shared" si="3"/>
        <v>27.27272727272727</v>
      </c>
      <c r="T56" s="108"/>
      <c r="U56" s="109"/>
      <c r="V56" s="109"/>
    </row>
    <row r="57" spans="1:22">
      <c r="A57" s="101" t="s">
        <v>128</v>
      </c>
      <c r="B57" s="102" t="s">
        <v>129</v>
      </c>
      <c r="C57" s="103" t="s">
        <v>266</v>
      </c>
      <c r="D57" s="215">
        <v>634</v>
      </c>
      <c r="E57" s="216">
        <v>1540</v>
      </c>
      <c r="F57" s="104"/>
      <c r="G57" s="211">
        <v>197</v>
      </c>
      <c r="H57" s="211">
        <v>855</v>
      </c>
      <c r="I57" s="107"/>
      <c r="J57" s="211">
        <v>405</v>
      </c>
      <c r="K57" s="211">
        <v>607</v>
      </c>
      <c r="L57" s="110"/>
      <c r="M57" s="211">
        <v>12</v>
      </c>
      <c r="N57" s="211">
        <v>34</v>
      </c>
      <c r="O57" s="105"/>
      <c r="P57" s="205">
        <f t="shared" si="0"/>
        <v>41.168831168831169</v>
      </c>
      <c r="Q57" s="204">
        <f t="shared" si="1"/>
        <v>23.040935672514621</v>
      </c>
      <c r="R57" s="204">
        <f t="shared" si="2"/>
        <v>66.721581548599673</v>
      </c>
      <c r="S57" s="203">
        <f t="shared" si="3"/>
        <v>35.294117647058826</v>
      </c>
      <c r="T57" s="108"/>
      <c r="U57" s="109"/>
      <c r="V57" s="109"/>
    </row>
    <row r="58" spans="1:22">
      <c r="A58" s="101" t="s">
        <v>130</v>
      </c>
      <c r="B58" s="102" t="s">
        <v>131</v>
      </c>
      <c r="C58" s="103" t="s">
        <v>268</v>
      </c>
      <c r="D58" s="215">
        <v>1233</v>
      </c>
      <c r="E58" s="216">
        <v>4423</v>
      </c>
      <c r="F58" s="104"/>
      <c r="G58" s="211">
        <v>1193</v>
      </c>
      <c r="H58" s="211">
        <v>4329</v>
      </c>
      <c r="I58" s="107"/>
      <c r="J58" s="211">
        <v>7</v>
      </c>
      <c r="K58" s="211">
        <v>21</v>
      </c>
      <c r="L58" s="110"/>
      <c r="M58" s="211">
        <v>25</v>
      </c>
      <c r="N58" s="211">
        <v>48</v>
      </c>
      <c r="O58" s="105"/>
      <c r="P58" s="205">
        <f t="shared" si="0"/>
        <v>27.87700655663577</v>
      </c>
      <c r="Q58" s="204">
        <f t="shared" si="1"/>
        <v>27.558327558327562</v>
      </c>
      <c r="R58" s="204">
        <f t="shared" si="2"/>
        <v>33.333333333333329</v>
      </c>
      <c r="S58" s="203">
        <f t="shared" si="3"/>
        <v>52.083333333333336</v>
      </c>
      <c r="T58" s="108"/>
      <c r="U58" s="109"/>
      <c r="V58" s="109"/>
    </row>
    <row r="59" spans="1:22">
      <c r="A59" s="101" t="s">
        <v>132</v>
      </c>
      <c r="B59" s="102" t="s">
        <v>133</v>
      </c>
      <c r="C59" s="103" t="s">
        <v>267</v>
      </c>
      <c r="D59" s="215">
        <v>11869</v>
      </c>
      <c r="E59" s="216">
        <v>90189</v>
      </c>
      <c r="F59" s="104"/>
      <c r="G59" s="211">
        <v>7177</v>
      </c>
      <c r="H59" s="211">
        <v>59927</v>
      </c>
      <c r="I59" s="107"/>
      <c r="J59" s="211">
        <v>1805</v>
      </c>
      <c r="K59" s="211">
        <v>5736</v>
      </c>
      <c r="L59" s="110"/>
      <c r="M59" s="211">
        <v>2403</v>
      </c>
      <c r="N59" s="211">
        <v>11322</v>
      </c>
      <c r="O59" s="105"/>
      <c r="P59" s="205">
        <f t="shared" si="0"/>
        <v>13.160141480668376</v>
      </c>
      <c r="Q59" s="204">
        <f t="shared" si="1"/>
        <v>11.976237755936388</v>
      </c>
      <c r="R59" s="204">
        <f t="shared" si="2"/>
        <v>31.467921896792188</v>
      </c>
      <c r="S59" s="203">
        <f t="shared" si="3"/>
        <v>21.224165341812402</v>
      </c>
      <c r="T59" s="108"/>
      <c r="U59" s="109"/>
      <c r="V59" s="109"/>
    </row>
    <row r="60" spans="1:22">
      <c r="A60" s="101" t="s">
        <v>134</v>
      </c>
      <c r="B60" s="102" t="s">
        <v>135</v>
      </c>
      <c r="C60" s="103" t="s">
        <v>267</v>
      </c>
      <c r="D60" s="215">
        <v>1576</v>
      </c>
      <c r="E60" s="216">
        <v>6209</v>
      </c>
      <c r="F60" s="104"/>
      <c r="G60" s="211">
        <v>969</v>
      </c>
      <c r="H60" s="211">
        <v>4816</v>
      </c>
      <c r="I60" s="107"/>
      <c r="J60" s="211">
        <v>447</v>
      </c>
      <c r="K60" s="211">
        <v>915</v>
      </c>
      <c r="L60" s="110"/>
      <c r="M60" s="211">
        <v>49</v>
      </c>
      <c r="N60" s="211">
        <v>238</v>
      </c>
      <c r="O60" s="105"/>
      <c r="P60" s="205">
        <f t="shared" si="0"/>
        <v>25.382509260750524</v>
      </c>
      <c r="Q60" s="204">
        <f t="shared" si="1"/>
        <v>20.120431893687709</v>
      </c>
      <c r="R60" s="204">
        <f t="shared" si="2"/>
        <v>48.852459016393439</v>
      </c>
      <c r="S60" s="203">
        <f t="shared" si="3"/>
        <v>20.588235294117645</v>
      </c>
      <c r="T60" s="108"/>
      <c r="U60" s="109"/>
      <c r="V60" s="109"/>
    </row>
    <row r="61" spans="1:22">
      <c r="A61" s="101" t="s">
        <v>136</v>
      </c>
      <c r="B61" s="102" t="s">
        <v>137</v>
      </c>
      <c r="C61" s="103" t="s">
        <v>266</v>
      </c>
      <c r="D61" s="215">
        <v>702</v>
      </c>
      <c r="E61" s="216">
        <v>2032</v>
      </c>
      <c r="F61" s="104"/>
      <c r="G61" s="211">
        <v>310</v>
      </c>
      <c r="H61" s="211">
        <v>1308</v>
      </c>
      <c r="I61" s="107"/>
      <c r="J61" s="211">
        <v>310</v>
      </c>
      <c r="K61" s="211">
        <v>544</v>
      </c>
      <c r="L61" s="110"/>
      <c r="M61" s="211">
        <v>51</v>
      </c>
      <c r="N61" s="211">
        <v>125</v>
      </c>
      <c r="O61" s="105"/>
      <c r="P61" s="205">
        <f t="shared" si="0"/>
        <v>34.547244094488185</v>
      </c>
      <c r="Q61" s="204">
        <f t="shared" si="1"/>
        <v>23.700305810397555</v>
      </c>
      <c r="R61" s="204">
        <f t="shared" si="2"/>
        <v>56.985294117647058</v>
      </c>
      <c r="S61" s="203">
        <f t="shared" si="3"/>
        <v>40.799999999999997</v>
      </c>
      <c r="T61" s="108"/>
      <c r="U61" s="109"/>
      <c r="V61" s="109"/>
    </row>
    <row r="62" spans="1:22">
      <c r="A62" s="101" t="s">
        <v>140</v>
      </c>
      <c r="B62" s="102" t="s">
        <v>141</v>
      </c>
      <c r="C62" s="103" t="s">
        <v>267</v>
      </c>
      <c r="D62" s="215">
        <v>551</v>
      </c>
      <c r="E62" s="216">
        <v>2527</v>
      </c>
      <c r="F62" s="104"/>
      <c r="G62" s="211">
        <v>442</v>
      </c>
      <c r="H62" s="211">
        <v>2181</v>
      </c>
      <c r="I62" s="107"/>
      <c r="J62" s="211">
        <v>60</v>
      </c>
      <c r="K62" s="211">
        <v>180</v>
      </c>
      <c r="L62" s="110"/>
      <c r="M62" s="211">
        <v>17</v>
      </c>
      <c r="N62" s="211">
        <v>78</v>
      </c>
      <c r="O62" s="105"/>
      <c r="P62" s="205">
        <f t="shared" si="0"/>
        <v>21.804511278195488</v>
      </c>
      <c r="Q62" s="204">
        <f t="shared" si="1"/>
        <v>20.265933058230171</v>
      </c>
      <c r="R62" s="204">
        <f t="shared" si="2"/>
        <v>33.333333333333329</v>
      </c>
      <c r="S62" s="203">
        <f t="shared" si="3"/>
        <v>21.794871794871796</v>
      </c>
      <c r="T62" s="108"/>
      <c r="U62" s="109"/>
      <c r="V62" s="109"/>
    </row>
    <row r="63" spans="1:22">
      <c r="A63" s="101" t="s">
        <v>146</v>
      </c>
      <c r="B63" s="102" t="s">
        <v>147</v>
      </c>
      <c r="C63" s="103" t="s">
        <v>264</v>
      </c>
      <c r="D63" s="215">
        <v>306</v>
      </c>
      <c r="E63" s="216">
        <v>1399</v>
      </c>
      <c r="F63" s="104"/>
      <c r="G63" s="211">
        <v>236</v>
      </c>
      <c r="H63" s="211">
        <v>1218</v>
      </c>
      <c r="I63" s="107"/>
      <c r="J63" s="211">
        <v>51</v>
      </c>
      <c r="K63" s="211">
        <v>119</v>
      </c>
      <c r="L63" s="110"/>
      <c r="M63" s="211">
        <v>5</v>
      </c>
      <c r="N63" s="211">
        <v>33</v>
      </c>
      <c r="O63" s="105"/>
      <c r="P63" s="205">
        <f t="shared" si="0"/>
        <v>21.872766261615439</v>
      </c>
      <c r="Q63" s="204">
        <f t="shared" si="1"/>
        <v>19.376026272577999</v>
      </c>
      <c r="R63" s="204">
        <f t="shared" si="2"/>
        <v>42.857142857142854</v>
      </c>
      <c r="S63" s="203">
        <f t="shared" si="3"/>
        <v>15.151515151515152</v>
      </c>
      <c r="T63" s="108"/>
      <c r="U63" s="109"/>
      <c r="V63" s="109"/>
    </row>
    <row r="64" spans="1:22">
      <c r="A64" s="101" t="s">
        <v>148</v>
      </c>
      <c r="B64" s="102" t="s">
        <v>149</v>
      </c>
      <c r="C64" s="103" t="s">
        <v>265</v>
      </c>
      <c r="D64" s="215">
        <v>2155</v>
      </c>
      <c r="E64" s="216">
        <v>5216</v>
      </c>
      <c r="F64" s="104"/>
      <c r="G64" s="211">
        <v>756</v>
      </c>
      <c r="H64" s="211">
        <v>2955</v>
      </c>
      <c r="I64" s="107"/>
      <c r="J64" s="211">
        <v>1255</v>
      </c>
      <c r="K64" s="211">
        <v>1903</v>
      </c>
      <c r="L64" s="110"/>
      <c r="M64" s="211">
        <v>52</v>
      </c>
      <c r="N64" s="211">
        <v>199</v>
      </c>
      <c r="O64" s="105"/>
      <c r="P64" s="205">
        <f t="shared" si="0"/>
        <v>41.315184049079754</v>
      </c>
      <c r="Q64" s="204">
        <f t="shared" si="1"/>
        <v>25.583756345177665</v>
      </c>
      <c r="R64" s="204">
        <f t="shared" si="2"/>
        <v>65.948502364687329</v>
      </c>
      <c r="S64" s="203">
        <f t="shared" si="3"/>
        <v>26.13065326633166</v>
      </c>
      <c r="T64" s="108"/>
      <c r="U64" s="109"/>
      <c r="V64" s="109"/>
    </row>
    <row r="65" spans="1:22">
      <c r="A65" s="101" t="s">
        <v>150</v>
      </c>
      <c r="B65" s="102" t="s">
        <v>151</v>
      </c>
      <c r="C65" s="103" t="s">
        <v>266</v>
      </c>
      <c r="D65" s="215">
        <v>430</v>
      </c>
      <c r="E65" s="216">
        <v>1466</v>
      </c>
      <c r="F65" s="104"/>
      <c r="G65" s="211">
        <v>300</v>
      </c>
      <c r="H65" s="211">
        <v>1152</v>
      </c>
      <c r="I65" s="107"/>
      <c r="J65" s="211">
        <v>108</v>
      </c>
      <c r="K65" s="211">
        <v>232</v>
      </c>
      <c r="L65" s="110"/>
      <c r="M65" s="211">
        <v>6</v>
      </c>
      <c r="N65" s="211">
        <v>42</v>
      </c>
      <c r="O65" s="105"/>
      <c r="P65" s="205">
        <f t="shared" si="0"/>
        <v>29.331514324693043</v>
      </c>
      <c r="Q65" s="204">
        <f t="shared" si="1"/>
        <v>26.041666666666668</v>
      </c>
      <c r="R65" s="204">
        <f t="shared" si="2"/>
        <v>46.551724137931032</v>
      </c>
      <c r="S65" s="203">
        <f t="shared" si="3"/>
        <v>14.285714285714285</v>
      </c>
      <c r="T65" s="108"/>
      <c r="U65" s="109"/>
      <c r="V65" s="109"/>
    </row>
    <row r="66" spans="1:22">
      <c r="A66" s="101" t="s">
        <v>152</v>
      </c>
      <c r="B66" s="102" t="s">
        <v>153</v>
      </c>
      <c r="C66" s="103" t="s">
        <v>268</v>
      </c>
      <c r="D66" s="215">
        <v>3395</v>
      </c>
      <c r="E66" s="216">
        <v>13668</v>
      </c>
      <c r="F66" s="104"/>
      <c r="G66" s="211">
        <v>2763</v>
      </c>
      <c r="H66" s="211">
        <v>11839</v>
      </c>
      <c r="I66" s="107"/>
      <c r="J66" s="211">
        <v>331</v>
      </c>
      <c r="K66" s="211">
        <v>574</v>
      </c>
      <c r="L66" s="110"/>
      <c r="M66" s="211">
        <v>146</v>
      </c>
      <c r="N66" s="211">
        <v>478</v>
      </c>
      <c r="O66" s="105"/>
      <c r="P66" s="205">
        <f t="shared" si="0"/>
        <v>24.839040093649402</v>
      </c>
      <c r="Q66" s="204">
        <f t="shared" si="1"/>
        <v>23.338119773629529</v>
      </c>
      <c r="R66" s="204">
        <f t="shared" si="2"/>
        <v>57.665505226480839</v>
      </c>
      <c r="S66" s="203">
        <f t="shared" si="3"/>
        <v>30.543933054393307</v>
      </c>
      <c r="T66" s="108"/>
      <c r="U66" s="109"/>
      <c r="V66" s="109"/>
    </row>
    <row r="67" spans="1:22">
      <c r="A67" s="101" t="s">
        <v>154</v>
      </c>
      <c r="B67" s="102" t="s">
        <v>155</v>
      </c>
      <c r="C67" s="103" t="s">
        <v>265</v>
      </c>
      <c r="D67" s="215">
        <v>697</v>
      </c>
      <c r="E67" s="216">
        <v>2438</v>
      </c>
      <c r="F67" s="104"/>
      <c r="G67" s="211">
        <v>477</v>
      </c>
      <c r="H67" s="211">
        <v>1992</v>
      </c>
      <c r="I67" s="107"/>
      <c r="J67" s="211">
        <v>149</v>
      </c>
      <c r="K67" s="211">
        <v>263</v>
      </c>
      <c r="L67" s="110"/>
      <c r="M67" s="211">
        <v>33</v>
      </c>
      <c r="N67" s="211">
        <v>141</v>
      </c>
      <c r="O67" s="105"/>
      <c r="P67" s="205">
        <f t="shared" si="0"/>
        <v>28.589007383100899</v>
      </c>
      <c r="Q67" s="204">
        <f t="shared" si="1"/>
        <v>23.945783132530121</v>
      </c>
      <c r="R67" s="204">
        <f t="shared" si="2"/>
        <v>56.653992395437257</v>
      </c>
      <c r="S67" s="203">
        <f t="shared" si="3"/>
        <v>23.404255319148938</v>
      </c>
      <c r="T67" s="108"/>
      <c r="U67" s="109"/>
      <c r="V67" s="109"/>
    </row>
    <row r="68" spans="1:22">
      <c r="A68" s="101" t="s">
        <v>156</v>
      </c>
      <c r="B68" s="102" t="s">
        <v>157</v>
      </c>
      <c r="C68" s="103" t="s">
        <v>266</v>
      </c>
      <c r="D68" s="215">
        <v>700</v>
      </c>
      <c r="E68" s="216">
        <v>3565</v>
      </c>
      <c r="F68" s="104"/>
      <c r="G68" s="211">
        <v>550</v>
      </c>
      <c r="H68" s="211">
        <v>2983</v>
      </c>
      <c r="I68" s="107"/>
      <c r="J68" s="211">
        <v>102</v>
      </c>
      <c r="K68" s="211">
        <v>317</v>
      </c>
      <c r="L68" s="110"/>
      <c r="M68" s="211">
        <v>19</v>
      </c>
      <c r="N68" s="211">
        <v>136</v>
      </c>
      <c r="O68" s="105"/>
      <c r="P68" s="205">
        <f t="shared" si="0"/>
        <v>19.635343618513325</v>
      </c>
      <c r="Q68" s="204">
        <f t="shared" si="1"/>
        <v>18.437814280925245</v>
      </c>
      <c r="R68" s="204">
        <f t="shared" si="2"/>
        <v>32.176656151419557</v>
      </c>
      <c r="S68" s="203">
        <f t="shared" si="3"/>
        <v>13.970588235294118</v>
      </c>
      <c r="T68" s="108"/>
      <c r="U68" s="109"/>
      <c r="V68" s="109"/>
    </row>
    <row r="69" spans="1:22">
      <c r="A69" s="101" t="s">
        <v>162</v>
      </c>
      <c r="B69" s="102" t="s">
        <v>163</v>
      </c>
      <c r="C69" s="103" t="s">
        <v>264</v>
      </c>
      <c r="D69" s="215">
        <v>887</v>
      </c>
      <c r="E69" s="216">
        <v>2010</v>
      </c>
      <c r="F69" s="104"/>
      <c r="G69" s="211">
        <v>283</v>
      </c>
      <c r="H69" s="211">
        <v>1078</v>
      </c>
      <c r="I69" s="107"/>
      <c r="J69" s="211">
        <v>508</v>
      </c>
      <c r="K69" s="211">
        <v>710</v>
      </c>
      <c r="L69" s="110"/>
      <c r="M69" s="211">
        <v>113</v>
      </c>
      <c r="N69" s="211">
        <v>283</v>
      </c>
      <c r="O69" s="105"/>
      <c r="P69" s="205">
        <f t="shared" si="0"/>
        <v>44.129353233830848</v>
      </c>
      <c r="Q69" s="204">
        <f t="shared" si="1"/>
        <v>26.252319109461968</v>
      </c>
      <c r="R69" s="204">
        <f t="shared" si="2"/>
        <v>71.549295774647888</v>
      </c>
      <c r="S69" s="203">
        <f t="shared" si="3"/>
        <v>39.929328621908127</v>
      </c>
      <c r="T69" s="108"/>
      <c r="U69" s="109"/>
      <c r="V69" s="109"/>
    </row>
    <row r="70" spans="1:22">
      <c r="A70" s="101" t="s">
        <v>164</v>
      </c>
      <c r="B70" s="102" t="s">
        <v>165</v>
      </c>
      <c r="C70" s="103" t="s">
        <v>266</v>
      </c>
      <c r="D70" s="215">
        <v>579</v>
      </c>
      <c r="E70" s="216">
        <v>1628</v>
      </c>
      <c r="F70" s="104"/>
      <c r="G70" s="211">
        <v>237</v>
      </c>
      <c r="H70" s="211">
        <v>999</v>
      </c>
      <c r="I70" s="107"/>
      <c r="J70" s="211">
        <v>297</v>
      </c>
      <c r="K70" s="211">
        <v>521</v>
      </c>
      <c r="L70" s="110"/>
      <c r="M70" s="211">
        <v>34</v>
      </c>
      <c r="N70" s="211">
        <v>112</v>
      </c>
      <c r="O70" s="105"/>
      <c r="P70" s="205">
        <f t="shared" si="0"/>
        <v>35.565110565110565</v>
      </c>
      <c r="Q70" s="204">
        <f t="shared" si="1"/>
        <v>23.723723723723726</v>
      </c>
      <c r="R70" s="204">
        <f t="shared" si="2"/>
        <v>57.005758157389629</v>
      </c>
      <c r="S70" s="203">
        <f t="shared" si="3"/>
        <v>30.357142857142854</v>
      </c>
      <c r="T70" s="108"/>
      <c r="U70" s="109"/>
      <c r="V70" s="109"/>
    </row>
    <row r="71" spans="1:22">
      <c r="A71" s="101" t="s">
        <v>168</v>
      </c>
      <c r="B71" s="102" t="s">
        <v>169</v>
      </c>
      <c r="C71" s="103" t="s">
        <v>266</v>
      </c>
      <c r="D71" s="215">
        <v>997</v>
      </c>
      <c r="E71" s="216">
        <v>2678</v>
      </c>
      <c r="F71" s="104"/>
      <c r="G71" s="211">
        <v>421</v>
      </c>
      <c r="H71" s="211">
        <v>1585</v>
      </c>
      <c r="I71" s="107"/>
      <c r="J71" s="211">
        <v>506</v>
      </c>
      <c r="K71" s="211">
        <v>908</v>
      </c>
      <c r="L71" s="110"/>
      <c r="M71" s="211">
        <v>33</v>
      </c>
      <c r="N71" s="211">
        <v>158</v>
      </c>
      <c r="O71" s="105"/>
      <c r="P71" s="205">
        <f t="shared" ref="P71:P126" si="4">(D71/E71)*100</f>
        <v>37.229275578790144</v>
      </c>
      <c r="Q71" s="204">
        <f t="shared" ref="Q71:Q126" si="5">(G71/H71)*100</f>
        <v>26.561514195583598</v>
      </c>
      <c r="R71" s="204">
        <f t="shared" ref="R71:R126" si="6">(J71/K71)*100</f>
        <v>55.726872246696033</v>
      </c>
      <c r="S71" s="203">
        <f t="shared" ref="S71:S126" si="7">IF(N71&lt;1,"NA", ((M71/N71)*100))</f>
        <v>20.88607594936709</v>
      </c>
      <c r="T71" s="108"/>
      <c r="U71" s="109"/>
      <c r="V71" s="109"/>
    </row>
    <row r="72" spans="1:22">
      <c r="A72" s="101" t="s">
        <v>170</v>
      </c>
      <c r="B72" s="102" t="s">
        <v>171</v>
      </c>
      <c r="C72" s="103" t="s">
        <v>267</v>
      </c>
      <c r="D72" s="215">
        <v>1664</v>
      </c>
      <c r="E72" s="216">
        <v>6621</v>
      </c>
      <c r="F72" s="104"/>
      <c r="G72" s="211">
        <v>1104</v>
      </c>
      <c r="H72" s="211">
        <v>5261</v>
      </c>
      <c r="I72" s="107"/>
      <c r="J72" s="211">
        <v>363</v>
      </c>
      <c r="K72" s="211">
        <v>777</v>
      </c>
      <c r="L72" s="110"/>
      <c r="M72" s="211">
        <v>99</v>
      </c>
      <c r="N72" s="211">
        <v>366</v>
      </c>
      <c r="O72" s="105"/>
      <c r="P72" s="205">
        <f t="shared" si="4"/>
        <v>25.132155263555354</v>
      </c>
      <c r="Q72" s="204">
        <f t="shared" si="5"/>
        <v>20.984603687511878</v>
      </c>
      <c r="R72" s="204">
        <f t="shared" si="6"/>
        <v>46.71814671814672</v>
      </c>
      <c r="S72" s="203">
        <f t="shared" si="7"/>
        <v>27.049180327868854</v>
      </c>
      <c r="T72" s="108"/>
      <c r="U72" s="109"/>
      <c r="V72" s="109"/>
    </row>
    <row r="73" spans="1:22">
      <c r="A73" s="101" t="s">
        <v>172</v>
      </c>
      <c r="B73" s="102" t="s">
        <v>173</v>
      </c>
      <c r="C73" s="103" t="s">
        <v>267</v>
      </c>
      <c r="D73" s="215">
        <v>1301</v>
      </c>
      <c r="E73" s="216">
        <v>4462</v>
      </c>
      <c r="F73" s="104"/>
      <c r="G73" s="211">
        <v>1205</v>
      </c>
      <c r="H73" s="211">
        <v>4233</v>
      </c>
      <c r="I73" s="107"/>
      <c r="J73" s="211">
        <v>40</v>
      </c>
      <c r="K73" s="211">
        <v>69</v>
      </c>
      <c r="L73" s="110"/>
      <c r="M73" s="211">
        <v>54</v>
      </c>
      <c r="N73" s="211">
        <v>128</v>
      </c>
      <c r="O73" s="105"/>
      <c r="P73" s="205">
        <f t="shared" si="4"/>
        <v>29.157328552218736</v>
      </c>
      <c r="Q73" s="204">
        <f t="shared" si="5"/>
        <v>28.466808410111032</v>
      </c>
      <c r="R73" s="204">
        <f t="shared" si="6"/>
        <v>57.971014492753625</v>
      </c>
      <c r="S73" s="203">
        <f t="shared" si="7"/>
        <v>42.1875</v>
      </c>
      <c r="T73" s="108"/>
      <c r="U73" s="109"/>
      <c r="V73" s="109"/>
    </row>
    <row r="74" spans="1:22">
      <c r="A74" s="101" t="s">
        <v>174</v>
      </c>
      <c r="B74" s="102" t="s">
        <v>175</v>
      </c>
      <c r="C74" s="103" t="s">
        <v>268</v>
      </c>
      <c r="D74" s="215">
        <v>892</v>
      </c>
      <c r="E74" s="216">
        <v>3154</v>
      </c>
      <c r="F74" s="104"/>
      <c r="G74" s="211">
        <v>738</v>
      </c>
      <c r="H74" s="211">
        <v>2803</v>
      </c>
      <c r="I74" s="107"/>
      <c r="J74" s="211">
        <v>97</v>
      </c>
      <c r="K74" s="211">
        <v>159</v>
      </c>
      <c r="L74" s="110"/>
      <c r="M74" s="211">
        <v>48</v>
      </c>
      <c r="N74" s="211">
        <v>159</v>
      </c>
      <c r="O74" s="105"/>
      <c r="P74" s="205">
        <f t="shared" si="4"/>
        <v>28.28154724159797</v>
      </c>
      <c r="Q74" s="204">
        <f t="shared" si="5"/>
        <v>26.328933285765249</v>
      </c>
      <c r="R74" s="204">
        <f t="shared" si="6"/>
        <v>61.0062893081761</v>
      </c>
      <c r="S74" s="203">
        <f t="shared" si="7"/>
        <v>30.188679245283019</v>
      </c>
      <c r="T74" s="108"/>
      <c r="U74" s="109"/>
      <c r="V74" s="109"/>
    </row>
    <row r="75" spans="1:22">
      <c r="A75" s="101" t="s">
        <v>178</v>
      </c>
      <c r="B75" s="102" t="s">
        <v>179</v>
      </c>
      <c r="C75" s="103" t="s">
        <v>265</v>
      </c>
      <c r="D75" s="215">
        <v>3561</v>
      </c>
      <c r="E75" s="216">
        <v>11424</v>
      </c>
      <c r="F75" s="104"/>
      <c r="G75" s="211">
        <v>2288</v>
      </c>
      <c r="H75" s="211">
        <v>8821</v>
      </c>
      <c r="I75" s="107"/>
      <c r="J75" s="211">
        <v>1066</v>
      </c>
      <c r="K75" s="211">
        <v>2044</v>
      </c>
      <c r="L75" s="110"/>
      <c r="M75" s="211">
        <v>164</v>
      </c>
      <c r="N75" s="211">
        <v>419</v>
      </c>
      <c r="O75" s="105"/>
      <c r="P75" s="205">
        <f t="shared" si="4"/>
        <v>31.17121848739496</v>
      </c>
      <c r="Q75" s="204">
        <f t="shared" si="5"/>
        <v>25.938102255980048</v>
      </c>
      <c r="R75" s="204">
        <f t="shared" si="6"/>
        <v>52.152641878669279</v>
      </c>
      <c r="S75" s="203">
        <f t="shared" si="7"/>
        <v>39.140811455847256</v>
      </c>
      <c r="T75" s="108"/>
      <c r="U75" s="109"/>
      <c r="V75" s="109"/>
    </row>
    <row r="76" spans="1:22">
      <c r="A76" s="101" t="s">
        <v>182</v>
      </c>
      <c r="B76" s="102" t="s">
        <v>183</v>
      </c>
      <c r="C76" s="103" t="s">
        <v>266</v>
      </c>
      <c r="D76" s="215">
        <v>894</v>
      </c>
      <c r="E76" s="216">
        <v>5676</v>
      </c>
      <c r="F76" s="104"/>
      <c r="G76" s="211">
        <v>705</v>
      </c>
      <c r="H76" s="211">
        <v>5098</v>
      </c>
      <c r="I76" s="107"/>
      <c r="J76" s="211">
        <v>126</v>
      </c>
      <c r="K76" s="211">
        <v>331</v>
      </c>
      <c r="L76" s="110"/>
      <c r="M76" s="211">
        <v>31</v>
      </c>
      <c r="N76" s="211">
        <v>150</v>
      </c>
      <c r="O76" s="105"/>
      <c r="P76" s="205">
        <f t="shared" si="4"/>
        <v>15.750528541226217</v>
      </c>
      <c r="Q76" s="204">
        <f t="shared" si="5"/>
        <v>13.828952530404079</v>
      </c>
      <c r="R76" s="204">
        <f t="shared" si="6"/>
        <v>38.066465256797585</v>
      </c>
      <c r="S76" s="203">
        <f t="shared" si="7"/>
        <v>20.666666666666668</v>
      </c>
      <c r="T76" s="108"/>
      <c r="U76" s="109"/>
      <c r="V76" s="109"/>
    </row>
    <row r="77" spans="1:22">
      <c r="A77" s="101" t="s">
        <v>184</v>
      </c>
      <c r="B77" s="102" t="s">
        <v>185</v>
      </c>
      <c r="C77" s="103" t="s">
        <v>266</v>
      </c>
      <c r="D77" s="215">
        <v>1369</v>
      </c>
      <c r="E77" s="216">
        <v>3375</v>
      </c>
      <c r="F77" s="104"/>
      <c r="G77" s="211">
        <v>434</v>
      </c>
      <c r="H77" s="211">
        <v>1775</v>
      </c>
      <c r="I77" s="107"/>
      <c r="J77" s="211">
        <v>840</v>
      </c>
      <c r="K77" s="211">
        <v>1364</v>
      </c>
      <c r="L77" s="110"/>
      <c r="M77" s="211">
        <v>27</v>
      </c>
      <c r="N77" s="211">
        <v>99</v>
      </c>
      <c r="O77" s="105"/>
      <c r="P77" s="205">
        <f t="shared" si="4"/>
        <v>40.562962962962963</v>
      </c>
      <c r="Q77" s="204">
        <f t="shared" si="5"/>
        <v>24.450704225352112</v>
      </c>
      <c r="R77" s="204">
        <f t="shared" si="6"/>
        <v>61.583577712609973</v>
      </c>
      <c r="S77" s="203">
        <f t="shared" si="7"/>
        <v>27.27272727272727</v>
      </c>
      <c r="T77" s="108"/>
      <c r="U77" s="109"/>
      <c r="V77" s="109"/>
    </row>
    <row r="78" spans="1:22">
      <c r="A78" s="101" t="s">
        <v>186</v>
      </c>
      <c r="B78" s="102" t="s">
        <v>187</v>
      </c>
      <c r="C78" s="103" t="s">
        <v>264</v>
      </c>
      <c r="D78" s="215">
        <v>1977</v>
      </c>
      <c r="E78" s="216">
        <v>7077</v>
      </c>
      <c r="F78" s="104"/>
      <c r="G78" s="211">
        <v>897</v>
      </c>
      <c r="H78" s="211">
        <v>4149</v>
      </c>
      <c r="I78" s="107"/>
      <c r="J78" s="211">
        <v>877</v>
      </c>
      <c r="K78" s="211">
        <v>2141</v>
      </c>
      <c r="L78" s="110"/>
      <c r="M78" s="211">
        <v>144</v>
      </c>
      <c r="N78" s="211">
        <v>601</v>
      </c>
      <c r="O78" s="105"/>
      <c r="P78" s="205">
        <f t="shared" si="4"/>
        <v>27.935565917761764</v>
      </c>
      <c r="Q78" s="204">
        <f t="shared" si="5"/>
        <v>21.619667389732466</v>
      </c>
      <c r="R78" s="204">
        <f t="shared" si="6"/>
        <v>40.96216721158337</v>
      </c>
      <c r="S78" s="203">
        <f t="shared" si="7"/>
        <v>23.960066555740433</v>
      </c>
      <c r="T78" s="108"/>
      <c r="U78" s="109"/>
      <c r="V78" s="109"/>
    </row>
    <row r="79" spans="1:22">
      <c r="A79" s="101" t="s">
        <v>188</v>
      </c>
      <c r="B79" s="102" t="s">
        <v>189</v>
      </c>
      <c r="C79" s="103" t="s">
        <v>267</v>
      </c>
      <c r="D79" s="215">
        <v>21749</v>
      </c>
      <c r="E79" s="216">
        <v>103118</v>
      </c>
      <c r="F79" s="104"/>
      <c r="G79" s="211">
        <v>8234</v>
      </c>
      <c r="H79" s="211">
        <v>55019</v>
      </c>
      <c r="I79" s="107"/>
      <c r="J79" s="211">
        <v>8089</v>
      </c>
      <c r="K79" s="211">
        <v>20838</v>
      </c>
      <c r="L79" s="110"/>
      <c r="M79" s="211">
        <v>5636</v>
      </c>
      <c r="N79" s="211">
        <v>24344</v>
      </c>
      <c r="O79" s="105"/>
      <c r="P79" s="205">
        <f t="shared" si="4"/>
        <v>21.091371050641015</v>
      </c>
      <c r="Q79" s="204">
        <f t="shared" si="5"/>
        <v>14.965739108308037</v>
      </c>
      <c r="R79" s="204">
        <f t="shared" si="6"/>
        <v>38.818504654957295</v>
      </c>
      <c r="S79" s="203">
        <f t="shared" si="7"/>
        <v>23.151495234965495</v>
      </c>
      <c r="T79" s="108"/>
      <c r="U79" s="109"/>
      <c r="V79" s="109"/>
    </row>
    <row r="80" spans="1:22">
      <c r="A80" s="101" t="s">
        <v>190</v>
      </c>
      <c r="B80" s="102" t="s">
        <v>191</v>
      </c>
      <c r="C80" s="103" t="s">
        <v>268</v>
      </c>
      <c r="D80" s="215">
        <v>1787</v>
      </c>
      <c r="E80" s="216">
        <v>5721</v>
      </c>
      <c r="F80" s="104"/>
      <c r="G80" s="211">
        <v>1480</v>
      </c>
      <c r="H80" s="211">
        <v>5198</v>
      </c>
      <c r="I80" s="107"/>
      <c r="J80" s="211">
        <v>152</v>
      </c>
      <c r="K80" s="211">
        <v>245</v>
      </c>
      <c r="L80" s="110"/>
      <c r="M80" s="211">
        <v>43</v>
      </c>
      <c r="N80" s="211">
        <v>127</v>
      </c>
      <c r="O80" s="105"/>
      <c r="P80" s="205">
        <f t="shared" si="4"/>
        <v>31.235797937423527</v>
      </c>
      <c r="Q80" s="204">
        <f t="shared" si="5"/>
        <v>28.472489419007314</v>
      </c>
      <c r="R80" s="204">
        <f t="shared" si="6"/>
        <v>62.04081632653061</v>
      </c>
      <c r="S80" s="203">
        <f t="shared" si="7"/>
        <v>33.858267716535437</v>
      </c>
      <c r="T80" s="108"/>
      <c r="U80" s="109"/>
      <c r="V80" s="109"/>
    </row>
    <row r="81" spans="1:22">
      <c r="A81" s="101" t="s">
        <v>194</v>
      </c>
      <c r="B81" s="102" t="s">
        <v>195</v>
      </c>
      <c r="C81" s="103" t="s">
        <v>267</v>
      </c>
      <c r="D81" s="215">
        <v>320</v>
      </c>
      <c r="E81" s="216">
        <v>1265</v>
      </c>
      <c r="F81" s="104"/>
      <c r="G81" s="211">
        <v>269</v>
      </c>
      <c r="H81" s="211">
        <v>1157</v>
      </c>
      <c r="I81" s="107"/>
      <c r="J81" s="211">
        <v>23</v>
      </c>
      <c r="K81" s="211">
        <v>42</v>
      </c>
      <c r="L81" s="110"/>
      <c r="M81" s="211">
        <v>22</v>
      </c>
      <c r="N81" s="211">
        <v>71</v>
      </c>
      <c r="O81" s="105"/>
      <c r="P81" s="205">
        <f t="shared" si="4"/>
        <v>25.296442687747035</v>
      </c>
      <c r="Q81" s="204">
        <f t="shared" si="5"/>
        <v>23.249783923941227</v>
      </c>
      <c r="R81" s="204">
        <f t="shared" si="6"/>
        <v>54.761904761904766</v>
      </c>
      <c r="S81" s="203">
        <f t="shared" si="7"/>
        <v>30.985915492957744</v>
      </c>
      <c r="T81" s="108"/>
      <c r="U81" s="109"/>
      <c r="V81" s="109"/>
    </row>
    <row r="82" spans="1:22">
      <c r="A82" s="101" t="s">
        <v>198</v>
      </c>
      <c r="B82" s="102" t="s">
        <v>199</v>
      </c>
      <c r="C82" s="103" t="s">
        <v>266</v>
      </c>
      <c r="D82" s="215">
        <v>416</v>
      </c>
      <c r="E82" s="216">
        <v>1302</v>
      </c>
      <c r="F82" s="104"/>
      <c r="G82" s="211">
        <v>202</v>
      </c>
      <c r="H82" s="211">
        <v>875</v>
      </c>
      <c r="I82" s="107"/>
      <c r="J82" s="211">
        <v>175</v>
      </c>
      <c r="K82" s="211">
        <v>276</v>
      </c>
      <c r="L82" s="110"/>
      <c r="M82" s="211">
        <v>24</v>
      </c>
      <c r="N82" s="211">
        <v>125</v>
      </c>
      <c r="O82" s="105"/>
      <c r="P82" s="205">
        <f t="shared" si="4"/>
        <v>31.95084485407066</v>
      </c>
      <c r="Q82" s="204">
        <f t="shared" si="5"/>
        <v>23.085714285714285</v>
      </c>
      <c r="R82" s="204">
        <f t="shared" si="6"/>
        <v>63.405797101449281</v>
      </c>
      <c r="S82" s="203">
        <f t="shared" si="7"/>
        <v>19.2</v>
      </c>
      <c r="T82" s="108"/>
      <c r="U82" s="109"/>
      <c r="V82" s="109"/>
    </row>
    <row r="83" spans="1:22">
      <c r="A83" s="101" t="s">
        <v>202</v>
      </c>
      <c r="B83" s="102" t="s">
        <v>620</v>
      </c>
      <c r="C83" s="103" t="s">
        <v>265</v>
      </c>
      <c r="D83" s="215">
        <v>5421</v>
      </c>
      <c r="E83" s="216">
        <v>22594</v>
      </c>
      <c r="F83" s="104"/>
      <c r="G83" s="211">
        <v>4101</v>
      </c>
      <c r="H83" s="211">
        <v>19297</v>
      </c>
      <c r="I83" s="107"/>
      <c r="J83" s="211">
        <v>784</v>
      </c>
      <c r="K83" s="211">
        <v>1384</v>
      </c>
      <c r="L83" s="110"/>
      <c r="M83" s="211">
        <v>238</v>
      </c>
      <c r="N83" s="211">
        <v>833</v>
      </c>
      <c r="O83" s="105"/>
      <c r="P83" s="205">
        <f t="shared" si="4"/>
        <v>23.993095512082853</v>
      </c>
      <c r="Q83" s="204">
        <f t="shared" si="5"/>
        <v>21.25200808415816</v>
      </c>
      <c r="R83" s="204">
        <f t="shared" si="6"/>
        <v>56.647398843930638</v>
      </c>
      <c r="S83" s="203">
        <f t="shared" si="7"/>
        <v>28.571428571428569</v>
      </c>
      <c r="T83" s="108"/>
      <c r="U83" s="109"/>
      <c r="V83" s="109"/>
    </row>
    <row r="84" spans="1:22">
      <c r="A84" s="101" t="s">
        <v>204</v>
      </c>
      <c r="B84" s="102" t="s">
        <v>293</v>
      </c>
      <c r="C84" s="103" t="s">
        <v>265</v>
      </c>
      <c r="D84" s="215">
        <v>1602</v>
      </c>
      <c r="E84" s="216">
        <v>5638</v>
      </c>
      <c r="F84" s="104"/>
      <c r="G84" s="211">
        <v>1357</v>
      </c>
      <c r="H84" s="211">
        <v>5119</v>
      </c>
      <c r="I84" s="107"/>
      <c r="J84" s="211">
        <v>137</v>
      </c>
      <c r="K84" s="211">
        <v>227</v>
      </c>
      <c r="L84" s="110"/>
      <c r="M84" s="211">
        <v>53</v>
      </c>
      <c r="N84" s="211">
        <v>160</v>
      </c>
      <c r="O84" s="105"/>
      <c r="P84" s="205">
        <f t="shared" si="4"/>
        <v>28.414331323164244</v>
      </c>
      <c r="Q84" s="204">
        <f t="shared" si="5"/>
        <v>26.509083805430748</v>
      </c>
      <c r="R84" s="204">
        <f t="shared" si="6"/>
        <v>60.352422907488986</v>
      </c>
      <c r="S84" s="203">
        <f t="shared" si="7"/>
        <v>33.125</v>
      </c>
      <c r="T84" s="108"/>
      <c r="U84" s="109"/>
      <c r="V84" s="109"/>
    </row>
    <row r="85" spans="1:22">
      <c r="A85" s="101" t="s">
        <v>206</v>
      </c>
      <c r="B85" s="102" t="s">
        <v>294</v>
      </c>
      <c r="C85" s="103" t="s">
        <v>267</v>
      </c>
      <c r="D85" s="215">
        <v>5746</v>
      </c>
      <c r="E85" s="216">
        <v>22670</v>
      </c>
      <c r="F85" s="104"/>
      <c r="G85" s="211">
        <v>4074</v>
      </c>
      <c r="H85" s="211">
        <v>18481</v>
      </c>
      <c r="I85" s="107"/>
      <c r="J85" s="211">
        <v>513</v>
      </c>
      <c r="K85" s="211">
        <v>877</v>
      </c>
      <c r="L85" s="110"/>
      <c r="M85" s="211">
        <v>1366</v>
      </c>
      <c r="N85" s="211">
        <v>3697</v>
      </c>
      <c r="O85" s="105"/>
      <c r="P85" s="205">
        <f t="shared" si="4"/>
        <v>25.34627260696956</v>
      </c>
      <c r="Q85" s="204">
        <f t="shared" si="5"/>
        <v>22.044261674151834</v>
      </c>
      <c r="R85" s="204">
        <f t="shared" si="6"/>
        <v>58.494868871151652</v>
      </c>
      <c r="S85" s="203">
        <f t="shared" si="7"/>
        <v>36.948877468217475</v>
      </c>
      <c r="T85" s="108"/>
      <c r="U85" s="109"/>
      <c r="V85" s="109"/>
    </row>
    <row r="86" spans="1:22">
      <c r="A86" s="101" t="s">
        <v>208</v>
      </c>
      <c r="B86" s="102" t="s">
        <v>209</v>
      </c>
      <c r="C86" s="103" t="s">
        <v>268</v>
      </c>
      <c r="D86" s="215">
        <v>1191</v>
      </c>
      <c r="E86" s="216">
        <v>5014</v>
      </c>
      <c r="F86" s="104"/>
      <c r="G86" s="211">
        <v>1138</v>
      </c>
      <c r="H86" s="211">
        <v>4887</v>
      </c>
      <c r="I86" s="107"/>
      <c r="J86" s="211">
        <v>6</v>
      </c>
      <c r="K86" s="211">
        <v>24</v>
      </c>
      <c r="L86" s="110"/>
      <c r="M86" s="211">
        <v>34</v>
      </c>
      <c r="N86" s="211">
        <v>83</v>
      </c>
      <c r="O86" s="105"/>
      <c r="P86" s="205">
        <f t="shared" si="4"/>
        <v>23.753490227363383</v>
      </c>
      <c r="Q86" s="204">
        <f t="shared" si="5"/>
        <v>23.286269695109475</v>
      </c>
      <c r="R86" s="204">
        <f t="shared" si="6"/>
        <v>25</v>
      </c>
      <c r="S86" s="203">
        <f t="shared" si="7"/>
        <v>40.963855421686745</v>
      </c>
      <c r="T86" s="108"/>
      <c r="U86" s="109"/>
      <c r="V86" s="109"/>
    </row>
    <row r="87" spans="1:22">
      <c r="A87" s="101" t="s">
        <v>210</v>
      </c>
      <c r="B87" s="102" t="s">
        <v>211</v>
      </c>
      <c r="C87" s="103" t="s">
        <v>268</v>
      </c>
      <c r="D87" s="215">
        <v>959</v>
      </c>
      <c r="E87" s="216">
        <v>3843</v>
      </c>
      <c r="F87" s="104"/>
      <c r="G87" s="211">
        <v>910</v>
      </c>
      <c r="H87" s="211">
        <v>3735</v>
      </c>
      <c r="I87" s="107"/>
      <c r="J87" s="211">
        <v>6</v>
      </c>
      <c r="K87" s="211">
        <v>16</v>
      </c>
      <c r="L87" s="110"/>
      <c r="M87" s="211">
        <v>36</v>
      </c>
      <c r="N87" s="211">
        <v>76</v>
      </c>
      <c r="O87" s="105"/>
      <c r="P87" s="205">
        <f t="shared" si="4"/>
        <v>24.954462659380692</v>
      </c>
      <c r="Q87" s="204">
        <f t="shared" si="5"/>
        <v>24.364123159303883</v>
      </c>
      <c r="R87" s="204">
        <f t="shared" si="6"/>
        <v>37.5</v>
      </c>
      <c r="S87" s="203">
        <f t="shared" si="7"/>
        <v>47.368421052631575</v>
      </c>
      <c r="T87" s="108"/>
      <c r="U87" s="109"/>
      <c r="V87" s="109"/>
    </row>
    <row r="88" spans="1:22">
      <c r="A88" s="101" t="s">
        <v>212</v>
      </c>
      <c r="B88" s="102" t="s">
        <v>213</v>
      </c>
      <c r="C88" s="103" t="s">
        <v>267</v>
      </c>
      <c r="D88" s="215">
        <v>2330</v>
      </c>
      <c r="E88" s="216">
        <v>8141</v>
      </c>
      <c r="F88" s="104"/>
      <c r="G88" s="211">
        <v>2035</v>
      </c>
      <c r="H88" s="211">
        <v>7261</v>
      </c>
      <c r="I88" s="107"/>
      <c r="J88" s="211">
        <v>66</v>
      </c>
      <c r="K88" s="211">
        <v>133</v>
      </c>
      <c r="L88" s="110"/>
      <c r="M88" s="211">
        <v>300</v>
      </c>
      <c r="N88" s="211">
        <v>869</v>
      </c>
      <c r="O88" s="105"/>
      <c r="P88" s="205">
        <f t="shared" si="4"/>
        <v>28.620562584449083</v>
      </c>
      <c r="Q88" s="204">
        <f t="shared" si="5"/>
        <v>28.026442638754993</v>
      </c>
      <c r="R88" s="204">
        <f t="shared" si="6"/>
        <v>49.624060150375939</v>
      </c>
      <c r="S88" s="203">
        <f t="shared" si="7"/>
        <v>34.522439585730723</v>
      </c>
      <c r="T88" s="108"/>
      <c r="U88" s="109"/>
      <c r="V88" s="109"/>
    </row>
    <row r="89" spans="1:22">
      <c r="A89" s="101" t="s">
        <v>214</v>
      </c>
      <c r="B89" s="102" t="s">
        <v>215</v>
      </c>
      <c r="C89" s="103" t="s">
        <v>268</v>
      </c>
      <c r="D89" s="215">
        <v>1901</v>
      </c>
      <c r="E89" s="216">
        <v>5684</v>
      </c>
      <c r="F89" s="104"/>
      <c r="G89" s="211">
        <v>1714</v>
      </c>
      <c r="H89" s="211">
        <v>5361</v>
      </c>
      <c r="I89" s="107"/>
      <c r="J89" s="211">
        <v>65</v>
      </c>
      <c r="K89" s="211">
        <v>92</v>
      </c>
      <c r="L89" s="110"/>
      <c r="M89" s="211">
        <v>83</v>
      </c>
      <c r="N89" s="211">
        <v>166</v>
      </c>
      <c r="O89" s="105"/>
      <c r="P89" s="205">
        <f t="shared" si="4"/>
        <v>33.444757213230119</v>
      </c>
      <c r="Q89" s="204">
        <f t="shared" si="5"/>
        <v>31.971647080768513</v>
      </c>
      <c r="R89" s="204">
        <f t="shared" si="6"/>
        <v>70.652173913043484</v>
      </c>
      <c r="S89" s="203">
        <f t="shared" si="7"/>
        <v>50</v>
      </c>
      <c r="T89" s="108"/>
      <c r="U89" s="109"/>
      <c r="V89" s="109"/>
    </row>
    <row r="90" spans="1:22">
      <c r="A90" s="101" t="s">
        <v>216</v>
      </c>
      <c r="B90" s="102" t="s">
        <v>217</v>
      </c>
      <c r="C90" s="103" t="s">
        <v>264</v>
      </c>
      <c r="D90" s="215">
        <v>1022</v>
      </c>
      <c r="E90" s="216">
        <v>3228</v>
      </c>
      <c r="F90" s="104"/>
      <c r="G90" s="211">
        <v>421</v>
      </c>
      <c r="H90" s="211">
        <v>2128</v>
      </c>
      <c r="I90" s="107"/>
      <c r="J90" s="211">
        <v>534</v>
      </c>
      <c r="K90" s="211">
        <v>937</v>
      </c>
      <c r="L90" s="110"/>
      <c r="M90" s="211">
        <v>29</v>
      </c>
      <c r="N90" s="211">
        <v>75</v>
      </c>
      <c r="O90" s="105"/>
      <c r="P90" s="205">
        <f t="shared" si="4"/>
        <v>31.660470879801732</v>
      </c>
      <c r="Q90" s="204">
        <f t="shared" si="5"/>
        <v>19.783834586466163</v>
      </c>
      <c r="R90" s="204">
        <f t="shared" si="6"/>
        <v>56.990394877267882</v>
      </c>
      <c r="S90" s="203">
        <f t="shared" si="7"/>
        <v>38.666666666666664</v>
      </c>
      <c r="T90" s="108"/>
      <c r="U90" s="109"/>
      <c r="V90" s="109"/>
    </row>
    <row r="91" spans="1:22">
      <c r="A91" s="101" t="s">
        <v>218</v>
      </c>
      <c r="B91" s="102" t="s">
        <v>219</v>
      </c>
      <c r="C91" s="103" t="s">
        <v>267</v>
      </c>
      <c r="D91" s="215">
        <v>6530</v>
      </c>
      <c r="E91" s="216">
        <v>29736</v>
      </c>
      <c r="F91" s="104"/>
      <c r="G91" s="211">
        <v>3861</v>
      </c>
      <c r="H91" s="211">
        <v>21338</v>
      </c>
      <c r="I91" s="107"/>
      <c r="J91" s="211">
        <v>1756</v>
      </c>
      <c r="K91" s="211">
        <v>4503</v>
      </c>
      <c r="L91" s="110"/>
      <c r="M91" s="211">
        <v>686</v>
      </c>
      <c r="N91" s="211">
        <v>2924</v>
      </c>
      <c r="O91" s="105"/>
      <c r="P91" s="205">
        <f t="shared" si="4"/>
        <v>21.959913909066451</v>
      </c>
      <c r="Q91" s="204">
        <f t="shared" si="5"/>
        <v>18.094479332645982</v>
      </c>
      <c r="R91" s="204">
        <f t="shared" si="6"/>
        <v>38.996224739062846</v>
      </c>
      <c r="S91" s="203">
        <f t="shared" si="7"/>
        <v>23.461012311901506</v>
      </c>
      <c r="T91" s="108"/>
      <c r="U91" s="109"/>
      <c r="V91" s="109"/>
    </row>
    <row r="92" spans="1:22">
      <c r="A92" s="101" t="s">
        <v>220</v>
      </c>
      <c r="B92" s="102" t="s">
        <v>221</v>
      </c>
      <c r="C92" s="103" t="s">
        <v>267</v>
      </c>
      <c r="D92" s="215">
        <v>6789</v>
      </c>
      <c r="E92" s="216">
        <v>33357</v>
      </c>
      <c r="F92" s="104"/>
      <c r="G92" s="211">
        <v>3655</v>
      </c>
      <c r="H92" s="211">
        <v>22763</v>
      </c>
      <c r="I92" s="107"/>
      <c r="J92" s="211">
        <v>2028</v>
      </c>
      <c r="K92" s="211">
        <v>5715</v>
      </c>
      <c r="L92" s="110"/>
      <c r="M92" s="211">
        <v>841</v>
      </c>
      <c r="N92" s="211">
        <v>4030</v>
      </c>
      <c r="O92" s="105"/>
      <c r="P92" s="205">
        <f t="shared" si="4"/>
        <v>20.352549689720298</v>
      </c>
      <c r="Q92" s="204">
        <f t="shared" si="5"/>
        <v>16.056758775205378</v>
      </c>
      <c r="R92" s="204">
        <f t="shared" si="6"/>
        <v>35.485564304461938</v>
      </c>
      <c r="S92" s="203">
        <f t="shared" si="7"/>
        <v>20.868486352357323</v>
      </c>
      <c r="T92" s="108"/>
      <c r="U92" s="109"/>
      <c r="V92" s="109"/>
    </row>
    <row r="93" spans="1:22">
      <c r="A93" s="101" t="s">
        <v>224</v>
      </c>
      <c r="B93" s="102" t="s">
        <v>225</v>
      </c>
      <c r="C93" s="103" t="s">
        <v>264</v>
      </c>
      <c r="D93" s="215">
        <v>346</v>
      </c>
      <c r="E93" s="216">
        <v>1149</v>
      </c>
      <c r="F93" s="104"/>
      <c r="G93" s="211">
        <v>122</v>
      </c>
      <c r="H93" s="211">
        <v>613</v>
      </c>
      <c r="I93" s="107"/>
      <c r="J93" s="211">
        <v>194</v>
      </c>
      <c r="K93" s="211">
        <v>484</v>
      </c>
      <c r="L93" s="110"/>
      <c r="M93" s="211">
        <v>12</v>
      </c>
      <c r="N93" s="211">
        <v>19</v>
      </c>
      <c r="O93" s="105"/>
      <c r="P93" s="205">
        <f t="shared" si="4"/>
        <v>30.113141862489123</v>
      </c>
      <c r="Q93" s="204">
        <f t="shared" si="5"/>
        <v>19.902120717781401</v>
      </c>
      <c r="R93" s="204">
        <f t="shared" si="6"/>
        <v>40.082644628099175</v>
      </c>
      <c r="S93" s="203">
        <f t="shared" si="7"/>
        <v>63.157894736842103</v>
      </c>
      <c r="T93" s="108"/>
      <c r="U93" s="109"/>
      <c r="V93" s="109"/>
    </row>
    <row r="94" spans="1:22">
      <c r="A94" s="101" t="s">
        <v>226</v>
      </c>
      <c r="B94" s="102" t="s">
        <v>227</v>
      </c>
      <c r="C94" s="103" t="s">
        <v>264</v>
      </c>
      <c r="D94" s="215">
        <v>725</v>
      </c>
      <c r="E94" s="216">
        <v>1634</v>
      </c>
      <c r="F94" s="104"/>
      <c r="G94" s="211">
        <v>174</v>
      </c>
      <c r="H94" s="211">
        <v>692</v>
      </c>
      <c r="I94" s="107"/>
      <c r="J94" s="211">
        <v>530</v>
      </c>
      <c r="K94" s="211">
        <v>881</v>
      </c>
      <c r="L94" s="110"/>
      <c r="M94" s="211">
        <v>18</v>
      </c>
      <c r="N94" s="211">
        <v>56</v>
      </c>
      <c r="O94" s="105"/>
      <c r="P94" s="205">
        <f t="shared" si="4"/>
        <v>44.369645042839657</v>
      </c>
      <c r="Q94" s="204">
        <f t="shared" si="5"/>
        <v>25.144508670520231</v>
      </c>
      <c r="R94" s="204">
        <f t="shared" si="6"/>
        <v>60.158910329171398</v>
      </c>
      <c r="S94" s="203">
        <f t="shared" si="7"/>
        <v>32.142857142857146</v>
      </c>
      <c r="T94" s="108"/>
      <c r="U94" s="109"/>
      <c r="V94" s="109"/>
    </row>
    <row r="95" spans="1:22">
      <c r="A95" s="101" t="s">
        <v>228</v>
      </c>
      <c r="B95" s="102" t="s">
        <v>229</v>
      </c>
      <c r="C95" s="103" t="s">
        <v>268</v>
      </c>
      <c r="D95" s="215">
        <v>2116</v>
      </c>
      <c r="E95" s="216">
        <v>7837</v>
      </c>
      <c r="F95" s="104"/>
      <c r="G95" s="211">
        <v>1916</v>
      </c>
      <c r="H95" s="211">
        <v>7392</v>
      </c>
      <c r="I95" s="107"/>
      <c r="J95" s="211">
        <v>88</v>
      </c>
      <c r="K95" s="211">
        <v>160</v>
      </c>
      <c r="L95" s="110"/>
      <c r="M95" s="211">
        <v>19</v>
      </c>
      <c r="N95" s="211">
        <v>75</v>
      </c>
      <c r="O95" s="105"/>
      <c r="P95" s="205">
        <f t="shared" si="4"/>
        <v>27.000127599846881</v>
      </c>
      <c r="Q95" s="204">
        <f t="shared" si="5"/>
        <v>25.919913419913421</v>
      </c>
      <c r="R95" s="204">
        <f t="shared" si="6"/>
        <v>55.000000000000007</v>
      </c>
      <c r="S95" s="203">
        <f t="shared" si="7"/>
        <v>25.333333333333336</v>
      </c>
      <c r="T95" s="108"/>
      <c r="U95" s="109"/>
      <c r="V95" s="109"/>
    </row>
    <row r="96" spans="1:22">
      <c r="A96" s="101" t="s">
        <v>232</v>
      </c>
      <c r="B96" s="102" t="s">
        <v>233</v>
      </c>
      <c r="C96" s="103" t="s">
        <v>267</v>
      </c>
      <c r="D96" s="215">
        <v>2070</v>
      </c>
      <c r="E96" s="216">
        <v>7925</v>
      </c>
      <c r="F96" s="104"/>
      <c r="G96" s="211">
        <v>1704</v>
      </c>
      <c r="H96" s="211">
        <v>7018</v>
      </c>
      <c r="I96" s="107"/>
      <c r="J96" s="211">
        <v>144</v>
      </c>
      <c r="K96" s="211">
        <v>291</v>
      </c>
      <c r="L96" s="110"/>
      <c r="M96" s="211">
        <v>143</v>
      </c>
      <c r="N96" s="211">
        <v>441</v>
      </c>
      <c r="O96" s="105"/>
      <c r="P96" s="205">
        <f t="shared" si="4"/>
        <v>26.119873817034701</v>
      </c>
      <c r="Q96" s="204">
        <f t="shared" si="5"/>
        <v>24.280421772584781</v>
      </c>
      <c r="R96" s="204">
        <f t="shared" si="6"/>
        <v>49.484536082474229</v>
      </c>
      <c r="S96" s="203">
        <f t="shared" si="7"/>
        <v>32.426303854875286</v>
      </c>
      <c r="T96" s="108"/>
      <c r="U96" s="109"/>
      <c r="V96" s="109"/>
    </row>
    <row r="97" spans="1:22">
      <c r="A97" s="101" t="s">
        <v>234</v>
      </c>
      <c r="B97" s="102" t="s">
        <v>235</v>
      </c>
      <c r="C97" s="103" t="s">
        <v>268</v>
      </c>
      <c r="D97" s="215">
        <v>2248</v>
      </c>
      <c r="E97" s="216">
        <v>9297</v>
      </c>
      <c r="F97" s="104"/>
      <c r="G97" s="211">
        <v>2095</v>
      </c>
      <c r="H97" s="211">
        <v>8962</v>
      </c>
      <c r="I97" s="107"/>
      <c r="J97" s="211">
        <v>53</v>
      </c>
      <c r="K97" s="211">
        <v>84</v>
      </c>
      <c r="L97" s="110"/>
      <c r="M97" s="211">
        <v>79</v>
      </c>
      <c r="N97" s="211">
        <v>201</v>
      </c>
      <c r="O97" s="105"/>
      <c r="P97" s="205">
        <f t="shared" si="4"/>
        <v>24.179842960094653</v>
      </c>
      <c r="Q97" s="204">
        <f t="shared" si="5"/>
        <v>23.37647846462843</v>
      </c>
      <c r="R97" s="204">
        <f t="shared" si="6"/>
        <v>63.095238095238095</v>
      </c>
      <c r="S97" s="203">
        <f t="shared" si="7"/>
        <v>39.303482587064678</v>
      </c>
      <c r="T97" s="108"/>
      <c r="U97" s="109"/>
      <c r="V97" s="109"/>
    </row>
    <row r="98" spans="1:22">
      <c r="A98" s="101" t="s">
        <v>236</v>
      </c>
      <c r="B98" s="102" t="s">
        <v>237</v>
      </c>
      <c r="C98" s="103" t="s">
        <v>266</v>
      </c>
      <c r="D98" s="215">
        <v>1006</v>
      </c>
      <c r="E98" s="216">
        <v>2739</v>
      </c>
      <c r="F98" s="104"/>
      <c r="G98" s="211">
        <v>433</v>
      </c>
      <c r="H98" s="211">
        <v>1603</v>
      </c>
      <c r="I98" s="107"/>
      <c r="J98" s="211">
        <v>458</v>
      </c>
      <c r="K98" s="211">
        <v>793</v>
      </c>
      <c r="L98" s="110"/>
      <c r="M98" s="211">
        <v>68</v>
      </c>
      <c r="N98" s="211">
        <v>302</v>
      </c>
      <c r="O98" s="105"/>
      <c r="P98" s="205">
        <f t="shared" si="4"/>
        <v>36.728733114275279</v>
      </c>
      <c r="Q98" s="204">
        <f t="shared" si="5"/>
        <v>27.011852776044915</v>
      </c>
      <c r="R98" s="204">
        <f t="shared" si="6"/>
        <v>57.755359394703653</v>
      </c>
      <c r="S98" s="203">
        <f t="shared" si="7"/>
        <v>22.516556291390728</v>
      </c>
      <c r="T98" s="108"/>
      <c r="U98" s="109"/>
      <c r="V98" s="109"/>
    </row>
    <row r="99" spans="1:22">
      <c r="A99" s="101" t="s">
        <v>242</v>
      </c>
      <c r="B99" s="102" t="s">
        <v>243</v>
      </c>
      <c r="C99" s="103" t="s">
        <v>268</v>
      </c>
      <c r="D99" s="215">
        <v>2271</v>
      </c>
      <c r="E99" s="216">
        <v>7274</v>
      </c>
      <c r="F99" s="104"/>
      <c r="G99" s="211">
        <v>2128</v>
      </c>
      <c r="H99" s="211">
        <v>6976</v>
      </c>
      <c r="I99" s="107"/>
      <c r="J99" s="211">
        <v>47</v>
      </c>
      <c r="K99" s="211">
        <v>89</v>
      </c>
      <c r="L99" s="110"/>
      <c r="M99" s="211">
        <v>41</v>
      </c>
      <c r="N99" s="211">
        <v>121</v>
      </c>
      <c r="O99" s="105"/>
      <c r="P99" s="205">
        <f t="shared" si="4"/>
        <v>31.220786362386583</v>
      </c>
      <c r="Q99" s="204">
        <f t="shared" si="5"/>
        <v>30.504587155963304</v>
      </c>
      <c r="R99" s="204">
        <f t="shared" si="6"/>
        <v>52.80898876404494</v>
      </c>
      <c r="S99" s="203">
        <f t="shared" si="7"/>
        <v>33.884297520661157</v>
      </c>
      <c r="T99" s="108"/>
      <c r="U99" s="109"/>
      <c r="V99" s="109"/>
    </row>
    <row r="100" spans="1:22">
      <c r="A100" s="101" t="s">
        <v>244</v>
      </c>
      <c r="B100" s="102" t="s">
        <v>245</v>
      </c>
      <c r="C100" s="103" t="s">
        <v>268</v>
      </c>
      <c r="D100" s="215">
        <v>1508</v>
      </c>
      <c r="E100" s="216">
        <v>5325</v>
      </c>
      <c r="F100" s="104"/>
      <c r="G100" s="211">
        <v>1326</v>
      </c>
      <c r="H100" s="211">
        <v>4963</v>
      </c>
      <c r="I100" s="107"/>
      <c r="J100" s="211">
        <v>94</v>
      </c>
      <c r="K100" s="211">
        <v>149</v>
      </c>
      <c r="L100" s="110"/>
      <c r="M100" s="211">
        <v>22</v>
      </c>
      <c r="N100" s="211">
        <v>83</v>
      </c>
      <c r="O100" s="105"/>
      <c r="P100" s="205">
        <f t="shared" si="4"/>
        <v>28.319248826291084</v>
      </c>
      <c r="Q100" s="204">
        <f t="shared" si="5"/>
        <v>26.717711061857745</v>
      </c>
      <c r="R100" s="204">
        <f t="shared" si="6"/>
        <v>63.087248322147651</v>
      </c>
      <c r="S100" s="203">
        <f t="shared" si="7"/>
        <v>26.506024096385545</v>
      </c>
      <c r="T100" s="108"/>
      <c r="U100" s="109"/>
      <c r="V100" s="109"/>
    </row>
    <row r="101" spans="1:22">
      <c r="A101" s="101" t="s">
        <v>246</v>
      </c>
      <c r="B101" s="102" t="s">
        <v>247</v>
      </c>
      <c r="C101" s="103" t="s">
        <v>264</v>
      </c>
      <c r="D101" s="215">
        <v>3643</v>
      </c>
      <c r="E101" s="216">
        <v>18746</v>
      </c>
      <c r="F101" s="104"/>
      <c r="G101" s="211">
        <v>2415</v>
      </c>
      <c r="H101" s="211">
        <v>14197</v>
      </c>
      <c r="I101" s="107"/>
      <c r="J101" s="211">
        <v>762</v>
      </c>
      <c r="K101" s="211">
        <v>1988</v>
      </c>
      <c r="L101" s="110"/>
      <c r="M101" s="211">
        <v>268</v>
      </c>
      <c r="N101" s="211">
        <v>1170</v>
      </c>
      <c r="O101" s="105"/>
      <c r="P101" s="205">
        <f t="shared" si="4"/>
        <v>19.433479142217006</v>
      </c>
      <c r="Q101" s="204">
        <f t="shared" si="5"/>
        <v>17.010636049869689</v>
      </c>
      <c r="R101" s="204">
        <f t="shared" si="6"/>
        <v>38.329979879275655</v>
      </c>
      <c r="S101" s="203">
        <f t="shared" si="7"/>
        <v>22.905982905982906</v>
      </c>
      <c r="T101" s="108"/>
      <c r="U101" s="109"/>
      <c r="V101" s="109"/>
    </row>
    <row r="102" spans="1:22">
      <c r="A102" s="101" t="s">
        <v>14</v>
      </c>
      <c r="B102" s="102" t="s">
        <v>15</v>
      </c>
      <c r="C102" s="103" t="s">
        <v>267</v>
      </c>
      <c r="D102" s="215">
        <v>6099</v>
      </c>
      <c r="E102" s="216">
        <v>21259</v>
      </c>
      <c r="F102" s="104"/>
      <c r="G102" s="211">
        <v>1819</v>
      </c>
      <c r="H102" s="211">
        <v>11110</v>
      </c>
      <c r="I102" s="107"/>
      <c r="J102" s="211">
        <v>2819</v>
      </c>
      <c r="K102" s="211">
        <v>5285</v>
      </c>
      <c r="L102" s="110"/>
      <c r="M102" s="211">
        <v>1768</v>
      </c>
      <c r="N102" s="211">
        <v>4639</v>
      </c>
      <c r="O102" s="105"/>
      <c r="P102" s="205">
        <f t="shared" si="4"/>
        <v>28.689025824356744</v>
      </c>
      <c r="Q102" s="204">
        <f t="shared" si="5"/>
        <v>16.372637263726372</v>
      </c>
      <c r="R102" s="204">
        <f t="shared" si="6"/>
        <v>53.33964049195837</v>
      </c>
      <c r="S102" s="203">
        <f t="shared" si="7"/>
        <v>38.111661996119857</v>
      </c>
      <c r="T102" s="108"/>
      <c r="U102" s="109"/>
      <c r="V102" s="109"/>
    </row>
    <row r="103" spans="1:22">
      <c r="A103" s="101" t="s">
        <v>34</v>
      </c>
      <c r="B103" s="102" t="s">
        <v>35</v>
      </c>
      <c r="C103" s="103" t="s">
        <v>268</v>
      </c>
      <c r="D103" s="215">
        <v>1324</v>
      </c>
      <c r="E103" s="216">
        <v>3160</v>
      </c>
      <c r="F103" s="104"/>
      <c r="G103" s="211">
        <v>1051</v>
      </c>
      <c r="H103" s="211">
        <v>2720</v>
      </c>
      <c r="I103" s="107"/>
      <c r="J103" s="211">
        <v>138</v>
      </c>
      <c r="K103" s="211">
        <v>212</v>
      </c>
      <c r="L103" s="110"/>
      <c r="M103" s="211">
        <v>44</v>
      </c>
      <c r="N103" s="211">
        <v>67</v>
      </c>
      <c r="O103" s="105"/>
      <c r="P103" s="205">
        <f t="shared" si="4"/>
        <v>41.898734177215189</v>
      </c>
      <c r="Q103" s="204">
        <f t="shared" si="5"/>
        <v>38.639705882352942</v>
      </c>
      <c r="R103" s="204">
        <f t="shared" si="6"/>
        <v>65.094339622641513</v>
      </c>
      <c r="S103" s="203">
        <f t="shared" si="7"/>
        <v>65.671641791044777</v>
      </c>
      <c r="T103" s="108"/>
      <c r="U103" s="109"/>
      <c r="V103" s="109"/>
    </row>
    <row r="104" spans="1:22">
      <c r="A104" s="101" t="s">
        <v>52</v>
      </c>
      <c r="B104" s="102" t="s">
        <v>53</v>
      </c>
      <c r="C104" s="103" t="s">
        <v>265</v>
      </c>
      <c r="D104" s="215">
        <v>2163</v>
      </c>
      <c r="E104" s="216">
        <v>5586</v>
      </c>
      <c r="F104" s="104"/>
      <c r="G104" s="211">
        <v>660</v>
      </c>
      <c r="H104" s="211">
        <v>3177</v>
      </c>
      <c r="I104" s="107"/>
      <c r="J104" s="211">
        <v>1258</v>
      </c>
      <c r="K104" s="211">
        <v>1629</v>
      </c>
      <c r="L104" s="110"/>
      <c r="M104" s="211">
        <v>160</v>
      </c>
      <c r="N104" s="211">
        <v>429</v>
      </c>
      <c r="O104" s="105"/>
      <c r="P104" s="205">
        <f t="shared" si="4"/>
        <v>38.721804511278194</v>
      </c>
      <c r="Q104" s="204">
        <f t="shared" si="5"/>
        <v>20.774315391879131</v>
      </c>
      <c r="R104" s="204">
        <f t="shared" si="6"/>
        <v>77.225291589932482</v>
      </c>
      <c r="S104" s="203">
        <f t="shared" si="7"/>
        <v>37.296037296037298</v>
      </c>
      <c r="T104" s="108"/>
      <c r="U104" s="109"/>
      <c r="V104" s="109"/>
    </row>
    <row r="105" spans="1:22">
      <c r="A105" s="101" t="s">
        <v>54</v>
      </c>
      <c r="B105" s="102" t="s">
        <v>55</v>
      </c>
      <c r="C105" s="103" t="s">
        <v>264</v>
      </c>
      <c r="D105" s="215">
        <v>14601</v>
      </c>
      <c r="E105" s="216">
        <v>50056</v>
      </c>
      <c r="F105" s="104"/>
      <c r="G105" s="211">
        <v>5508</v>
      </c>
      <c r="H105" s="211">
        <v>29895</v>
      </c>
      <c r="I105" s="107"/>
      <c r="J105" s="211">
        <v>7658</v>
      </c>
      <c r="K105" s="211">
        <v>14588</v>
      </c>
      <c r="L105" s="110"/>
      <c r="M105" s="211">
        <v>917</v>
      </c>
      <c r="N105" s="211">
        <v>3205</v>
      </c>
      <c r="O105" s="105"/>
      <c r="P105" s="205">
        <f t="shared" si="4"/>
        <v>29.169330350007993</v>
      </c>
      <c r="Q105" s="204">
        <f t="shared" si="5"/>
        <v>18.424485699949823</v>
      </c>
      <c r="R105" s="204">
        <f t="shared" si="6"/>
        <v>52.495201535508642</v>
      </c>
      <c r="S105" s="203">
        <f t="shared" si="7"/>
        <v>28.611544461778472</v>
      </c>
      <c r="T105" s="108"/>
      <c r="U105" s="109"/>
      <c r="V105" s="109"/>
    </row>
    <row r="106" spans="1:22">
      <c r="A106" s="101" t="s">
        <v>66</v>
      </c>
      <c r="B106" s="102" t="s">
        <v>67</v>
      </c>
      <c r="C106" s="103" t="s">
        <v>265</v>
      </c>
      <c r="D106" s="215">
        <v>4439</v>
      </c>
      <c r="E106" s="216">
        <v>7583</v>
      </c>
      <c r="F106" s="104"/>
      <c r="G106" s="211">
        <v>870</v>
      </c>
      <c r="H106" s="211">
        <v>2468</v>
      </c>
      <c r="I106" s="107"/>
      <c r="J106" s="211">
        <v>3318</v>
      </c>
      <c r="K106" s="211">
        <v>4519</v>
      </c>
      <c r="L106" s="110"/>
      <c r="M106" s="211">
        <v>139</v>
      </c>
      <c r="N106" s="211">
        <v>421</v>
      </c>
      <c r="O106" s="105"/>
      <c r="P106" s="205">
        <f t="shared" si="4"/>
        <v>58.538836871950416</v>
      </c>
      <c r="Q106" s="204">
        <f t="shared" si="5"/>
        <v>35.25121555915721</v>
      </c>
      <c r="R106" s="204">
        <f t="shared" si="6"/>
        <v>73.423323744191194</v>
      </c>
      <c r="S106" s="203">
        <f t="shared" si="7"/>
        <v>33.016627078384801</v>
      </c>
      <c r="T106" s="108"/>
      <c r="U106" s="109"/>
      <c r="V106" s="109"/>
    </row>
    <row r="107" spans="1:22">
      <c r="A107" s="101" t="s">
        <v>82</v>
      </c>
      <c r="B107" s="102" t="s">
        <v>311</v>
      </c>
      <c r="C107" s="103" t="s">
        <v>264</v>
      </c>
      <c r="D107" s="215">
        <v>919</v>
      </c>
      <c r="E107" s="216">
        <v>1745</v>
      </c>
      <c r="F107" s="104"/>
      <c r="G107" s="211">
        <v>104</v>
      </c>
      <c r="H107" s="211">
        <v>535</v>
      </c>
      <c r="I107" s="107"/>
      <c r="J107" s="211">
        <v>767</v>
      </c>
      <c r="K107" s="211">
        <v>1085</v>
      </c>
      <c r="L107" s="110"/>
      <c r="M107" s="211">
        <v>17</v>
      </c>
      <c r="N107" s="211">
        <v>51</v>
      </c>
      <c r="O107" s="105"/>
      <c r="P107" s="205">
        <f t="shared" si="4"/>
        <v>52.664756446991404</v>
      </c>
      <c r="Q107" s="204">
        <f t="shared" si="5"/>
        <v>19.439252336448597</v>
      </c>
      <c r="R107" s="204">
        <f t="shared" si="6"/>
        <v>70.691244239631331</v>
      </c>
      <c r="S107" s="203">
        <f t="shared" si="7"/>
        <v>33.333333333333329</v>
      </c>
      <c r="T107" s="108"/>
      <c r="U107" s="109"/>
      <c r="V107" s="109"/>
    </row>
    <row r="108" spans="1:22">
      <c r="A108" s="101" t="s">
        <v>88</v>
      </c>
      <c r="B108" s="102" t="s">
        <v>89</v>
      </c>
      <c r="C108" s="103" t="s">
        <v>267</v>
      </c>
      <c r="D108" s="215">
        <v>1818</v>
      </c>
      <c r="E108" s="216">
        <v>4129</v>
      </c>
      <c r="F108" s="104"/>
      <c r="G108" s="211">
        <v>613</v>
      </c>
      <c r="H108" s="211">
        <v>1974</v>
      </c>
      <c r="I108" s="107"/>
      <c r="J108" s="211">
        <v>857</v>
      </c>
      <c r="K108" s="211">
        <v>1294</v>
      </c>
      <c r="L108" s="110"/>
      <c r="M108" s="211">
        <v>282</v>
      </c>
      <c r="N108" s="211">
        <v>689</v>
      </c>
      <c r="O108" s="105"/>
      <c r="P108" s="205">
        <f t="shared" si="4"/>
        <v>44.030031484620977</v>
      </c>
      <c r="Q108" s="204">
        <f t="shared" si="5"/>
        <v>31.053698074974672</v>
      </c>
      <c r="R108" s="204">
        <f t="shared" si="6"/>
        <v>66.228748068006183</v>
      </c>
      <c r="S108" s="203">
        <f t="shared" si="7"/>
        <v>40.9288824383164</v>
      </c>
      <c r="T108" s="108"/>
      <c r="U108" s="109"/>
      <c r="V108" s="109"/>
    </row>
    <row r="109" spans="1:22">
      <c r="A109" s="101" t="s">
        <v>90</v>
      </c>
      <c r="B109" s="102" t="s">
        <v>91</v>
      </c>
      <c r="C109" s="103" t="s">
        <v>268</v>
      </c>
      <c r="D109" s="215">
        <v>524</v>
      </c>
      <c r="E109" s="216">
        <v>1339</v>
      </c>
      <c r="F109" s="104"/>
      <c r="G109" s="211">
        <v>356</v>
      </c>
      <c r="H109" s="211">
        <v>1010</v>
      </c>
      <c r="I109" s="107"/>
      <c r="J109" s="211">
        <v>67</v>
      </c>
      <c r="K109" s="211">
        <v>104</v>
      </c>
      <c r="L109" s="110"/>
      <c r="M109" s="211">
        <v>156</v>
      </c>
      <c r="N109" s="211">
        <v>385</v>
      </c>
      <c r="O109" s="105"/>
      <c r="P109" s="205">
        <f t="shared" si="4"/>
        <v>39.133681852128454</v>
      </c>
      <c r="Q109" s="204">
        <f t="shared" si="5"/>
        <v>35.247524752475243</v>
      </c>
      <c r="R109" s="204">
        <f t="shared" si="6"/>
        <v>64.423076923076934</v>
      </c>
      <c r="S109" s="203">
        <f t="shared" si="7"/>
        <v>40.519480519480524</v>
      </c>
      <c r="T109" s="108"/>
      <c r="U109" s="109"/>
      <c r="V109" s="109"/>
    </row>
    <row r="110" spans="1:22">
      <c r="A110" s="101" t="s">
        <v>106</v>
      </c>
      <c r="B110" s="102" t="s">
        <v>107</v>
      </c>
      <c r="C110" s="103" t="s">
        <v>264</v>
      </c>
      <c r="D110" s="215">
        <v>11547</v>
      </c>
      <c r="E110" s="216">
        <v>26282</v>
      </c>
      <c r="F110" s="104"/>
      <c r="G110" s="211">
        <v>2332</v>
      </c>
      <c r="H110" s="211">
        <v>9333</v>
      </c>
      <c r="I110" s="107"/>
      <c r="J110" s="211">
        <v>8024</v>
      </c>
      <c r="K110" s="211">
        <v>13815</v>
      </c>
      <c r="L110" s="110"/>
      <c r="M110" s="211">
        <v>695</v>
      </c>
      <c r="N110" s="211">
        <v>1857</v>
      </c>
      <c r="O110" s="105"/>
      <c r="P110" s="205">
        <f t="shared" si="4"/>
        <v>43.935012556122061</v>
      </c>
      <c r="Q110" s="204">
        <f t="shared" si="5"/>
        <v>24.986606664523734</v>
      </c>
      <c r="R110" s="204">
        <f t="shared" si="6"/>
        <v>58.081795150199056</v>
      </c>
      <c r="S110" s="203">
        <f t="shared" si="7"/>
        <v>37.425955842757133</v>
      </c>
      <c r="T110" s="108"/>
      <c r="U110" s="109"/>
      <c r="V110" s="109"/>
    </row>
    <row r="111" spans="1:22">
      <c r="A111" s="101" t="s">
        <v>116</v>
      </c>
      <c r="B111" s="102" t="s">
        <v>117</v>
      </c>
      <c r="C111" s="103" t="s">
        <v>266</v>
      </c>
      <c r="D111" s="215">
        <v>2546</v>
      </c>
      <c r="E111" s="216">
        <v>4601</v>
      </c>
      <c r="F111" s="104"/>
      <c r="G111" s="211">
        <v>722</v>
      </c>
      <c r="H111" s="211">
        <v>1938</v>
      </c>
      <c r="I111" s="107"/>
      <c r="J111" s="211">
        <v>1574</v>
      </c>
      <c r="K111" s="211">
        <v>2141</v>
      </c>
      <c r="L111" s="110"/>
      <c r="M111" s="211">
        <v>162</v>
      </c>
      <c r="N111" s="211">
        <v>417</v>
      </c>
      <c r="O111" s="105"/>
      <c r="P111" s="205">
        <f t="shared" si="4"/>
        <v>55.335796565963925</v>
      </c>
      <c r="Q111" s="204">
        <f t="shared" si="5"/>
        <v>37.254901960784316</v>
      </c>
      <c r="R111" s="204">
        <f t="shared" si="6"/>
        <v>73.517048108360584</v>
      </c>
      <c r="S111" s="203">
        <f t="shared" si="7"/>
        <v>38.848920863309353</v>
      </c>
      <c r="T111" s="108"/>
      <c r="U111" s="109"/>
      <c r="V111" s="109"/>
    </row>
    <row r="112" spans="1:22">
      <c r="A112" s="101" t="s">
        <v>138</v>
      </c>
      <c r="B112" s="102" t="s">
        <v>139</v>
      </c>
      <c r="C112" s="103" t="s">
        <v>265</v>
      </c>
      <c r="D112" s="215">
        <v>5474</v>
      </c>
      <c r="E112" s="216">
        <v>12801</v>
      </c>
      <c r="F112" s="104"/>
      <c r="G112" s="211">
        <v>1492</v>
      </c>
      <c r="H112" s="211">
        <v>6542</v>
      </c>
      <c r="I112" s="107"/>
      <c r="J112" s="211">
        <v>3493</v>
      </c>
      <c r="K112" s="211">
        <v>4881</v>
      </c>
      <c r="L112" s="110"/>
      <c r="M112" s="211">
        <v>194</v>
      </c>
      <c r="N112" s="211">
        <v>518</v>
      </c>
      <c r="O112" s="105"/>
      <c r="P112" s="205">
        <f t="shared" si="4"/>
        <v>42.762284196547142</v>
      </c>
      <c r="Q112" s="204">
        <f t="shared" si="5"/>
        <v>22.806481198410271</v>
      </c>
      <c r="R112" s="204">
        <f t="shared" si="6"/>
        <v>71.563204261421845</v>
      </c>
      <c r="S112" s="203">
        <f t="shared" si="7"/>
        <v>37.451737451737451</v>
      </c>
      <c r="T112" s="108"/>
      <c r="U112" s="109"/>
      <c r="V112" s="109"/>
    </row>
    <row r="113" spans="1:22">
      <c r="A113" s="101" t="s">
        <v>142</v>
      </c>
      <c r="B113" s="102" t="s">
        <v>143</v>
      </c>
      <c r="C113" s="103" t="s">
        <v>267</v>
      </c>
      <c r="D113" s="215">
        <v>2509</v>
      </c>
      <c r="E113" s="216">
        <v>9107</v>
      </c>
      <c r="F113" s="104"/>
      <c r="G113" s="211">
        <v>1103</v>
      </c>
      <c r="H113" s="211">
        <v>5076</v>
      </c>
      <c r="I113" s="107"/>
      <c r="J113" s="211">
        <v>606</v>
      </c>
      <c r="K113" s="211">
        <v>1202</v>
      </c>
      <c r="L113" s="110"/>
      <c r="M113" s="211">
        <v>956</v>
      </c>
      <c r="N113" s="211">
        <v>3653</v>
      </c>
      <c r="O113" s="105"/>
      <c r="P113" s="205">
        <f t="shared" si="4"/>
        <v>27.550236082134621</v>
      </c>
      <c r="Q113" s="204">
        <f t="shared" si="5"/>
        <v>21.729708431836091</v>
      </c>
      <c r="R113" s="204">
        <f t="shared" si="6"/>
        <v>50.415973377703828</v>
      </c>
      <c r="S113" s="203">
        <f t="shared" si="7"/>
        <v>26.170271010128658</v>
      </c>
      <c r="T113" s="108"/>
      <c r="U113" s="109"/>
      <c r="V113" s="109"/>
    </row>
    <row r="114" spans="1:22">
      <c r="A114" s="101" t="s">
        <v>144</v>
      </c>
      <c r="B114" s="102" t="s">
        <v>145</v>
      </c>
      <c r="C114" s="103" t="s">
        <v>267</v>
      </c>
      <c r="D114" s="215">
        <v>818</v>
      </c>
      <c r="E114" s="216">
        <v>3427</v>
      </c>
      <c r="F114" s="104"/>
      <c r="G114" s="211">
        <v>394</v>
      </c>
      <c r="H114" s="211">
        <v>1745</v>
      </c>
      <c r="I114" s="107"/>
      <c r="J114" s="211">
        <v>165</v>
      </c>
      <c r="K114" s="211">
        <v>437</v>
      </c>
      <c r="L114" s="110"/>
      <c r="M114" s="211">
        <v>319</v>
      </c>
      <c r="N114" s="211">
        <v>1325</v>
      </c>
      <c r="O114" s="105"/>
      <c r="P114" s="205">
        <f t="shared" si="4"/>
        <v>23.869273416982782</v>
      </c>
      <c r="Q114" s="204">
        <f t="shared" si="5"/>
        <v>22.578796561604584</v>
      </c>
      <c r="R114" s="204">
        <f t="shared" si="6"/>
        <v>37.757437070938217</v>
      </c>
      <c r="S114" s="203">
        <f t="shared" si="7"/>
        <v>24.075471698113208</v>
      </c>
      <c r="T114" s="108"/>
      <c r="U114" s="109"/>
      <c r="V114" s="109"/>
    </row>
    <row r="115" spans="1:22">
      <c r="A115" s="101" t="s">
        <v>158</v>
      </c>
      <c r="B115" s="102" t="s">
        <v>159</v>
      </c>
      <c r="C115" s="103" t="s">
        <v>264</v>
      </c>
      <c r="D115" s="215">
        <v>16909</v>
      </c>
      <c r="E115" s="216">
        <v>38118</v>
      </c>
      <c r="F115" s="104"/>
      <c r="G115" s="211">
        <v>3558</v>
      </c>
      <c r="H115" s="211">
        <v>14677</v>
      </c>
      <c r="I115" s="107"/>
      <c r="J115" s="211">
        <v>11205</v>
      </c>
      <c r="K115" s="211">
        <v>17808</v>
      </c>
      <c r="L115" s="110"/>
      <c r="M115" s="211">
        <v>1543</v>
      </c>
      <c r="N115" s="211">
        <v>4095</v>
      </c>
      <c r="O115" s="105"/>
      <c r="P115" s="205">
        <f t="shared" si="4"/>
        <v>44.359620126974129</v>
      </c>
      <c r="Q115" s="204">
        <f t="shared" si="5"/>
        <v>24.242011310213261</v>
      </c>
      <c r="R115" s="204">
        <f t="shared" si="6"/>
        <v>62.921159029649601</v>
      </c>
      <c r="S115" s="203">
        <f t="shared" si="7"/>
        <v>37.680097680097681</v>
      </c>
      <c r="T115" s="108"/>
      <c r="U115" s="109"/>
      <c r="V115" s="109"/>
    </row>
    <row r="116" spans="1:22">
      <c r="A116" s="101" t="s">
        <v>160</v>
      </c>
      <c r="B116" s="102" t="s">
        <v>161</v>
      </c>
      <c r="C116" s="103" t="s">
        <v>264</v>
      </c>
      <c r="D116" s="215">
        <v>20474</v>
      </c>
      <c r="E116" s="216">
        <v>42273</v>
      </c>
      <c r="F116" s="104"/>
      <c r="G116" s="211">
        <v>4007</v>
      </c>
      <c r="H116" s="211">
        <v>15462</v>
      </c>
      <c r="I116" s="107"/>
      <c r="J116" s="211">
        <v>14354</v>
      </c>
      <c r="K116" s="211">
        <v>21188</v>
      </c>
      <c r="L116" s="110"/>
      <c r="M116" s="211">
        <v>1485</v>
      </c>
      <c r="N116" s="211">
        <v>3750</v>
      </c>
      <c r="O116" s="105"/>
      <c r="P116" s="205">
        <f t="shared" si="4"/>
        <v>48.43280580985499</v>
      </c>
      <c r="Q116" s="204">
        <f t="shared" si="5"/>
        <v>25.915146811537966</v>
      </c>
      <c r="R116" s="204">
        <f t="shared" si="6"/>
        <v>67.745893902208792</v>
      </c>
      <c r="S116" s="203">
        <f t="shared" si="7"/>
        <v>39.6</v>
      </c>
      <c r="T116" s="108"/>
      <c r="U116" s="109"/>
      <c r="V116" s="109"/>
    </row>
    <row r="117" spans="1:22">
      <c r="A117" s="101" t="s">
        <v>166</v>
      </c>
      <c r="B117" s="102" t="s">
        <v>167</v>
      </c>
      <c r="C117" s="103" t="s">
        <v>268</v>
      </c>
      <c r="D117" s="215">
        <v>345</v>
      </c>
      <c r="E117" s="216">
        <v>733</v>
      </c>
      <c r="F117" s="104"/>
      <c r="G117" s="211">
        <v>258</v>
      </c>
      <c r="H117" s="211">
        <v>598</v>
      </c>
      <c r="I117" s="107"/>
      <c r="J117" s="211">
        <v>39</v>
      </c>
      <c r="K117" s="211">
        <v>57</v>
      </c>
      <c r="L117" s="110"/>
      <c r="M117" s="211">
        <v>14</v>
      </c>
      <c r="N117" s="211">
        <v>18</v>
      </c>
      <c r="O117" s="105"/>
      <c r="P117" s="205">
        <f t="shared" si="4"/>
        <v>47.066848567530698</v>
      </c>
      <c r="Q117" s="204">
        <f t="shared" si="5"/>
        <v>43.143812709030101</v>
      </c>
      <c r="R117" s="204">
        <f t="shared" si="6"/>
        <v>68.421052631578945</v>
      </c>
      <c r="S117" s="203">
        <f t="shared" si="7"/>
        <v>77.777777777777786</v>
      </c>
      <c r="T117" s="108"/>
      <c r="U117" s="109"/>
      <c r="V117" s="109"/>
    </row>
    <row r="118" spans="1:22">
      <c r="A118" s="101" t="s">
        <v>176</v>
      </c>
      <c r="B118" s="102" t="s">
        <v>177</v>
      </c>
      <c r="C118" s="103" t="s">
        <v>266</v>
      </c>
      <c r="D118" s="215">
        <v>3407</v>
      </c>
      <c r="E118" s="216">
        <v>4980</v>
      </c>
      <c r="F118" s="104"/>
      <c r="G118" s="211">
        <v>162</v>
      </c>
      <c r="H118" s="211">
        <v>403</v>
      </c>
      <c r="I118" s="107"/>
      <c r="J118" s="211">
        <v>3058</v>
      </c>
      <c r="K118" s="211">
        <v>4173</v>
      </c>
      <c r="L118" s="110"/>
      <c r="M118" s="211">
        <v>125</v>
      </c>
      <c r="N118" s="211">
        <v>319</v>
      </c>
      <c r="O118" s="105"/>
      <c r="P118" s="205">
        <f t="shared" si="4"/>
        <v>68.413654618473899</v>
      </c>
      <c r="Q118" s="204">
        <f t="shared" si="5"/>
        <v>40.198511166253105</v>
      </c>
      <c r="R118" s="204">
        <f t="shared" si="6"/>
        <v>73.280613467529349</v>
      </c>
      <c r="S118" s="203">
        <f t="shared" si="7"/>
        <v>39.184952978056423</v>
      </c>
      <c r="T118" s="108"/>
      <c r="U118" s="109"/>
      <c r="V118" s="109"/>
    </row>
    <row r="119" spans="1:22">
      <c r="A119" s="101" t="s">
        <v>180</v>
      </c>
      <c r="B119" s="102" t="s">
        <v>181</v>
      </c>
      <c r="C119" s="103" t="s">
        <v>264</v>
      </c>
      <c r="D119" s="215">
        <v>9017</v>
      </c>
      <c r="E119" s="216">
        <v>18131</v>
      </c>
      <c r="F119" s="104"/>
      <c r="G119" s="211">
        <v>1561</v>
      </c>
      <c r="H119" s="211">
        <v>6070</v>
      </c>
      <c r="I119" s="107"/>
      <c r="J119" s="211">
        <v>6830</v>
      </c>
      <c r="K119" s="211">
        <v>10644</v>
      </c>
      <c r="L119" s="110"/>
      <c r="M119" s="211">
        <v>330</v>
      </c>
      <c r="N119" s="211">
        <v>793</v>
      </c>
      <c r="O119" s="105"/>
      <c r="P119" s="205">
        <f t="shared" si="4"/>
        <v>49.732502344051625</v>
      </c>
      <c r="Q119" s="204">
        <f t="shared" si="5"/>
        <v>25.716639209225701</v>
      </c>
      <c r="R119" s="204">
        <f t="shared" si="6"/>
        <v>64.167606163096579</v>
      </c>
      <c r="S119" s="203">
        <f t="shared" si="7"/>
        <v>41.614123581336699</v>
      </c>
      <c r="T119" s="108"/>
      <c r="U119" s="109"/>
      <c r="V119" s="109"/>
    </row>
    <row r="120" spans="1:22">
      <c r="A120" s="101" t="s">
        <v>192</v>
      </c>
      <c r="B120" s="102" t="s">
        <v>193</v>
      </c>
      <c r="C120" s="103" t="s">
        <v>268</v>
      </c>
      <c r="D120" s="215">
        <v>721</v>
      </c>
      <c r="E120" s="216">
        <v>1931</v>
      </c>
      <c r="F120" s="104"/>
      <c r="G120" s="211">
        <v>509</v>
      </c>
      <c r="H120" s="211">
        <v>1578</v>
      </c>
      <c r="I120" s="107"/>
      <c r="J120" s="211">
        <v>123</v>
      </c>
      <c r="K120" s="211">
        <v>175</v>
      </c>
      <c r="L120" s="110"/>
      <c r="M120" s="211">
        <v>26</v>
      </c>
      <c r="N120" s="211">
        <v>45</v>
      </c>
      <c r="O120" s="105"/>
      <c r="P120" s="205">
        <f t="shared" si="4"/>
        <v>37.338166752977727</v>
      </c>
      <c r="Q120" s="204">
        <f t="shared" si="5"/>
        <v>32.256020278833972</v>
      </c>
      <c r="R120" s="204">
        <f t="shared" si="6"/>
        <v>70.285714285714278</v>
      </c>
      <c r="S120" s="203">
        <f t="shared" si="7"/>
        <v>57.777777777777771</v>
      </c>
      <c r="T120" s="108"/>
      <c r="U120" s="109"/>
      <c r="V120" s="109"/>
    </row>
    <row r="121" spans="1:22">
      <c r="A121" s="101" t="s">
        <v>196</v>
      </c>
      <c r="B121" s="102" t="s">
        <v>312</v>
      </c>
      <c r="C121" s="103" t="s">
        <v>266</v>
      </c>
      <c r="D121" s="215">
        <v>18322</v>
      </c>
      <c r="E121" s="216">
        <v>31305</v>
      </c>
      <c r="F121" s="104"/>
      <c r="G121" s="211">
        <v>1555</v>
      </c>
      <c r="H121" s="211">
        <v>8307</v>
      </c>
      <c r="I121" s="107"/>
      <c r="J121" s="211">
        <v>15392</v>
      </c>
      <c r="K121" s="211">
        <v>19914</v>
      </c>
      <c r="L121" s="110"/>
      <c r="M121" s="211">
        <v>1145</v>
      </c>
      <c r="N121" s="211">
        <v>2711</v>
      </c>
      <c r="O121" s="105"/>
      <c r="P121" s="205">
        <f t="shared" si="4"/>
        <v>58.52739179044881</v>
      </c>
      <c r="Q121" s="204">
        <f t="shared" si="5"/>
        <v>18.719152521969423</v>
      </c>
      <c r="R121" s="204">
        <f t="shared" si="6"/>
        <v>77.292357135683446</v>
      </c>
      <c r="S121" s="203">
        <f t="shared" si="7"/>
        <v>42.235337513832533</v>
      </c>
      <c r="T121" s="108"/>
      <c r="U121" s="109"/>
      <c r="V121" s="109"/>
    </row>
    <row r="122" spans="1:22">
      <c r="A122" s="101" t="s">
        <v>200</v>
      </c>
      <c r="B122" s="102" t="s">
        <v>313</v>
      </c>
      <c r="C122" s="103" t="s">
        <v>265</v>
      </c>
      <c r="D122" s="215">
        <v>8836</v>
      </c>
      <c r="E122" s="216">
        <v>17849</v>
      </c>
      <c r="F122" s="104"/>
      <c r="G122" s="211">
        <v>3165</v>
      </c>
      <c r="H122" s="211">
        <v>9224</v>
      </c>
      <c r="I122" s="107"/>
      <c r="J122" s="211">
        <v>4457</v>
      </c>
      <c r="K122" s="211">
        <v>6273</v>
      </c>
      <c r="L122" s="110"/>
      <c r="M122" s="211">
        <v>699</v>
      </c>
      <c r="N122" s="211">
        <v>1535</v>
      </c>
      <c r="O122" s="105"/>
      <c r="P122" s="205">
        <f t="shared" si="4"/>
        <v>49.5041739032999</v>
      </c>
      <c r="Q122" s="204">
        <f t="shared" si="5"/>
        <v>34.31266261925412</v>
      </c>
      <c r="R122" s="204">
        <f t="shared" si="6"/>
        <v>71.050534034752104</v>
      </c>
      <c r="S122" s="203">
        <f t="shared" si="7"/>
        <v>45.537459283387619</v>
      </c>
      <c r="T122" s="108"/>
      <c r="U122" s="109"/>
      <c r="V122" s="109"/>
    </row>
    <row r="123" spans="1:22">
      <c r="A123" s="101" t="s">
        <v>222</v>
      </c>
      <c r="B123" s="102" t="s">
        <v>223</v>
      </c>
      <c r="C123" s="103" t="s">
        <v>264</v>
      </c>
      <c r="D123" s="215">
        <v>5891</v>
      </c>
      <c r="E123" s="216">
        <v>19024</v>
      </c>
      <c r="F123" s="104"/>
      <c r="G123" s="211">
        <v>1476</v>
      </c>
      <c r="H123" s="211">
        <v>9054</v>
      </c>
      <c r="I123" s="107"/>
      <c r="J123" s="211">
        <v>4058</v>
      </c>
      <c r="K123" s="211">
        <v>8404</v>
      </c>
      <c r="L123" s="110"/>
      <c r="M123" s="211">
        <v>217</v>
      </c>
      <c r="N123" s="211">
        <v>828</v>
      </c>
      <c r="O123" s="105"/>
      <c r="P123" s="205">
        <f t="shared" si="4"/>
        <v>30.966148023549202</v>
      </c>
      <c r="Q123" s="204">
        <f t="shared" si="5"/>
        <v>16.302186878727635</v>
      </c>
      <c r="R123" s="204">
        <f t="shared" si="6"/>
        <v>48.286530223703004</v>
      </c>
      <c r="S123" s="203">
        <f t="shared" si="7"/>
        <v>26.207729468599034</v>
      </c>
      <c r="T123" s="108"/>
      <c r="U123" s="109"/>
      <c r="V123" s="109"/>
    </row>
    <row r="124" spans="1:22">
      <c r="A124" s="101" t="s">
        <v>230</v>
      </c>
      <c r="B124" s="102" t="s">
        <v>231</v>
      </c>
      <c r="C124" s="103" t="s">
        <v>264</v>
      </c>
      <c r="D124" s="215">
        <v>27662</v>
      </c>
      <c r="E124" s="216">
        <v>93307</v>
      </c>
      <c r="F124" s="104"/>
      <c r="G124" s="211">
        <v>12802</v>
      </c>
      <c r="H124" s="211">
        <v>57570</v>
      </c>
      <c r="I124" s="107"/>
      <c r="J124" s="211">
        <v>10389</v>
      </c>
      <c r="K124" s="211">
        <v>19927</v>
      </c>
      <c r="L124" s="110"/>
      <c r="M124" s="211">
        <v>3040</v>
      </c>
      <c r="N124" s="211">
        <v>9133</v>
      </c>
      <c r="O124" s="105"/>
      <c r="P124" s="205">
        <f t="shared" si="4"/>
        <v>29.646221612526389</v>
      </c>
      <c r="Q124" s="204">
        <f t="shared" si="5"/>
        <v>22.237276359214871</v>
      </c>
      <c r="R124" s="204">
        <f t="shared" si="6"/>
        <v>52.135293822451942</v>
      </c>
      <c r="S124" s="203">
        <f t="shared" si="7"/>
        <v>33.285886346217012</v>
      </c>
      <c r="T124" s="108"/>
      <c r="U124" s="109"/>
      <c r="V124" s="109"/>
    </row>
    <row r="125" spans="1:22">
      <c r="A125" s="101" t="s">
        <v>238</v>
      </c>
      <c r="B125" s="102" t="s">
        <v>239</v>
      </c>
      <c r="C125" s="103" t="s">
        <v>264</v>
      </c>
      <c r="D125" s="215">
        <v>464</v>
      </c>
      <c r="E125" s="216">
        <v>1231</v>
      </c>
      <c r="F125" s="104"/>
      <c r="G125" s="211">
        <v>179</v>
      </c>
      <c r="H125" s="211">
        <v>722</v>
      </c>
      <c r="I125" s="107"/>
      <c r="J125" s="211">
        <v>200</v>
      </c>
      <c r="K125" s="211">
        <v>295</v>
      </c>
      <c r="L125" s="110"/>
      <c r="M125" s="211">
        <v>57</v>
      </c>
      <c r="N125" s="211">
        <v>146</v>
      </c>
      <c r="O125" s="105"/>
      <c r="P125" s="205">
        <f t="shared" si="4"/>
        <v>37.692932575142166</v>
      </c>
      <c r="Q125" s="204">
        <f t="shared" si="5"/>
        <v>24.792243767313018</v>
      </c>
      <c r="R125" s="204">
        <f t="shared" si="6"/>
        <v>67.796610169491515</v>
      </c>
      <c r="S125" s="203">
        <f t="shared" si="7"/>
        <v>39.041095890410958</v>
      </c>
      <c r="T125" s="108"/>
      <c r="U125" s="109"/>
      <c r="V125" s="109"/>
    </row>
    <row r="126" spans="1:22">
      <c r="A126" s="168" t="s">
        <v>240</v>
      </c>
      <c r="B126" s="169" t="s">
        <v>241</v>
      </c>
      <c r="C126" s="111" t="s">
        <v>267</v>
      </c>
      <c r="D126" s="217">
        <v>1867</v>
      </c>
      <c r="E126" s="218">
        <v>5010</v>
      </c>
      <c r="F126" s="112"/>
      <c r="G126" s="212">
        <v>1033</v>
      </c>
      <c r="H126" s="212">
        <v>3159</v>
      </c>
      <c r="I126" s="106"/>
      <c r="J126" s="212">
        <v>355</v>
      </c>
      <c r="K126" s="212">
        <v>586</v>
      </c>
      <c r="L126" s="113"/>
      <c r="M126" s="212">
        <v>454</v>
      </c>
      <c r="N126" s="212">
        <v>1275</v>
      </c>
      <c r="O126" s="114"/>
      <c r="P126" s="206">
        <f t="shared" si="4"/>
        <v>37.265469061876253</v>
      </c>
      <c r="Q126" s="207">
        <f t="shared" si="5"/>
        <v>32.700221589110477</v>
      </c>
      <c r="R126" s="207">
        <f t="shared" si="6"/>
        <v>60.580204778156997</v>
      </c>
      <c r="S126" s="208">
        <f t="shared" si="7"/>
        <v>35.607843137254903</v>
      </c>
      <c r="T126" s="108"/>
      <c r="U126" s="109"/>
      <c r="V126" s="109"/>
    </row>
    <row r="127" spans="1:22">
      <c r="A127" s="115"/>
      <c r="B127" s="116"/>
      <c r="C127" s="116"/>
      <c r="D127" s="116"/>
      <c r="E127" s="116"/>
      <c r="F127" s="116"/>
      <c r="G127" s="105"/>
      <c r="H127" s="105"/>
      <c r="I127" s="107"/>
      <c r="J127" s="105"/>
      <c r="K127" s="105"/>
      <c r="L127" s="110"/>
      <c r="M127" s="105"/>
      <c r="N127" s="105"/>
      <c r="O127" s="105"/>
      <c r="Q127" s="118"/>
      <c r="R127" s="118"/>
      <c r="S127" s="107"/>
      <c r="T127" s="108"/>
      <c r="U127" s="109"/>
      <c r="V127" s="109"/>
    </row>
    <row r="128" spans="1:22">
      <c r="A128" s="115" t="s">
        <v>251</v>
      </c>
      <c r="B128" s="96"/>
      <c r="C128" s="319"/>
      <c r="D128" s="319"/>
      <c r="E128" s="319"/>
      <c r="F128" s="319"/>
      <c r="G128" s="105"/>
      <c r="H128" s="105"/>
      <c r="I128" s="107"/>
      <c r="J128" s="105"/>
      <c r="K128" s="105"/>
      <c r="L128" s="110"/>
      <c r="M128" s="105"/>
      <c r="N128" s="105"/>
      <c r="O128" s="105"/>
      <c r="Q128" s="118"/>
      <c r="R128" s="118"/>
      <c r="S128" s="107"/>
      <c r="T128" s="108"/>
      <c r="U128" s="109"/>
      <c r="V128" s="109"/>
    </row>
    <row r="129" spans="1:22">
      <c r="A129" s="319" t="s">
        <v>266</v>
      </c>
      <c r="B129" s="96"/>
      <c r="C129" s="319"/>
      <c r="D129" s="321">
        <f>D10+D21+D23+D25+D27+D31+D34+D38+D43+D48+D49+D54+D56+D57+D61+D65+D68+D70+D71+D76+D77+D82+D98+D111+D118+D121</f>
        <v>85415</v>
      </c>
      <c r="E129" s="321">
        <f>E10+E21+E23+E25+E27+E31+E34+E38+E43+E48+E49+E54+E56+E57+E61+E65+E68+E70+E71+E76+E77+E82+E98+E111+E118+E121</f>
        <v>263081</v>
      </c>
      <c r="F129" s="319"/>
      <c r="G129" s="321">
        <f>G10+G21+G23+G25+G27+G31+G34+G38+G43+G48+G49+G54+G56+G57+G61+G65+G68+G70+G71+G76+G77+G82+G98+G111+G118+G121</f>
        <v>29474</v>
      </c>
      <c r="H129" s="321">
        <f>H10+H21+H23+H25+H27+H31+H34+H38+H43+H48+H49+H54+H56+H57+H61+H65+H68+H70+H71+H76+H77+H82+H98+H111+H118+H121</f>
        <v>155169</v>
      </c>
      <c r="I129" s="107"/>
      <c r="J129" s="321">
        <f>J10+J21+J23+J25+J27+J31+J34+J38+J43+J48+J49+J54+J56+J57+J61+J65+J68+J70+J71+J76+J77+J82+J98+J111+J118+J121</f>
        <v>47586</v>
      </c>
      <c r="K129" s="321">
        <f>K10+K21+K23+K25+K27+K31+K34+K38+K43+K48+K49+K54+K56+K57+K61+K65+K68+K70+K71+K76+K77+K82+K98+K111+K118+K121</f>
        <v>77872</v>
      </c>
      <c r="L129" s="110"/>
      <c r="M129" s="321">
        <f>M10+M21+M23+M25+M27+M31+M34+M38+M43+M48+M49+M54+M56+M57+M61+M65+M68+M70+M71+M76+M77+M82+M98+M111+M118+M121</f>
        <v>5871</v>
      </c>
      <c r="N129" s="321">
        <f>N10+N21+N23+N25+N27+N31+N34+N38+N43+N48+N49+N54+N56+N57+N61+N65+N68+N70+N71+N76+N77+N82+N98+N111+N118+N121</f>
        <v>18288</v>
      </c>
      <c r="O129" s="105"/>
      <c r="P129" s="322">
        <f>(D129/E129)*100</f>
        <v>32.467186912015691</v>
      </c>
      <c r="Q129" s="323">
        <f>(G129/H129)*100</f>
        <v>18.994773440571247</v>
      </c>
      <c r="R129" s="323">
        <f>(J129/K129)*100</f>
        <v>61.107972056708448</v>
      </c>
      <c r="S129" s="324">
        <f>IF(N129&lt;1,"NA", ((M129/N129)*100))</f>
        <v>32.10301837270341</v>
      </c>
      <c r="T129" s="108"/>
      <c r="U129" s="109"/>
      <c r="V129" s="109"/>
    </row>
    <row r="130" spans="1:22">
      <c r="A130" s="319" t="s">
        <v>264</v>
      </c>
      <c r="B130" s="96"/>
      <c r="C130" s="319"/>
      <c r="D130" s="321">
        <f>D7+D19+D33+D42+D46+D52+D53+D63+D69+D78+D90+D93+D94+D124+D101+D105+D107+D110+D115+D116+D119+D123+D125</f>
        <v>129637</v>
      </c>
      <c r="E130" s="321">
        <f>E7+E19+E33+E42+E46+E52+E53+E63+E69+E78+E90+E93+E94+E124+E101+E105+E107+E110+E115+E116+E119+E123+E125</f>
        <v>368826</v>
      </c>
      <c r="F130" s="319"/>
      <c r="G130" s="321">
        <f>G7+G19+G33+G42+G46+G52+G53+G63+G69+G78+G90+G93+G94+G124+G101+G105+G107+G110+G115+G116+G119+G123+G125</f>
        <v>42187</v>
      </c>
      <c r="H130" s="321">
        <f>H7+H19+H33+H42+H46+H52+H53+H63+H69+H78+H90+H93+H94+H124+H101+H105+H107+H110+H115+H116+H119+H123+H125</f>
        <v>196948</v>
      </c>
      <c r="I130" s="107"/>
      <c r="J130" s="321">
        <f>J7+J19+J33+J42+J46+J52+J53+J63+J69+J78+J90+J93+J94+J124+J101+J105+J107+J110+J115+J116+J119+J123+J125</f>
        <v>72980</v>
      </c>
      <c r="K130" s="321">
        <f>K7+K19+K33+K42+K46+K52+K53+K63+K69+K78+K90+K93+K94+K124+K101+K105+K107+K110+K115+K116+K119+K123+K125</f>
        <v>125301</v>
      </c>
      <c r="L130" s="110"/>
      <c r="M130" s="321">
        <f>M7+M19+M33+M42+M46+M52+M53+M63+M69+M78+M90+M93+M94+M124+M101+M105+M107+M110+M115+M116+M119+M123+M125</f>
        <v>9659</v>
      </c>
      <c r="N130" s="321">
        <f>N7+N19+N33+N42+N46+N52+N53+N63+N69+N78+N90+N93+N94+N124+N101+N105+N107+N110+N115+N116+N119+N123+N125</f>
        <v>28855</v>
      </c>
      <c r="O130" s="105"/>
      <c r="P130" s="322">
        <f>(D130/E130)*100</f>
        <v>35.148552433939038</v>
      </c>
      <c r="Q130" s="323">
        <f>(G130/H130)*100</f>
        <v>21.420374921299022</v>
      </c>
      <c r="R130" s="323">
        <f>(J130/K130)*100</f>
        <v>58.243749052282098</v>
      </c>
      <c r="S130" s="324">
        <f>IF(N130&lt;1,"NA", ((M130/N130)*100))</f>
        <v>33.474267891180034</v>
      </c>
      <c r="T130" s="108"/>
      <c r="U130" s="109"/>
      <c r="V130" s="109"/>
    </row>
    <row r="131" spans="1:22">
      <c r="A131" s="319" t="s">
        <v>267</v>
      </c>
      <c r="B131" s="96"/>
      <c r="C131" s="319"/>
      <c r="D131" s="321">
        <f>D13+D28+D30+D35+D36+D40+D45+D55+D59+D60+D62+D72+D73+D79+D81+D85+D88+D91+D92+D96+D102+D108+D113+D114+D126</f>
        <v>133285</v>
      </c>
      <c r="E131" s="321">
        <f>E13+E28+E30+E35+E36+E40+E45+E55+E59+E60+E62+E72+E73+E79+E81+E85+E88+E91+E92+E96+E102+E108+E113+E114+E126</f>
        <v>692685</v>
      </c>
      <c r="F131" s="319"/>
      <c r="G131" s="321">
        <f>G13+G28+G30+G35+G36+G40+G45+G55+G59+G60+G62+G72+G73+G79+G81+G85+G88+G91+G92+G96+G102+G108+G113+G114+G126</f>
        <v>69868</v>
      </c>
      <c r="H131" s="321">
        <f>H13+H28+H30+H35+H36+H40+H45+H55+H59+H60+H62+H72+H73+H79+H81+H85+H88+H91+H92+H96+H102+H108+H113+H114+H126</f>
        <v>443527</v>
      </c>
      <c r="I131" s="107"/>
      <c r="J131" s="321">
        <f>J13+J28+J30+J35+J36+J40+J45+J55+J59+J60+J62+J72+J73+J79+J81+J85+J88+J91+J92+J96+J102+J108+J113+J114+J126</f>
        <v>32405</v>
      </c>
      <c r="K131" s="321">
        <f>K13+K28+K30+K35+K36+K40+K45+K55+K59+K60+K62+K72+K73+K79+K81+K85+K88+K91+K92+K96+K102+K108+K113+K114+K126</f>
        <v>79293</v>
      </c>
      <c r="L131" s="110"/>
      <c r="M131" s="321">
        <f>M13+M28+M30+M35+M36+M40+M45+M55+M59+M60+M62+M72+M73+M79+M81+M85+M88+M91+M92+M96+M102+M108+M113+M114+M126</f>
        <v>29151</v>
      </c>
      <c r="N131" s="321">
        <f>N13+N28+N30+N35+N36+N40+N45+N55+N59+N60+N62+N72+N73+N79+N81+N85+N88+N91+N92+N96+N102+N108+N113+N114+N126</f>
        <v>113332</v>
      </c>
      <c r="O131" s="105"/>
      <c r="P131" s="322">
        <f>(D131/E131)*100</f>
        <v>19.241791001681861</v>
      </c>
      <c r="Q131" s="323">
        <f>(G131/H131)*100</f>
        <v>15.752817754048795</v>
      </c>
      <c r="R131" s="323">
        <f>(J131/K131)*100</f>
        <v>40.867415787017769</v>
      </c>
      <c r="S131" s="324">
        <f>IF(N131&lt;1,"NA", ((M131/N131)*100))</f>
        <v>25.721773197331732</v>
      </c>
      <c r="T131" s="108"/>
      <c r="U131" s="109"/>
      <c r="V131" s="109"/>
    </row>
    <row r="132" spans="1:22">
      <c r="A132" s="319" t="s">
        <v>265</v>
      </c>
      <c r="B132" s="96"/>
      <c r="C132" s="319"/>
      <c r="D132" s="321">
        <f>D8+D9+D11+D12+D14+D15+D16+D18+D22+D26+D29+D39+D47+D50+D51+D64+D67+D75+D83+D84+D104+D106+D112+D122</f>
        <v>67810</v>
      </c>
      <c r="E132" s="321">
        <f>E8+E9+E11+E12+E14+E15+E16+E18+E22+E26+E29+E39+E47+E50+E51+E64+E67+E75+E83+E84+E104+E106+E112+E122</f>
        <v>210526</v>
      </c>
      <c r="F132" s="319"/>
      <c r="G132" s="321">
        <f>G8+G9+G11+G12+G14+G15+G16+G18+G22+G26+G29+G39+G47+G50+G51+G64+G67+G75+G83+G84+G104+G106+G112+G122</f>
        <v>36951</v>
      </c>
      <c r="H132" s="321">
        <f>H8+H9+H11+H12+H14+H15+H16+H18+H22+H26+H29+H39+H47+H50+H51+H64+H67+H75+H83+H84+H104+H106+H112+H122</f>
        <v>155662</v>
      </c>
      <c r="I132" s="107"/>
      <c r="J132" s="321">
        <f>J8+J9+J11+J12+J14+J15+J16+J18+J22+J26+J29+J39+J47+J50+J51+J64+J67+J75+J83+J84+J104+J106+J112+J122</f>
        <v>24207</v>
      </c>
      <c r="K132" s="321">
        <f>K8+K9+K11+K12+K14+K15+K16+K18+K22+K26+K29+K39+K47+K50+K51+K64+K67+K75+K83+K84+K104+K106+K112+K122</f>
        <v>37258</v>
      </c>
      <c r="L132" s="110"/>
      <c r="M132" s="321">
        <f>M8+M9+M11+M12+M14+M15+M16+M18+M22+M26+M29+M39+M47+M50+M51+M64+M67+M75+M83+M84+M104+M106+M112+M122</f>
        <v>3539</v>
      </c>
      <c r="N132" s="321">
        <f>N8+N9+N11+N12+N14+N15+N16+N18+N22+N26+N29+N39+N47+N50+N51+N64+N67+N75+N83+N84+N104+N106+N112+N122</f>
        <v>10270</v>
      </c>
      <c r="O132" s="105"/>
      <c r="P132" s="322">
        <f>(D132/E132)*100</f>
        <v>32.209798314697473</v>
      </c>
      <c r="Q132" s="323">
        <f>(G132/H132)*100</f>
        <v>23.737970731456617</v>
      </c>
      <c r="R132" s="323">
        <f>(J132/K132)*100</f>
        <v>64.971281335552106</v>
      </c>
      <c r="S132" s="324">
        <f>IF(N132&lt;1,"NA", ((M132/N132)*100))</f>
        <v>34.459591041869523</v>
      </c>
      <c r="T132" s="108"/>
      <c r="U132" s="109"/>
      <c r="V132" s="109"/>
    </row>
    <row r="133" spans="1:22">
      <c r="A133" s="319" t="s">
        <v>268</v>
      </c>
      <c r="B133" s="96"/>
      <c r="C133" s="319"/>
      <c r="D133" s="321">
        <f>D17+D20+D24+D32+D37+D41+D44+D58+D66+D74+D80+D86+D87+D89+D95+D97+D99+D100+D103+D109+D117+D120</f>
        <v>28145</v>
      </c>
      <c r="E133" s="321">
        <f>E17+E20+E24+E32+E37+E41+E44+E58+E66+E74+E80+E86+E87+E89+E95+E97+E99+E100+E103+E109+E117+E120</f>
        <v>100242</v>
      </c>
      <c r="F133" s="319"/>
      <c r="G133" s="321">
        <f>G17+G20+G24+G32+G37+G41+G44+G58+G66+G74+G80+G86+G87+G89+G95+G97+G99+G100+G103+G109+G117+G120</f>
        <v>24955</v>
      </c>
      <c r="H133" s="321">
        <f>H17+H20+H24+H32+H37+H41+H44+H58+H66+H74+H80+H86+H87+H89+H95+H97+H99+H100+H103+H109+H117+H120</f>
        <v>93350</v>
      </c>
      <c r="I133" s="107"/>
      <c r="J133" s="321">
        <f>J17+J20+J24+J32+J37+J41+J44+J58+J66+J74+J80+J86+J87+J89+J95+J97+J99+J100+J103+J109+J117+J120</f>
        <v>1431</v>
      </c>
      <c r="K133" s="321">
        <f>K17+K20+K24+K32+K37+K41+K44+K58+K66+K74+K80+K86+K87+K89+K95+K97+K99+K100+K103+K109+K117+K120</f>
        <v>2353</v>
      </c>
      <c r="L133" s="110"/>
      <c r="M133" s="321">
        <f>M17+M20+M24+M32+M37+M41+M44+M58+M66+M74+M80+M86+M87+M89+M95+M97+M99+M100+M103+M109+M117+M120</f>
        <v>1039</v>
      </c>
      <c r="N133" s="321">
        <f>N17+N20+N24+N32+N37+N41+N44+N58+N66+N74+N80+N86+N87+N89+N95+N97+N99+N100+N103+N109+N117+N120</f>
        <v>2765</v>
      </c>
      <c r="O133" s="105"/>
      <c r="P133" s="322">
        <f>(D133/E133)*100</f>
        <v>28.077053530456297</v>
      </c>
      <c r="Q133" s="323">
        <f>(G133/H133)*100</f>
        <v>26.732726298875203</v>
      </c>
      <c r="R133" s="323">
        <f>(J133/K133)*100</f>
        <v>60.815979600509984</v>
      </c>
      <c r="S133" s="324">
        <f>IF(N133&lt;1,"NA", ((M133/N133)*100))</f>
        <v>37.576853526220617</v>
      </c>
      <c r="T133" s="108"/>
      <c r="U133" s="109"/>
      <c r="V133" s="109"/>
    </row>
    <row r="134" spans="1:22">
      <c r="A134" s="115"/>
      <c r="B134" s="319"/>
      <c r="C134" s="319"/>
      <c r="D134" s="319"/>
      <c r="E134" s="319"/>
      <c r="F134" s="319"/>
      <c r="G134" s="105"/>
      <c r="H134" s="105"/>
      <c r="I134" s="107"/>
      <c r="J134" s="105"/>
      <c r="K134" s="105"/>
      <c r="L134" s="110"/>
      <c r="M134" s="105"/>
      <c r="N134" s="105"/>
      <c r="O134" s="105"/>
      <c r="Q134" s="118"/>
      <c r="R134" s="118"/>
      <c r="S134" s="107"/>
      <c r="T134" s="108"/>
      <c r="U134" s="109"/>
      <c r="V134" s="109"/>
    </row>
    <row r="135" spans="1:22" ht="68.25" customHeight="1">
      <c r="A135" s="181"/>
      <c r="B135" s="181"/>
      <c r="C135" s="181"/>
      <c r="D135" s="1899" t="s">
        <v>637</v>
      </c>
      <c r="E135" s="1899"/>
      <c r="F135" s="1899"/>
      <c r="G135" s="1899"/>
      <c r="H135" s="1899"/>
      <c r="I135" s="1899"/>
      <c r="J135" s="1899"/>
      <c r="K135" s="1899"/>
      <c r="L135" s="1899"/>
      <c r="M135" s="1899"/>
      <c r="N135" s="119"/>
      <c r="O135" s="119"/>
      <c r="P135" s="120"/>
      <c r="Q135" s="120"/>
      <c r="R135" s="120"/>
    </row>
    <row r="136" spans="1:22" ht="18" customHeight="1">
      <c r="B136" s="121"/>
      <c r="C136" s="121"/>
      <c r="D136" s="1963" t="s">
        <v>248</v>
      </c>
      <c r="E136" s="1963"/>
      <c r="F136" s="1963"/>
      <c r="G136" s="1963"/>
      <c r="H136" s="1963"/>
      <c r="I136" s="1963"/>
      <c r="J136" s="1963"/>
      <c r="K136" s="1963"/>
      <c r="L136" s="1963"/>
      <c r="M136" s="1963"/>
      <c r="N136" s="121"/>
      <c r="O136" s="121"/>
      <c r="P136" s="122"/>
      <c r="Q136" s="122"/>
      <c r="R136" s="122"/>
    </row>
    <row r="137" spans="1:22" ht="18.75" customHeight="1">
      <c r="B137" s="96"/>
      <c r="C137" s="123"/>
      <c r="D137" s="124" t="s">
        <v>249</v>
      </c>
      <c r="E137" s="1964" t="s">
        <v>250</v>
      </c>
      <c r="F137" s="1964"/>
      <c r="G137" s="1964"/>
      <c r="H137" s="123"/>
    </row>
  </sheetData>
  <mergeCells count="9">
    <mergeCell ref="P4:S4"/>
    <mergeCell ref="D135:M135"/>
    <mergeCell ref="D136:M136"/>
    <mergeCell ref="E137:G137"/>
    <mergeCell ref="A1:K1"/>
    <mergeCell ref="D4:E4"/>
    <mergeCell ref="G4:H4"/>
    <mergeCell ref="J4:K4"/>
    <mergeCell ref="M4:N4"/>
  </mergeCells>
  <hyperlinks>
    <hyperlink ref="E137" r:id="rId1"/>
  </hyperlinks>
  <pageMargins left="0.7" right="0.7" top="0.75" bottom="0.75" header="0.3" footer="0.3"/>
</worksheet>
</file>

<file path=xl/worksheets/sheet61.xml><?xml version="1.0" encoding="utf-8"?>
<worksheet xmlns="http://schemas.openxmlformats.org/spreadsheetml/2006/main" xmlns:r="http://schemas.openxmlformats.org/officeDocument/2006/relationships">
  <dimension ref="A1:Q138"/>
  <sheetViews>
    <sheetView workbookViewId="0">
      <pane ySplit="6" topLeftCell="A7" activePane="bottomLeft" state="frozen"/>
      <selection pane="bottomLeft" activeCell="A129" sqref="A129:A133"/>
    </sheetView>
  </sheetViews>
  <sheetFormatPr defaultRowHeight="12.75"/>
  <cols>
    <col min="1" max="1" width="7.625" style="222" customWidth="1"/>
    <col min="2" max="2" width="26.375" style="220" customWidth="1"/>
    <col min="3" max="3" width="9.25" style="220" customWidth="1"/>
    <col min="4" max="4" width="1.75" style="220" customWidth="1"/>
    <col min="5" max="7" width="10.875" style="221" customWidth="1"/>
    <col min="8" max="8" width="1.375" style="221" customWidth="1"/>
    <col min="9" max="10" width="13.5" style="222" customWidth="1"/>
    <col min="11" max="11" width="2.625" style="222" customWidth="1"/>
    <col min="12" max="14" width="10.375" style="222" customWidth="1"/>
    <col min="15" max="15" width="2.125" style="222" customWidth="1"/>
    <col min="16" max="17" width="10.375" style="222" customWidth="1"/>
    <col min="18" max="16384" width="9" style="222"/>
  </cols>
  <sheetData>
    <row r="1" spans="1:17" ht="15.75">
      <c r="A1" s="64" t="s">
        <v>654</v>
      </c>
    </row>
    <row r="3" spans="1:17">
      <c r="B3" s="222"/>
      <c r="C3" s="222"/>
      <c r="D3" s="222"/>
    </row>
    <row r="4" spans="1:17" ht="44.25" customHeight="1">
      <c r="E4" s="1966" t="s">
        <v>655</v>
      </c>
      <c r="F4" s="1966"/>
      <c r="G4" s="1966"/>
      <c r="H4" s="167"/>
      <c r="I4" s="1966" t="s">
        <v>656</v>
      </c>
      <c r="J4" s="1966"/>
      <c r="L4" s="1966" t="s">
        <v>663</v>
      </c>
      <c r="M4" s="1966"/>
      <c r="N4" s="1966"/>
      <c r="O4" s="167"/>
      <c r="P4" s="1966" t="s">
        <v>664</v>
      </c>
      <c r="Q4" s="1966"/>
    </row>
    <row r="5" spans="1:17">
      <c r="A5" s="223" t="s">
        <v>4</v>
      </c>
      <c r="B5" s="224" t="s">
        <v>657</v>
      </c>
      <c r="C5" s="224" t="s">
        <v>251</v>
      </c>
      <c r="D5" s="225"/>
      <c r="E5" s="178" t="s">
        <v>281</v>
      </c>
      <c r="F5" s="179" t="s">
        <v>648</v>
      </c>
      <c r="G5" s="177" t="s">
        <v>658</v>
      </c>
      <c r="H5" s="167"/>
      <c r="I5" s="178" t="s">
        <v>648</v>
      </c>
      <c r="J5" s="177" t="s">
        <v>658</v>
      </c>
      <c r="L5" s="178" t="s">
        <v>281</v>
      </c>
      <c r="M5" s="179" t="s">
        <v>648</v>
      </c>
      <c r="N5" s="177" t="s">
        <v>658</v>
      </c>
      <c r="O5" s="167"/>
      <c r="P5" s="178" t="s">
        <v>648</v>
      </c>
      <c r="Q5" s="177" t="s">
        <v>658</v>
      </c>
    </row>
    <row r="6" spans="1:17">
      <c r="A6" s="226" t="s">
        <v>8</v>
      </c>
      <c r="B6" s="227" t="s">
        <v>9</v>
      </c>
      <c r="C6" s="227"/>
      <c r="D6" s="228"/>
      <c r="E6" s="229">
        <v>1688168</v>
      </c>
      <c r="F6" s="230">
        <v>1534844</v>
      </c>
      <c r="G6" s="231">
        <v>153324</v>
      </c>
      <c r="H6" s="167"/>
      <c r="I6" s="232">
        <f>F6/E6</f>
        <v>0.90917728567298994</v>
      </c>
      <c r="J6" s="233">
        <f>G6/E6</f>
        <v>9.0822714327010112E-2</v>
      </c>
      <c r="K6" s="65"/>
      <c r="L6" s="229">
        <v>698173</v>
      </c>
      <c r="M6" s="230">
        <v>644610</v>
      </c>
      <c r="N6" s="231">
        <v>53563</v>
      </c>
      <c r="O6" s="234"/>
      <c r="P6" s="232">
        <f>M6/L6</f>
        <v>0.92328119248381135</v>
      </c>
      <c r="Q6" s="233">
        <f>N6/L6</f>
        <v>7.6718807516188675E-2</v>
      </c>
    </row>
    <row r="7" spans="1:17">
      <c r="A7" s="235" t="s">
        <v>10</v>
      </c>
      <c r="B7" s="236" t="s">
        <v>11</v>
      </c>
      <c r="C7" s="237" t="s">
        <v>264</v>
      </c>
      <c r="D7" s="237"/>
      <c r="E7" s="238">
        <v>7353</v>
      </c>
      <c r="F7" s="239">
        <v>6603</v>
      </c>
      <c r="G7" s="240">
        <v>750</v>
      </c>
      <c r="I7" s="241">
        <f t="shared" ref="I7:I70" si="0">F7/E7</f>
        <v>0.89800081599347203</v>
      </c>
      <c r="J7" s="242">
        <f t="shared" ref="J7:J70" si="1">G7/E7</f>
        <v>0.10199918400652795</v>
      </c>
      <c r="L7" s="243">
        <v>2269</v>
      </c>
      <c r="M7" s="243">
        <v>1955</v>
      </c>
      <c r="N7" s="243">
        <v>314</v>
      </c>
      <c r="P7" s="244">
        <f t="shared" ref="P7:P70" si="2">M7/L7</f>
        <v>0.86161304539444694</v>
      </c>
      <c r="Q7" s="244">
        <f t="shared" ref="Q7:Q70" si="3">N7/L7</f>
        <v>0.13838695460555311</v>
      </c>
    </row>
    <row r="8" spans="1:17">
      <c r="A8" s="235" t="s">
        <v>12</v>
      </c>
      <c r="B8" s="236" t="s">
        <v>13</v>
      </c>
      <c r="C8" s="237" t="s">
        <v>265</v>
      </c>
      <c r="D8" s="237"/>
      <c r="E8" s="238">
        <v>21565</v>
      </c>
      <c r="F8" s="239">
        <v>19600</v>
      </c>
      <c r="G8" s="240">
        <v>1965</v>
      </c>
      <c r="I8" s="241">
        <f t="shared" si="0"/>
        <v>0.90888012984001854</v>
      </c>
      <c r="J8" s="242">
        <f t="shared" si="1"/>
        <v>9.111987015998145E-2</v>
      </c>
      <c r="L8" s="243">
        <v>8644</v>
      </c>
      <c r="M8" s="243">
        <v>8018</v>
      </c>
      <c r="N8" s="243">
        <v>626</v>
      </c>
      <c r="P8" s="244">
        <f t="shared" si="2"/>
        <v>0.92757982415548357</v>
      </c>
      <c r="Q8" s="244">
        <f t="shared" si="3"/>
        <v>7.2420175844516432E-2</v>
      </c>
    </row>
    <row r="9" spans="1:17">
      <c r="A9" s="235" t="s">
        <v>16</v>
      </c>
      <c r="B9" s="236" t="s">
        <v>297</v>
      </c>
      <c r="C9" s="237" t="s">
        <v>265</v>
      </c>
      <c r="D9" s="237"/>
      <c r="E9" s="238">
        <v>5221</v>
      </c>
      <c r="F9" s="239">
        <v>4691</v>
      </c>
      <c r="G9" s="240">
        <v>530</v>
      </c>
      <c r="I9" s="241">
        <f t="shared" si="0"/>
        <v>0.89848687990806364</v>
      </c>
      <c r="J9" s="242">
        <f t="shared" si="1"/>
        <v>0.10151312009193642</v>
      </c>
      <c r="L9" s="243">
        <v>1779</v>
      </c>
      <c r="M9" s="243">
        <v>1555</v>
      </c>
      <c r="N9" s="243">
        <v>224</v>
      </c>
      <c r="P9" s="244">
        <f t="shared" si="2"/>
        <v>0.87408656548622821</v>
      </c>
      <c r="Q9" s="244">
        <f t="shared" si="3"/>
        <v>0.12591343451377179</v>
      </c>
    </row>
    <row r="10" spans="1:17">
      <c r="A10" s="235" t="s">
        <v>18</v>
      </c>
      <c r="B10" s="236" t="s">
        <v>19</v>
      </c>
      <c r="C10" s="237" t="s">
        <v>266</v>
      </c>
      <c r="D10" s="237"/>
      <c r="E10" s="238">
        <v>3038</v>
      </c>
      <c r="F10" s="239">
        <v>2770</v>
      </c>
      <c r="G10" s="240">
        <v>268</v>
      </c>
      <c r="I10" s="241">
        <f t="shared" si="0"/>
        <v>0.91178406846609616</v>
      </c>
      <c r="J10" s="242">
        <f t="shared" si="1"/>
        <v>8.8215931533903891E-2</v>
      </c>
      <c r="L10" s="243">
        <v>1040</v>
      </c>
      <c r="M10" s="243">
        <v>937</v>
      </c>
      <c r="N10" s="243">
        <v>103</v>
      </c>
      <c r="P10" s="244">
        <f t="shared" si="2"/>
        <v>0.90096153846153848</v>
      </c>
      <c r="Q10" s="244">
        <f t="shared" si="3"/>
        <v>9.9038461538461534E-2</v>
      </c>
    </row>
    <row r="11" spans="1:17">
      <c r="A11" s="235" t="s">
        <v>20</v>
      </c>
      <c r="B11" s="236" t="s">
        <v>21</v>
      </c>
      <c r="C11" s="237" t="s">
        <v>265</v>
      </c>
      <c r="D11" s="237"/>
      <c r="E11" s="238">
        <v>7187</v>
      </c>
      <c r="F11" s="239">
        <v>6499</v>
      </c>
      <c r="G11" s="240">
        <v>688</v>
      </c>
      <c r="I11" s="241">
        <f t="shared" si="0"/>
        <v>0.90427160150271324</v>
      </c>
      <c r="J11" s="242">
        <f t="shared" si="1"/>
        <v>9.5728398497286774E-2</v>
      </c>
      <c r="L11" s="243">
        <v>2536</v>
      </c>
      <c r="M11" s="243">
        <v>2238</v>
      </c>
      <c r="N11" s="243">
        <v>298</v>
      </c>
      <c r="P11" s="244">
        <f t="shared" si="2"/>
        <v>0.88249211356466872</v>
      </c>
      <c r="Q11" s="244">
        <f t="shared" si="3"/>
        <v>0.11750788643533124</v>
      </c>
    </row>
    <row r="12" spans="1:17">
      <c r="A12" s="235" t="s">
        <v>22</v>
      </c>
      <c r="B12" s="236" t="s">
        <v>23</v>
      </c>
      <c r="C12" s="237" t="s">
        <v>265</v>
      </c>
      <c r="D12" s="237"/>
      <c r="E12" s="238">
        <v>3614</v>
      </c>
      <c r="F12" s="239">
        <v>3301</v>
      </c>
      <c r="G12" s="240">
        <v>313</v>
      </c>
      <c r="I12" s="241">
        <f t="shared" si="0"/>
        <v>0.91339236303265081</v>
      </c>
      <c r="J12" s="242">
        <f t="shared" si="1"/>
        <v>8.6607636967349202E-2</v>
      </c>
      <c r="L12" s="243">
        <v>1230</v>
      </c>
      <c r="M12" s="243">
        <v>1092</v>
      </c>
      <c r="N12" s="243">
        <v>138</v>
      </c>
      <c r="P12" s="244">
        <f t="shared" si="2"/>
        <v>0.8878048780487805</v>
      </c>
      <c r="Q12" s="244">
        <f t="shared" si="3"/>
        <v>0.11219512195121951</v>
      </c>
    </row>
    <row r="13" spans="1:17">
      <c r="A13" s="235" t="s">
        <v>24</v>
      </c>
      <c r="B13" s="236" t="s">
        <v>25</v>
      </c>
      <c r="C13" s="237" t="s">
        <v>267</v>
      </c>
      <c r="D13" s="237"/>
      <c r="E13" s="238">
        <v>38502</v>
      </c>
      <c r="F13" s="239">
        <v>33218</v>
      </c>
      <c r="G13" s="240">
        <v>5284</v>
      </c>
      <c r="I13" s="241">
        <f t="shared" si="0"/>
        <v>0.86276037608435929</v>
      </c>
      <c r="J13" s="242">
        <f t="shared" si="1"/>
        <v>0.13723962391564073</v>
      </c>
      <c r="L13" s="243">
        <v>14733</v>
      </c>
      <c r="M13" s="243">
        <v>14228</v>
      </c>
      <c r="N13" s="243">
        <v>505</v>
      </c>
      <c r="P13" s="244">
        <f t="shared" si="2"/>
        <v>0.96572320640738474</v>
      </c>
      <c r="Q13" s="244">
        <f t="shared" si="3"/>
        <v>3.4276793592615221E-2</v>
      </c>
    </row>
    <row r="14" spans="1:17">
      <c r="A14" s="235" t="s">
        <v>26</v>
      </c>
      <c r="B14" s="236" t="s">
        <v>706</v>
      </c>
      <c r="C14" s="237" t="s">
        <v>265</v>
      </c>
      <c r="D14" s="237"/>
      <c r="E14" s="238">
        <v>27621</v>
      </c>
      <c r="F14" s="239">
        <v>24834</v>
      </c>
      <c r="G14" s="240">
        <v>2787</v>
      </c>
      <c r="I14" s="241">
        <f t="shared" si="0"/>
        <v>0.89909851200173785</v>
      </c>
      <c r="J14" s="242">
        <f t="shared" si="1"/>
        <v>0.10090148799826219</v>
      </c>
      <c r="L14" s="243">
        <v>9620</v>
      </c>
      <c r="M14" s="243">
        <v>8571</v>
      </c>
      <c r="N14" s="243">
        <v>1049</v>
      </c>
      <c r="P14" s="244">
        <f t="shared" si="2"/>
        <v>0.89095634095634091</v>
      </c>
      <c r="Q14" s="244">
        <f t="shared" si="3"/>
        <v>0.10904365904365905</v>
      </c>
    </row>
    <row r="15" spans="1:17">
      <c r="A15" s="235" t="s">
        <v>27</v>
      </c>
      <c r="B15" s="236" t="s">
        <v>28</v>
      </c>
      <c r="C15" s="237" t="s">
        <v>265</v>
      </c>
      <c r="D15" s="237"/>
      <c r="E15" s="238">
        <v>1205</v>
      </c>
      <c r="F15" s="239">
        <v>1090</v>
      </c>
      <c r="G15" s="240">
        <v>115</v>
      </c>
      <c r="I15" s="241">
        <f t="shared" si="0"/>
        <v>0.9045643153526971</v>
      </c>
      <c r="J15" s="242">
        <f t="shared" si="1"/>
        <v>9.5435684647302899E-2</v>
      </c>
      <c r="L15" s="243">
        <v>355</v>
      </c>
      <c r="M15" s="243">
        <v>322</v>
      </c>
      <c r="N15" s="243">
        <v>33</v>
      </c>
      <c r="P15" s="244">
        <f t="shared" si="2"/>
        <v>0.90704225352112677</v>
      </c>
      <c r="Q15" s="244">
        <f t="shared" si="3"/>
        <v>9.295774647887324E-2</v>
      </c>
    </row>
    <row r="16" spans="1:17">
      <c r="A16" s="235" t="s">
        <v>29</v>
      </c>
      <c r="B16" s="236" t="s">
        <v>619</v>
      </c>
      <c r="C16" s="237" t="s">
        <v>265</v>
      </c>
      <c r="D16" s="237"/>
      <c r="E16" s="238">
        <v>19414</v>
      </c>
      <c r="F16" s="239">
        <v>18072</v>
      </c>
      <c r="G16" s="240">
        <v>1342</v>
      </c>
      <c r="I16" s="241">
        <f t="shared" si="0"/>
        <v>0.93087462655815389</v>
      </c>
      <c r="J16" s="242">
        <f t="shared" si="1"/>
        <v>6.9125373441846091E-2</v>
      </c>
      <c r="L16" s="243">
        <v>6823</v>
      </c>
      <c r="M16" s="243">
        <v>6351</v>
      </c>
      <c r="N16" s="243">
        <v>472</v>
      </c>
      <c r="P16" s="244">
        <f t="shared" si="2"/>
        <v>0.93082221896526451</v>
      </c>
      <c r="Q16" s="244">
        <f t="shared" si="3"/>
        <v>6.9177781034735458E-2</v>
      </c>
    </row>
    <row r="17" spans="1:17">
      <c r="A17" s="235" t="s">
        <v>30</v>
      </c>
      <c r="B17" s="236" t="s">
        <v>31</v>
      </c>
      <c r="C17" s="237" t="s">
        <v>268</v>
      </c>
      <c r="D17" s="237"/>
      <c r="E17" s="238">
        <v>1613</v>
      </c>
      <c r="F17" s="239">
        <v>1499</v>
      </c>
      <c r="G17" s="240">
        <v>114</v>
      </c>
      <c r="I17" s="241">
        <f t="shared" si="0"/>
        <v>0.92932424054556728</v>
      </c>
      <c r="J17" s="242">
        <f t="shared" si="1"/>
        <v>7.0675759454432732E-2</v>
      </c>
      <c r="L17" s="243">
        <v>486</v>
      </c>
      <c r="M17" s="243">
        <v>451</v>
      </c>
      <c r="N17" s="243">
        <v>35</v>
      </c>
      <c r="P17" s="244">
        <f t="shared" si="2"/>
        <v>0.92798353909465026</v>
      </c>
      <c r="Q17" s="244">
        <f t="shared" si="3"/>
        <v>7.2016460905349799E-2</v>
      </c>
    </row>
    <row r="18" spans="1:17">
      <c r="A18" s="235" t="s">
        <v>32</v>
      </c>
      <c r="B18" s="236" t="s">
        <v>33</v>
      </c>
      <c r="C18" s="237" t="s">
        <v>265</v>
      </c>
      <c r="D18" s="237"/>
      <c r="E18" s="238">
        <v>8784</v>
      </c>
      <c r="F18" s="239">
        <v>8271</v>
      </c>
      <c r="G18" s="240">
        <v>513</v>
      </c>
      <c r="I18" s="241">
        <f t="shared" si="0"/>
        <v>0.94159836065573765</v>
      </c>
      <c r="J18" s="242">
        <f t="shared" si="1"/>
        <v>5.8401639344262297E-2</v>
      </c>
      <c r="L18" s="243">
        <v>3140</v>
      </c>
      <c r="M18" s="243">
        <v>2972</v>
      </c>
      <c r="N18" s="243">
        <v>168</v>
      </c>
      <c r="P18" s="244">
        <f t="shared" si="2"/>
        <v>0.94649681528662422</v>
      </c>
      <c r="Q18" s="244">
        <f t="shared" si="3"/>
        <v>5.3503184713375798E-2</v>
      </c>
    </row>
    <row r="19" spans="1:17">
      <c r="A19" s="235" t="s">
        <v>36</v>
      </c>
      <c r="B19" s="236" t="s">
        <v>37</v>
      </c>
      <c r="C19" s="237" t="s">
        <v>264</v>
      </c>
      <c r="D19" s="237"/>
      <c r="E19" s="238">
        <v>3029</v>
      </c>
      <c r="F19" s="239">
        <v>2666</v>
      </c>
      <c r="G19" s="240">
        <v>363</v>
      </c>
      <c r="I19" s="241">
        <f t="shared" si="0"/>
        <v>0.88015846814130072</v>
      </c>
      <c r="J19" s="242">
        <f t="shared" si="1"/>
        <v>0.11984153185869924</v>
      </c>
      <c r="L19" s="243">
        <v>913</v>
      </c>
      <c r="M19" s="243">
        <v>741</v>
      </c>
      <c r="N19" s="243">
        <v>172</v>
      </c>
      <c r="P19" s="244">
        <f t="shared" si="2"/>
        <v>0.81161007667031759</v>
      </c>
      <c r="Q19" s="244">
        <f t="shared" si="3"/>
        <v>0.18838992332968238</v>
      </c>
    </row>
    <row r="20" spans="1:17">
      <c r="A20" s="235" t="s">
        <v>38</v>
      </c>
      <c r="B20" s="236" t="s">
        <v>39</v>
      </c>
      <c r="C20" s="237" t="s">
        <v>268</v>
      </c>
      <c r="D20" s="237"/>
      <c r="E20" s="238">
        <v>5701</v>
      </c>
      <c r="F20" s="239">
        <v>5346</v>
      </c>
      <c r="G20" s="240">
        <v>355</v>
      </c>
      <c r="I20" s="241">
        <f t="shared" si="0"/>
        <v>0.9377302227679355</v>
      </c>
      <c r="J20" s="242">
        <f t="shared" si="1"/>
        <v>6.2269777232064553E-2</v>
      </c>
      <c r="L20" s="243">
        <v>1790</v>
      </c>
      <c r="M20" s="243">
        <v>1644</v>
      </c>
      <c r="N20" s="243">
        <v>146</v>
      </c>
      <c r="P20" s="244">
        <f t="shared" si="2"/>
        <v>0.91843575418994416</v>
      </c>
      <c r="Q20" s="244">
        <f t="shared" si="3"/>
        <v>8.1564245810055863E-2</v>
      </c>
    </row>
    <row r="21" spans="1:17">
      <c r="A21" s="235" t="s">
        <v>40</v>
      </c>
      <c r="B21" s="236" t="s">
        <v>41</v>
      </c>
      <c r="C21" s="237" t="s">
        <v>266</v>
      </c>
      <c r="D21" s="237"/>
      <c r="E21" s="238">
        <v>3271</v>
      </c>
      <c r="F21" s="239">
        <v>2867</v>
      </c>
      <c r="G21" s="240">
        <v>404</v>
      </c>
      <c r="I21" s="241">
        <f t="shared" si="0"/>
        <v>0.87649036991745644</v>
      </c>
      <c r="J21" s="242">
        <f t="shared" si="1"/>
        <v>0.12350963008254356</v>
      </c>
      <c r="L21" s="243">
        <v>1127</v>
      </c>
      <c r="M21" s="243">
        <v>949</v>
      </c>
      <c r="N21" s="243">
        <v>178</v>
      </c>
      <c r="P21" s="244">
        <f t="shared" si="2"/>
        <v>0.84205856255545697</v>
      </c>
      <c r="Q21" s="244">
        <f t="shared" si="3"/>
        <v>0.15794143744454303</v>
      </c>
    </row>
    <row r="22" spans="1:17">
      <c r="A22" s="235" t="s">
        <v>42</v>
      </c>
      <c r="B22" s="236" t="s">
        <v>43</v>
      </c>
      <c r="C22" s="237" t="s">
        <v>265</v>
      </c>
      <c r="D22" s="237"/>
      <c r="E22" s="238">
        <v>12666</v>
      </c>
      <c r="F22" s="239">
        <v>11598</v>
      </c>
      <c r="G22" s="240">
        <v>1068</v>
      </c>
      <c r="I22" s="241">
        <f t="shared" si="0"/>
        <v>0.91567977261961153</v>
      </c>
      <c r="J22" s="242">
        <f t="shared" si="1"/>
        <v>8.4320227380388441E-2</v>
      </c>
      <c r="L22" s="243">
        <v>4621</v>
      </c>
      <c r="M22" s="243">
        <v>4181</v>
      </c>
      <c r="N22" s="243">
        <v>440</v>
      </c>
      <c r="P22" s="244">
        <f t="shared" si="2"/>
        <v>0.90478251460722792</v>
      </c>
      <c r="Q22" s="244">
        <f t="shared" si="3"/>
        <v>9.5217485392772125E-2</v>
      </c>
    </row>
    <row r="23" spans="1:17">
      <c r="A23" s="235" t="s">
        <v>44</v>
      </c>
      <c r="B23" s="236" t="s">
        <v>45</v>
      </c>
      <c r="C23" s="237" t="s">
        <v>266</v>
      </c>
      <c r="D23" s="237"/>
      <c r="E23" s="238">
        <v>6213</v>
      </c>
      <c r="F23" s="239">
        <v>5487</v>
      </c>
      <c r="G23" s="240">
        <v>726</v>
      </c>
      <c r="I23" s="241">
        <f t="shared" si="0"/>
        <v>0.88314823756639305</v>
      </c>
      <c r="J23" s="242">
        <f t="shared" si="1"/>
        <v>0.11685176243360695</v>
      </c>
      <c r="L23" s="243">
        <v>2422</v>
      </c>
      <c r="M23" s="243">
        <v>2104</v>
      </c>
      <c r="N23" s="243">
        <v>318</v>
      </c>
      <c r="P23" s="244">
        <f t="shared" si="2"/>
        <v>0.86870355078447559</v>
      </c>
      <c r="Q23" s="244">
        <f t="shared" si="3"/>
        <v>0.13129644921552436</v>
      </c>
    </row>
    <row r="24" spans="1:17">
      <c r="A24" s="235" t="s">
        <v>46</v>
      </c>
      <c r="B24" s="236" t="s">
        <v>47</v>
      </c>
      <c r="C24" s="237" t="s">
        <v>268</v>
      </c>
      <c r="D24" s="237"/>
      <c r="E24" s="238">
        <v>7489</v>
      </c>
      <c r="F24" s="239">
        <v>6888</v>
      </c>
      <c r="G24" s="240">
        <v>601</v>
      </c>
      <c r="I24" s="241">
        <f t="shared" si="0"/>
        <v>0.91974896514888504</v>
      </c>
      <c r="J24" s="242">
        <f t="shared" si="1"/>
        <v>8.0251034851114969E-2</v>
      </c>
      <c r="L24" s="243">
        <v>2421</v>
      </c>
      <c r="M24" s="243">
        <v>2165</v>
      </c>
      <c r="N24" s="243">
        <v>256</v>
      </c>
      <c r="P24" s="244">
        <f t="shared" si="2"/>
        <v>0.89425857083849647</v>
      </c>
      <c r="Q24" s="244">
        <f t="shared" si="3"/>
        <v>0.10574142916150352</v>
      </c>
    </row>
    <row r="25" spans="1:17">
      <c r="A25" s="235" t="s">
        <v>48</v>
      </c>
      <c r="B25" s="236" t="s">
        <v>269</v>
      </c>
      <c r="C25" s="237" t="s">
        <v>266</v>
      </c>
      <c r="D25" s="237"/>
      <c r="E25" s="238">
        <v>1642</v>
      </c>
      <c r="F25" s="239">
        <v>1485</v>
      </c>
      <c r="G25" s="240">
        <v>157</v>
      </c>
      <c r="I25" s="241">
        <f t="shared" si="0"/>
        <v>0.90438489646772224</v>
      </c>
      <c r="J25" s="242">
        <f t="shared" si="1"/>
        <v>9.5615103532277715E-2</v>
      </c>
      <c r="L25" s="243">
        <v>444</v>
      </c>
      <c r="M25" s="243">
        <v>392</v>
      </c>
      <c r="N25" s="243">
        <v>52</v>
      </c>
      <c r="P25" s="244">
        <f t="shared" si="2"/>
        <v>0.88288288288288286</v>
      </c>
      <c r="Q25" s="244">
        <f t="shared" si="3"/>
        <v>0.11711711711711711</v>
      </c>
    </row>
    <row r="26" spans="1:17">
      <c r="A26" s="235" t="s">
        <v>50</v>
      </c>
      <c r="B26" s="236" t="s">
        <v>51</v>
      </c>
      <c r="C26" s="237" t="s">
        <v>265</v>
      </c>
      <c r="D26" s="237"/>
      <c r="E26" s="238">
        <v>2715</v>
      </c>
      <c r="F26" s="239">
        <v>2463</v>
      </c>
      <c r="G26" s="240">
        <v>252</v>
      </c>
      <c r="I26" s="241">
        <f t="shared" si="0"/>
        <v>0.90718232044198899</v>
      </c>
      <c r="J26" s="242">
        <f t="shared" si="1"/>
        <v>9.2817679558011054E-2</v>
      </c>
      <c r="L26" s="243">
        <v>903</v>
      </c>
      <c r="M26" s="243">
        <v>811</v>
      </c>
      <c r="N26" s="243">
        <v>92</v>
      </c>
      <c r="P26" s="244">
        <f t="shared" si="2"/>
        <v>0.89811738648947947</v>
      </c>
      <c r="Q26" s="244">
        <f t="shared" si="3"/>
        <v>0.10188261351052048</v>
      </c>
    </row>
    <row r="27" spans="1:17">
      <c r="A27" s="235" t="s">
        <v>56</v>
      </c>
      <c r="B27" s="236" t="s">
        <v>295</v>
      </c>
      <c r="C27" s="237" t="s">
        <v>266</v>
      </c>
      <c r="D27" s="237"/>
      <c r="E27" s="238">
        <v>75033</v>
      </c>
      <c r="F27" s="239">
        <v>69143</v>
      </c>
      <c r="G27" s="240">
        <v>5890</v>
      </c>
      <c r="I27" s="241">
        <f t="shared" si="0"/>
        <v>0.92150120613596687</v>
      </c>
      <c r="J27" s="242">
        <f t="shared" si="1"/>
        <v>7.8498793864033162E-2</v>
      </c>
      <c r="L27" s="243">
        <v>33204</v>
      </c>
      <c r="M27" s="243">
        <v>30858</v>
      </c>
      <c r="N27" s="243">
        <v>2346</v>
      </c>
      <c r="P27" s="244">
        <f t="shared" si="2"/>
        <v>0.9293458619443441</v>
      </c>
      <c r="Q27" s="244">
        <f t="shared" si="3"/>
        <v>7.0654138055655943E-2</v>
      </c>
    </row>
    <row r="28" spans="1:17">
      <c r="A28" s="235" t="s">
        <v>58</v>
      </c>
      <c r="B28" s="236" t="s">
        <v>59</v>
      </c>
      <c r="C28" s="237" t="s">
        <v>267</v>
      </c>
      <c r="D28" s="237"/>
      <c r="E28" s="238">
        <v>3385</v>
      </c>
      <c r="F28" s="239">
        <v>3091</v>
      </c>
      <c r="G28" s="240">
        <v>294</v>
      </c>
      <c r="I28" s="241">
        <f t="shared" si="0"/>
        <v>0.91314623338257017</v>
      </c>
      <c r="J28" s="242">
        <f t="shared" si="1"/>
        <v>8.6853766617429842E-2</v>
      </c>
      <c r="L28" s="243">
        <v>1282</v>
      </c>
      <c r="M28" s="243">
        <v>1196</v>
      </c>
      <c r="N28" s="243">
        <v>86</v>
      </c>
      <c r="P28" s="244">
        <f t="shared" si="2"/>
        <v>0.93291731669266775</v>
      </c>
      <c r="Q28" s="244">
        <f t="shared" si="3"/>
        <v>6.7082683307332289E-2</v>
      </c>
    </row>
    <row r="29" spans="1:17">
      <c r="A29" s="235" t="s">
        <v>60</v>
      </c>
      <c r="B29" s="236" t="s">
        <v>61</v>
      </c>
      <c r="C29" s="237" t="s">
        <v>265</v>
      </c>
      <c r="D29" s="237"/>
      <c r="E29" s="238">
        <v>1331</v>
      </c>
      <c r="F29" s="239">
        <v>1222</v>
      </c>
      <c r="G29" s="240">
        <v>109</v>
      </c>
      <c r="I29" s="241">
        <f t="shared" si="0"/>
        <v>0.91810668670172801</v>
      </c>
      <c r="J29" s="242">
        <f t="shared" si="1"/>
        <v>8.1893313298271972E-2</v>
      </c>
      <c r="L29" s="243">
        <v>444</v>
      </c>
      <c r="M29" s="243">
        <v>410</v>
      </c>
      <c r="N29" s="243">
        <v>34</v>
      </c>
      <c r="P29" s="244">
        <f t="shared" si="2"/>
        <v>0.92342342342342343</v>
      </c>
      <c r="Q29" s="244">
        <f t="shared" si="3"/>
        <v>7.6576576576576572E-2</v>
      </c>
    </row>
    <row r="30" spans="1:17">
      <c r="A30" s="235" t="s">
        <v>62</v>
      </c>
      <c r="B30" s="236" t="s">
        <v>63</v>
      </c>
      <c r="C30" s="237" t="s">
        <v>267</v>
      </c>
      <c r="D30" s="237"/>
      <c r="E30" s="238">
        <v>10145</v>
      </c>
      <c r="F30" s="239">
        <v>9169</v>
      </c>
      <c r="G30" s="240">
        <v>976</v>
      </c>
      <c r="I30" s="241">
        <f t="shared" si="0"/>
        <v>0.90379497289305077</v>
      </c>
      <c r="J30" s="242">
        <f t="shared" si="1"/>
        <v>9.620502710694924E-2</v>
      </c>
      <c r="L30" s="243">
        <v>4330</v>
      </c>
      <c r="M30" s="243">
        <v>3917</v>
      </c>
      <c r="N30" s="243">
        <v>413</v>
      </c>
      <c r="P30" s="244">
        <f t="shared" si="2"/>
        <v>0.90461893764434176</v>
      </c>
      <c r="Q30" s="244">
        <f t="shared" si="3"/>
        <v>9.53810623556582E-2</v>
      </c>
    </row>
    <row r="31" spans="1:17">
      <c r="A31" s="235" t="s">
        <v>64</v>
      </c>
      <c r="B31" s="236" t="s">
        <v>65</v>
      </c>
      <c r="C31" s="237" t="s">
        <v>266</v>
      </c>
      <c r="D31" s="237"/>
      <c r="E31" s="238">
        <v>2180</v>
      </c>
      <c r="F31" s="239">
        <v>1954</v>
      </c>
      <c r="G31" s="240">
        <v>226</v>
      </c>
      <c r="I31" s="241">
        <f t="shared" si="0"/>
        <v>0.89633027522935782</v>
      </c>
      <c r="J31" s="242">
        <f t="shared" si="1"/>
        <v>0.10366972477064221</v>
      </c>
      <c r="L31" s="243">
        <v>747</v>
      </c>
      <c r="M31" s="243">
        <v>654</v>
      </c>
      <c r="N31" s="243">
        <v>93</v>
      </c>
      <c r="P31" s="244">
        <f t="shared" si="2"/>
        <v>0.87550200803212852</v>
      </c>
      <c r="Q31" s="244">
        <f t="shared" si="3"/>
        <v>0.12449799196787148</v>
      </c>
    </row>
    <row r="32" spans="1:17">
      <c r="A32" s="235" t="s">
        <v>68</v>
      </c>
      <c r="B32" s="236" t="s">
        <v>69</v>
      </c>
      <c r="C32" s="237" t="s">
        <v>268</v>
      </c>
      <c r="D32" s="237"/>
      <c r="E32" s="238">
        <v>3825</v>
      </c>
      <c r="F32" s="239">
        <v>3568</v>
      </c>
      <c r="G32" s="240">
        <v>257</v>
      </c>
      <c r="I32" s="241">
        <f t="shared" si="0"/>
        <v>0.93281045751633984</v>
      </c>
      <c r="J32" s="242">
        <f t="shared" si="1"/>
        <v>6.7189542483660131E-2</v>
      </c>
      <c r="L32" s="243">
        <v>1341</v>
      </c>
      <c r="M32" s="243">
        <v>1233</v>
      </c>
      <c r="N32" s="243">
        <v>108</v>
      </c>
      <c r="P32" s="244">
        <f t="shared" si="2"/>
        <v>0.91946308724832215</v>
      </c>
      <c r="Q32" s="244">
        <f t="shared" si="3"/>
        <v>8.0536912751677847E-2</v>
      </c>
    </row>
    <row r="33" spans="1:17">
      <c r="A33" s="235" t="s">
        <v>70</v>
      </c>
      <c r="B33" s="236" t="s">
        <v>71</v>
      </c>
      <c r="C33" s="237" t="s">
        <v>264</v>
      </c>
      <c r="D33" s="237"/>
      <c r="E33" s="238">
        <v>6031</v>
      </c>
      <c r="F33" s="239">
        <v>5383</v>
      </c>
      <c r="G33" s="240">
        <v>648</v>
      </c>
      <c r="I33" s="241">
        <f t="shared" si="0"/>
        <v>0.89255513181893553</v>
      </c>
      <c r="J33" s="242">
        <f t="shared" si="1"/>
        <v>0.1074448681810645</v>
      </c>
      <c r="L33" s="243">
        <v>2234</v>
      </c>
      <c r="M33" s="243">
        <v>1975</v>
      </c>
      <c r="N33" s="243">
        <v>259</v>
      </c>
      <c r="P33" s="244">
        <f t="shared" si="2"/>
        <v>0.88406445837063563</v>
      </c>
      <c r="Q33" s="244">
        <f t="shared" si="3"/>
        <v>0.11593554162936437</v>
      </c>
    </row>
    <row r="34" spans="1:17">
      <c r="A34" s="235" t="s">
        <v>72</v>
      </c>
      <c r="B34" s="236" t="s">
        <v>73</v>
      </c>
      <c r="C34" s="237" t="s">
        <v>266</v>
      </c>
      <c r="D34" s="237"/>
      <c r="E34" s="238">
        <v>2428</v>
      </c>
      <c r="F34" s="239">
        <v>2093</v>
      </c>
      <c r="G34" s="240">
        <v>335</v>
      </c>
      <c r="I34" s="241">
        <f t="shared" si="0"/>
        <v>0.86202635914332781</v>
      </c>
      <c r="J34" s="242">
        <f t="shared" si="1"/>
        <v>0.13797364085667216</v>
      </c>
      <c r="L34" s="243">
        <v>766</v>
      </c>
      <c r="M34" s="243">
        <v>641</v>
      </c>
      <c r="N34" s="243">
        <v>125</v>
      </c>
      <c r="P34" s="244">
        <f t="shared" si="2"/>
        <v>0.83681462140992169</v>
      </c>
      <c r="Q34" s="244">
        <f t="shared" si="3"/>
        <v>0.16318537859007834</v>
      </c>
    </row>
    <row r="35" spans="1:17">
      <c r="A35" s="235" t="s">
        <v>74</v>
      </c>
      <c r="B35" s="236" t="s">
        <v>618</v>
      </c>
      <c r="C35" s="237" t="s">
        <v>267</v>
      </c>
      <c r="D35" s="237"/>
      <c r="E35" s="238">
        <v>246380</v>
      </c>
      <c r="F35" s="239">
        <v>231762</v>
      </c>
      <c r="G35" s="240">
        <v>14618</v>
      </c>
      <c r="I35" s="241">
        <f t="shared" si="0"/>
        <v>0.94066888546148231</v>
      </c>
      <c r="J35" s="242">
        <f t="shared" si="1"/>
        <v>5.9331114538517735E-2</v>
      </c>
      <c r="L35" s="243">
        <v>116691</v>
      </c>
      <c r="M35" s="243">
        <v>112931</v>
      </c>
      <c r="N35" s="243">
        <v>3760</v>
      </c>
      <c r="P35" s="244">
        <f t="shared" si="2"/>
        <v>0.96777814912889593</v>
      </c>
      <c r="Q35" s="244">
        <f t="shared" si="3"/>
        <v>3.2221850871104026E-2</v>
      </c>
    </row>
    <row r="36" spans="1:17">
      <c r="A36" s="235" t="s">
        <v>76</v>
      </c>
      <c r="B36" s="236" t="s">
        <v>77</v>
      </c>
      <c r="C36" s="237" t="s">
        <v>267</v>
      </c>
      <c r="D36" s="237"/>
      <c r="E36" s="238">
        <v>15535</v>
      </c>
      <c r="F36" s="239">
        <v>14399</v>
      </c>
      <c r="G36" s="240">
        <v>1136</v>
      </c>
      <c r="I36" s="241">
        <f t="shared" si="0"/>
        <v>0.92687479884132606</v>
      </c>
      <c r="J36" s="242">
        <f t="shared" si="1"/>
        <v>7.3125201158673964E-2</v>
      </c>
      <c r="L36" s="243">
        <v>6485</v>
      </c>
      <c r="M36" s="243">
        <v>6125</v>
      </c>
      <c r="N36" s="243">
        <v>360</v>
      </c>
      <c r="P36" s="244">
        <f t="shared" si="2"/>
        <v>0.94448727833461832</v>
      </c>
      <c r="Q36" s="244">
        <f t="shared" si="3"/>
        <v>5.5512721665381647E-2</v>
      </c>
    </row>
    <row r="37" spans="1:17">
      <c r="A37" s="235" t="s">
        <v>78</v>
      </c>
      <c r="B37" s="236" t="s">
        <v>79</v>
      </c>
      <c r="C37" s="237" t="s">
        <v>268</v>
      </c>
      <c r="D37" s="237"/>
      <c r="E37" s="238">
        <v>3869</v>
      </c>
      <c r="F37" s="239">
        <v>3548</v>
      </c>
      <c r="G37" s="240">
        <v>321</v>
      </c>
      <c r="I37" s="241">
        <f t="shared" si="0"/>
        <v>0.91703282501938488</v>
      </c>
      <c r="J37" s="242">
        <f t="shared" si="1"/>
        <v>8.2967174980615149E-2</v>
      </c>
      <c r="L37" s="243">
        <v>1322</v>
      </c>
      <c r="M37" s="243">
        <v>1210</v>
      </c>
      <c r="N37" s="243">
        <v>112</v>
      </c>
      <c r="P37" s="244">
        <f t="shared" si="2"/>
        <v>0.91527987897125562</v>
      </c>
      <c r="Q37" s="244">
        <f t="shared" si="3"/>
        <v>8.4720121028744322E-2</v>
      </c>
    </row>
    <row r="38" spans="1:17">
      <c r="A38" s="235" t="s">
        <v>80</v>
      </c>
      <c r="B38" s="236" t="s">
        <v>81</v>
      </c>
      <c r="C38" s="237" t="s">
        <v>266</v>
      </c>
      <c r="D38" s="237"/>
      <c r="E38" s="238">
        <v>6232</v>
      </c>
      <c r="F38" s="239">
        <v>5755</v>
      </c>
      <c r="G38" s="240">
        <v>477</v>
      </c>
      <c r="I38" s="241">
        <f t="shared" si="0"/>
        <v>0.92345956354300385</v>
      </c>
      <c r="J38" s="242">
        <f t="shared" si="1"/>
        <v>7.6540436456996153E-2</v>
      </c>
      <c r="L38" s="243">
        <v>2395</v>
      </c>
      <c r="M38" s="243">
        <v>2200</v>
      </c>
      <c r="N38" s="243">
        <v>195</v>
      </c>
      <c r="P38" s="244">
        <f t="shared" si="2"/>
        <v>0.91858037578288099</v>
      </c>
      <c r="Q38" s="244">
        <f t="shared" si="3"/>
        <v>8.1419624217118999E-2</v>
      </c>
    </row>
    <row r="39" spans="1:17">
      <c r="A39" s="235" t="s">
        <v>84</v>
      </c>
      <c r="B39" s="236" t="s">
        <v>308</v>
      </c>
      <c r="C39" s="237" t="s">
        <v>265</v>
      </c>
      <c r="D39" s="237"/>
      <c r="E39" s="238">
        <v>13879</v>
      </c>
      <c r="F39" s="239">
        <v>12622</v>
      </c>
      <c r="G39" s="240">
        <v>1257</v>
      </c>
      <c r="I39" s="241">
        <f t="shared" si="0"/>
        <v>0.90943151523885002</v>
      </c>
      <c r="J39" s="242">
        <f t="shared" si="1"/>
        <v>9.0568484761149939E-2</v>
      </c>
      <c r="L39" s="243">
        <v>4374</v>
      </c>
      <c r="M39" s="243">
        <v>3876</v>
      </c>
      <c r="N39" s="243">
        <v>498</v>
      </c>
      <c r="P39" s="244">
        <f t="shared" si="2"/>
        <v>0.88614540466392322</v>
      </c>
      <c r="Q39" s="244">
        <f t="shared" si="3"/>
        <v>0.11385459533607682</v>
      </c>
    </row>
    <row r="40" spans="1:17">
      <c r="A40" s="235" t="s">
        <v>86</v>
      </c>
      <c r="B40" s="236" t="s">
        <v>87</v>
      </c>
      <c r="C40" s="237" t="s">
        <v>267</v>
      </c>
      <c r="D40" s="237"/>
      <c r="E40" s="238">
        <v>18784</v>
      </c>
      <c r="F40" s="239">
        <v>16992</v>
      </c>
      <c r="G40" s="240">
        <v>1792</v>
      </c>
      <c r="I40" s="241">
        <f t="shared" si="0"/>
        <v>0.90459965928449748</v>
      </c>
      <c r="J40" s="242">
        <f t="shared" si="1"/>
        <v>9.540034071550256E-2</v>
      </c>
      <c r="L40" s="243">
        <v>7847</v>
      </c>
      <c r="M40" s="243">
        <v>7146</v>
      </c>
      <c r="N40" s="243">
        <v>701</v>
      </c>
      <c r="P40" s="244">
        <f t="shared" si="2"/>
        <v>0.9106664967503505</v>
      </c>
      <c r="Q40" s="244">
        <f t="shared" si="3"/>
        <v>8.9333503249649546E-2</v>
      </c>
    </row>
    <row r="41" spans="1:17">
      <c r="A41" s="235" t="s">
        <v>92</v>
      </c>
      <c r="B41" s="236" t="s">
        <v>93</v>
      </c>
      <c r="C41" s="237" t="s">
        <v>268</v>
      </c>
      <c r="D41" s="237"/>
      <c r="E41" s="238">
        <v>4201</v>
      </c>
      <c r="F41" s="239">
        <v>3785</v>
      </c>
      <c r="G41" s="240">
        <v>416</v>
      </c>
      <c r="I41" s="241">
        <f t="shared" si="0"/>
        <v>0.90097595810521303</v>
      </c>
      <c r="J41" s="242">
        <f t="shared" si="1"/>
        <v>9.902404189478696E-2</v>
      </c>
      <c r="L41" s="243">
        <v>1456</v>
      </c>
      <c r="M41" s="243">
        <v>1284</v>
      </c>
      <c r="N41" s="243">
        <v>172</v>
      </c>
      <c r="P41" s="244">
        <f t="shared" si="2"/>
        <v>0.88186813186813184</v>
      </c>
      <c r="Q41" s="244">
        <f t="shared" si="3"/>
        <v>0.11813186813186813</v>
      </c>
    </row>
    <row r="42" spans="1:17">
      <c r="A42" s="235" t="s">
        <v>94</v>
      </c>
      <c r="B42" s="236" t="s">
        <v>95</v>
      </c>
      <c r="C42" s="237" t="s">
        <v>264</v>
      </c>
      <c r="D42" s="237"/>
      <c r="E42" s="238">
        <v>9117</v>
      </c>
      <c r="F42" s="239">
        <v>8306</v>
      </c>
      <c r="G42" s="240">
        <v>811</v>
      </c>
      <c r="I42" s="241">
        <f t="shared" si="0"/>
        <v>0.9110452999890315</v>
      </c>
      <c r="J42" s="242">
        <f t="shared" si="1"/>
        <v>8.8954700010968515E-2</v>
      </c>
      <c r="L42" s="243">
        <v>3312</v>
      </c>
      <c r="M42" s="243">
        <v>3009</v>
      </c>
      <c r="N42" s="243">
        <v>303</v>
      </c>
      <c r="P42" s="244">
        <f t="shared" si="2"/>
        <v>0.90851449275362317</v>
      </c>
      <c r="Q42" s="244">
        <f t="shared" si="3"/>
        <v>9.1485507246376815E-2</v>
      </c>
    </row>
    <row r="43" spans="1:17">
      <c r="A43" s="235" t="s">
        <v>96</v>
      </c>
      <c r="B43" s="236" t="s">
        <v>97</v>
      </c>
      <c r="C43" s="237" t="s">
        <v>266</v>
      </c>
      <c r="D43" s="237"/>
      <c r="E43" s="238">
        <v>5533</v>
      </c>
      <c r="F43" s="239">
        <v>5256</v>
      </c>
      <c r="G43" s="240">
        <v>277</v>
      </c>
      <c r="I43" s="241">
        <f t="shared" si="0"/>
        <v>0.94993674317729981</v>
      </c>
      <c r="J43" s="242">
        <f t="shared" si="1"/>
        <v>5.0063256822700165E-2</v>
      </c>
      <c r="L43" s="243">
        <v>1877</v>
      </c>
      <c r="M43" s="243">
        <v>1797</v>
      </c>
      <c r="N43" s="243">
        <v>80</v>
      </c>
      <c r="P43" s="244">
        <f t="shared" si="2"/>
        <v>0.95737879595098563</v>
      </c>
      <c r="Q43" s="244">
        <f t="shared" si="3"/>
        <v>4.2621204049014386E-2</v>
      </c>
    </row>
    <row r="44" spans="1:17">
      <c r="A44" s="235" t="s">
        <v>98</v>
      </c>
      <c r="B44" s="236" t="s">
        <v>99</v>
      </c>
      <c r="C44" s="237" t="s">
        <v>268</v>
      </c>
      <c r="D44" s="237"/>
      <c r="E44" s="238">
        <v>3931</v>
      </c>
      <c r="F44" s="239">
        <v>3633</v>
      </c>
      <c r="G44" s="240">
        <v>298</v>
      </c>
      <c r="I44" s="241">
        <f t="shared" si="0"/>
        <v>0.92419231747646913</v>
      </c>
      <c r="J44" s="242">
        <f t="shared" si="1"/>
        <v>7.5807682523530914E-2</v>
      </c>
      <c r="L44" s="243">
        <v>1146</v>
      </c>
      <c r="M44" s="243">
        <v>1021</v>
      </c>
      <c r="N44" s="243">
        <v>125</v>
      </c>
      <c r="P44" s="244">
        <f t="shared" si="2"/>
        <v>0.89092495636998259</v>
      </c>
      <c r="Q44" s="244">
        <f t="shared" si="3"/>
        <v>0.10907504363001745</v>
      </c>
    </row>
    <row r="45" spans="1:17">
      <c r="A45" s="235" t="s">
        <v>100</v>
      </c>
      <c r="B45" s="236" t="s">
        <v>101</v>
      </c>
      <c r="C45" s="237" t="s">
        <v>267</v>
      </c>
      <c r="D45" s="237"/>
      <c r="E45" s="238">
        <v>4414</v>
      </c>
      <c r="F45" s="239">
        <v>4003</v>
      </c>
      <c r="G45" s="240">
        <v>411</v>
      </c>
      <c r="I45" s="241">
        <f t="shared" si="0"/>
        <v>0.90688717716357048</v>
      </c>
      <c r="J45" s="242">
        <f t="shared" si="1"/>
        <v>9.3112822836429548E-2</v>
      </c>
      <c r="L45" s="243">
        <v>1796</v>
      </c>
      <c r="M45" s="243">
        <v>1628</v>
      </c>
      <c r="N45" s="243">
        <v>168</v>
      </c>
      <c r="P45" s="244">
        <f t="shared" si="2"/>
        <v>0.90645879732739421</v>
      </c>
      <c r="Q45" s="244">
        <f t="shared" si="3"/>
        <v>9.3541202672605794E-2</v>
      </c>
    </row>
    <row r="46" spans="1:17">
      <c r="A46" s="235" t="s">
        <v>102</v>
      </c>
      <c r="B46" s="236" t="s">
        <v>282</v>
      </c>
      <c r="C46" s="237" t="s">
        <v>264</v>
      </c>
      <c r="D46" s="237"/>
      <c r="E46" s="238">
        <v>2719</v>
      </c>
      <c r="F46" s="239">
        <v>2329</v>
      </c>
      <c r="G46" s="240">
        <v>390</v>
      </c>
      <c r="I46" s="241">
        <f t="shared" si="0"/>
        <v>0.85656491357116582</v>
      </c>
      <c r="J46" s="242">
        <f t="shared" si="1"/>
        <v>0.14343508642883412</v>
      </c>
      <c r="L46" s="243">
        <v>902</v>
      </c>
      <c r="M46" s="243">
        <v>709</v>
      </c>
      <c r="N46" s="243">
        <v>193</v>
      </c>
      <c r="P46" s="244">
        <f t="shared" si="2"/>
        <v>0.78603104212860309</v>
      </c>
      <c r="Q46" s="244">
        <f t="shared" si="3"/>
        <v>0.21396895787139689</v>
      </c>
    </row>
    <row r="47" spans="1:17">
      <c r="A47" s="235" t="s">
        <v>104</v>
      </c>
      <c r="B47" s="236" t="s">
        <v>607</v>
      </c>
      <c r="C47" s="237" t="s">
        <v>265</v>
      </c>
      <c r="D47" s="237"/>
      <c r="E47" s="238">
        <v>7601</v>
      </c>
      <c r="F47" s="239">
        <v>6980</v>
      </c>
      <c r="G47" s="240">
        <v>621</v>
      </c>
      <c r="I47" s="241">
        <f t="shared" si="0"/>
        <v>0.91830022365478225</v>
      </c>
      <c r="J47" s="242">
        <f t="shared" si="1"/>
        <v>8.1699776345217731E-2</v>
      </c>
      <c r="L47" s="243">
        <v>2470</v>
      </c>
      <c r="M47" s="243">
        <v>2191</v>
      </c>
      <c r="N47" s="243">
        <v>279</v>
      </c>
      <c r="P47" s="244">
        <f t="shared" si="2"/>
        <v>0.8870445344129555</v>
      </c>
      <c r="Q47" s="244">
        <f t="shared" si="3"/>
        <v>0.11295546558704453</v>
      </c>
    </row>
    <row r="48" spans="1:17">
      <c r="A48" s="235" t="s">
        <v>108</v>
      </c>
      <c r="B48" s="236" t="s">
        <v>109</v>
      </c>
      <c r="C48" s="237" t="s">
        <v>266</v>
      </c>
      <c r="D48" s="237"/>
      <c r="E48" s="238">
        <v>24235</v>
      </c>
      <c r="F48" s="239">
        <v>22810</v>
      </c>
      <c r="G48" s="240">
        <v>1425</v>
      </c>
      <c r="I48" s="241">
        <f t="shared" si="0"/>
        <v>0.94120074272746024</v>
      </c>
      <c r="J48" s="242">
        <f t="shared" si="1"/>
        <v>5.8799257272539714E-2</v>
      </c>
      <c r="L48" s="243">
        <v>10521</v>
      </c>
      <c r="M48" s="243">
        <v>10021</v>
      </c>
      <c r="N48" s="243">
        <v>500</v>
      </c>
      <c r="P48" s="244">
        <f t="shared" si="2"/>
        <v>0.95247600038019198</v>
      </c>
      <c r="Q48" s="244">
        <f t="shared" si="3"/>
        <v>4.7523999619808001E-2</v>
      </c>
    </row>
    <row r="49" spans="1:17">
      <c r="A49" s="235" t="s">
        <v>110</v>
      </c>
      <c r="B49" s="236" t="s">
        <v>111</v>
      </c>
      <c r="C49" s="237" t="s">
        <v>266</v>
      </c>
      <c r="D49" s="237"/>
      <c r="E49" s="238">
        <v>63078</v>
      </c>
      <c r="F49" s="239">
        <v>56537</v>
      </c>
      <c r="G49" s="240">
        <v>6541</v>
      </c>
      <c r="I49" s="241">
        <f t="shared" si="0"/>
        <v>0.89630298994895208</v>
      </c>
      <c r="J49" s="242">
        <f t="shared" si="1"/>
        <v>0.10369701005104791</v>
      </c>
      <c r="L49" s="243">
        <v>27549</v>
      </c>
      <c r="M49" s="243">
        <v>25239</v>
      </c>
      <c r="N49" s="243">
        <v>2310</v>
      </c>
      <c r="P49" s="244">
        <f t="shared" si="2"/>
        <v>0.91614940651203314</v>
      </c>
      <c r="Q49" s="244">
        <f t="shared" si="3"/>
        <v>8.385059348796689E-2</v>
      </c>
    </row>
    <row r="50" spans="1:17">
      <c r="A50" s="235" t="s">
        <v>112</v>
      </c>
      <c r="B50" s="236" t="s">
        <v>300</v>
      </c>
      <c r="C50" s="237" t="s">
        <v>265</v>
      </c>
      <c r="D50" s="237"/>
      <c r="E50" s="238">
        <v>14517</v>
      </c>
      <c r="F50" s="239">
        <v>13130</v>
      </c>
      <c r="G50" s="240">
        <v>1387</v>
      </c>
      <c r="I50" s="241">
        <f t="shared" si="0"/>
        <v>0.90445684370048907</v>
      </c>
      <c r="J50" s="242">
        <f t="shared" si="1"/>
        <v>9.554315629951092E-2</v>
      </c>
      <c r="L50" s="243">
        <v>4598</v>
      </c>
      <c r="M50" s="243">
        <v>3985</v>
      </c>
      <c r="N50" s="243">
        <v>613</v>
      </c>
      <c r="P50" s="244">
        <f t="shared" si="2"/>
        <v>0.86668116572422793</v>
      </c>
      <c r="Q50" s="244">
        <f t="shared" si="3"/>
        <v>0.13331883427577207</v>
      </c>
    </row>
    <row r="51" spans="1:17">
      <c r="A51" s="235" t="s">
        <v>114</v>
      </c>
      <c r="B51" s="236" t="s">
        <v>115</v>
      </c>
      <c r="C51" s="237" t="s">
        <v>265</v>
      </c>
      <c r="D51" s="237"/>
      <c r="E51" s="238">
        <v>667</v>
      </c>
      <c r="F51" s="239">
        <v>621</v>
      </c>
      <c r="G51" s="240">
        <v>46</v>
      </c>
      <c r="I51" s="241">
        <f t="shared" si="0"/>
        <v>0.93103448275862066</v>
      </c>
      <c r="J51" s="242">
        <f t="shared" si="1"/>
        <v>6.8965517241379309E-2</v>
      </c>
      <c r="L51" s="243">
        <v>157</v>
      </c>
      <c r="M51" s="243">
        <v>144</v>
      </c>
      <c r="N51" s="243">
        <v>13</v>
      </c>
      <c r="P51" s="244">
        <f t="shared" si="2"/>
        <v>0.91719745222929938</v>
      </c>
      <c r="Q51" s="244">
        <f t="shared" si="3"/>
        <v>8.2802547770700632E-2</v>
      </c>
    </row>
    <row r="52" spans="1:17">
      <c r="A52" s="235" t="s">
        <v>118</v>
      </c>
      <c r="B52" s="236" t="s">
        <v>119</v>
      </c>
      <c r="C52" s="237" t="s">
        <v>264</v>
      </c>
      <c r="D52" s="237"/>
      <c r="E52" s="238">
        <v>8522</v>
      </c>
      <c r="F52" s="239">
        <v>7966</v>
      </c>
      <c r="G52" s="240">
        <v>556</v>
      </c>
      <c r="I52" s="241">
        <f t="shared" si="0"/>
        <v>0.9347570992724713</v>
      </c>
      <c r="J52" s="242">
        <f t="shared" si="1"/>
        <v>6.5242900727528752E-2</v>
      </c>
      <c r="L52" s="243">
        <v>3096</v>
      </c>
      <c r="M52" s="243">
        <v>2886</v>
      </c>
      <c r="N52" s="243">
        <v>210</v>
      </c>
      <c r="P52" s="244">
        <f t="shared" si="2"/>
        <v>0.93217054263565891</v>
      </c>
      <c r="Q52" s="244">
        <f t="shared" si="3"/>
        <v>6.7829457364341081E-2</v>
      </c>
    </row>
    <row r="53" spans="1:17">
      <c r="A53" s="235" t="s">
        <v>120</v>
      </c>
      <c r="B53" s="236" t="s">
        <v>121</v>
      </c>
      <c r="C53" s="237" t="s">
        <v>264</v>
      </c>
      <c r="D53" s="237"/>
      <c r="E53" s="238">
        <v>17151</v>
      </c>
      <c r="F53" s="239">
        <v>16192</v>
      </c>
      <c r="G53" s="240">
        <v>959</v>
      </c>
      <c r="I53" s="241">
        <f t="shared" si="0"/>
        <v>0.94408489300915399</v>
      </c>
      <c r="J53" s="242">
        <f t="shared" si="1"/>
        <v>5.5915106990846015E-2</v>
      </c>
      <c r="L53" s="243">
        <v>5736</v>
      </c>
      <c r="M53" s="243">
        <v>5418</v>
      </c>
      <c r="N53" s="243">
        <v>318</v>
      </c>
      <c r="P53" s="244">
        <f t="shared" si="2"/>
        <v>0.94456066945606698</v>
      </c>
      <c r="Q53" s="244">
        <f t="shared" si="3"/>
        <v>5.5439330543933053E-2</v>
      </c>
    </row>
    <row r="54" spans="1:17">
      <c r="A54" s="235" t="s">
        <v>122</v>
      </c>
      <c r="B54" s="236" t="s">
        <v>271</v>
      </c>
      <c r="C54" s="237" t="s">
        <v>266</v>
      </c>
      <c r="D54" s="237"/>
      <c r="E54" s="238">
        <v>1580</v>
      </c>
      <c r="F54" s="239">
        <v>1427</v>
      </c>
      <c r="G54" s="240">
        <v>153</v>
      </c>
      <c r="I54" s="241">
        <f t="shared" si="0"/>
        <v>0.90316455696202536</v>
      </c>
      <c r="J54" s="242">
        <f t="shared" si="1"/>
        <v>9.6835443037974686E-2</v>
      </c>
      <c r="L54" s="243">
        <v>513</v>
      </c>
      <c r="M54" s="243">
        <v>449</v>
      </c>
      <c r="N54" s="243">
        <v>64</v>
      </c>
      <c r="P54" s="244">
        <f t="shared" si="2"/>
        <v>0.87524366471734893</v>
      </c>
      <c r="Q54" s="244">
        <f t="shared" si="3"/>
        <v>0.12475633528265107</v>
      </c>
    </row>
    <row r="55" spans="1:17">
      <c r="A55" s="235" t="s">
        <v>124</v>
      </c>
      <c r="B55" s="236" t="s">
        <v>125</v>
      </c>
      <c r="C55" s="237" t="s">
        <v>267</v>
      </c>
      <c r="D55" s="237"/>
      <c r="E55" s="238">
        <v>5512</v>
      </c>
      <c r="F55" s="239">
        <v>5032</v>
      </c>
      <c r="G55" s="240">
        <v>480</v>
      </c>
      <c r="I55" s="241">
        <f t="shared" si="0"/>
        <v>0.91291727140783741</v>
      </c>
      <c r="J55" s="242">
        <f t="shared" si="1"/>
        <v>8.7082728592162553E-2</v>
      </c>
      <c r="L55" s="243">
        <v>2485</v>
      </c>
      <c r="M55" s="243">
        <v>2298</v>
      </c>
      <c r="N55" s="243">
        <v>187</v>
      </c>
      <c r="P55" s="244">
        <f t="shared" si="2"/>
        <v>0.92474849094567402</v>
      </c>
      <c r="Q55" s="244">
        <f t="shared" si="3"/>
        <v>7.5251509054325955E-2</v>
      </c>
    </row>
    <row r="56" spans="1:17">
      <c r="A56" s="235" t="s">
        <v>126</v>
      </c>
      <c r="B56" s="236" t="s">
        <v>127</v>
      </c>
      <c r="C56" s="237" t="s">
        <v>266</v>
      </c>
      <c r="D56" s="237"/>
      <c r="E56" s="238">
        <v>3882</v>
      </c>
      <c r="F56" s="239">
        <v>3561</v>
      </c>
      <c r="G56" s="240">
        <v>321</v>
      </c>
      <c r="I56" s="241">
        <f t="shared" si="0"/>
        <v>0.91731066460587329</v>
      </c>
      <c r="J56" s="242">
        <f t="shared" si="1"/>
        <v>8.2689335394126734E-2</v>
      </c>
      <c r="L56" s="243">
        <v>1605</v>
      </c>
      <c r="M56" s="243">
        <v>1483</v>
      </c>
      <c r="N56" s="243">
        <v>122</v>
      </c>
      <c r="P56" s="244">
        <f t="shared" si="2"/>
        <v>0.92398753894080998</v>
      </c>
      <c r="Q56" s="244">
        <f t="shared" si="3"/>
        <v>7.6012461059190031E-2</v>
      </c>
    </row>
    <row r="57" spans="1:17">
      <c r="A57" s="235" t="s">
        <v>128</v>
      </c>
      <c r="B57" s="236" t="s">
        <v>129</v>
      </c>
      <c r="C57" s="237" t="s">
        <v>266</v>
      </c>
      <c r="D57" s="237"/>
      <c r="E57" s="238">
        <v>2835</v>
      </c>
      <c r="F57" s="239">
        <v>2584</v>
      </c>
      <c r="G57" s="240">
        <v>251</v>
      </c>
      <c r="I57" s="241">
        <f t="shared" si="0"/>
        <v>0.91146384479717812</v>
      </c>
      <c r="J57" s="242">
        <f t="shared" si="1"/>
        <v>8.8536155202821876E-2</v>
      </c>
      <c r="L57" s="243">
        <v>587</v>
      </c>
      <c r="M57" s="243">
        <v>498</v>
      </c>
      <c r="N57" s="243">
        <v>89</v>
      </c>
      <c r="P57" s="244">
        <f t="shared" si="2"/>
        <v>0.848381601362862</v>
      </c>
      <c r="Q57" s="244">
        <f t="shared" si="3"/>
        <v>0.151618398637138</v>
      </c>
    </row>
    <row r="58" spans="1:17">
      <c r="A58" s="235" t="s">
        <v>130</v>
      </c>
      <c r="B58" s="236" t="s">
        <v>131</v>
      </c>
      <c r="C58" s="237" t="s">
        <v>268</v>
      </c>
      <c r="D58" s="237"/>
      <c r="E58" s="238">
        <v>5554</v>
      </c>
      <c r="F58" s="239">
        <v>5116</v>
      </c>
      <c r="G58" s="240">
        <v>438</v>
      </c>
      <c r="I58" s="241">
        <f t="shared" si="0"/>
        <v>0.92113791861721284</v>
      </c>
      <c r="J58" s="242">
        <f t="shared" si="1"/>
        <v>7.8862081382787177E-2</v>
      </c>
      <c r="L58" s="243">
        <v>1970</v>
      </c>
      <c r="M58" s="243">
        <v>1793</v>
      </c>
      <c r="N58" s="243">
        <v>177</v>
      </c>
      <c r="P58" s="244">
        <f t="shared" si="2"/>
        <v>0.91015228426395944</v>
      </c>
      <c r="Q58" s="244">
        <f t="shared" si="3"/>
        <v>8.9847715736040612E-2</v>
      </c>
    </row>
    <row r="59" spans="1:17">
      <c r="A59" s="235" t="s">
        <v>132</v>
      </c>
      <c r="B59" s="236" t="s">
        <v>133</v>
      </c>
      <c r="C59" s="237" t="s">
        <v>267</v>
      </c>
      <c r="D59" s="237"/>
      <c r="E59" s="238">
        <v>72122</v>
      </c>
      <c r="F59" s="239">
        <v>68056</v>
      </c>
      <c r="G59" s="240">
        <v>4066</v>
      </c>
      <c r="I59" s="241">
        <f t="shared" si="0"/>
        <v>0.94362330495549207</v>
      </c>
      <c r="J59" s="242">
        <f t="shared" si="1"/>
        <v>5.6376695044507916E-2</v>
      </c>
      <c r="L59" s="243">
        <v>42139</v>
      </c>
      <c r="M59" s="243">
        <v>40889</v>
      </c>
      <c r="N59" s="243">
        <v>1250</v>
      </c>
      <c r="P59" s="244">
        <f t="shared" si="2"/>
        <v>0.97033626806521278</v>
      </c>
      <c r="Q59" s="244">
        <f t="shared" si="3"/>
        <v>2.9663731934787253E-2</v>
      </c>
    </row>
    <row r="60" spans="1:17">
      <c r="A60" s="235" t="s">
        <v>134</v>
      </c>
      <c r="B60" s="236" t="s">
        <v>135</v>
      </c>
      <c r="C60" s="237" t="s">
        <v>267</v>
      </c>
      <c r="D60" s="237"/>
      <c r="E60" s="238">
        <v>8200</v>
      </c>
      <c r="F60" s="239">
        <v>7362</v>
      </c>
      <c r="G60" s="240">
        <v>838</v>
      </c>
      <c r="I60" s="241">
        <f t="shared" si="0"/>
        <v>0.89780487804878051</v>
      </c>
      <c r="J60" s="242">
        <f t="shared" si="1"/>
        <v>0.10219512195121951</v>
      </c>
      <c r="L60" s="243">
        <v>2829</v>
      </c>
      <c r="M60" s="243">
        <v>2514</v>
      </c>
      <c r="N60" s="243">
        <v>315</v>
      </c>
      <c r="P60" s="244">
        <f t="shared" si="2"/>
        <v>0.88865323435843058</v>
      </c>
      <c r="Q60" s="244">
        <f t="shared" si="3"/>
        <v>0.11134676564156946</v>
      </c>
    </row>
    <row r="61" spans="1:17">
      <c r="A61" s="235" t="s">
        <v>136</v>
      </c>
      <c r="B61" s="236" t="s">
        <v>137</v>
      </c>
      <c r="C61" s="237" t="s">
        <v>266</v>
      </c>
      <c r="D61" s="237"/>
      <c r="E61" s="238">
        <v>2533</v>
      </c>
      <c r="F61" s="239">
        <v>2294</v>
      </c>
      <c r="G61" s="240">
        <v>239</v>
      </c>
      <c r="I61" s="241">
        <f t="shared" si="0"/>
        <v>0.90564547966837738</v>
      </c>
      <c r="J61" s="242">
        <f t="shared" si="1"/>
        <v>9.4354520331622588E-2</v>
      </c>
      <c r="L61" s="243">
        <v>820</v>
      </c>
      <c r="M61" s="243">
        <v>714</v>
      </c>
      <c r="N61" s="243">
        <v>106</v>
      </c>
      <c r="P61" s="244">
        <f t="shared" si="2"/>
        <v>0.87073170731707317</v>
      </c>
      <c r="Q61" s="244">
        <f t="shared" si="3"/>
        <v>0.12926829268292683</v>
      </c>
    </row>
    <row r="62" spans="1:17">
      <c r="A62" s="235" t="s">
        <v>140</v>
      </c>
      <c r="B62" s="236" t="s">
        <v>141</v>
      </c>
      <c r="C62" s="237" t="s">
        <v>267</v>
      </c>
      <c r="D62" s="237"/>
      <c r="E62" s="238">
        <v>3275</v>
      </c>
      <c r="F62" s="239">
        <v>3038</v>
      </c>
      <c r="G62" s="240">
        <v>237</v>
      </c>
      <c r="I62" s="241">
        <f t="shared" si="0"/>
        <v>0.92763358778625959</v>
      </c>
      <c r="J62" s="242">
        <f t="shared" si="1"/>
        <v>7.2366412213740461E-2</v>
      </c>
      <c r="L62" s="243">
        <v>1155</v>
      </c>
      <c r="M62" s="243">
        <v>1059</v>
      </c>
      <c r="N62" s="243">
        <v>96</v>
      </c>
      <c r="P62" s="244">
        <f t="shared" si="2"/>
        <v>0.91688311688311686</v>
      </c>
      <c r="Q62" s="244">
        <f t="shared" si="3"/>
        <v>8.3116883116883117E-2</v>
      </c>
    </row>
    <row r="63" spans="1:17">
      <c r="A63" s="235" t="s">
        <v>146</v>
      </c>
      <c r="B63" s="236" t="s">
        <v>147</v>
      </c>
      <c r="C63" s="237" t="s">
        <v>264</v>
      </c>
      <c r="D63" s="237"/>
      <c r="E63" s="238">
        <v>2330</v>
      </c>
      <c r="F63" s="239">
        <v>2197</v>
      </c>
      <c r="G63" s="240">
        <v>133</v>
      </c>
      <c r="I63" s="241">
        <f t="shared" si="0"/>
        <v>0.94291845493562232</v>
      </c>
      <c r="J63" s="242">
        <f t="shared" si="1"/>
        <v>5.7081545064377681E-2</v>
      </c>
      <c r="L63" s="243">
        <v>638</v>
      </c>
      <c r="M63" s="243">
        <v>601</v>
      </c>
      <c r="N63" s="243">
        <v>37</v>
      </c>
      <c r="P63" s="244">
        <f t="shared" si="2"/>
        <v>0.94200626959247646</v>
      </c>
      <c r="Q63" s="244">
        <f t="shared" si="3"/>
        <v>5.7993730407523508E-2</v>
      </c>
    </row>
    <row r="64" spans="1:17">
      <c r="A64" s="235" t="s">
        <v>148</v>
      </c>
      <c r="B64" s="236" t="s">
        <v>149</v>
      </c>
      <c r="C64" s="237" t="s">
        <v>265</v>
      </c>
      <c r="D64" s="237"/>
      <c r="E64" s="238">
        <v>6861</v>
      </c>
      <c r="F64" s="239">
        <v>6186</v>
      </c>
      <c r="G64" s="240">
        <v>675</v>
      </c>
      <c r="I64" s="241">
        <f t="shared" si="0"/>
        <v>0.90161783996501965</v>
      </c>
      <c r="J64" s="242">
        <f t="shared" si="1"/>
        <v>9.838216003498032E-2</v>
      </c>
      <c r="L64" s="243">
        <v>1992</v>
      </c>
      <c r="M64" s="243">
        <v>1717</v>
      </c>
      <c r="N64" s="243">
        <v>275</v>
      </c>
      <c r="P64" s="244">
        <f t="shared" si="2"/>
        <v>0.86194779116465858</v>
      </c>
      <c r="Q64" s="244">
        <f t="shared" si="3"/>
        <v>0.13805220883534136</v>
      </c>
    </row>
    <row r="65" spans="1:17">
      <c r="A65" s="235" t="s">
        <v>150</v>
      </c>
      <c r="B65" s="236" t="s">
        <v>151</v>
      </c>
      <c r="C65" s="237" t="s">
        <v>266</v>
      </c>
      <c r="D65" s="237"/>
      <c r="E65" s="238">
        <v>2747</v>
      </c>
      <c r="F65" s="239">
        <v>2538</v>
      </c>
      <c r="G65" s="240">
        <v>209</v>
      </c>
      <c r="I65" s="241">
        <f t="shared" si="0"/>
        <v>0.92391700036403346</v>
      </c>
      <c r="J65" s="242">
        <f t="shared" si="1"/>
        <v>7.6082999635966514E-2</v>
      </c>
      <c r="L65" s="243">
        <v>658</v>
      </c>
      <c r="M65" s="243">
        <v>585</v>
      </c>
      <c r="N65" s="243">
        <v>73</v>
      </c>
      <c r="P65" s="244">
        <f t="shared" si="2"/>
        <v>0.88905775075987847</v>
      </c>
      <c r="Q65" s="244">
        <f t="shared" si="3"/>
        <v>0.11094224924012158</v>
      </c>
    </row>
    <row r="66" spans="1:17">
      <c r="A66" s="235" t="s">
        <v>152</v>
      </c>
      <c r="B66" s="236" t="s">
        <v>153</v>
      </c>
      <c r="C66" s="237" t="s">
        <v>268</v>
      </c>
      <c r="D66" s="237"/>
      <c r="E66" s="238">
        <v>16873</v>
      </c>
      <c r="F66" s="239">
        <v>14910</v>
      </c>
      <c r="G66" s="240">
        <v>1963</v>
      </c>
      <c r="I66" s="241">
        <f t="shared" si="0"/>
        <v>0.88366028566348609</v>
      </c>
      <c r="J66" s="242">
        <f t="shared" si="1"/>
        <v>0.11633971433651395</v>
      </c>
      <c r="L66" s="243">
        <v>6218</v>
      </c>
      <c r="M66" s="243">
        <v>5687</v>
      </c>
      <c r="N66" s="243">
        <v>531</v>
      </c>
      <c r="P66" s="244">
        <f t="shared" si="2"/>
        <v>0.91460276616275327</v>
      </c>
      <c r="Q66" s="244">
        <f t="shared" si="3"/>
        <v>8.5397233837246705E-2</v>
      </c>
    </row>
    <row r="67" spans="1:17">
      <c r="A67" s="235" t="s">
        <v>154</v>
      </c>
      <c r="B67" s="236" t="s">
        <v>155</v>
      </c>
      <c r="C67" s="237" t="s">
        <v>265</v>
      </c>
      <c r="D67" s="237"/>
      <c r="E67" s="238">
        <v>3674</v>
      </c>
      <c r="F67" s="239">
        <v>3298</v>
      </c>
      <c r="G67" s="240">
        <v>376</v>
      </c>
      <c r="I67" s="241">
        <f t="shared" si="0"/>
        <v>0.89765922700054435</v>
      </c>
      <c r="J67" s="242">
        <f t="shared" si="1"/>
        <v>0.10234077299945564</v>
      </c>
      <c r="L67" s="243">
        <v>1100</v>
      </c>
      <c r="M67" s="243">
        <v>953</v>
      </c>
      <c r="N67" s="243">
        <v>147</v>
      </c>
      <c r="P67" s="244">
        <f t="shared" si="2"/>
        <v>0.86636363636363634</v>
      </c>
      <c r="Q67" s="244">
        <f t="shared" si="3"/>
        <v>0.13363636363636364</v>
      </c>
    </row>
    <row r="68" spans="1:17">
      <c r="A68" s="235" t="s">
        <v>156</v>
      </c>
      <c r="B68" s="236" t="s">
        <v>157</v>
      </c>
      <c r="C68" s="237" t="s">
        <v>266</v>
      </c>
      <c r="D68" s="237"/>
      <c r="E68" s="238">
        <v>4793</v>
      </c>
      <c r="F68" s="239">
        <v>4456</v>
      </c>
      <c r="G68" s="240">
        <v>337</v>
      </c>
      <c r="I68" s="241">
        <f t="shared" si="0"/>
        <v>0.92968912998122266</v>
      </c>
      <c r="J68" s="242">
        <f t="shared" si="1"/>
        <v>7.031087001877738E-2</v>
      </c>
      <c r="L68" s="243">
        <v>1749</v>
      </c>
      <c r="M68" s="243">
        <v>1625</v>
      </c>
      <c r="N68" s="243">
        <v>124</v>
      </c>
      <c r="P68" s="244">
        <f t="shared" si="2"/>
        <v>0.9291023441966838</v>
      </c>
      <c r="Q68" s="244">
        <f t="shared" si="3"/>
        <v>7.0897655803316181E-2</v>
      </c>
    </row>
    <row r="69" spans="1:17">
      <c r="A69" s="235" t="s">
        <v>162</v>
      </c>
      <c r="B69" s="236" t="s">
        <v>163</v>
      </c>
      <c r="C69" s="237" t="s">
        <v>264</v>
      </c>
      <c r="D69" s="237"/>
      <c r="E69" s="238">
        <v>2588</v>
      </c>
      <c r="F69" s="239">
        <v>2305</v>
      </c>
      <c r="G69" s="240">
        <v>283</v>
      </c>
      <c r="I69" s="241">
        <f t="shared" si="0"/>
        <v>0.89064914992272026</v>
      </c>
      <c r="J69" s="242">
        <f t="shared" si="1"/>
        <v>0.10935085007727975</v>
      </c>
      <c r="L69" s="243">
        <v>711</v>
      </c>
      <c r="M69" s="243">
        <v>599</v>
      </c>
      <c r="N69" s="243">
        <v>112</v>
      </c>
      <c r="P69" s="244">
        <f t="shared" si="2"/>
        <v>0.84247538677918421</v>
      </c>
      <c r="Q69" s="244">
        <f t="shared" si="3"/>
        <v>0.15752461322081576</v>
      </c>
    </row>
    <row r="70" spans="1:17">
      <c r="A70" s="235" t="s">
        <v>164</v>
      </c>
      <c r="B70" s="236" t="s">
        <v>165</v>
      </c>
      <c r="C70" s="237" t="s">
        <v>266</v>
      </c>
      <c r="D70" s="237"/>
      <c r="E70" s="238">
        <v>3261</v>
      </c>
      <c r="F70" s="239">
        <v>3009</v>
      </c>
      <c r="G70" s="240">
        <v>252</v>
      </c>
      <c r="I70" s="241">
        <f t="shared" si="0"/>
        <v>0.92272309107635697</v>
      </c>
      <c r="J70" s="242">
        <f t="shared" si="1"/>
        <v>7.7276908923643056E-2</v>
      </c>
      <c r="L70" s="243">
        <v>657</v>
      </c>
      <c r="M70" s="243">
        <v>584</v>
      </c>
      <c r="N70" s="243">
        <v>73</v>
      </c>
      <c r="P70" s="244">
        <f t="shared" si="2"/>
        <v>0.88888888888888884</v>
      </c>
      <c r="Q70" s="244">
        <f t="shared" si="3"/>
        <v>0.1111111111111111</v>
      </c>
    </row>
    <row r="71" spans="1:17">
      <c r="A71" s="235" t="s">
        <v>168</v>
      </c>
      <c r="B71" s="236" t="s">
        <v>169</v>
      </c>
      <c r="C71" s="237" t="s">
        <v>266</v>
      </c>
      <c r="D71" s="237"/>
      <c r="E71" s="238">
        <v>2872</v>
      </c>
      <c r="F71" s="239">
        <v>2555</v>
      </c>
      <c r="G71" s="240">
        <v>317</v>
      </c>
      <c r="I71" s="241">
        <f t="shared" ref="I71:I126" si="4">F71/E71</f>
        <v>0.88962395543175488</v>
      </c>
      <c r="J71" s="242">
        <f t="shared" ref="J71:J126" si="5">G71/E71</f>
        <v>0.11037604456824512</v>
      </c>
      <c r="L71" s="243">
        <v>1023</v>
      </c>
      <c r="M71" s="243">
        <v>879</v>
      </c>
      <c r="N71" s="243">
        <v>144</v>
      </c>
      <c r="P71" s="244">
        <f t="shared" ref="P71:P126" si="6">M71/L71</f>
        <v>0.85923753665689151</v>
      </c>
      <c r="Q71" s="244">
        <f t="shared" ref="Q71:Q126" si="7">N71/L71</f>
        <v>0.14076246334310852</v>
      </c>
    </row>
    <row r="72" spans="1:17">
      <c r="A72" s="235" t="s">
        <v>170</v>
      </c>
      <c r="B72" s="236" t="s">
        <v>171</v>
      </c>
      <c r="C72" s="237" t="s">
        <v>267</v>
      </c>
      <c r="D72" s="237"/>
      <c r="E72" s="238">
        <v>8029</v>
      </c>
      <c r="F72" s="239">
        <v>7323</v>
      </c>
      <c r="G72" s="240">
        <v>706</v>
      </c>
      <c r="I72" s="241">
        <f t="shared" si="4"/>
        <v>0.91206875077842819</v>
      </c>
      <c r="J72" s="242">
        <f t="shared" si="5"/>
        <v>8.7931249221571806E-2</v>
      </c>
      <c r="L72" s="243">
        <v>2859</v>
      </c>
      <c r="M72" s="243">
        <v>2581</v>
      </c>
      <c r="N72" s="243">
        <v>278</v>
      </c>
      <c r="P72" s="244">
        <f t="shared" si="6"/>
        <v>0.90276320391745368</v>
      </c>
      <c r="Q72" s="244">
        <f t="shared" si="7"/>
        <v>9.7236796082546345E-2</v>
      </c>
    </row>
    <row r="73" spans="1:17">
      <c r="A73" s="235" t="s">
        <v>172</v>
      </c>
      <c r="B73" s="236" t="s">
        <v>173</v>
      </c>
      <c r="C73" s="237" t="s">
        <v>267</v>
      </c>
      <c r="D73" s="237"/>
      <c r="E73" s="238">
        <v>5801</v>
      </c>
      <c r="F73" s="239">
        <v>5126</v>
      </c>
      <c r="G73" s="240">
        <v>675</v>
      </c>
      <c r="I73" s="241">
        <f t="shared" si="4"/>
        <v>0.88364075159455269</v>
      </c>
      <c r="J73" s="242">
        <f t="shared" si="5"/>
        <v>0.11635924840544734</v>
      </c>
      <c r="L73" s="243">
        <v>2042</v>
      </c>
      <c r="M73" s="243">
        <v>1748</v>
      </c>
      <c r="N73" s="243">
        <v>294</v>
      </c>
      <c r="P73" s="244">
        <f t="shared" si="6"/>
        <v>0.85602350636630753</v>
      </c>
      <c r="Q73" s="244">
        <f t="shared" si="7"/>
        <v>0.14397649363369247</v>
      </c>
    </row>
    <row r="74" spans="1:17">
      <c r="A74" s="235" t="s">
        <v>174</v>
      </c>
      <c r="B74" s="236" t="s">
        <v>175</v>
      </c>
      <c r="C74" s="237" t="s">
        <v>268</v>
      </c>
      <c r="D74" s="237"/>
      <c r="E74" s="238">
        <v>4631</v>
      </c>
      <c r="F74" s="239">
        <v>4305</v>
      </c>
      <c r="G74" s="240">
        <v>326</v>
      </c>
      <c r="I74" s="241">
        <f t="shared" si="4"/>
        <v>0.92960483696825735</v>
      </c>
      <c r="J74" s="242">
        <f t="shared" si="5"/>
        <v>7.0395163031742605E-2</v>
      </c>
      <c r="L74" s="243">
        <v>1404</v>
      </c>
      <c r="M74" s="243">
        <v>1272</v>
      </c>
      <c r="N74" s="243">
        <v>132</v>
      </c>
      <c r="P74" s="244">
        <f t="shared" si="6"/>
        <v>0.90598290598290598</v>
      </c>
      <c r="Q74" s="244">
        <f t="shared" si="7"/>
        <v>9.4017094017094016E-2</v>
      </c>
    </row>
    <row r="75" spans="1:17">
      <c r="A75" s="235" t="s">
        <v>178</v>
      </c>
      <c r="B75" s="236" t="s">
        <v>179</v>
      </c>
      <c r="C75" s="237" t="s">
        <v>265</v>
      </c>
      <c r="D75" s="237"/>
      <c r="E75" s="238">
        <v>14710</v>
      </c>
      <c r="F75" s="239">
        <v>13591</v>
      </c>
      <c r="G75" s="240">
        <v>1119</v>
      </c>
      <c r="I75" s="241">
        <f t="shared" si="4"/>
        <v>0.92392929979605709</v>
      </c>
      <c r="J75" s="242">
        <f t="shared" si="5"/>
        <v>7.6070700203942895E-2</v>
      </c>
      <c r="L75" s="243">
        <v>4922</v>
      </c>
      <c r="M75" s="243">
        <v>4454</v>
      </c>
      <c r="N75" s="243">
        <v>468</v>
      </c>
      <c r="P75" s="244">
        <f t="shared" si="6"/>
        <v>0.90491670052824058</v>
      </c>
      <c r="Q75" s="244">
        <f t="shared" si="7"/>
        <v>9.5083299471759447E-2</v>
      </c>
    </row>
    <row r="76" spans="1:17">
      <c r="A76" s="235" t="s">
        <v>182</v>
      </c>
      <c r="B76" s="236" t="s">
        <v>183</v>
      </c>
      <c r="C76" s="237" t="s">
        <v>266</v>
      </c>
      <c r="D76" s="237"/>
      <c r="E76" s="238">
        <v>6742</v>
      </c>
      <c r="F76" s="239">
        <v>6381</v>
      </c>
      <c r="G76" s="240">
        <v>361</v>
      </c>
      <c r="I76" s="241">
        <f t="shared" si="4"/>
        <v>0.94645505784633643</v>
      </c>
      <c r="J76" s="242">
        <f t="shared" si="5"/>
        <v>5.3544942153663601E-2</v>
      </c>
      <c r="L76" s="243">
        <v>2714</v>
      </c>
      <c r="M76" s="243">
        <v>2587</v>
      </c>
      <c r="N76" s="243">
        <v>127</v>
      </c>
      <c r="P76" s="244">
        <f t="shared" si="6"/>
        <v>0.95320560058953574</v>
      </c>
      <c r="Q76" s="244">
        <f t="shared" si="7"/>
        <v>4.679439941046426E-2</v>
      </c>
    </row>
    <row r="77" spans="1:17">
      <c r="A77" s="235" t="s">
        <v>184</v>
      </c>
      <c r="B77" s="236" t="s">
        <v>185</v>
      </c>
      <c r="C77" s="237" t="s">
        <v>266</v>
      </c>
      <c r="D77" s="237"/>
      <c r="E77" s="238">
        <v>3707</v>
      </c>
      <c r="F77" s="239">
        <v>3275</v>
      </c>
      <c r="G77" s="240">
        <v>432</v>
      </c>
      <c r="I77" s="241">
        <f t="shared" si="4"/>
        <v>0.88346371729161044</v>
      </c>
      <c r="J77" s="242">
        <f t="shared" si="5"/>
        <v>0.11653628270838953</v>
      </c>
      <c r="L77" s="243">
        <v>1279</v>
      </c>
      <c r="M77" s="243">
        <v>1098</v>
      </c>
      <c r="N77" s="243">
        <v>181</v>
      </c>
      <c r="P77" s="244">
        <f t="shared" si="6"/>
        <v>0.85848318999218143</v>
      </c>
      <c r="Q77" s="244">
        <f t="shared" si="7"/>
        <v>0.1415168100078186</v>
      </c>
    </row>
    <row r="78" spans="1:17">
      <c r="A78" s="235" t="s">
        <v>186</v>
      </c>
      <c r="B78" s="236" t="s">
        <v>187</v>
      </c>
      <c r="C78" s="237" t="s">
        <v>264</v>
      </c>
      <c r="D78" s="237"/>
      <c r="E78" s="238">
        <v>7326</v>
      </c>
      <c r="F78" s="239">
        <v>6849</v>
      </c>
      <c r="G78" s="240">
        <v>477</v>
      </c>
      <c r="I78" s="241">
        <f t="shared" si="4"/>
        <v>0.93488943488943488</v>
      </c>
      <c r="J78" s="242">
        <f t="shared" si="5"/>
        <v>6.5110565110565108E-2</v>
      </c>
      <c r="L78" s="243">
        <v>2939</v>
      </c>
      <c r="M78" s="243">
        <v>2743</v>
      </c>
      <c r="N78" s="243">
        <v>196</v>
      </c>
      <c r="P78" s="244">
        <f t="shared" si="6"/>
        <v>0.93331064988091184</v>
      </c>
      <c r="Q78" s="244">
        <f t="shared" si="7"/>
        <v>6.6689350119088123E-2</v>
      </c>
    </row>
    <row r="79" spans="1:17">
      <c r="A79" s="235" t="s">
        <v>188</v>
      </c>
      <c r="B79" s="236" t="s">
        <v>189</v>
      </c>
      <c r="C79" s="237" t="s">
        <v>267</v>
      </c>
      <c r="D79" s="237"/>
      <c r="E79" s="238">
        <v>84487</v>
      </c>
      <c r="F79" s="239">
        <v>78037</v>
      </c>
      <c r="G79" s="240">
        <v>6450</v>
      </c>
      <c r="I79" s="241">
        <f t="shared" si="4"/>
        <v>0.92365689396001749</v>
      </c>
      <c r="J79" s="242">
        <f t="shared" si="5"/>
        <v>7.6343106039982483E-2</v>
      </c>
      <c r="L79" s="243">
        <v>44548</v>
      </c>
      <c r="M79" s="243">
        <v>41816</v>
      </c>
      <c r="N79" s="243">
        <v>2732</v>
      </c>
      <c r="P79" s="244">
        <f t="shared" si="6"/>
        <v>0.93867289216126426</v>
      </c>
      <c r="Q79" s="244">
        <f t="shared" si="7"/>
        <v>6.1327107838735746E-2</v>
      </c>
    </row>
    <row r="80" spans="1:17">
      <c r="A80" s="235" t="s">
        <v>190</v>
      </c>
      <c r="B80" s="236" t="s">
        <v>191</v>
      </c>
      <c r="C80" s="237" t="s">
        <v>268</v>
      </c>
      <c r="D80" s="237"/>
      <c r="E80" s="238">
        <v>8123</v>
      </c>
      <c r="F80" s="239">
        <v>7332</v>
      </c>
      <c r="G80" s="240">
        <v>791</v>
      </c>
      <c r="I80" s="241">
        <f t="shared" si="4"/>
        <v>0.90262218392219629</v>
      </c>
      <c r="J80" s="242">
        <f t="shared" si="5"/>
        <v>9.7377816077803769E-2</v>
      </c>
      <c r="L80" s="243">
        <v>2499</v>
      </c>
      <c r="M80" s="243">
        <v>2197</v>
      </c>
      <c r="N80" s="243">
        <v>302</v>
      </c>
      <c r="P80" s="244">
        <f t="shared" si="6"/>
        <v>0.87915166066426575</v>
      </c>
      <c r="Q80" s="244">
        <f t="shared" si="7"/>
        <v>0.1208483393357343</v>
      </c>
    </row>
    <row r="81" spans="1:17">
      <c r="A81" s="235" t="s">
        <v>194</v>
      </c>
      <c r="B81" s="236" t="s">
        <v>195</v>
      </c>
      <c r="C81" s="237" t="s">
        <v>267</v>
      </c>
      <c r="D81" s="237"/>
      <c r="E81" s="238">
        <v>1838</v>
      </c>
      <c r="F81" s="239">
        <v>1685</v>
      </c>
      <c r="G81" s="240">
        <v>153</v>
      </c>
      <c r="I81" s="241">
        <f t="shared" si="4"/>
        <v>0.91675734494015237</v>
      </c>
      <c r="J81" s="242">
        <f t="shared" si="5"/>
        <v>8.3242655059847667E-2</v>
      </c>
      <c r="L81" s="243">
        <v>573</v>
      </c>
      <c r="M81" s="243">
        <v>521</v>
      </c>
      <c r="N81" s="243">
        <v>52</v>
      </c>
      <c r="P81" s="244">
        <f t="shared" si="6"/>
        <v>0.90924956369982546</v>
      </c>
      <c r="Q81" s="244">
        <f t="shared" si="7"/>
        <v>9.0750436300174514E-2</v>
      </c>
    </row>
    <row r="82" spans="1:17">
      <c r="A82" s="235" t="s">
        <v>198</v>
      </c>
      <c r="B82" s="236" t="s">
        <v>199</v>
      </c>
      <c r="C82" s="237" t="s">
        <v>266</v>
      </c>
      <c r="D82" s="237"/>
      <c r="E82" s="238">
        <v>1629</v>
      </c>
      <c r="F82" s="239">
        <v>1480</v>
      </c>
      <c r="G82" s="240">
        <v>149</v>
      </c>
      <c r="I82" s="241">
        <f t="shared" si="4"/>
        <v>0.9085328422344997</v>
      </c>
      <c r="J82" s="242">
        <f t="shared" si="5"/>
        <v>9.1467157765500309E-2</v>
      </c>
      <c r="L82" s="243">
        <v>553</v>
      </c>
      <c r="M82" s="243">
        <v>488</v>
      </c>
      <c r="N82" s="243">
        <v>65</v>
      </c>
      <c r="P82" s="244">
        <f t="shared" si="6"/>
        <v>0.88245931283905965</v>
      </c>
      <c r="Q82" s="244">
        <f t="shared" si="7"/>
        <v>0.11754068716094032</v>
      </c>
    </row>
    <row r="83" spans="1:17">
      <c r="A83" s="235" t="s">
        <v>202</v>
      </c>
      <c r="B83" s="236" t="s">
        <v>620</v>
      </c>
      <c r="C83" s="237" t="s">
        <v>265</v>
      </c>
      <c r="D83" s="237"/>
      <c r="E83" s="238">
        <v>27391</v>
      </c>
      <c r="F83" s="239">
        <v>25544</v>
      </c>
      <c r="G83" s="240">
        <v>1847</v>
      </c>
      <c r="I83" s="241">
        <f t="shared" si="4"/>
        <v>0.93256909203753058</v>
      </c>
      <c r="J83" s="242">
        <f t="shared" si="5"/>
        <v>6.7430907962469422E-2</v>
      </c>
      <c r="L83" s="243">
        <v>10136</v>
      </c>
      <c r="M83" s="243">
        <v>9529</v>
      </c>
      <c r="N83" s="243">
        <v>607</v>
      </c>
      <c r="P83" s="244">
        <f t="shared" si="6"/>
        <v>0.94011444356748219</v>
      </c>
      <c r="Q83" s="244">
        <f t="shared" si="7"/>
        <v>5.9885556432517757E-2</v>
      </c>
    </row>
    <row r="84" spans="1:17">
      <c r="A84" s="235" t="s">
        <v>204</v>
      </c>
      <c r="B84" s="236" t="s">
        <v>293</v>
      </c>
      <c r="C84" s="237" t="s">
        <v>265</v>
      </c>
      <c r="D84" s="237"/>
      <c r="E84" s="238">
        <v>7830</v>
      </c>
      <c r="F84" s="239">
        <v>7065</v>
      </c>
      <c r="G84" s="240">
        <v>765</v>
      </c>
      <c r="I84" s="241">
        <f t="shared" si="4"/>
        <v>0.9022988505747126</v>
      </c>
      <c r="J84" s="242">
        <f t="shared" si="5"/>
        <v>9.7701149425287362E-2</v>
      </c>
      <c r="L84" s="243">
        <v>2523</v>
      </c>
      <c r="M84" s="243">
        <v>2233</v>
      </c>
      <c r="N84" s="243">
        <v>290</v>
      </c>
      <c r="P84" s="244">
        <f t="shared" si="6"/>
        <v>0.88505747126436785</v>
      </c>
      <c r="Q84" s="244">
        <f t="shared" si="7"/>
        <v>0.11494252873563218</v>
      </c>
    </row>
    <row r="85" spans="1:17">
      <c r="A85" s="235" t="s">
        <v>206</v>
      </c>
      <c r="B85" s="236" t="s">
        <v>294</v>
      </c>
      <c r="C85" s="237" t="s">
        <v>267</v>
      </c>
      <c r="D85" s="237"/>
      <c r="E85" s="238">
        <v>24868</v>
      </c>
      <c r="F85" s="239">
        <v>22377</v>
      </c>
      <c r="G85" s="240">
        <v>2491</v>
      </c>
      <c r="I85" s="241">
        <f t="shared" si="4"/>
        <v>0.89983110825156831</v>
      </c>
      <c r="J85" s="242">
        <f t="shared" si="5"/>
        <v>0.10016889174843172</v>
      </c>
      <c r="L85" s="243">
        <v>9709</v>
      </c>
      <c r="M85" s="243">
        <v>8763</v>
      </c>
      <c r="N85" s="243">
        <v>946</v>
      </c>
      <c r="P85" s="244">
        <f t="shared" si="6"/>
        <v>0.90256463075496962</v>
      </c>
      <c r="Q85" s="244">
        <f t="shared" si="7"/>
        <v>9.7435369245030379E-2</v>
      </c>
    </row>
    <row r="86" spans="1:17">
      <c r="A86" s="235" t="s">
        <v>208</v>
      </c>
      <c r="B86" s="236" t="s">
        <v>209</v>
      </c>
      <c r="C86" s="237" t="s">
        <v>268</v>
      </c>
      <c r="D86" s="237"/>
      <c r="E86" s="238">
        <v>7121</v>
      </c>
      <c r="F86" s="239">
        <v>6663</v>
      </c>
      <c r="G86" s="240">
        <v>458</v>
      </c>
      <c r="I86" s="241">
        <f t="shared" si="4"/>
        <v>0.9356831905631231</v>
      </c>
      <c r="J86" s="242">
        <f t="shared" si="5"/>
        <v>6.4316809436876843E-2</v>
      </c>
      <c r="L86" s="243">
        <v>2435</v>
      </c>
      <c r="M86" s="243">
        <v>2264</v>
      </c>
      <c r="N86" s="243">
        <v>171</v>
      </c>
      <c r="P86" s="244">
        <f t="shared" si="6"/>
        <v>0.92977412731006159</v>
      </c>
      <c r="Q86" s="244">
        <f t="shared" si="7"/>
        <v>7.0225872689938393E-2</v>
      </c>
    </row>
    <row r="87" spans="1:17">
      <c r="A87" s="235" t="s">
        <v>210</v>
      </c>
      <c r="B87" s="236" t="s">
        <v>211</v>
      </c>
      <c r="C87" s="237" t="s">
        <v>268</v>
      </c>
      <c r="D87" s="237"/>
      <c r="E87" s="238">
        <v>5615</v>
      </c>
      <c r="F87" s="239">
        <v>5267</v>
      </c>
      <c r="G87" s="240">
        <v>348</v>
      </c>
      <c r="I87" s="241">
        <f t="shared" si="4"/>
        <v>0.93802315227070343</v>
      </c>
      <c r="J87" s="242">
        <f t="shared" si="5"/>
        <v>6.1976847729296528E-2</v>
      </c>
      <c r="L87" s="243">
        <v>1805</v>
      </c>
      <c r="M87" s="243">
        <v>1674</v>
      </c>
      <c r="N87" s="243">
        <v>131</v>
      </c>
      <c r="P87" s="244">
        <f t="shared" si="6"/>
        <v>0.92742382271468149</v>
      </c>
      <c r="Q87" s="244">
        <f t="shared" si="7"/>
        <v>7.2576177285318566E-2</v>
      </c>
    </row>
    <row r="88" spans="1:17">
      <c r="A88" s="235" t="s">
        <v>212</v>
      </c>
      <c r="B88" s="236" t="s">
        <v>213</v>
      </c>
      <c r="C88" s="237" t="s">
        <v>267</v>
      </c>
      <c r="D88" s="237"/>
      <c r="E88" s="238">
        <v>10226</v>
      </c>
      <c r="F88" s="239">
        <v>9052</v>
      </c>
      <c r="G88" s="240">
        <v>1174</v>
      </c>
      <c r="I88" s="241">
        <f t="shared" si="4"/>
        <v>0.88519460199491495</v>
      </c>
      <c r="J88" s="242">
        <f t="shared" si="5"/>
        <v>0.11480539800508507</v>
      </c>
      <c r="L88" s="243">
        <v>3535</v>
      </c>
      <c r="M88" s="243">
        <v>3074</v>
      </c>
      <c r="N88" s="243">
        <v>461</v>
      </c>
      <c r="P88" s="244">
        <f t="shared" si="6"/>
        <v>0.86958981612446962</v>
      </c>
      <c r="Q88" s="244">
        <f t="shared" si="7"/>
        <v>0.13041018387553041</v>
      </c>
    </row>
    <row r="89" spans="1:17">
      <c r="A89" s="235" t="s">
        <v>214</v>
      </c>
      <c r="B89" s="236" t="s">
        <v>215</v>
      </c>
      <c r="C89" s="237" t="s">
        <v>268</v>
      </c>
      <c r="D89" s="237"/>
      <c r="E89" s="238">
        <v>7375</v>
      </c>
      <c r="F89" s="239">
        <v>6640</v>
      </c>
      <c r="G89" s="240">
        <v>735</v>
      </c>
      <c r="I89" s="241">
        <f t="shared" si="4"/>
        <v>0.90033898305084747</v>
      </c>
      <c r="J89" s="242">
        <f t="shared" si="5"/>
        <v>9.9661016949152539E-2</v>
      </c>
      <c r="L89" s="243">
        <v>2466</v>
      </c>
      <c r="M89" s="243">
        <v>2168</v>
      </c>
      <c r="N89" s="243">
        <v>298</v>
      </c>
      <c r="P89" s="244">
        <f t="shared" si="6"/>
        <v>0.87915652879156525</v>
      </c>
      <c r="Q89" s="244">
        <f t="shared" si="7"/>
        <v>0.12084347120843471</v>
      </c>
    </row>
    <row r="90" spans="1:17">
      <c r="A90" s="235" t="s">
        <v>216</v>
      </c>
      <c r="B90" s="236" t="s">
        <v>217</v>
      </c>
      <c r="C90" s="237" t="s">
        <v>264</v>
      </c>
      <c r="D90" s="237"/>
      <c r="E90" s="238">
        <v>3804</v>
      </c>
      <c r="F90" s="239">
        <v>3501</v>
      </c>
      <c r="G90" s="240">
        <v>303</v>
      </c>
      <c r="I90" s="241">
        <f t="shared" si="4"/>
        <v>0.92034700315457418</v>
      </c>
      <c r="J90" s="242">
        <f t="shared" si="5"/>
        <v>7.9652996845425872E-2</v>
      </c>
      <c r="L90" s="243">
        <v>1348</v>
      </c>
      <c r="M90" s="243">
        <v>1235</v>
      </c>
      <c r="N90" s="243">
        <v>113</v>
      </c>
      <c r="P90" s="244">
        <f t="shared" si="6"/>
        <v>0.91617210682492578</v>
      </c>
      <c r="Q90" s="244">
        <f t="shared" si="7"/>
        <v>8.3827893175074178E-2</v>
      </c>
    </row>
    <row r="91" spans="1:17">
      <c r="A91" s="235" t="s">
        <v>218</v>
      </c>
      <c r="B91" s="236" t="s">
        <v>219</v>
      </c>
      <c r="C91" s="237" t="s">
        <v>267</v>
      </c>
      <c r="D91" s="237"/>
      <c r="E91" s="238">
        <v>27740</v>
      </c>
      <c r="F91" s="239">
        <v>25473</v>
      </c>
      <c r="G91" s="240">
        <v>2267</v>
      </c>
      <c r="I91" s="241">
        <f t="shared" si="4"/>
        <v>0.91827685652487379</v>
      </c>
      <c r="J91" s="242">
        <f t="shared" si="5"/>
        <v>8.1723143475126173E-2</v>
      </c>
      <c r="L91" s="243">
        <v>12842</v>
      </c>
      <c r="M91" s="243">
        <v>11937</v>
      </c>
      <c r="N91" s="243">
        <v>905</v>
      </c>
      <c r="P91" s="244">
        <f t="shared" si="6"/>
        <v>0.92952811088615483</v>
      </c>
      <c r="Q91" s="244">
        <f t="shared" si="7"/>
        <v>7.0471889113845193E-2</v>
      </c>
    </row>
    <row r="92" spans="1:17">
      <c r="A92" s="235" t="s">
        <v>220</v>
      </c>
      <c r="B92" s="236" t="s">
        <v>221</v>
      </c>
      <c r="C92" s="237" t="s">
        <v>267</v>
      </c>
      <c r="D92" s="237"/>
      <c r="E92" s="238">
        <v>28707</v>
      </c>
      <c r="F92" s="239">
        <v>26742</v>
      </c>
      <c r="G92" s="240">
        <v>1965</v>
      </c>
      <c r="I92" s="241">
        <f t="shared" si="4"/>
        <v>0.93154979621695055</v>
      </c>
      <c r="J92" s="242">
        <f t="shared" si="5"/>
        <v>6.8450203783049432E-2</v>
      </c>
      <c r="L92" s="243">
        <v>14418</v>
      </c>
      <c r="M92" s="243">
        <v>13579</v>
      </c>
      <c r="N92" s="243">
        <v>839</v>
      </c>
      <c r="P92" s="244">
        <f t="shared" si="6"/>
        <v>0.94180885004855042</v>
      </c>
      <c r="Q92" s="244">
        <f t="shared" si="7"/>
        <v>5.8191149951449576E-2</v>
      </c>
    </row>
    <row r="93" spans="1:17">
      <c r="A93" s="235" t="s">
        <v>224</v>
      </c>
      <c r="B93" s="236" t="s">
        <v>225</v>
      </c>
      <c r="C93" s="237" t="s">
        <v>264</v>
      </c>
      <c r="D93" s="237"/>
      <c r="E93" s="238">
        <v>1585</v>
      </c>
      <c r="F93" s="239">
        <v>1455</v>
      </c>
      <c r="G93" s="240">
        <v>130</v>
      </c>
      <c r="I93" s="241">
        <f t="shared" si="4"/>
        <v>0.917981072555205</v>
      </c>
      <c r="J93" s="242">
        <f t="shared" si="5"/>
        <v>8.2018927444794956E-2</v>
      </c>
      <c r="L93" s="243">
        <v>492</v>
      </c>
      <c r="M93" s="243">
        <v>446</v>
      </c>
      <c r="N93" s="243">
        <v>46</v>
      </c>
      <c r="P93" s="244">
        <f t="shared" si="6"/>
        <v>0.9065040650406504</v>
      </c>
      <c r="Q93" s="244">
        <f t="shared" si="7"/>
        <v>9.3495934959349589E-2</v>
      </c>
    </row>
    <row r="94" spans="1:17">
      <c r="A94" s="235" t="s">
        <v>226</v>
      </c>
      <c r="B94" s="236" t="s">
        <v>227</v>
      </c>
      <c r="C94" s="237" t="s">
        <v>264</v>
      </c>
      <c r="D94" s="237"/>
      <c r="E94" s="238">
        <v>1927</v>
      </c>
      <c r="F94" s="239">
        <v>1700</v>
      </c>
      <c r="G94" s="240">
        <v>227</v>
      </c>
      <c r="I94" s="241">
        <f t="shared" si="4"/>
        <v>0.8822003113648158</v>
      </c>
      <c r="J94" s="242">
        <f t="shared" si="5"/>
        <v>0.11779968863518422</v>
      </c>
      <c r="L94" s="243">
        <v>596</v>
      </c>
      <c r="M94" s="243">
        <v>516</v>
      </c>
      <c r="N94" s="243">
        <v>80</v>
      </c>
      <c r="P94" s="244">
        <f t="shared" si="6"/>
        <v>0.86577181208053688</v>
      </c>
      <c r="Q94" s="244">
        <f t="shared" si="7"/>
        <v>0.13422818791946309</v>
      </c>
    </row>
    <row r="95" spans="1:17">
      <c r="A95" s="235" t="s">
        <v>228</v>
      </c>
      <c r="B95" s="236" t="s">
        <v>229</v>
      </c>
      <c r="C95" s="237" t="s">
        <v>268</v>
      </c>
      <c r="D95" s="237"/>
      <c r="E95" s="238">
        <v>10694</v>
      </c>
      <c r="F95" s="239">
        <v>9927</v>
      </c>
      <c r="G95" s="240">
        <v>767</v>
      </c>
      <c r="I95" s="241">
        <f t="shared" si="4"/>
        <v>0.92827753880680752</v>
      </c>
      <c r="J95" s="242">
        <f t="shared" si="5"/>
        <v>7.1722461193192449E-2</v>
      </c>
      <c r="L95" s="243">
        <v>3630</v>
      </c>
      <c r="M95" s="243">
        <v>3309</v>
      </c>
      <c r="N95" s="243">
        <v>321</v>
      </c>
      <c r="P95" s="244">
        <f t="shared" si="6"/>
        <v>0.9115702479338843</v>
      </c>
      <c r="Q95" s="244">
        <f t="shared" si="7"/>
        <v>8.8429752066115697E-2</v>
      </c>
    </row>
    <row r="96" spans="1:17">
      <c r="A96" s="235" t="s">
        <v>232</v>
      </c>
      <c r="B96" s="236" t="s">
        <v>233</v>
      </c>
      <c r="C96" s="237" t="s">
        <v>267</v>
      </c>
      <c r="D96" s="237"/>
      <c r="E96" s="238">
        <v>8466</v>
      </c>
      <c r="F96" s="239">
        <v>7448</v>
      </c>
      <c r="G96" s="240">
        <v>1018</v>
      </c>
      <c r="I96" s="241">
        <f t="shared" si="4"/>
        <v>0.87975431136309945</v>
      </c>
      <c r="J96" s="242">
        <f t="shared" si="5"/>
        <v>0.12024568863690055</v>
      </c>
      <c r="L96" s="243">
        <v>3365</v>
      </c>
      <c r="M96" s="243">
        <v>2964</v>
      </c>
      <c r="N96" s="243">
        <v>401</v>
      </c>
      <c r="P96" s="244">
        <f t="shared" si="6"/>
        <v>0.88083209509658245</v>
      </c>
      <c r="Q96" s="244">
        <f t="shared" si="7"/>
        <v>0.11916790490341754</v>
      </c>
    </row>
    <row r="97" spans="1:17">
      <c r="A97" s="235" t="s">
        <v>234</v>
      </c>
      <c r="B97" s="236" t="s">
        <v>235</v>
      </c>
      <c r="C97" s="237" t="s">
        <v>268</v>
      </c>
      <c r="D97" s="237"/>
      <c r="E97" s="238">
        <v>13451</v>
      </c>
      <c r="F97" s="239">
        <v>12472</v>
      </c>
      <c r="G97" s="240">
        <v>979</v>
      </c>
      <c r="I97" s="241">
        <f t="shared" si="4"/>
        <v>0.92721730726340046</v>
      </c>
      <c r="J97" s="242">
        <f t="shared" si="5"/>
        <v>7.2782692736599514E-2</v>
      </c>
      <c r="L97" s="243">
        <v>4316</v>
      </c>
      <c r="M97" s="243">
        <v>3992</v>
      </c>
      <c r="N97" s="243">
        <v>324</v>
      </c>
      <c r="P97" s="244">
        <f t="shared" si="6"/>
        <v>0.92493049119555149</v>
      </c>
      <c r="Q97" s="244">
        <f t="shared" si="7"/>
        <v>7.506950880444857E-2</v>
      </c>
    </row>
    <row r="98" spans="1:17">
      <c r="A98" s="235" t="s">
        <v>236</v>
      </c>
      <c r="B98" s="236" t="s">
        <v>237</v>
      </c>
      <c r="C98" s="237" t="s">
        <v>266</v>
      </c>
      <c r="D98" s="237"/>
      <c r="E98" s="238">
        <v>3942</v>
      </c>
      <c r="F98" s="239">
        <v>3509</v>
      </c>
      <c r="G98" s="240">
        <v>433</v>
      </c>
      <c r="I98" s="241">
        <f t="shared" si="4"/>
        <v>0.89015728056823951</v>
      </c>
      <c r="J98" s="242">
        <f t="shared" si="5"/>
        <v>0.10984271943176052</v>
      </c>
      <c r="L98" s="243">
        <v>1096</v>
      </c>
      <c r="M98" s="243">
        <v>949</v>
      </c>
      <c r="N98" s="243">
        <v>147</v>
      </c>
      <c r="P98" s="244">
        <f t="shared" si="6"/>
        <v>0.86587591240875916</v>
      </c>
      <c r="Q98" s="244">
        <f t="shared" si="7"/>
        <v>0.13412408759124086</v>
      </c>
    </row>
    <row r="99" spans="1:17">
      <c r="A99" s="235" t="s">
        <v>242</v>
      </c>
      <c r="B99" s="236" t="s">
        <v>243</v>
      </c>
      <c r="C99" s="237" t="s">
        <v>268</v>
      </c>
      <c r="D99" s="237"/>
      <c r="E99" s="238">
        <v>8806</v>
      </c>
      <c r="F99" s="239">
        <v>8036</v>
      </c>
      <c r="G99" s="240">
        <v>770</v>
      </c>
      <c r="I99" s="241">
        <f t="shared" si="4"/>
        <v>0.91255961844197142</v>
      </c>
      <c r="J99" s="242">
        <f t="shared" si="5"/>
        <v>8.7440381558028621E-2</v>
      </c>
      <c r="L99" s="243">
        <v>3189</v>
      </c>
      <c r="M99" s="243">
        <v>2847</v>
      </c>
      <c r="N99" s="243">
        <v>342</v>
      </c>
      <c r="P99" s="244">
        <f t="shared" si="6"/>
        <v>0.89275634995296327</v>
      </c>
      <c r="Q99" s="244">
        <f t="shared" si="7"/>
        <v>0.10724365004703669</v>
      </c>
    </row>
    <row r="100" spans="1:17">
      <c r="A100" s="235" t="s">
        <v>244</v>
      </c>
      <c r="B100" s="236" t="s">
        <v>245</v>
      </c>
      <c r="C100" s="237" t="s">
        <v>268</v>
      </c>
      <c r="D100" s="237"/>
      <c r="E100" s="238">
        <v>7017</v>
      </c>
      <c r="F100" s="239">
        <v>6427</v>
      </c>
      <c r="G100" s="240">
        <v>590</v>
      </c>
      <c r="I100" s="241">
        <f t="shared" si="4"/>
        <v>0.91591848368248541</v>
      </c>
      <c r="J100" s="242">
        <f t="shared" si="5"/>
        <v>8.4081516317514607E-2</v>
      </c>
      <c r="L100" s="243">
        <v>2359</v>
      </c>
      <c r="M100" s="243">
        <v>2122</v>
      </c>
      <c r="N100" s="243">
        <v>237</v>
      </c>
      <c r="P100" s="244">
        <f t="shared" si="6"/>
        <v>0.89953370072064431</v>
      </c>
      <c r="Q100" s="244">
        <f t="shared" si="7"/>
        <v>0.10046629927935566</v>
      </c>
    </row>
    <row r="101" spans="1:17">
      <c r="A101" s="235" t="s">
        <v>246</v>
      </c>
      <c r="B101" s="236" t="s">
        <v>247</v>
      </c>
      <c r="C101" s="237" t="s">
        <v>264</v>
      </c>
      <c r="D101" s="237"/>
      <c r="E101" s="238">
        <v>19258</v>
      </c>
      <c r="F101" s="239">
        <v>18334</v>
      </c>
      <c r="G101" s="240">
        <v>924</v>
      </c>
      <c r="I101" s="241">
        <f t="shared" si="4"/>
        <v>0.95201993976529231</v>
      </c>
      <c r="J101" s="242">
        <f t="shared" si="5"/>
        <v>4.7980060234707654E-2</v>
      </c>
      <c r="L101" s="243">
        <v>8546</v>
      </c>
      <c r="M101" s="243">
        <v>8213</v>
      </c>
      <c r="N101" s="243">
        <v>333</v>
      </c>
      <c r="P101" s="244">
        <f t="shared" si="6"/>
        <v>0.96103440205944302</v>
      </c>
      <c r="Q101" s="244">
        <f t="shared" si="7"/>
        <v>3.8965597940556984E-2</v>
      </c>
    </row>
    <row r="102" spans="1:17">
      <c r="A102" s="235" t="s">
        <v>14</v>
      </c>
      <c r="B102" s="236" t="s">
        <v>15</v>
      </c>
      <c r="C102" s="237" t="s">
        <v>267</v>
      </c>
      <c r="D102" s="237"/>
      <c r="E102" s="238">
        <v>26684</v>
      </c>
      <c r="F102" s="239">
        <v>22819</v>
      </c>
      <c r="G102" s="240">
        <v>3865</v>
      </c>
      <c r="I102" s="241">
        <f t="shared" si="4"/>
        <v>0.85515664817868386</v>
      </c>
      <c r="J102" s="242">
        <f t="shared" si="5"/>
        <v>0.14484335182131614</v>
      </c>
      <c r="L102" s="243">
        <v>9744</v>
      </c>
      <c r="M102" s="243">
        <v>8972</v>
      </c>
      <c r="N102" s="243">
        <v>772</v>
      </c>
      <c r="P102" s="244">
        <f t="shared" si="6"/>
        <v>0.92077175697865354</v>
      </c>
      <c r="Q102" s="244">
        <f t="shared" si="7"/>
        <v>7.922824302134647E-2</v>
      </c>
    </row>
    <row r="103" spans="1:17">
      <c r="A103" s="235" t="s">
        <v>34</v>
      </c>
      <c r="B103" s="236" t="s">
        <v>35</v>
      </c>
      <c r="C103" s="237" t="s">
        <v>268</v>
      </c>
      <c r="D103" s="237"/>
      <c r="E103" s="238">
        <v>3682</v>
      </c>
      <c r="F103" s="239">
        <v>3261</v>
      </c>
      <c r="G103" s="240">
        <v>421</v>
      </c>
      <c r="I103" s="241">
        <f t="shared" si="4"/>
        <v>0.88565996740901687</v>
      </c>
      <c r="J103" s="242">
        <f t="shared" si="5"/>
        <v>0.11434003259098316</v>
      </c>
      <c r="L103" s="243">
        <v>1243</v>
      </c>
      <c r="M103" s="243">
        <v>1037</v>
      </c>
      <c r="N103" s="243">
        <v>206</v>
      </c>
      <c r="P103" s="244">
        <f t="shared" si="6"/>
        <v>0.83427192276749795</v>
      </c>
      <c r="Q103" s="244">
        <f t="shared" si="7"/>
        <v>0.16572807723250202</v>
      </c>
    </row>
    <row r="104" spans="1:17">
      <c r="A104" s="235" t="s">
        <v>52</v>
      </c>
      <c r="B104" s="236" t="s">
        <v>53</v>
      </c>
      <c r="C104" s="237" t="s">
        <v>265</v>
      </c>
      <c r="D104" s="237"/>
      <c r="E104" s="238">
        <v>6044</v>
      </c>
      <c r="F104" s="239">
        <v>4996</v>
      </c>
      <c r="G104" s="240">
        <v>1048</v>
      </c>
      <c r="I104" s="241">
        <f t="shared" si="4"/>
        <v>0.82660489741892784</v>
      </c>
      <c r="J104" s="242">
        <f t="shared" si="5"/>
        <v>0.17339510258107213</v>
      </c>
      <c r="L104" s="243">
        <v>2127</v>
      </c>
      <c r="M104" s="243">
        <v>1907</v>
      </c>
      <c r="N104" s="243">
        <v>220</v>
      </c>
      <c r="P104" s="244">
        <f t="shared" si="6"/>
        <v>0.89656793606017871</v>
      </c>
      <c r="Q104" s="244">
        <f t="shared" si="7"/>
        <v>0.10343206393982135</v>
      </c>
    </row>
    <row r="105" spans="1:17">
      <c r="A105" s="235" t="s">
        <v>54</v>
      </c>
      <c r="B105" s="236" t="s">
        <v>55</v>
      </c>
      <c r="C105" s="237" t="s">
        <v>264</v>
      </c>
      <c r="D105" s="237"/>
      <c r="E105" s="238">
        <v>47445</v>
      </c>
      <c r="F105" s="239">
        <v>43872</v>
      </c>
      <c r="G105" s="240">
        <v>3573</v>
      </c>
      <c r="I105" s="241">
        <f t="shared" si="4"/>
        <v>0.92469174834018342</v>
      </c>
      <c r="J105" s="242">
        <f t="shared" si="5"/>
        <v>7.5308251659816625E-2</v>
      </c>
      <c r="L105" s="243">
        <v>20777</v>
      </c>
      <c r="M105" s="243">
        <v>19371</v>
      </c>
      <c r="N105" s="243">
        <v>1406</v>
      </c>
      <c r="P105" s="244">
        <f t="shared" si="6"/>
        <v>0.93232901766376286</v>
      </c>
      <c r="Q105" s="244">
        <f t="shared" si="7"/>
        <v>6.7670982336237182E-2</v>
      </c>
    </row>
    <row r="106" spans="1:17">
      <c r="A106" s="235" t="s">
        <v>66</v>
      </c>
      <c r="B106" s="236" t="s">
        <v>67</v>
      </c>
      <c r="C106" s="237" t="s">
        <v>265</v>
      </c>
      <c r="D106" s="237"/>
      <c r="E106" s="238">
        <v>7064</v>
      </c>
      <c r="F106" s="239">
        <v>6212</v>
      </c>
      <c r="G106" s="240">
        <v>852</v>
      </c>
      <c r="I106" s="241">
        <f t="shared" si="4"/>
        <v>0.87938844847112119</v>
      </c>
      <c r="J106" s="242">
        <f t="shared" si="5"/>
        <v>0.12061155152887883</v>
      </c>
      <c r="L106" s="243">
        <v>2114</v>
      </c>
      <c r="M106" s="243">
        <v>1728</v>
      </c>
      <c r="N106" s="243">
        <v>386</v>
      </c>
      <c r="P106" s="244">
        <f t="shared" si="6"/>
        <v>0.81740775780510877</v>
      </c>
      <c r="Q106" s="244">
        <f t="shared" si="7"/>
        <v>0.1825922421948912</v>
      </c>
    </row>
    <row r="107" spans="1:17">
      <c r="A107" s="235" t="s">
        <v>82</v>
      </c>
      <c r="B107" s="236" t="s">
        <v>311</v>
      </c>
      <c r="C107" s="237" t="s">
        <v>264</v>
      </c>
      <c r="D107" s="237"/>
      <c r="E107" s="238">
        <v>1509</v>
      </c>
      <c r="F107" s="239">
        <v>1349</v>
      </c>
      <c r="G107" s="240">
        <v>160</v>
      </c>
      <c r="I107" s="241">
        <f t="shared" si="4"/>
        <v>0.8939695162359178</v>
      </c>
      <c r="J107" s="242">
        <f t="shared" si="5"/>
        <v>0.10603048376408217</v>
      </c>
      <c r="L107" s="243">
        <v>507</v>
      </c>
      <c r="M107" s="243">
        <v>438</v>
      </c>
      <c r="N107" s="243">
        <v>69</v>
      </c>
      <c r="P107" s="244">
        <f t="shared" si="6"/>
        <v>0.86390532544378695</v>
      </c>
      <c r="Q107" s="244">
        <f t="shared" si="7"/>
        <v>0.13609467455621302</v>
      </c>
    </row>
    <row r="108" spans="1:17">
      <c r="A108" s="235" t="s">
        <v>88</v>
      </c>
      <c r="B108" s="236" t="s">
        <v>89</v>
      </c>
      <c r="C108" s="237" t="s">
        <v>267</v>
      </c>
      <c r="D108" s="237"/>
      <c r="E108" s="238">
        <v>3709</v>
      </c>
      <c r="F108" s="239">
        <v>3044</v>
      </c>
      <c r="G108" s="240">
        <v>665</v>
      </c>
      <c r="I108" s="241">
        <f t="shared" si="4"/>
        <v>0.82070638986249667</v>
      </c>
      <c r="J108" s="242">
        <f t="shared" si="5"/>
        <v>0.17929361013750336</v>
      </c>
      <c r="L108" s="243">
        <v>1483</v>
      </c>
      <c r="M108" s="243">
        <v>1250</v>
      </c>
      <c r="N108" s="243">
        <v>233</v>
      </c>
      <c r="P108" s="244">
        <f t="shared" si="6"/>
        <v>0.84288604180714766</v>
      </c>
      <c r="Q108" s="244">
        <f t="shared" si="7"/>
        <v>0.15711395819285232</v>
      </c>
    </row>
    <row r="109" spans="1:17">
      <c r="A109" s="235" t="s">
        <v>90</v>
      </c>
      <c r="B109" s="236" t="s">
        <v>91</v>
      </c>
      <c r="C109" s="237" t="s">
        <v>268</v>
      </c>
      <c r="D109" s="237"/>
      <c r="E109" s="238">
        <v>1355</v>
      </c>
      <c r="F109" s="239">
        <v>1218</v>
      </c>
      <c r="G109" s="240">
        <v>137</v>
      </c>
      <c r="I109" s="241">
        <f t="shared" si="4"/>
        <v>0.89889298892988934</v>
      </c>
      <c r="J109" s="242">
        <f t="shared" si="5"/>
        <v>0.10110701107011071</v>
      </c>
      <c r="L109" s="243">
        <v>489</v>
      </c>
      <c r="M109" s="243">
        <v>432</v>
      </c>
      <c r="N109" s="243">
        <v>57</v>
      </c>
      <c r="P109" s="244">
        <f t="shared" si="6"/>
        <v>0.8834355828220859</v>
      </c>
      <c r="Q109" s="244">
        <f t="shared" si="7"/>
        <v>0.1165644171779141</v>
      </c>
    </row>
    <row r="110" spans="1:17">
      <c r="A110" s="235" t="s">
        <v>106</v>
      </c>
      <c r="B110" s="236" t="s">
        <v>107</v>
      </c>
      <c r="C110" s="237" t="s">
        <v>264</v>
      </c>
      <c r="D110" s="237"/>
      <c r="E110" s="238">
        <v>25384</v>
      </c>
      <c r="F110" s="239">
        <v>22545</v>
      </c>
      <c r="G110" s="240">
        <v>2839</v>
      </c>
      <c r="I110" s="241">
        <f t="shared" si="4"/>
        <v>0.88815789473684215</v>
      </c>
      <c r="J110" s="242">
        <f t="shared" si="5"/>
        <v>0.1118421052631579</v>
      </c>
      <c r="L110" s="243">
        <v>9354</v>
      </c>
      <c r="M110" s="243">
        <v>8280</v>
      </c>
      <c r="N110" s="243">
        <v>1074</v>
      </c>
      <c r="P110" s="244">
        <f t="shared" si="6"/>
        <v>0.88518280949326489</v>
      </c>
      <c r="Q110" s="244">
        <f t="shared" si="7"/>
        <v>0.11481719050673508</v>
      </c>
    </row>
    <row r="111" spans="1:17">
      <c r="A111" s="235" t="s">
        <v>116</v>
      </c>
      <c r="B111" s="236" t="s">
        <v>117</v>
      </c>
      <c r="C111" s="237" t="s">
        <v>266</v>
      </c>
      <c r="D111" s="237"/>
      <c r="E111" s="238">
        <v>3847</v>
      </c>
      <c r="F111" s="239">
        <v>3220</v>
      </c>
      <c r="G111" s="240">
        <v>627</v>
      </c>
      <c r="I111" s="241">
        <f t="shared" si="4"/>
        <v>0.8370158565115674</v>
      </c>
      <c r="J111" s="242">
        <f t="shared" si="5"/>
        <v>0.16298414348843254</v>
      </c>
      <c r="L111" s="243">
        <v>1388</v>
      </c>
      <c r="M111" s="243">
        <v>1087</v>
      </c>
      <c r="N111" s="243">
        <v>301</v>
      </c>
      <c r="P111" s="244">
        <f t="shared" si="6"/>
        <v>0.7831412103746398</v>
      </c>
      <c r="Q111" s="244">
        <f t="shared" si="7"/>
        <v>0.21685878962536023</v>
      </c>
    </row>
    <row r="112" spans="1:17">
      <c r="A112" s="235" t="s">
        <v>138</v>
      </c>
      <c r="B112" s="236" t="s">
        <v>139</v>
      </c>
      <c r="C112" s="237" t="s">
        <v>265</v>
      </c>
      <c r="D112" s="237"/>
      <c r="E112" s="238">
        <v>11948</v>
      </c>
      <c r="F112" s="239">
        <v>10598</v>
      </c>
      <c r="G112" s="240">
        <v>1350</v>
      </c>
      <c r="I112" s="241">
        <f t="shared" si="4"/>
        <v>0.88701037830599261</v>
      </c>
      <c r="J112" s="242">
        <f t="shared" si="5"/>
        <v>0.11298962169400736</v>
      </c>
      <c r="L112" s="243">
        <v>4394</v>
      </c>
      <c r="M112" s="243">
        <v>3862</v>
      </c>
      <c r="N112" s="243">
        <v>532</v>
      </c>
      <c r="P112" s="244">
        <f t="shared" si="6"/>
        <v>0.87892580791989072</v>
      </c>
      <c r="Q112" s="244">
        <f t="shared" si="7"/>
        <v>0.12107419208010924</v>
      </c>
    </row>
    <row r="113" spans="1:17">
      <c r="A113" s="235" t="s">
        <v>142</v>
      </c>
      <c r="B113" s="236" t="s">
        <v>143</v>
      </c>
      <c r="C113" s="237" t="s">
        <v>267</v>
      </c>
      <c r="D113" s="237"/>
      <c r="E113" s="238">
        <v>7239</v>
      </c>
      <c r="F113" s="239">
        <v>6439</v>
      </c>
      <c r="G113" s="240">
        <v>800</v>
      </c>
      <c r="I113" s="241">
        <f t="shared" si="4"/>
        <v>0.88948749827324214</v>
      </c>
      <c r="J113" s="242">
        <f t="shared" si="5"/>
        <v>0.11051250172675783</v>
      </c>
      <c r="L113" s="243">
        <v>3701</v>
      </c>
      <c r="M113" s="243">
        <v>3336</v>
      </c>
      <c r="N113" s="243">
        <v>365</v>
      </c>
      <c r="P113" s="244">
        <f t="shared" si="6"/>
        <v>0.90137800594433937</v>
      </c>
      <c r="Q113" s="244">
        <f t="shared" si="7"/>
        <v>9.8621994055660633E-2</v>
      </c>
    </row>
    <row r="114" spans="1:17">
      <c r="A114" s="235" t="s">
        <v>144</v>
      </c>
      <c r="B114" s="236" t="s">
        <v>145</v>
      </c>
      <c r="C114" s="237" t="s">
        <v>267</v>
      </c>
      <c r="D114" s="237"/>
      <c r="E114" s="238">
        <v>2654</v>
      </c>
      <c r="F114" s="239">
        <v>2314</v>
      </c>
      <c r="G114" s="240">
        <v>340</v>
      </c>
      <c r="I114" s="241">
        <f t="shared" si="4"/>
        <v>0.87189148455162024</v>
      </c>
      <c r="J114" s="242">
        <f t="shared" si="5"/>
        <v>0.12810851544837981</v>
      </c>
      <c r="L114" s="243">
        <v>1470</v>
      </c>
      <c r="M114" s="243">
        <v>1327</v>
      </c>
      <c r="N114" s="243">
        <v>143</v>
      </c>
      <c r="P114" s="244">
        <f t="shared" si="6"/>
        <v>0.90272108843537413</v>
      </c>
      <c r="Q114" s="244">
        <f t="shared" si="7"/>
        <v>9.7278911564625856E-2</v>
      </c>
    </row>
    <row r="115" spans="1:17">
      <c r="A115" s="235" t="s">
        <v>158</v>
      </c>
      <c r="B115" s="236" t="s">
        <v>159</v>
      </c>
      <c r="C115" s="237" t="s">
        <v>264</v>
      </c>
      <c r="D115" s="237"/>
      <c r="E115" s="238">
        <v>32304</v>
      </c>
      <c r="F115" s="239">
        <v>28003</v>
      </c>
      <c r="G115" s="240">
        <v>4301</v>
      </c>
      <c r="I115" s="241">
        <f t="shared" si="4"/>
        <v>0.86685859336305104</v>
      </c>
      <c r="J115" s="242">
        <f t="shared" si="5"/>
        <v>0.13314140663694898</v>
      </c>
      <c r="L115" s="243">
        <v>13357</v>
      </c>
      <c r="M115" s="243">
        <v>11608</v>
      </c>
      <c r="N115" s="243">
        <v>1749</v>
      </c>
      <c r="P115" s="244">
        <f t="shared" si="6"/>
        <v>0.86905742307404354</v>
      </c>
      <c r="Q115" s="244">
        <f t="shared" si="7"/>
        <v>0.13094257692595643</v>
      </c>
    </row>
    <row r="116" spans="1:17">
      <c r="A116" s="235" t="s">
        <v>160</v>
      </c>
      <c r="B116" s="236" t="s">
        <v>161</v>
      </c>
      <c r="C116" s="237" t="s">
        <v>264</v>
      </c>
      <c r="D116" s="237"/>
      <c r="E116" s="238">
        <v>35173</v>
      </c>
      <c r="F116" s="239">
        <v>29572</v>
      </c>
      <c r="G116" s="240">
        <v>5601</v>
      </c>
      <c r="I116" s="241">
        <f t="shared" si="4"/>
        <v>0.84075853637733489</v>
      </c>
      <c r="J116" s="242">
        <f t="shared" si="5"/>
        <v>0.15924146362266511</v>
      </c>
      <c r="L116" s="243">
        <v>13805</v>
      </c>
      <c r="M116" s="243">
        <v>11821</v>
      </c>
      <c r="N116" s="243">
        <v>1984</v>
      </c>
      <c r="P116" s="244">
        <f t="shared" si="6"/>
        <v>0.856283955088736</v>
      </c>
      <c r="Q116" s="244">
        <f t="shared" si="7"/>
        <v>0.14371604491126402</v>
      </c>
    </row>
    <row r="117" spans="1:17">
      <c r="A117" s="235" t="s">
        <v>166</v>
      </c>
      <c r="B117" s="236" t="s">
        <v>167</v>
      </c>
      <c r="C117" s="237" t="s">
        <v>268</v>
      </c>
      <c r="D117" s="237"/>
      <c r="E117" s="238">
        <v>747</v>
      </c>
      <c r="F117" s="239">
        <v>648</v>
      </c>
      <c r="G117" s="240">
        <v>99</v>
      </c>
      <c r="I117" s="241">
        <f t="shared" si="4"/>
        <v>0.86746987951807231</v>
      </c>
      <c r="J117" s="242">
        <f t="shared" si="5"/>
        <v>0.13253012048192772</v>
      </c>
      <c r="L117" s="243">
        <v>270</v>
      </c>
      <c r="M117" s="243">
        <v>229</v>
      </c>
      <c r="N117" s="243">
        <v>41</v>
      </c>
      <c r="P117" s="244">
        <f t="shared" si="6"/>
        <v>0.8481481481481481</v>
      </c>
      <c r="Q117" s="244">
        <f t="shared" si="7"/>
        <v>0.15185185185185185</v>
      </c>
    </row>
    <row r="118" spans="1:17">
      <c r="A118" s="235" t="s">
        <v>176</v>
      </c>
      <c r="B118" s="236" t="s">
        <v>177</v>
      </c>
      <c r="C118" s="237" t="s">
        <v>266</v>
      </c>
      <c r="D118" s="237"/>
      <c r="E118" s="238">
        <v>4395</v>
      </c>
      <c r="F118" s="239">
        <v>3408</v>
      </c>
      <c r="G118" s="240">
        <v>987</v>
      </c>
      <c r="I118" s="241">
        <f t="shared" si="4"/>
        <v>0.7754266211604095</v>
      </c>
      <c r="J118" s="242">
        <f t="shared" si="5"/>
        <v>0.22457337883959044</v>
      </c>
      <c r="L118" s="243">
        <v>1322</v>
      </c>
      <c r="M118" s="243">
        <v>895</v>
      </c>
      <c r="N118" s="243">
        <v>427</v>
      </c>
      <c r="P118" s="244">
        <f t="shared" si="6"/>
        <v>0.67700453857791221</v>
      </c>
      <c r="Q118" s="244">
        <f t="shared" si="7"/>
        <v>0.32299546142208774</v>
      </c>
    </row>
    <row r="119" spans="1:17">
      <c r="A119" s="235" t="s">
        <v>180</v>
      </c>
      <c r="B119" s="236" t="s">
        <v>181</v>
      </c>
      <c r="C119" s="237" t="s">
        <v>264</v>
      </c>
      <c r="D119" s="237"/>
      <c r="E119" s="238">
        <v>16082</v>
      </c>
      <c r="F119" s="239">
        <v>13929</v>
      </c>
      <c r="G119" s="240">
        <v>2153</v>
      </c>
      <c r="I119" s="241">
        <f t="shared" si="4"/>
        <v>0.86612361646561375</v>
      </c>
      <c r="J119" s="242">
        <f t="shared" si="5"/>
        <v>0.13387638353438627</v>
      </c>
      <c r="L119" s="243">
        <v>5886</v>
      </c>
      <c r="M119" s="243">
        <v>5014</v>
      </c>
      <c r="N119" s="243">
        <v>872</v>
      </c>
      <c r="P119" s="244">
        <f t="shared" si="6"/>
        <v>0.85185185185185186</v>
      </c>
      <c r="Q119" s="244">
        <f t="shared" si="7"/>
        <v>0.14814814814814814</v>
      </c>
    </row>
    <row r="120" spans="1:17">
      <c r="A120" s="235" t="s">
        <v>192</v>
      </c>
      <c r="B120" s="236" t="s">
        <v>193</v>
      </c>
      <c r="C120" s="237" t="s">
        <v>268</v>
      </c>
      <c r="D120" s="237"/>
      <c r="E120" s="238">
        <v>2056</v>
      </c>
      <c r="F120" s="239">
        <v>1742</v>
      </c>
      <c r="G120" s="240">
        <v>314</v>
      </c>
      <c r="I120" s="241">
        <f t="shared" si="4"/>
        <v>0.84727626459143968</v>
      </c>
      <c r="J120" s="242">
        <f t="shared" si="5"/>
        <v>0.15272373540856032</v>
      </c>
      <c r="L120" s="243">
        <v>738</v>
      </c>
      <c r="M120" s="243">
        <v>646</v>
      </c>
      <c r="N120" s="243">
        <v>92</v>
      </c>
      <c r="P120" s="244">
        <f t="shared" si="6"/>
        <v>0.87533875338753386</v>
      </c>
      <c r="Q120" s="244">
        <f t="shared" si="7"/>
        <v>0.12466124661246612</v>
      </c>
    </row>
    <row r="121" spans="1:17">
      <c r="A121" s="235" t="s">
        <v>196</v>
      </c>
      <c r="B121" s="236" t="s">
        <v>312</v>
      </c>
      <c r="C121" s="237" t="s">
        <v>266</v>
      </c>
      <c r="D121" s="237"/>
      <c r="E121" s="238">
        <v>27273</v>
      </c>
      <c r="F121" s="239">
        <v>20914</v>
      </c>
      <c r="G121" s="240">
        <v>6359</v>
      </c>
      <c r="I121" s="241">
        <f t="shared" si="4"/>
        <v>0.76683899827668389</v>
      </c>
      <c r="J121" s="242">
        <f t="shared" si="5"/>
        <v>0.23316100172331611</v>
      </c>
      <c r="L121" s="243">
        <v>9095</v>
      </c>
      <c r="M121" s="243">
        <v>7239</v>
      </c>
      <c r="N121" s="243">
        <v>1856</v>
      </c>
      <c r="P121" s="244">
        <f t="shared" si="6"/>
        <v>0.79593183067619566</v>
      </c>
      <c r="Q121" s="244">
        <f t="shared" si="7"/>
        <v>0.20406816932380428</v>
      </c>
    </row>
    <row r="122" spans="1:17">
      <c r="A122" s="235" t="s">
        <v>200</v>
      </c>
      <c r="B122" s="236" t="s">
        <v>313</v>
      </c>
      <c r="C122" s="237" t="s">
        <v>265</v>
      </c>
      <c r="D122" s="237"/>
      <c r="E122" s="238">
        <v>17064</v>
      </c>
      <c r="F122" s="239">
        <v>14014</v>
      </c>
      <c r="G122" s="240">
        <v>3050</v>
      </c>
      <c r="I122" s="241">
        <f t="shared" si="4"/>
        <v>0.82126113455227379</v>
      </c>
      <c r="J122" s="242">
        <f t="shared" si="5"/>
        <v>0.17873886544772621</v>
      </c>
      <c r="L122" s="243">
        <v>6061</v>
      </c>
      <c r="M122" s="243">
        <v>4916</v>
      </c>
      <c r="N122" s="243">
        <v>1145</v>
      </c>
      <c r="P122" s="244">
        <f t="shared" si="6"/>
        <v>0.81108727932684377</v>
      </c>
      <c r="Q122" s="244">
        <f t="shared" si="7"/>
        <v>0.18891272067315623</v>
      </c>
    </row>
    <row r="123" spans="1:17">
      <c r="A123" s="235" t="s">
        <v>222</v>
      </c>
      <c r="B123" s="236" t="s">
        <v>223</v>
      </c>
      <c r="C123" s="237" t="s">
        <v>264</v>
      </c>
      <c r="D123" s="237"/>
      <c r="E123" s="238">
        <v>18140</v>
      </c>
      <c r="F123" s="239">
        <v>16818</v>
      </c>
      <c r="G123" s="240">
        <v>1322</v>
      </c>
      <c r="I123" s="241">
        <f t="shared" si="4"/>
        <v>0.92712238147739801</v>
      </c>
      <c r="J123" s="242">
        <f t="shared" si="5"/>
        <v>7.2877618522601981E-2</v>
      </c>
      <c r="L123" s="243">
        <v>7711</v>
      </c>
      <c r="M123" s="243">
        <v>7175</v>
      </c>
      <c r="N123" s="243">
        <v>536</v>
      </c>
      <c r="P123" s="244">
        <f t="shared" si="6"/>
        <v>0.93048891194397609</v>
      </c>
      <c r="Q123" s="244">
        <f t="shared" si="7"/>
        <v>6.9511088056023865E-2</v>
      </c>
    </row>
    <row r="124" spans="1:17">
      <c r="A124" s="235" t="s">
        <v>230</v>
      </c>
      <c r="B124" s="236" t="s">
        <v>231</v>
      </c>
      <c r="C124" s="237" t="s">
        <v>264</v>
      </c>
      <c r="D124" s="237"/>
      <c r="E124" s="238">
        <v>92701</v>
      </c>
      <c r="F124" s="239">
        <v>83732</v>
      </c>
      <c r="G124" s="240">
        <v>8969</v>
      </c>
      <c r="I124" s="241">
        <f t="shared" si="4"/>
        <v>0.90324807715127131</v>
      </c>
      <c r="J124" s="242">
        <f t="shared" si="5"/>
        <v>9.6751922848728703E-2</v>
      </c>
      <c r="L124" s="243">
        <v>39373</v>
      </c>
      <c r="M124" s="243">
        <v>36360</v>
      </c>
      <c r="N124" s="243">
        <v>3013</v>
      </c>
      <c r="P124" s="244">
        <f t="shared" si="6"/>
        <v>0.92347547811952357</v>
      </c>
      <c r="Q124" s="244">
        <f t="shared" si="7"/>
        <v>7.6524521880476468E-2</v>
      </c>
    </row>
    <row r="125" spans="1:17">
      <c r="A125" s="235" t="s">
        <v>238</v>
      </c>
      <c r="B125" s="236" t="s">
        <v>239</v>
      </c>
      <c r="C125" s="237" t="s">
        <v>264</v>
      </c>
      <c r="D125" s="237"/>
      <c r="E125" s="238">
        <v>1929</v>
      </c>
      <c r="F125" s="239">
        <v>1680</v>
      </c>
      <c r="G125" s="240">
        <v>249</v>
      </c>
      <c r="I125" s="241">
        <f t="shared" si="4"/>
        <v>0.87091757387247282</v>
      </c>
      <c r="J125" s="242">
        <f t="shared" si="5"/>
        <v>0.12908242612752721</v>
      </c>
      <c r="L125" s="243">
        <v>484</v>
      </c>
      <c r="M125" s="243">
        <v>439</v>
      </c>
      <c r="N125" s="243">
        <v>45</v>
      </c>
      <c r="P125" s="244">
        <f t="shared" si="6"/>
        <v>0.90702479338842978</v>
      </c>
      <c r="Q125" s="244">
        <f t="shared" si="7"/>
        <v>9.2975206611570244E-2</v>
      </c>
    </row>
    <row r="126" spans="1:17">
      <c r="A126" s="245" t="s">
        <v>240</v>
      </c>
      <c r="B126" s="246" t="s">
        <v>241</v>
      </c>
      <c r="C126" s="247" t="s">
        <v>267</v>
      </c>
      <c r="D126" s="237"/>
      <c r="E126" s="248">
        <v>4836</v>
      </c>
      <c r="F126" s="249">
        <v>4060</v>
      </c>
      <c r="G126" s="250">
        <v>776</v>
      </c>
      <c r="I126" s="251">
        <f t="shared" si="4"/>
        <v>0.8395368072787428</v>
      </c>
      <c r="J126" s="252">
        <f t="shared" si="5"/>
        <v>0.16046319272125723</v>
      </c>
      <c r="L126" s="243">
        <v>1919</v>
      </c>
      <c r="M126" s="243">
        <v>1614</v>
      </c>
      <c r="N126" s="243">
        <v>305</v>
      </c>
      <c r="P126" s="244">
        <f t="shared" si="6"/>
        <v>0.84106305367378842</v>
      </c>
      <c r="Q126" s="244">
        <f t="shared" si="7"/>
        <v>0.15893694632621158</v>
      </c>
    </row>
    <row r="127" spans="1:17">
      <c r="A127" s="235"/>
      <c r="B127" s="236"/>
      <c r="C127" s="237"/>
      <c r="D127" s="237"/>
      <c r="E127" s="305"/>
      <c r="F127" s="305"/>
      <c r="G127" s="305"/>
      <c r="I127" s="306"/>
      <c r="J127" s="306"/>
      <c r="L127" s="243"/>
      <c r="M127" s="243"/>
      <c r="N127" s="243"/>
      <c r="P127" s="244"/>
      <c r="Q127" s="244"/>
    </row>
    <row r="128" spans="1:17">
      <c r="A128" s="307" t="s">
        <v>745</v>
      </c>
      <c r="B128" s="236"/>
      <c r="C128" s="237"/>
      <c r="D128" s="237"/>
      <c r="E128" s="305"/>
      <c r="F128" s="305"/>
      <c r="G128" s="305"/>
      <c r="I128" s="306"/>
      <c r="J128" s="306"/>
      <c r="L128" s="243"/>
      <c r="M128" s="243"/>
      <c r="N128" s="243"/>
      <c r="P128" s="244"/>
      <c r="Q128" s="244"/>
    </row>
    <row r="129" spans="1:17">
      <c r="A129" s="235" t="s">
        <v>266</v>
      </c>
      <c r="C129" s="237"/>
      <c r="D129" s="237"/>
      <c r="E129" s="305">
        <f>E10+E21+E23+E25+E27+E31+E34+E38+E43+E48+E49+E54+E56+E57+E61+E65+E68+E70+E71+E76+E77+E82+E98+E111+E118+E121</f>
        <v>268921</v>
      </c>
      <c r="F129" s="305">
        <f>F10+F21+F23+F25+F27+F31+F34+F38+F43+F48+F49+F54+F56+F57+F61+F65+F68+F70+F71+F76+F77+F82+F98+F111+F118+F121</f>
        <v>240768</v>
      </c>
      <c r="G129" s="305">
        <f>G10+G21+G23+G25+G27+G31+G34+G38+G43+G48+G49+G54+G56+G57+G61+G65+G68+G70+G71+G76+G77+G82+G98+G111+G118+G121</f>
        <v>28153</v>
      </c>
      <c r="I129" s="306">
        <f>F129/E129</f>
        <v>0.89531126241535619</v>
      </c>
      <c r="J129" s="306">
        <f>G129/E129</f>
        <v>0.10468873758464382</v>
      </c>
      <c r="L129" s="243">
        <f>L10+L21+L23+L25+L27+L31+L34+L38+L43+L48+L49+L54+L56+L57+L61+L65+L68+L70+L71+L76+L77+L82+L98+L111+L118+L121</f>
        <v>107151</v>
      </c>
      <c r="M129" s="243">
        <f>M10+M21+M23+M25+M27+M31+M34+M38+M43+M48+M49+M54+M56+M57+M61+M65+M68+M70+M71+M76+M77+M82+M98+M111+M118+M121</f>
        <v>96952</v>
      </c>
      <c r="N129" s="243">
        <f>N10+N21+N23+N25+N27+N31+N34+N38+N43+N48+N49+N54+N56+N57+N61+N65+N68+N70+N71+N76+N77+N82+N98+N111+N118+N121</f>
        <v>10199</v>
      </c>
      <c r="P129" s="244">
        <f>M129/L129</f>
        <v>0.90481656727422044</v>
      </c>
      <c r="Q129" s="244">
        <f>N129/L129</f>
        <v>9.5183432725779504E-2</v>
      </c>
    </row>
    <row r="130" spans="1:17">
      <c r="A130" s="235" t="s">
        <v>264</v>
      </c>
      <c r="C130" s="237"/>
      <c r="D130" s="237"/>
      <c r="E130" s="305">
        <f>E7+E19+E33+E42+E46+E52+E53+E63+E69+E78+E90+E93+E94+E124+E101+E105+E107+E110+E115+E116+E119+E123+E125</f>
        <v>363407</v>
      </c>
      <c r="F130" s="305">
        <f>F7+F19+F33+F42+F46+F52+F53+F63+F69+F78+F90+F93+F94+F124+F101+F105+F107+F110+F115+F116+F119+F123+F125</f>
        <v>327286</v>
      </c>
      <c r="G130" s="305">
        <f>G7+G19+G33+G42+G46+G52+G53+G63+G69+G78+G90+G93+G94+G124+G101+G105+G107+G110+G115+G116+G119+G123+G125</f>
        <v>36121</v>
      </c>
      <c r="I130" s="306">
        <f>F130/E130</f>
        <v>0.90060455632390135</v>
      </c>
      <c r="J130" s="306">
        <f>G130/E130</f>
        <v>9.9395443676098705E-2</v>
      </c>
      <c r="L130" s="243">
        <f>L7+L19+L33+L42+L46+L52+L53+L63+L69+L78+L90+L93+L94+L124+L101+L105+L107+L110+L115+L116+L119+L123+L125</f>
        <v>144986</v>
      </c>
      <c r="M130" s="243">
        <f>M7+M19+M33+M42+M46+M52+M53+M63+M69+M78+M90+M93+M94+M124+M101+M105+M107+M110+M115+M116+M119+M123+M125</f>
        <v>131552</v>
      </c>
      <c r="N130" s="243">
        <f>N7+N19+N33+N42+N46+N52+N53+N63+N69+N78+N90+N93+N94+N124+N101+N105+N107+N110+N115+N116+N119+N123+N125</f>
        <v>13434</v>
      </c>
      <c r="P130" s="244">
        <f>M130/L130</f>
        <v>0.90734277792338569</v>
      </c>
      <c r="Q130" s="244">
        <f>N130/L130</f>
        <v>9.2657222076614296E-2</v>
      </c>
    </row>
    <row r="131" spans="1:17">
      <c r="A131" s="235" t="s">
        <v>267</v>
      </c>
      <c r="C131" s="237"/>
      <c r="D131" s="237"/>
      <c r="E131" s="305">
        <f>E13+E28+E30+E35+E36+E40+E45+E55+E59+E60+E62+E72+E73+E79+E81+E85+E88+E91+E92+E96+E102+E108+E113+E114+E126</f>
        <v>671538</v>
      </c>
      <c r="F131" s="305">
        <f>F13+F28+F30+F35+F36+F40+F45+F55+F59+F60+F62+F72+F73+F79+F81+F85+F88+F91+F92+F96+F102+F108+F113+F114+F126</f>
        <v>618061</v>
      </c>
      <c r="G131" s="305">
        <f>G13+G28+G30+G35+G36+G40+G45+G55+G59+G60+G62+G72+G73+G79+G81+G85+G88+G91+G92+G96+G102+G108+G113+G114+G126</f>
        <v>53477</v>
      </c>
      <c r="I131" s="306">
        <f>F131/E131</f>
        <v>0.92036638284058381</v>
      </c>
      <c r="J131" s="306">
        <f>G131/E131</f>
        <v>7.9633617159416151E-2</v>
      </c>
      <c r="L131" s="243">
        <f>L13+L28+L30+L35+L36+L40+L45+L55+L59+L60+L62+L72+L73+L79+L81+L85+L88+L91+L92+L96+L102+L108+L113+L114+L126</f>
        <v>313980</v>
      </c>
      <c r="M131" s="243">
        <f>M13+M28+M30+M35+M36+M40+M45+M55+M59+M60+M62+M72+M73+M79+M81+M85+M88+M91+M92+M96+M102+M108+M113+M114+M126</f>
        <v>297413</v>
      </c>
      <c r="N131" s="243">
        <f>N13+N28+N30+N35+N36+N40+N45+N55+N59+N60+N62+N72+N73+N79+N81+N85+N88+N91+N92+N96+N102+N108+N113+N114+N126</f>
        <v>16567</v>
      </c>
      <c r="P131" s="244">
        <f>M131/L131</f>
        <v>0.94723549270654184</v>
      </c>
      <c r="Q131" s="244">
        <f>N131/L131</f>
        <v>5.2764507293458184E-2</v>
      </c>
    </row>
    <row r="132" spans="1:17">
      <c r="A132" s="235" t="s">
        <v>265</v>
      </c>
      <c r="C132" s="237"/>
      <c r="D132" s="237"/>
      <c r="E132" s="305">
        <f>E8+E9+E11+E12+E14+E15+E16+E18+E22+E26+E29+E39+E47+E50+E51+E64+E67+E75+E83+E84+E104+E106+E112+E122</f>
        <v>250573</v>
      </c>
      <c r="F132" s="305">
        <f>F8+F9+F11+F12+F14+F15+F16+F18+F22+F26+F29+F39+F47+F50+F51+F64+F67+F75+F83+F84+F104+F106+F112+F122</f>
        <v>226498</v>
      </c>
      <c r="G132" s="305">
        <f>G8+G9+G11+G12+G14+G15+G16+G18+G22+G26+G29+G39+G47+G50+G51+G64+G67+G75+G83+G84+G104+G106+G112+G122</f>
        <v>24075</v>
      </c>
      <c r="I132" s="306">
        <f>F132/E132</f>
        <v>0.90392021486752361</v>
      </c>
      <c r="J132" s="306">
        <f>G132/E132</f>
        <v>9.6079785132476364E-2</v>
      </c>
      <c r="L132" s="243">
        <f>L8+L9+L11+L12+L14+L15+L16+L18+L22+L26+L29+L39+L47+L50+L51+L64+L67+L75+L83+L84+L104+L106+L112+L122</f>
        <v>87063</v>
      </c>
      <c r="M132" s="243">
        <f>M8+M9+M11+M12+M14+M15+M16+M18+M22+M26+M29+M39+M47+M50+M51+M64+M67+M75+M83+M84+M104+M106+M112+M122</f>
        <v>78016</v>
      </c>
      <c r="N132" s="243">
        <f>N8+N9+N11+N12+N14+N15+N16+N18+N22+N26+N29+N39+N47+N50+N51+N64+N67+N75+N83+N84+N104+N106+N112+N122</f>
        <v>9047</v>
      </c>
      <c r="P132" s="244">
        <f>M132/L132</f>
        <v>0.89608674178468462</v>
      </c>
      <c r="Q132" s="244">
        <f>N132/L132</f>
        <v>0.10391325821531534</v>
      </c>
    </row>
    <row r="133" spans="1:17">
      <c r="A133" s="235" t="s">
        <v>268</v>
      </c>
      <c r="C133" s="237"/>
      <c r="D133" s="237"/>
      <c r="E133" s="305">
        <f>E17+E20+E24+E32+E37+E41+E44+E58+E66+E74+E80+E86+E87+E89+E95+E97+E99+E100+E103+E109+E117+E120</f>
        <v>133729</v>
      </c>
      <c r="F133" s="305">
        <f>F17+F20+F24+F32+F37+F41+F44+F58+F66+F74+F80+F86+F87+F89+F95+F97+F99+F100+F103+F109+F117+F120</f>
        <v>122231</v>
      </c>
      <c r="G133" s="305">
        <f>G17+G20+G24+G32+G37+G41+G44+G58+G66+G74+G80+G86+G87+G89+G95+G97+G99+G100+G103+G109+G117+G120</f>
        <v>11498</v>
      </c>
      <c r="I133" s="306">
        <f>F133/E133</f>
        <v>0.91402014521906239</v>
      </c>
      <c r="J133" s="306">
        <f>G133/E133</f>
        <v>8.5979854780937573E-2</v>
      </c>
      <c r="L133" s="243">
        <f>L17+L20+L24+L32+L37+L41+L44+L58+L66+L74+L80+L86+L87+L89+L95+L97+L99+L100+L103+L109+L117+L120</f>
        <v>44993</v>
      </c>
      <c r="M133" s="243">
        <f>M17+M20+M24+M32+M37+M41+M44+M58+M66+M74+M80+M86+M87+M89+M95+M97+M99+M100+M103+M109+M117+M120</f>
        <v>40677</v>
      </c>
      <c r="N133" s="243">
        <f>N17+N20+N24+N32+N37+N41+N44+N58+N66+N74+N80+N86+N87+N89+N95+N97+N99+N100+N103+N109+N117+N120</f>
        <v>4316</v>
      </c>
      <c r="P133" s="244">
        <f>M133/L133</f>
        <v>0.90407396706154286</v>
      </c>
      <c r="Q133" s="244">
        <f>N133/L133</f>
        <v>9.5926032938457098E-2</v>
      </c>
    </row>
    <row r="134" spans="1:17">
      <c r="A134" s="235"/>
      <c r="B134" s="236"/>
      <c r="C134" s="237"/>
      <c r="D134" s="237"/>
      <c r="E134" s="305"/>
      <c r="F134" s="305"/>
      <c r="G134" s="305"/>
      <c r="I134" s="306"/>
      <c r="J134" s="306"/>
      <c r="L134" s="243"/>
      <c r="M134" s="243"/>
      <c r="N134" s="243"/>
      <c r="P134" s="244"/>
      <c r="Q134" s="244"/>
    </row>
    <row r="135" spans="1:17">
      <c r="A135" s="253" t="s">
        <v>659</v>
      </c>
      <c r="B135" s="254"/>
      <c r="C135" s="254"/>
      <c r="D135" s="254"/>
      <c r="E135" s="222"/>
      <c r="F135" s="222"/>
      <c r="G135" s="222"/>
      <c r="H135" s="222"/>
    </row>
    <row r="136" spans="1:17">
      <c r="A136" s="254"/>
      <c r="B136" s="254"/>
      <c r="C136" s="254"/>
      <c r="D136" s="254"/>
      <c r="E136" s="222"/>
      <c r="F136" s="222"/>
      <c r="G136" s="222"/>
      <c r="H136" s="222"/>
    </row>
    <row r="137" spans="1:17">
      <c r="A137" s="222" t="s">
        <v>248</v>
      </c>
      <c r="B137" s="255"/>
      <c r="C137" s="255"/>
      <c r="D137" s="255"/>
      <c r="E137" s="222"/>
      <c r="F137" s="222"/>
      <c r="G137" s="222"/>
      <c r="H137" s="222"/>
    </row>
    <row r="138" spans="1:17">
      <c r="A138" s="222" t="s">
        <v>249</v>
      </c>
      <c r="B138" s="170" t="s">
        <v>250</v>
      </c>
      <c r="C138" s="256"/>
      <c r="D138" s="256"/>
      <c r="E138" s="222"/>
      <c r="F138" s="222"/>
      <c r="G138" s="222"/>
      <c r="H138" s="222"/>
    </row>
  </sheetData>
  <mergeCells count="4">
    <mergeCell ref="E4:G4"/>
    <mergeCell ref="I4:J4"/>
    <mergeCell ref="L4:N4"/>
    <mergeCell ref="P4:Q4"/>
  </mergeCells>
  <hyperlinks>
    <hyperlink ref="B138" r:id="rId1"/>
  </hyperlinks>
  <pageMargins left="0.7" right="0.7" top="0.75" bottom="0.75" header="0.3" footer="0.3"/>
</worksheet>
</file>

<file path=xl/worksheets/sheet62.xml><?xml version="1.0" encoding="utf-8"?>
<worksheet xmlns="http://schemas.openxmlformats.org/spreadsheetml/2006/main" xmlns:r="http://schemas.openxmlformats.org/officeDocument/2006/relationships">
  <dimension ref="A1:J130"/>
  <sheetViews>
    <sheetView workbookViewId="0">
      <pane ySplit="4" topLeftCell="A5" activePane="bottomLeft" state="frozen"/>
      <selection pane="bottomLeft" activeCell="B15" sqref="B15"/>
    </sheetView>
  </sheetViews>
  <sheetFormatPr defaultRowHeight="15.75"/>
  <cols>
    <col min="1" max="1" width="9.125" style="899" customWidth="1"/>
    <col min="2" max="2" width="29.75" style="899" customWidth="1"/>
    <col min="3" max="3" width="12.5" style="899" customWidth="1"/>
    <col min="4" max="10" width="5.875" style="899" customWidth="1"/>
    <col min="11" max="16384" width="9" style="899"/>
  </cols>
  <sheetData>
    <row r="1" spans="1:10">
      <c r="A1" s="916" t="s">
        <v>288</v>
      </c>
      <c r="B1" s="917"/>
      <c r="C1" s="917"/>
      <c r="D1" s="917"/>
      <c r="E1" s="917"/>
      <c r="F1" s="917"/>
      <c r="G1" s="917"/>
      <c r="H1" s="917"/>
      <c r="I1" s="917"/>
      <c r="J1" s="917"/>
    </row>
    <row r="2" spans="1:10">
      <c r="A2" s="914"/>
      <c r="B2" s="915"/>
      <c r="C2" s="915"/>
      <c r="D2" s="915"/>
      <c r="E2" s="915"/>
      <c r="F2" s="915"/>
      <c r="G2" s="915"/>
      <c r="H2" s="915"/>
      <c r="I2" s="915"/>
      <c r="J2" s="915"/>
    </row>
    <row r="3" spans="1:10" s="901" customFormat="1" ht="18">
      <c r="A3" s="910" t="s">
        <v>4</v>
      </c>
      <c r="B3" s="913" t="s">
        <v>5</v>
      </c>
      <c r="C3" s="910" t="s">
        <v>251</v>
      </c>
      <c r="D3" s="911" t="s">
        <v>274</v>
      </c>
      <c r="E3" s="911" t="s">
        <v>275</v>
      </c>
      <c r="F3" s="911" t="s">
        <v>276</v>
      </c>
      <c r="G3" s="911" t="s">
        <v>277</v>
      </c>
      <c r="H3" s="911" t="s">
        <v>278</v>
      </c>
      <c r="I3" s="911" t="s">
        <v>279</v>
      </c>
      <c r="J3" s="911" t="s">
        <v>827</v>
      </c>
    </row>
    <row r="4" spans="1:10" s="901" customFormat="1">
      <c r="A4" s="919">
        <v>999</v>
      </c>
      <c r="B4" s="918" t="s">
        <v>9</v>
      </c>
      <c r="C4" s="919"/>
      <c r="D4" s="920">
        <v>0.46586525895923542</v>
      </c>
      <c r="E4" s="920">
        <v>0.51433899357406598</v>
      </c>
      <c r="F4" s="920">
        <v>0.52770533252457774</v>
      </c>
      <c r="G4" s="920">
        <v>0.48474833730191313</v>
      </c>
      <c r="H4" s="920">
        <v>0.54354690633463587</v>
      </c>
      <c r="I4" s="920">
        <v>0.65914620694302894</v>
      </c>
      <c r="J4" s="920">
        <v>0.74632806565018006</v>
      </c>
    </row>
    <row r="5" spans="1:10" ht="16.5" customHeight="1">
      <c r="A5" s="921" t="s">
        <v>10</v>
      </c>
      <c r="B5" s="922" t="s">
        <v>11</v>
      </c>
      <c r="C5" s="922" t="s">
        <v>264</v>
      </c>
      <c r="D5" s="923">
        <v>0.45034688609228785</v>
      </c>
      <c r="E5" s="923">
        <v>0.41541191654119164</v>
      </c>
      <c r="F5" s="923">
        <v>0.49280769390208512</v>
      </c>
      <c r="G5" s="923">
        <v>0.44929031790861035</v>
      </c>
      <c r="H5" s="923">
        <v>0.41868038512365491</v>
      </c>
      <c r="I5" s="923">
        <v>0.48250582090491473</v>
      </c>
      <c r="J5" s="923">
        <v>0.54831036435718328</v>
      </c>
    </row>
    <row r="6" spans="1:10" ht="16.5" customHeight="1">
      <c r="A6" s="921" t="s">
        <v>12</v>
      </c>
      <c r="B6" s="922" t="s">
        <v>13</v>
      </c>
      <c r="C6" s="922" t="s">
        <v>265</v>
      </c>
      <c r="D6" s="923">
        <v>0.28974198918019145</v>
      </c>
      <c r="E6" s="923">
        <v>0.36215757106609897</v>
      </c>
      <c r="F6" s="923">
        <v>0.36683244379750929</v>
      </c>
      <c r="G6" s="923">
        <v>0.29816299888101455</v>
      </c>
      <c r="H6" s="923">
        <v>0.4403373425667193</v>
      </c>
      <c r="I6" s="923">
        <v>0.5727736605515733</v>
      </c>
      <c r="J6" s="923">
        <v>0.66737941926861866</v>
      </c>
    </row>
    <row r="7" spans="1:10" ht="16.5" customHeight="1">
      <c r="A7" s="921" t="s">
        <v>16</v>
      </c>
      <c r="B7" s="922" t="s">
        <v>289</v>
      </c>
      <c r="C7" s="922" t="s">
        <v>265</v>
      </c>
      <c r="D7" s="923">
        <v>0.62072503419972636</v>
      </c>
      <c r="E7" s="923">
        <v>0.66097366694780246</v>
      </c>
      <c r="F7" s="923">
        <v>0.63330286410725167</v>
      </c>
      <c r="G7" s="923">
        <v>0.62403965303593556</v>
      </c>
      <c r="H7" s="923">
        <v>0.79528931381336521</v>
      </c>
      <c r="I7" s="923">
        <v>0.75589098532494758</v>
      </c>
      <c r="J7" s="923">
        <v>0.8105157232704403</v>
      </c>
    </row>
    <row r="8" spans="1:10" ht="16.5" customHeight="1">
      <c r="A8" s="921" t="s">
        <v>18</v>
      </c>
      <c r="B8" s="922" t="s">
        <v>19</v>
      </c>
      <c r="C8" s="922" t="s">
        <v>266</v>
      </c>
      <c r="D8" s="923">
        <v>0.54383460236886638</v>
      </c>
      <c r="E8" s="923">
        <v>0.64199873497786208</v>
      </c>
      <c r="F8" s="923">
        <v>0.69769330734243018</v>
      </c>
      <c r="G8" s="923">
        <v>0.62956827309236951</v>
      </c>
      <c r="H8" s="923">
        <v>0.72102102102102106</v>
      </c>
      <c r="I8" s="923">
        <v>1.0326826826826827</v>
      </c>
      <c r="J8" s="923">
        <v>1.1711711711711712</v>
      </c>
    </row>
    <row r="9" spans="1:10" ht="16.5" customHeight="1">
      <c r="A9" s="921" t="s">
        <v>20</v>
      </c>
      <c r="B9" s="922" t="s">
        <v>21</v>
      </c>
      <c r="C9" s="922" t="s">
        <v>265</v>
      </c>
      <c r="D9" s="923">
        <v>0.53661899897854959</v>
      </c>
      <c r="E9" s="923">
        <v>0.59540025146689024</v>
      </c>
      <c r="F9" s="923">
        <v>0.56495648034815726</v>
      </c>
      <c r="G9" s="923">
        <v>0.49520328212721326</v>
      </c>
      <c r="H9" s="923">
        <v>0.51880858023526455</v>
      </c>
      <c r="I9" s="923">
        <v>0.64603384286343335</v>
      </c>
      <c r="J9" s="923">
        <v>0.73221362521230415</v>
      </c>
    </row>
    <row r="10" spans="1:10" ht="16.5" customHeight="1">
      <c r="A10" s="921" t="s">
        <v>22</v>
      </c>
      <c r="B10" s="922" t="s">
        <v>23</v>
      </c>
      <c r="C10" s="922" t="s">
        <v>265</v>
      </c>
      <c r="D10" s="923">
        <v>0.61866638200967838</v>
      </c>
      <c r="E10" s="923">
        <v>0.68785181804351136</v>
      </c>
      <c r="F10" s="923">
        <v>0.62509960159362554</v>
      </c>
      <c r="G10" s="923">
        <v>0.62384844946152851</v>
      </c>
      <c r="H10" s="923">
        <v>0.69308385579937304</v>
      </c>
      <c r="I10" s="923">
        <v>0.80005877742946707</v>
      </c>
      <c r="J10" s="923">
        <v>0.9050156739811912</v>
      </c>
    </row>
    <row r="11" spans="1:10" ht="16.5" customHeight="1">
      <c r="A11" s="921" t="s">
        <v>24</v>
      </c>
      <c r="B11" s="922" t="s">
        <v>25</v>
      </c>
      <c r="C11" s="922" t="s">
        <v>267</v>
      </c>
      <c r="D11" s="923">
        <v>0.20834828216561599</v>
      </c>
      <c r="E11" s="923">
        <v>0.20396186766439445</v>
      </c>
      <c r="F11" s="923">
        <v>0.20425436229537686</v>
      </c>
      <c r="G11" s="923">
        <v>0.19807410157147656</v>
      </c>
      <c r="H11" s="923">
        <v>0.21975252874174062</v>
      </c>
      <c r="I11" s="923">
        <v>0.27225824166090945</v>
      </c>
      <c r="J11" s="923">
        <v>0.31860551628846256</v>
      </c>
    </row>
    <row r="12" spans="1:10" ht="16.5" customHeight="1">
      <c r="A12" s="921" t="s">
        <v>26</v>
      </c>
      <c r="B12" s="924" t="s">
        <v>706</v>
      </c>
      <c r="C12" s="922" t="s">
        <v>265</v>
      </c>
      <c r="D12" s="923">
        <v>0.47039166039371338</v>
      </c>
      <c r="E12" s="923">
        <v>0.52842846727345427</v>
      </c>
      <c r="F12" s="923">
        <v>0.51882973369220331</v>
      </c>
      <c r="G12" s="923">
        <v>0.50106524898950677</v>
      </c>
      <c r="H12" s="923">
        <v>0.67554376786319814</v>
      </c>
      <c r="I12" s="923">
        <v>0.74325394311775517</v>
      </c>
      <c r="J12" s="923">
        <v>0.83376195603977954</v>
      </c>
    </row>
    <row r="13" spans="1:10" ht="16.5" customHeight="1">
      <c r="A13" s="921" t="s">
        <v>27</v>
      </c>
      <c r="B13" s="922" t="s">
        <v>28</v>
      </c>
      <c r="C13" s="922" t="s">
        <v>265</v>
      </c>
      <c r="D13" s="923">
        <v>0.30604288499025339</v>
      </c>
      <c r="E13" s="923">
        <v>0.31868898186889821</v>
      </c>
      <c r="F13" s="923">
        <v>0.33193407960199006</v>
      </c>
      <c r="G13" s="923">
        <v>0.35159010600706714</v>
      </c>
      <c r="H13" s="923">
        <v>0.45288624787775894</v>
      </c>
      <c r="I13" s="923">
        <v>0.55333899264289754</v>
      </c>
      <c r="J13" s="923">
        <v>0.59932088285229201</v>
      </c>
    </row>
    <row r="14" spans="1:10" ht="16.5" customHeight="1">
      <c r="A14" s="921" t="s">
        <v>29</v>
      </c>
      <c r="B14" s="922" t="s">
        <v>1012</v>
      </c>
      <c r="C14" s="922" t="s">
        <v>265</v>
      </c>
      <c r="D14" s="923">
        <v>0.41019570707070707</v>
      </c>
      <c r="E14" s="923">
        <v>0.46042944785276074</v>
      </c>
      <c r="F14" s="923">
        <v>0.48036295766817566</v>
      </c>
      <c r="G14" s="923">
        <v>0.41342153436511897</v>
      </c>
      <c r="H14" s="923">
        <v>0.55485123452817642</v>
      </c>
      <c r="I14" s="923">
        <v>0.64231493468282919</v>
      </c>
      <c r="J14" s="923">
        <v>0.74007296692950453</v>
      </c>
    </row>
    <row r="15" spans="1:10" ht="16.5" customHeight="1">
      <c r="A15" s="921" t="s">
        <v>30</v>
      </c>
      <c r="B15" s="922" t="s">
        <v>31</v>
      </c>
      <c r="C15" s="922" t="s">
        <v>268</v>
      </c>
      <c r="D15" s="923">
        <v>0.41518136335209505</v>
      </c>
      <c r="E15" s="923">
        <v>0.39920919128618321</v>
      </c>
      <c r="F15" s="923">
        <v>0.46311600857055402</v>
      </c>
      <c r="G15" s="923">
        <v>0.4013104013104013</v>
      </c>
      <c r="H15" s="923">
        <v>0.39938370846730975</v>
      </c>
      <c r="I15" s="923">
        <v>0.41579581993569131</v>
      </c>
      <c r="J15" s="923">
        <v>0.47877813504823152</v>
      </c>
    </row>
    <row r="16" spans="1:10" ht="16.5" customHeight="1">
      <c r="A16" s="921" t="s">
        <v>32</v>
      </c>
      <c r="B16" s="922" t="s">
        <v>33</v>
      </c>
      <c r="C16" s="922" t="s">
        <v>265</v>
      </c>
      <c r="D16" s="923">
        <v>0.29975908080059305</v>
      </c>
      <c r="E16" s="923">
        <v>0.32346189164370981</v>
      </c>
      <c r="F16" s="923">
        <v>0.31836191218498311</v>
      </c>
      <c r="G16" s="923">
        <v>0.31581740976645434</v>
      </c>
      <c r="H16" s="923">
        <v>0.34562989752863171</v>
      </c>
      <c r="I16" s="923">
        <v>0.47510548523206753</v>
      </c>
      <c r="J16" s="923">
        <v>0.56810126582278486</v>
      </c>
    </row>
    <row r="17" spans="1:10" ht="16.5" customHeight="1">
      <c r="A17" s="921" t="s">
        <v>36</v>
      </c>
      <c r="B17" s="922" t="s">
        <v>37</v>
      </c>
      <c r="C17" s="922" t="s">
        <v>264</v>
      </c>
      <c r="D17" s="923">
        <v>0.62984946236559136</v>
      </c>
      <c r="E17" s="923">
        <v>0.64689051586299751</v>
      </c>
      <c r="F17" s="923">
        <v>0.70859442993907751</v>
      </c>
      <c r="G17" s="923">
        <v>0.61184065327742221</v>
      </c>
      <c r="H17" s="923">
        <v>0.66252915068080942</v>
      </c>
      <c r="I17" s="923">
        <v>0.75161739261265326</v>
      </c>
      <c r="J17" s="923">
        <v>0.81313473256601221</v>
      </c>
    </row>
    <row r="18" spans="1:10" ht="16.5" customHeight="1">
      <c r="A18" s="921" t="s">
        <v>38</v>
      </c>
      <c r="B18" s="922" t="s">
        <v>39</v>
      </c>
      <c r="C18" s="922" t="s">
        <v>268</v>
      </c>
      <c r="D18" s="923">
        <v>0.63551368896415472</v>
      </c>
      <c r="E18" s="923">
        <v>0.54313809059912321</v>
      </c>
      <c r="F18" s="923">
        <v>0.60614453325854256</v>
      </c>
      <c r="G18" s="923">
        <v>0.59252760621373757</v>
      </c>
      <c r="H18" s="923">
        <v>0.60020406226271827</v>
      </c>
      <c r="I18" s="923">
        <v>0.63570140470766889</v>
      </c>
      <c r="J18" s="923">
        <v>0.66289863325740317</v>
      </c>
    </row>
    <row r="19" spans="1:10" ht="16.5" customHeight="1">
      <c r="A19" s="921" t="s">
        <v>40</v>
      </c>
      <c r="B19" s="922" t="s">
        <v>41</v>
      </c>
      <c r="C19" s="922" t="s">
        <v>266</v>
      </c>
      <c r="D19" s="923">
        <v>0.54798572406375279</v>
      </c>
      <c r="E19" s="923">
        <v>0.51311605723370435</v>
      </c>
      <c r="F19" s="923">
        <v>0.6006150249059673</v>
      </c>
      <c r="G19" s="923">
        <v>0.53811708169506334</v>
      </c>
      <c r="H19" s="923">
        <v>0.60386139526310945</v>
      </c>
      <c r="I19" s="923">
        <v>0.75218873836512767</v>
      </c>
      <c r="J19" s="923">
        <v>0.84672380425767213</v>
      </c>
    </row>
    <row r="20" spans="1:10" ht="16.5" customHeight="1">
      <c r="A20" s="921" t="s">
        <v>42</v>
      </c>
      <c r="B20" s="922" t="s">
        <v>43</v>
      </c>
      <c r="C20" s="922" t="s">
        <v>265</v>
      </c>
      <c r="D20" s="923">
        <v>0.54</v>
      </c>
      <c r="E20" s="923">
        <v>0.61437543767507008</v>
      </c>
      <c r="F20" s="923">
        <v>0.57307846678707608</v>
      </c>
      <c r="G20" s="923">
        <v>0.55848873126644549</v>
      </c>
      <c r="H20" s="923">
        <v>0.58974802181762309</v>
      </c>
      <c r="I20" s="923">
        <v>0.72430283475455171</v>
      </c>
      <c r="J20" s="923">
        <v>0.81011753860336488</v>
      </c>
    </row>
    <row r="21" spans="1:10" ht="16.5" customHeight="1">
      <c r="A21" s="921" t="s">
        <v>44</v>
      </c>
      <c r="B21" s="922" t="s">
        <v>45</v>
      </c>
      <c r="C21" s="922" t="s">
        <v>266</v>
      </c>
      <c r="D21" s="923">
        <v>0.6696306094454243</v>
      </c>
      <c r="E21" s="923">
        <v>0.73873735825927056</v>
      </c>
      <c r="F21" s="923">
        <v>0.74314377898769912</v>
      </c>
      <c r="G21" s="923">
        <v>0.76818438116718357</v>
      </c>
      <c r="H21" s="923">
        <v>0.90231884057971012</v>
      </c>
      <c r="I21" s="923">
        <v>1.1741062801932367</v>
      </c>
      <c r="J21" s="923">
        <v>1.2823188405797101</v>
      </c>
    </row>
    <row r="22" spans="1:10" ht="16.5" customHeight="1">
      <c r="A22" s="921" t="s">
        <v>46</v>
      </c>
      <c r="B22" s="922" t="s">
        <v>47</v>
      </c>
      <c r="C22" s="922" t="s">
        <v>268</v>
      </c>
      <c r="D22" s="923">
        <v>0.57748118953780003</v>
      </c>
      <c r="E22" s="923">
        <v>0.5329052969502408</v>
      </c>
      <c r="F22" s="923">
        <v>0.63190779496511984</v>
      </c>
      <c r="G22" s="923">
        <v>0.63223894208846332</v>
      </c>
      <c r="H22" s="923">
        <v>0.64257060333761229</v>
      </c>
      <c r="I22" s="923">
        <v>0.75583012409071459</v>
      </c>
      <c r="J22" s="923">
        <v>0.83080872913992299</v>
      </c>
    </row>
    <row r="23" spans="1:10" ht="16.5" customHeight="1">
      <c r="A23" s="921" t="s">
        <v>48</v>
      </c>
      <c r="B23" s="922" t="s">
        <v>269</v>
      </c>
      <c r="C23" s="922" t="s">
        <v>266</v>
      </c>
      <c r="D23" s="923">
        <v>0.49942301351796903</v>
      </c>
      <c r="E23" s="923">
        <v>0.52976774615636246</v>
      </c>
      <c r="F23" s="923">
        <v>0.57137004260898061</v>
      </c>
      <c r="G23" s="923">
        <v>0.56529680365296808</v>
      </c>
      <c r="H23" s="923">
        <v>0.61650120336943437</v>
      </c>
      <c r="I23" s="923">
        <v>0.76022864019253911</v>
      </c>
      <c r="J23" s="923">
        <v>0.85451263537906141</v>
      </c>
    </row>
    <row r="24" spans="1:10" ht="16.5" customHeight="1">
      <c r="A24" s="921" t="s">
        <v>50</v>
      </c>
      <c r="B24" s="922" t="s">
        <v>51</v>
      </c>
      <c r="C24" s="922" t="s">
        <v>265</v>
      </c>
      <c r="D24" s="923">
        <v>0.53851461548111901</v>
      </c>
      <c r="E24" s="923">
        <v>0.546844894026975</v>
      </c>
      <c r="F24" s="923">
        <v>0.58021452722397104</v>
      </c>
      <c r="G24" s="923">
        <v>0.53463681278250819</v>
      </c>
      <c r="H24" s="923">
        <v>0.65291975091058629</v>
      </c>
      <c r="I24" s="923">
        <v>0.76362942074961815</v>
      </c>
      <c r="J24" s="923">
        <v>0.79689813182939728</v>
      </c>
    </row>
    <row r="25" spans="1:10" ht="16.5" customHeight="1">
      <c r="A25" s="921" t="s">
        <v>56</v>
      </c>
      <c r="B25" s="922" t="s">
        <v>295</v>
      </c>
      <c r="C25" s="922" t="s">
        <v>266</v>
      </c>
      <c r="D25" s="923">
        <v>0.42259082341095616</v>
      </c>
      <c r="E25" s="923">
        <v>0.51769905743894185</v>
      </c>
      <c r="F25" s="923">
        <v>0.59980428423950449</v>
      </c>
      <c r="G25" s="923">
        <v>0.53899600648945467</v>
      </c>
      <c r="H25" s="923">
        <v>0.65745087280781966</v>
      </c>
      <c r="I25" s="923">
        <v>0.86218112161508387</v>
      </c>
      <c r="J25" s="923">
        <v>1.021684383948535</v>
      </c>
    </row>
    <row r="26" spans="1:10" ht="16.5" customHeight="1">
      <c r="A26" s="921" t="s">
        <v>58</v>
      </c>
      <c r="B26" s="922" t="s">
        <v>59</v>
      </c>
      <c r="C26" s="922" t="s">
        <v>267</v>
      </c>
      <c r="D26" s="923">
        <v>0.26273623664749385</v>
      </c>
      <c r="E26" s="923">
        <v>0.26749311294765843</v>
      </c>
      <c r="F26" s="923">
        <v>0.31091814754981151</v>
      </c>
      <c r="G26" s="923">
        <v>0.32128125805620006</v>
      </c>
      <c r="H26" s="923">
        <v>0.32996859578286225</v>
      </c>
      <c r="I26" s="923">
        <v>0.44599596231493943</v>
      </c>
      <c r="J26" s="923">
        <v>0.50107671601615078</v>
      </c>
    </row>
    <row r="27" spans="1:10" ht="16.5" customHeight="1">
      <c r="A27" s="921" t="s">
        <v>60</v>
      </c>
      <c r="B27" s="922" t="s">
        <v>61</v>
      </c>
      <c r="C27" s="922" t="s">
        <v>265</v>
      </c>
      <c r="D27" s="923">
        <v>0.419157947184853</v>
      </c>
      <c r="E27" s="923">
        <v>0.45292439372325249</v>
      </c>
      <c r="F27" s="923">
        <v>0.46559945504087191</v>
      </c>
      <c r="G27" s="923">
        <v>0.45931244560487378</v>
      </c>
      <c r="H27" s="923">
        <v>0.47545219638242892</v>
      </c>
      <c r="I27" s="923">
        <v>0.64804048234280798</v>
      </c>
      <c r="J27" s="923">
        <v>0.68682170542635657</v>
      </c>
    </row>
    <row r="28" spans="1:10" ht="16.5" customHeight="1">
      <c r="A28" s="921" t="s">
        <v>62</v>
      </c>
      <c r="B28" s="922" t="s">
        <v>63</v>
      </c>
      <c r="C28" s="922" t="s">
        <v>267</v>
      </c>
      <c r="D28" s="923">
        <v>0.38213125406107862</v>
      </c>
      <c r="E28" s="923">
        <v>0.42691159508786214</v>
      </c>
      <c r="F28" s="923">
        <v>0.45232248823409044</v>
      </c>
      <c r="G28" s="923">
        <v>0.47933333333333333</v>
      </c>
      <c r="H28" s="923">
        <v>0.61356440312584204</v>
      </c>
      <c r="I28" s="923">
        <v>0.89283548908649957</v>
      </c>
      <c r="J28" s="923">
        <v>1.0588520614389652</v>
      </c>
    </row>
    <row r="29" spans="1:10" ht="16.5" customHeight="1">
      <c r="A29" s="921" t="s">
        <v>64</v>
      </c>
      <c r="B29" s="922" t="s">
        <v>65</v>
      </c>
      <c r="C29" s="922" t="s">
        <v>266</v>
      </c>
      <c r="D29" s="923">
        <v>0.65049415992812221</v>
      </c>
      <c r="E29" s="923">
        <v>0.64267103714910068</v>
      </c>
      <c r="F29" s="923">
        <v>0.67856517935258098</v>
      </c>
      <c r="G29" s="923">
        <v>0.64125722543352603</v>
      </c>
      <c r="H29" s="923">
        <v>0.70461095100864557</v>
      </c>
      <c r="I29" s="923">
        <v>0.87307877041306436</v>
      </c>
      <c r="J29" s="923">
        <v>0.94380403458213258</v>
      </c>
    </row>
    <row r="30" spans="1:10" ht="16.5" customHeight="1">
      <c r="A30" s="921" t="s">
        <v>68</v>
      </c>
      <c r="B30" s="922" t="s">
        <v>69</v>
      </c>
      <c r="C30" s="922" t="s">
        <v>268</v>
      </c>
      <c r="D30" s="923">
        <v>0.63736176935229072</v>
      </c>
      <c r="E30" s="923">
        <v>0.56630824372759858</v>
      </c>
      <c r="F30" s="923">
        <v>0.65258724428399517</v>
      </c>
      <c r="G30" s="923">
        <v>0.55255913539967372</v>
      </c>
      <c r="H30" s="923">
        <v>0.55871133305590237</v>
      </c>
      <c r="I30" s="923">
        <v>0.60682827021778329</v>
      </c>
      <c r="J30" s="923">
        <v>0.64565126924677485</v>
      </c>
    </row>
    <row r="31" spans="1:10" ht="16.5" customHeight="1">
      <c r="A31" s="921" t="s">
        <v>70</v>
      </c>
      <c r="B31" s="922" t="s">
        <v>71</v>
      </c>
      <c r="C31" s="922" t="s">
        <v>264</v>
      </c>
      <c r="D31" s="923">
        <v>0.68108209304502476</v>
      </c>
      <c r="E31" s="923">
        <v>0.80683540466808124</v>
      </c>
      <c r="F31" s="923">
        <v>0.73746766568548749</v>
      </c>
      <c r="G31" s="923">
        <v>0.68707653701380178</v>
      </c>
      <c r="H31" s="923">
        <v>0.75497225778915922</v>
      </c>
      <c r="I31" s="923">
        <v>0.94291506615450282</v>
      </c>
      <c r="J31" s="923">
        <v>1.0813316261203585</v>
      </c>
    </row>
    <row r="32" spans="1:10" ht="16.5" customHeight="1">
      <c r="A32" s="921" t="s">
        <v>72</v>
      </c>
      <c r="B32" s="922" t="s">
        <v>73</v>
      </c>
      <c r="C32" s="922" t="s">
        <v>266</v>
      </c>
      <c r="D32" s="923">
        <v>0.7468507751937985</v>
      </c>
      <c r="E32" s="923">
        <v>0.79479655712050079</v>
      </c>
      <c r="F32" s="923">
        <v>0.80371112383132992</v>
      </c>
      <c r="G32" s="923">
        <v>0.80954916577919778</v>
      </c>
      <c r="H32" s="923">
        <v>0.8646156497759393</v>
      </c>
      <c r="I32" s="923">
        <v>1.0512754222681835</v>
      </c>
      <c r="J32" s="923">
        <v>1.1600827300930714</v>
      </c>
    </row>
    <row r="33" spans="1:10" ht="16.5" customHeight="1">
      <c r="A33" s="921" t="s">
        <v>74</v>
      </c>
      <c r="B33" s="922" t="s">
        <v>290</v>
      </c>
      <c r="C33" s="922" t="s">
        <v>267</v>
      </c>
      <c r="D33" s="923">
        <v>0.22789937768203655</v>
      </c>
      <c r="E33" s="923">
        <v>0.27073690798474659</v>
      </c>
      <c r="F33" s="923">
        <v>0.26392918528704024</v>
      </c>
      <c r="G33" s="923">
        <v>0.2674672735564918</v>
      </c>
      <c r="H33" s="923">
        <v>0.32990066014825237</v>
      </c>
      <c r="I33" s="923">
        <v>0.42057192157767492</v>
      </c>
      <c r="J33" s="923">
        <v>0.50337846606393566</v>
      </c>
    </row>
    <row r="34" spans="1:10" ht="16.5" customHeight="1">
      <c r="A34" s="921" t="s">
        <v>76</v>
      </c>
      <c r="B34" s="922" t="s">
        <v>77</v>
      </c>
      <c r="C34" s="922" t="s">
        <v>267</v>
      </c>
      <c r="D34" s="923">
        <v>0.30197351907630521</v>
      </c>
      <c r="E34" s="923">
        <v>0.38968432919954904</v>
      </c>
      <c r="F34" s="923">
        <v>0.37904883407753914</v>
      </c>
      <c r="G34" s="923">
        <v>0.3783305642729678</v>
      </c>
      <c r="H34" s="923">
        <v>0.47087991345113595</v>
      </c>
      <c r="I34" s="923">
        <v>0.61717153504026923</v>
      </c>
      <c r="J34" s="923">
        <v>0.71381175622069959</v>
      </c>
    </row>
    <row r="35" spans="1:10" ht="16.5" customHeight="1">
      <c r="A35" s="921" t="s">
        <v>78</v>
      </c>
      <c r="B35" s="922" t="s">
        <v>79</v>
      </c>
      <c r="C35" s="922" t="s">
        <v>268</v>
      </c>
      <c r="D35" s="923">
        <v>0.46488908476568236</v>
      </c>
      <c r="E35" s="923">
        <v>0.4847810734463277</v>
      </c>
      <c r="F35" s="923">
        <v>0.44654913728432111</v>
      </c>
      <c r="G35" s="923">
        <v>0.45091575091575092</v>
      </c>
      <c r="H35" s="923">
        <v>0.5319577601778519</v>
      </c>
      <c r="I35" s="923">
        <v>0.66805613450048629</v>
      </c>
      <c r="J35" s="923">
        <v>0.786494372655273</v>
      </c>
    </row>
    <row r="36" spans="1:10" ht="16.5" customHeight="1">
      <c r="A36" s="921" t="s">
        <v>80</v>
      </c>
      <c r="B36" s="922" t="s">
        <v>81</v>
      </c>
      <c r="C36" s="922" t="s">
        <v>266</v>
      </c>
      <c r="D36" s="923">
        <v>0.31521220791607057</v>
      </c>
      <c r="E36" s="923">
        <v>0.28280324934600026</v>
      </c>
      <c r="F36" s="923">
        <v>0.34771181199752627</v>
      </c>
      <c r="G36" s="923">
        <v>0.32341024584535094</v>
      </c>
      <c r="H36" s="923">
        <v>0.3794756554307116</v>
      </c>
      <c r="I36" s="923">
        <v>0.54580524344569292</v>
      </c>
      <c r="J36" s="923">
        <v>0.65734831460674159</v>
      </c>
    </row>
    <row r="37" spans="1:10" ht="16.5" customHeight="1">
      <c r="A37" s="921" t="s">
        <v>84</v>
      </c>
      <c r="B37" s="922" t="s">
        <v>85</v>
      </c>
      <c r="C37" s="922" t="s">
        <v>265</v>
      </c>
      <c r="D37" s="923">
        <v>0.54455090600964673</v>
      </c>
      <c r="E37" s="923">
        <v>0.66176184216931988</v>
      </c>
      <c r="F37" s="923">
        <v>0.66591475163306546</v>
      </c>
      <c r="G37" s="923">
        <v>0.61595736106073429</v>
      </c>
      <c r="H37" s="923">
        <v>0.65246797703180215</v>
      </c>
      <c r="I37" s="923">
        <v>0.7977123822143698</v>
      </c>
      <c r="J37" s="923">
        <v>0.86515017667844518</v>
      </c>
    </row>
    <row r="38" spans="1:10" ht="16.5" customHeight="1">
      <c r="A38" s="921" t="s">
        <v>86</v>
      </c>
      <c r="B38" s="922" t="s">
        <v>87</v>
      </c>
      <c r="C38" s="922" t="s">
        <v>267</v>
      </c>
      <c r="D38" s="923">
        <v>0.34761946798493409</v>
      </c>
      <c r="E38" s="923">
        <v>0.38027426160337552</v>
      </c>
      <c r="F38" s="923">
        <v>0.36097152428810719</v>
      </c>
      <c r="G38" s="923">
        <v>0.40743167807387992</v>
      </c>
      <c r="H38" s="923">
        <v>0.50113402061855672</v>
      </c>
      <c r="I38" s="923">
        <v>0.7163802978235968</v>
      </c>
      <c r="J38" s="923">
        <v>0.85569759450171823</v>
      </c>
    </row>
    <row r="39" spans="1:10" ht="16.5" customHeight="1">
      <c r="A39" s="921" t="s">
        <v>92</v>
      </c>
      <c r="B39" s="922" t="s">
        <v>93</v>
      </c>
      <c r="C39" s="922" t="s">
        <v>268</v>
      </c>
      <c r="D39" s="923">
        <v>0.55524605385329617</v>
      </c>
      <c r="E39" s="923">
        <v>0.56483516483516483</v>
      </c>
      <c r="F39" s="923">
        <v>0.59449869791666665</v>
      </c>
      <c r="G39" s="923">
        <v>0.58280367231638419</v>
      </c>
      <c r="H39" s="923">
        <v>0.60637454710144922</v>
      </c>
      <c r="I39" s="923">
        <v>0.72342051630434778</v>
      </c>
      <c r="J39" s="923">
        <v>0.81032608695652175</v>
      </c>
    </row>
    <row r="40" spans="1:10" ht="16.5" customHeight="1">
      <c r="A40" s="921" t="s">
        <v>94</v>
      </c>
      <c r="B40" s="922" t="s">
        <v>95</v>
      </c>
      <c r="C40" s="922" t="s">
        <v>264</v>
      </c>
      <c r="D40" s="923">
        <v>0.38352983208288677</v>
      </c>
      <c r="E40" s="923">
        <v>0.46572688914461069</v>
      </c>
      <c r="F40" s="923">
        <v>0.42652073104200766</v>
      </c>
      <c r="G40" s="923">
        <v>0.47151120751988429</v>
      </c>
      <c r="H40" s="923">
        <v>0.51505477635894215</v>
      </c>
      <c r="I40" s="923">
        <v>0.70129439676226357</v>
      </c>
      <c r="J40" s="923">
        <v>0.82558090851999166</v>
      </c>
    </row>
    <row r="41" spans="1:10" ht="16.5" customHeight="1">
      <c r="A41" s="921" t="s">
        <v>96</v>
      </c>
      <c r="B41" s="922" t="s">
        <v>97</v>
      </c>
      <c r="C41" s="922" t="s">
        <v>266</v>
      </c>
      <c r="D41" s="923">
        <v>0.34383202099737531</v>
      </c>
      <c r="E41" s="923">
        <v>0.39076075439711805</v>
      </c>
      <c r="F41" s="923">
        <v>0.35978169605373633</v>
      </c>
      <c r="G41" s="923">
        <v>0.25571165034766569</v>
      </c>
      <c r="H41" s="923">
        <v>0.44202472042377872</v>
      </c>
      <c r="I41" s="923">
        <v>0.59510496370413968</v>
      </c>
      <c r="J41" s="923">
        <v>0.69864626250735729</v>
      </c>
    </row>
    <row r="42" spans="1:10" ht="16.5" customHeight="1">
      <c r="A42" s="921" t="s">
        <v>98</v>
      </c>
      <c r="B42" s="922" t="s">
        <v>99</v>
      </c>
      <c r="C42" s="922" t="s">
        <v>268</v>
      </c>
      <c r="D42" s="923">
        <v>0.55992171032821436</v>
      </c>
      <c r="E42" s="923">
        <v>0.54519616065604326</v>
      </c>
      <c r="F42" s="923">
        <v>0.59518960333624282</v>
      </c>
      <c r="G42" s="923">
        <v>0.51073216777476815</v>
      </c>
      <c r="H42" s="923">
        <v>0.57500436071864647</v>
      </c>
      <c r="I42" s="923">
        <v>0.64226844583987441</v>
      </c>
      <c r="J42" s="923">
        <v>0.69539508110936687</v>
      </c>
    </row>
    <row r="43" spans="1:10" ht="16.5" customHeight="1">
      <c r="A43" s="921" t="s">
        <v>100</v>
      </c>
      <c r="B43" s="922" t="s">
        <v>101</v>
      </c>
      <c r="C43" s="922" t="s">
        <v>267</v>
      </c>
      <c r="D43" s="923">
        <v>0.49800762300762302</v>
      </c>
      <c r="E43" s="923">
        <v>0.5680686220254566</v>
      </c>
      <c r="F43" s="923">
        <v>0.56412024269167127</v>
      </c>
      <c r="G43" s="923">
        <v>0.52823147172462237</v>
      </c>
      <c r="H43" s="923">
        <v>0.61614025192705391</v>
      </c>
      <c r="I43" s="923">
        <v>0.8715454032712916</v>
      </c>
      <c r="J43" s="923">
        <v>1.0486181613085166</v>
      </c>
    </row>
    <row r="44" spans="1:10" ht="16.5" customHeight="1">
      <c r="A44" s="921" t="s">
        <v>102</v>
      </c>
      <c r="B44" s="922" t="s">
        <v>103</v>
      </c>
      <c r="C44" s="922" t="s">
        <v>264</v>
      </c>
      <c r="D44" s="923">
        <v>0.54634988323687683</v>
      </c>
      <c r="E44" s="923">
        <v>0.60678147499513524</v>
      </c>
      <c r="F44" s="923">
        <v>0.66488756048961006</v>
      </c>
      <c r="G44" s="923">
        <v>0.63596157101743689</v>
      </c>
      <c r="H44" s="923">
        <v>0.77053073269700745</v>
      </c>
      <c r="I44" s="923">
        <v>0.73525714285714283</v>
      </c>
      <c r="J44" s="923">
        <v>0.81421714285714286</v>
      </c>
    </row>
    <row r="45" spans="1:10" ht="16.5" customHeight="1">
      <c r="A45" s="921" t="s">
        <v>104</v>
      </c>
      <c r="B45" s="922" t="s">
        <v>105</v>
      </c>
      <c r="C45" s="922" t="s">
        <v>265</v>
      </c>
      <c r="D45" s="923">
        <v>0.55333744095296777</v>
      </c>
      <c r="E45" s="923">
        <v>0.65888139790864064</v>
      </c>
      <c r="F45" s="923">
        <v>0.57568685488767457</v>
      </c>
      <c r="G45" s="923">
        <v>0.5659284951974386</v>
      </c>
      <c r="H45" s="923">
        <v>0.60348223643789078</v>
      </c>
      <c r="I45" s="923">
        <v>0.68521630705844083</v>
      </c>
      <c r="J45" s="923">
        <v>0.727854277350103</v>
      </c>
    </row>
    <row r="46" spans="1:10" ht="16.5" customHeight="1">
      <c r="A46" s="921" t="s">
        <v>108</v>
      </c>
      <c r="B46" s="922" t="s">
        <v>109</v>
      </c>
      <c r="C46" s="922" t="s">
        <v>266</v>
      </c>
      <c r="D46" s="923">
        <v>0.34209212778094694</v>
      </c>
      <c r="E46" s="923">
        <v>0.42799555184876287</v>
      </c>
      <c r="F46" s="923">
        <v>0.4947381530605891</v>
      </c>
      <c r="G46" s="923">
        <v>0.38194249320970308</v>
      </c>
      <c r="H46" s="923">
        <v>0.51615508885298866</v>
      </c>
      <c r="I46" s="923">
        <v>0.68275444264943452</v>
      </c>
      <c r="J46" s="923">
        <v>0.79987075928917606</v>
      </c>
    </row>
    <row r="47" spans="1:10" ht="16.5" customHeight="1">
      <c r="A47" s="921" t="s">
        <v>110</v>
      </c>
      <c r="B47" s="922" t="s">
        <v>111</v>
      </c>
      <c r="C47" s="922" t="s">
        <v>266</v>
      </c>
      <c r="D47" s="923">
        <v>0.42148109528930017</v>
      </c>
      <c r="E47" s="923">
        <v>0.50962638200533739</v>
      </c>
      <c r="F47" s="923">
        <v>0.52768534391000865</v>
      </c>
      <c r="G47" s="923">
        <v>0.45286276972257106</v>
      </c>
      <c r="H47" s="923">
        <v>0.52185204272390129</v>
      </c>
      <c r="I47" s="923">
        <v>0.70806428795181942</v>
      </c>
      <c r="J47" s="923">
        <v>0.85082002000788193</v>
      </c>
    </row>
    <row r="48" spans="1:10" ht="16.5" customHeight="1">
      <c r="A48" s="921" t="s">
        <v>112</v>
      </c>
      <c r="B48" s="922" t="s">
        <v>291</v>
      </c>
      <c r="C48" s="922" t="s">
        <v>265</v>
      </c>
      <c r="D48" s="923">
        <v>0.60370395916678166</v>
      </c>
      <c r="E48" s="923">
        <v>0.63152583271316776</v>
      </c>
      <c r="F48" s="923">
        <v>0.68898120403159901</v>
      </c>
      <c r="G48" s="923">
        <v>0.62113096999467365</v>
      </c>
      <c r="H48" s="923">
        <v>0.81689184483599131</v>
      </c>
      <c r="I48" s="923">
        <v>0.85080807470917363</v>
      </c>
      <c r="J48" s="923">
        <v>0.90632773819587009</v>
      </c>
    </row>
    <row r="49" spans="1:10" ht="16.5" customHeight="1">
      <c r="A49" s="921" t="s">
        <v>114</v>
      </c>
      <c r="B49" s="922" t="s">
        <v>115</v>
      </c>
      <c r="C49" s="922" t="s">
        <v>265</v>
      </c>
      <c r="D49" s="923">
        <v>0.31288076588337688</v>
      </c>
      <c r="E49" s="923">
        <v>0.34752198241406873</v>
      </c>
      <c r="F49" s="923">
        <v>0.33352402745995424</v>
      </c>
      <c r="G49" s="923">
        <v>0.30121145374449337</v>
      </c>
      <c r="H49" s="923">
        <v>0.34859154929577463</v>
      </c>
      <c r="I49" s="923">
        <v>0.39632237871674492</v>
      </c>
      <c r="J49" s="923">
        <v>0.40375586854460094</v>
      </c>
    </row>
    <row r="50" spans="1:10" ht="16.5" customHeight="1">
      <c r="A50" s="921" t="s">
        <v>118</v>
      </c>
      <c r="B50" s="922" t="s">
        <v>270</v>
      </c>
      <c r="C50" s="922" t="s">
        <v>264</v>
      </c>
      <c r="D50" s="923">
        <v>0.54821442226810435</v>
      </c>
      <c r="E50" s="923">
        <v>0.63340886874611213</v>
      </c>
      <c r="F50" s="923">
        <v>0.64290390154490706</v>
      </c>
      <c r="G50" s="923">
        <v>0.57824382129277563</v>
      </c>
      <c r="H50" s="923">
        <v>0.71734594210619784</v>
      </c>
      <c r="I50" s="923">
        <v>0.86734150239744268</v>
      </c>
      <c r="J50" s="923">
        <v>0.97639850825785823</v>
      </c>
    </row>
    <row r="51" spans="1:10" ht="16.5" customHeight="1">
      <c r="A51" s="921" t="s">
        <v>120</v>
      </c>
      <c r="B51" s="922" t="s">
        <v>121</v>
      </c>
      <c r="C51" s="922" t="s">
        <v>264</v>
      </c>
      <c r="D51" s="923">
        <v>0.36924056135121708</v>
      </c>
      <c r="E51" s="923">
        <v>0.47360897294919729</v>
      </c>
      <c r="F51" s="923">
        <v>0.42863222680547369</v>
      </c>
      <c r="G51" s="923">
        <v>0.42326583801122697</v>
      </c>
      <c r="H51" s="923">
        <v>0.49310616505810517</v>
      </c>
      <c r="I51" s="923">
        <v>0.66371216597728322</v>
      </c>
      <c r="J51" s="923">
        <v>0.77340949379554857</v>
      </c>
    </row>
    <row r="52" spans="1:10" ht="16.5" customHeight="1">
      <c r="A52" s="921" t="s">
        <v>122</v>
      </c>
      <c r="B52" s="922" t="s">
        <v>271</v>
      </c>
      <c r="C52" s="922" t="s">
        <v>266</v>
      </c>
      <c r="D52" s="923">
        <v>0.63043478260869568</v>
      </c>
      <c r="E52" s="923">
        <v>0.57482566248256628</v>
      </c>
      <c r="F52" s="923">
        <v>0.64423359811709324</v>
      </c>
      <c r="G52" s="923">
        <v>0.57591514143094846</v>
      </c>
      <c r="H52" s="923">
        <v>0.63792354474370117</v>
      </c>
      <c r="I52" s="923">
        <v>0.76122212568780767</v>
      </c>
      <c r="J52" s="923">
        <v>0.87350130321459596</v>
      </c>
    </row>
    <row r="53" spans="1:10" ht="16.5" customHeight="1">
      <c r="A53" s="921" t="s">
        <v>124</v>
      </c>
      <c r="B53" s="922" t="s">
        <v>125</v>
      </c>
      <c r="C53" s="922" t="s">
        <v>267</v>
      </c>
      <c r="D53" s="923">
        <v>0.55162280701754385</v>
      </c>
      <c r="E53" s="923">
        <v>0.65107300441235461</v>
      </c>
      <c r="F53" s="923">
        <v>0.65636486747920297</v>
      </c>
      <c r="G53" s="923">
        <v>0.61343630626141832</v>
      </c>
      <c r="H53" s="923">
        <v>0.7824291427577813</v>
      </c>
      <c r="I53" s="923">
        <v>1.0382976873587202</v>
      </c>
      <c r="J53" s="923">
        <v>1.2200312989045383</v>
      </c>
    </row>
    <row r="54" spans="1:10" ht="16.5" customHeight="1">
      <c r="A54" s="921" t="s">
        <v>126</v>
      </c>
      <c r="B54" s="922" t="s">
        <v>127</v>
      </c>
      <c r="C54" s="922" t="s">
        <v>266</v>
      </c>
      <c r="D54" s="923">
        <v>0.51124708624708626</v>
      </c>
      <c r="E54" s="923">
        <v>0.62792174796747968</v>
      </c>
      <c r="F54" s="923">
        <v>0.59643605870020966</v>
      </c>
      <c r="G54" s="923">
        <v>0.60179324894514763</v>
      </c>
      <c r="H54" s="923">
        <v>0.6783863368669022</v>
      </c>
      <c r="I54" s="923">
        <v>0.95441696113074204</v>
      </c>
      <c r="J54" s="923">
        <v>1.125512367491166</v>
      </c>
    </row>
    <row r="55" spans="1:10" ht="16.5" customHeight="1">
      <c r="A55" s="921" t="s">
        <v>128</v>
      </c>
      <c r="B55" s="922" t="s">
        <v>129</v>
      </c>
      <c r="C55" s="922" t="s">
        <v>266</v>
      </c>
      <c r="D55" s="923">
        <v>0.61568231532895845</v>
      </c>
      <c r="E55" s="923">
        <v>0.64562541583499666</v>
      </c>
      <c r="F55" s="923">
        <v>0.60898066207800716</v>
      </c>
      <c r="G55" s="923">
        <v>0.57010582010582012</v>
      </c>
      <c r="H55" s="923">
        <v>0.58965402528276778</v>
      </c>
      <c r="I55" s="923">
        <v>0.69357119095143049</v>
      </c>
      <c r="J55" s="923">
        <v>0.77035928143712573</v>
      </c>
    </row>
    <row r="56" spans="1:10" ht="16.5" customHeight="1">
      <c r="A56" s="921" t="s">
        <v>130</v>
      </c>
      <c r="B56" s="922" t="s">
        <v>131</v>
      </c>
      <c r="C56" s="922" t="s">
        <v>268</v>
      </c>
      <c r="D56" s="923">
        <v>0.69147133578085285</v>
      </c>
      <c r="E56" s="923">
        <v>0.60752919483712353</v>
      </c>
      <c r="F56" s="923">
        <v>0.69933426769446394</v>
      </c>
      <c r="G56" s="923">
        <v>0.64706768211350629</v>
      </c>
      <c r="H56" s="923">
        <v>0.69349276725334763</v>
      </c>
      <c r="I56" s="923">
        <v>0.7495857405168167</v>
      </c>
      <c r="J56" s="923">
        <v>0.79575440010748355</v>
      </c>
    </row>
    <row r="57" spans="1:10" ht="16.5" customHeight="1">
      <c r="A57" s="921" t="s">
        <v>132</v>
      </c>
      <c r="B57" s="922" t="s">
        <v>133</v>
      </c>
      <c r="C57" s="922" t="s">
        <v>267</v>
      </c>
      <c r="D57" s="923">
        <v>0.23964927745278736</v>
      </c>
      <c r="E57" s="923">
        <v>0.36041326808047852</v>
      </c>
      <c r="F57" s="923">
        <v>0.32113666603307356</v>
      </c>
      <c r="G57" s="923">
        <v>0.29947829947829946</v>
      </c>
      <c r="H57" s="923">
        <v>0.34582491582491581</v>
      </c>
      <c r="I57" s="923">
        <v>0.48074074074074075</v>
      </c>
      <c r="J57" s="923">
        <v>0.57452929292929289</v>
      </c>
    </row>
    <row r="58" spans="1:10" ht="16.5" customHeight="1">
      <c r="A58" s="921" t="s">
        <v>134</v>
      </c>
      <c r="B58" s="922" t="s">
        <v>135</v>
      </c>
      <c r="C58" s="922" t="s">
        <v>267</v>
      </c>
      <c r="D58" s="923">
        <v>0.4172714078374456</v>
      </c>
      <c r="E58" s="923">
        <v>0.45056306306306304</v>
      </c>
      <c r="F58" s="923">
        <v>0.49929258630447088</v>
      </c>
      <c r="G58" s="923">
        <v>0.45967681743543815</v>
      </c>
      <c r="H58" s="923">
        <v>0.54409470317497466</v>
      </c>
      <c r="I58" s="923">
        <v>0.75249629456275846</v>
      </c>
      <c r="J58" s="923">
        <v>0.88233091504797567</v>
      </c>
    </row>
    <row r="59" spans="1:10" ht="16.5" customHeight="1">
      <c r="A59" s="921" t="s">
        <v>136</v>
      </c>
      <c r="B59" s="922" t="s">
        <v>137</v>
      </c>
      <c r="C59" s="922" t="s">
        <v>266</v>
      </c>
      <c r="D59" s="923">
        <v>0.52998629198080882</v>
      </c>
      <c r="E59" s="923">
        <v>0.47584541062801933</v>
      </c>
      <c r="F59" s="923">
        <v>0.53896882494004794</v>
      </c>
      <c r="G59" s="923">
        <v>0.52234848484848484</v>
      </c>
      <c r="H59" s="923">
        <v>0.52122618702253165</v>
      </c>
      <c r="I59" s="923">
        <v>0.60685620346194757</v>
      </c>
      <c r="J59" s="923">
        <v>0.66910356832027851</v>
      </c>
    </row>
    <row r="60" spans="1:10" ht="16.5" customHeight="1">
      <c r="A60" s="921" t="s">
        <v>140</v>
      </c>
      <c r="B60" s="922" t="s">
        <v>141</v>
      </c>
      <c r="C60" s="922" t="s">
        <v>267</v>
      </c>
      <c r="D60" s="923">
        <v>0.34643758493496407</v>
      </c>
      <c r="E60" s="923">
        <v>0.35471587580550673</v>
      </c>
      <c r="F60" s="923">
        <v>0.32169913419913421</v>
      </c>
      <c r="G60" s="923">
        <v>0.34409304756926296</v>
      </c>
      <c r="H60" s="923">
        <v>0.42841391009329943</v>
      </c>
      <c r="I60" s="923">
        <v>0.58422391857506362</v>
      </c>
      <c r="J60" s="923">
        <v>0.71531806615776083</v>
      </c>
    </row>
    <row r="61" spans="1:10" ht="16.5" customHeight="1">
      <c r="A61" s="921" t="s">
        <v>146</v>
      </c>
      <c r="B61" s="922" t="s">
        <v>147</v>
      </c>
      <c r="C61" s="922" t="s">
        <v>264</v>
      </c>
      <c r="D61" s="923">
        <v>0.47104779411764708</v>
      </c>
      <c r="E61" s="923">
        <v>0.55953608247422681</v>
      </c>
      <c r="F61" s="923">
        <v>0.5566438132549788</v>
      </c>
      <c r="G61" s="923">
        <v>0.53435114503816794</v>
      </c>
      <c r="H61" s="923">
        <v>0.57393483709273185</v>
      </c>
      <c r="I61" s="923">
        <v>0.73394423558897248</v>
      </c>
      <c r="J61" s="923">
        <v>0.83496240601503757</v>
      </c>
    </row>
    <row r="62" spans="1:10" ht="16.5" customHeight="1">
      <c r="A62" s="921" t="s">
        <v>148</v>
      </c>
      <c r="B62" s="922" t="s">
        <v>149</v>
      </c>
      <c r="C62" s="922" t="s">
        <v>265</v>
      </c>
      <c r="D62" s="923">
        <v>0.47630506748153806</v>
      </c>
      <c r="E62" s="923">
        <v>0.49595929362466329</v>
      </c>
      <c r="F62" s="923">
        <v>0.55201242571582931</v>
      </c>
      <c r="G62" s="923">
        <v>0.47403253867494238</v>
      </c>
      <c r="H62" s="923">
        <v>0.49380391619882241</v>
      </c>
      <c r="I62" s="923">
        <v>0.59016842393536906</v>
      </c>
      <c r="J62" s="923">
        <v>0.66832808434889768</v>
      </c>
    </row>
    <row r="63" spans="1:10" ht="16.5" customHeight="1">
      <c r="A63" s="921" t="s">
        <v>150</v>
      </c>
      <c r="B63" s="922" t="s">
        <v>151</v>
      </c>
      <c r="C63" s="922" t="s">
        <v>266</v>
      </c>
      <c r="D63" s="923">
        <v>0.47603550295857988</v>
      </c>
      <c r="E63" s="923">
        <v>0.47234657713113226</v>
      </c>
      <c r="F63" s="923">
        <v>0.49069349962207104</v>
      </c>
      <c r="G63" s="923">
        <v>0.47371303395399783</v>
      </c>
      <c r="H63" s="923">
        <v>0.51467775865366228</v>
      </c>
      <c r="I63" s="923">
        <v>0.64386115892139983</v>
      </c>
      <c r="J63" s="923">
        <v>0.76695352839931152</v>
      </c>
    </row>
    <row r="64" spans="1:10" ht="16.5" customHeight="1">
      <c r="A64" s="921" t="s">
        <v>152</v>
      </c>
      <c r="B64" s="922" t="s">
        <v>153</v>
      </c>
      <c r="C64" s="922" t="s">
        <v>268</v>
      </c>
      <c r="D64" s="923">
        <v>0.27314207137946123</v>
      </c>
      <c r="E64" s="923">
        <v>0.22520464726546136</v>
      </c>
      <c r="F64" s="923">
        <v>0.23875706214689266</v>
      </c>
      <c r="G64" s="923">
        <v>0.22827933106872222</v>
      </c>
      <c r="H64" s="923">
        <v>0.24522534878919269</v>
      </c>
      <c r="I64" s="923">
        <v>0.28958720467215293</v>
      </c>
      <c r="J64" s="923">
        <v>0.32091850278736395</v>
      </c>
    </row>
    <row r="65" spans="1:10" ht="16.5" customHeight="1">
      <c r="A65" s="921" t="s">
        <v>154</v>
      </c>
      <c r="B65" s="922" t="s">
        <v>155</v>
      </c>
      <c r="C65" s="922" t="s">
        <v>265</v>
      </c>
      <c r="D65" s="923">
        <v>0.42102908277404921</v>
      </c>
      <c r="E65" s="923">
        <v>0.43767836757990869</v>
      </c>
      <c r="F65" s="923">
        <v>0.49836956521739129</v>
      </c>
      <c r="G65" s="923">
        <v>0.52630530091669991</v>
      </c>
      <c r="H65" s="923">
        <v>0.5422117248062015</v>
      </c>
      <c r="I65" s="923">
        <v>0.6881661821705426</v>
      </c>
      <c r="J65" s="923">
        <v>0.73546511627906974</v>
      </c>
    </row>
    <row r="66" spans="1:10" ht="16.5" customHeight="1">
      <c r="A66" s="921" t="s">
        <v>156</v>
      </c>
      <c r="B66" s="922" t="s">
        <v>157</v>
      </c>
      <c r="C66" s="922" t="s">
        <v>266</v>
      </c>
      <c r="D66" s="923">
        <v>0.34270578647106764</v>
      </c>
      <c r="E66" s="923">
        <v>0.43957564575645758</v>
      </c>
      <c r="F66" s="923">
        <v>0.38345608292416805</v>
      </c>
      <c r="G66" s="923">
        <v>0.35886886102403343</v>
      </c>
      <c r="H66" s="923">
        <v>0.40131912734652458</v>
      </c>
      <c r="I66" s="923">
        <v>0.56532217148655506</v>
      </c>
      <c r="J66" s="923">
        <v>0.70639269406392691</v>
      </c>
    </row>
    <row r="67" spans="1:10" ht="16.5" customHeight="1">
      <c r="A67" s="921" t="s">
        <v>162</v>
      </c>
      <c r="B67" s="922" t="s">
        <v>163</v>
      </c>
      <c r="C67" s="922" t="s">
        <v>264</v>
      </c>
      <c r="D67" s="923">
        <v>0.56711442786069655</v>
      </c>
      <c r="E67" s="923">
        <v>0.5955555555555555</v>
      </c>
      <c r="F67" s="923">
        <v>0.63383172090296103</v>
      </c>
      <c r="G67" s="923">
        <v>0.54354960868467561</v>
      </c>
      <c r="H67" s="923">
        <v>0.61724170706206638</v>
      </c>
      <c r="I67" s="923">
        <v>0.69596521243227827</v>
      </c>
      <c r="J67" s="923">
        <v>0.77507841459937266</v>
      </c>
    </row>
    <row r="68" spans="1:10" ht="16.5" customHeight="1">
      <c r="A68" s="921" t="s">
        <v>164</v>
      </c>
      <c r="B68" s="922" t="s">
        <v>165</v>
      </c>
      <c r="C68" s="922" t="s">
        <v>266</v>
      </c>
      <c r="D68" s="923">
        <v>0.47064262598243178</v>
      </c>
      <c r="E68" s="923">
        <v>0.51964285714285718</v>
      </c>
      <c r="F68" s="923">
        <v>0.45697876029475509</v>
      </c>
      <c r="G68" s="923">
        <v>0.39378764074365019</v>
      </c>
      <c r="H68" s="923">
        <v>0.45155797101449274</v>
      </c>
      <c r="I68" s="923">
        <v>0.55586956521739128</v>
      </c>
      <c r="J68" s="923">
        <v>0.62295652173913041</v>
      </c>
    </row>
    <row r="69" spans="1:10" ht="16.5" customHeight="1">
      <c r="A69" s="921" t="s">
        <v>168</v>
      </c>
      <c r="B69" s="922" t="s">
        <v>169</v>
      </c>
      <c r="C69" s="922" t="s">
        <v>266</v>
      </c>
      <c r="D69" s="923">
        <v>0.58268868392343554</v>
      </c>
      <c r="E69" s="923">
        <v>0.5798766816143498</v>
      </c>
      <c r="F69" s="923">
        <v>0.57680007309941517</v>
      </c>
      <c r="G69" s="923">
        <v>0.53485636453689944</v>
      </c>
      <c r="H69" s="923">
        <v>0.59582708645677163</v>
      </c>
      <c r="I69" s="923">
        <v>0.71355988672330506</v>
      </c>
      <c r="J69" s="923">
        <v>0.79445277361319344</v>
      </c>
    </row>
    <row r="70" spans="1:10" ht="16.5" customHeight="1">
      <c r="A70" s="921" t="s">
        <v>170</v>
      </c>
      <c r="B70" s="922" t="s">
        <v>171</v>
      </c>
      <c r="C70" s="922" t="s">
        <v>267</v>
      </c>
      <c r="D70" s="923">
        <v>0.42210198636228874</v>
      </c>
      <c r="E70" s="923">
        <v>0.44937126052124532</v>
      </c>
      <c r="F70" s="923">
        <v>0.45549242424242425</v>
      </c>
      <c r="G70" s="923">
        <v>0.39823474890461746</v>
      </c>
      <c r="H70" s="923">
        <v>0.53717843832378875</v>
      </c>
      <c r="I70" s="923">
        <v>0.71475320425415867</v>
      </c>
      <c r="J70" s="923">
        <v>0.81788928279247342</v>
      </c>
    </row>
    <row r="71" spans="1:10" ht="16.5" customHeight="1">
      <c r="A71" s="921" t="s">
        <v>172</v>
      </c>
      <c r="B71" s="922" t="s">
        <v>173</v>
      </c>
      <c r="C71" s="922" t="s">
        <v>267</v>
      </c>
      <c r="D71" s="923">
        <v>0.44782070965540771</v>
      </c>
      <c r="E71" s="923">
        <v>0.4700745603371424</v>
      </c>
      <c r="F71" s="923">
        <v>0.51029693486590033</v>
      </c>
      <c r="G71" s="923">
        <v>0.54516027159324176</v>
      </c>
      <c r="H71" s="923">
        <v>0.54644069020287345</v>
      </c>
      <c r="I71" s="923">
        <v>0.70364955598873724</v>
      </c>
      <c r="J71" s="923">
        <v>0.79358891054797487</v>
      </c>
    </row>
    <row r="72" spans="1:10" ht="16.5" customHeight="1">
      <c r="A72" s="921" t="s">
        <v>174</v>
      </c>
      <c r="B72" s="922" t="s">
        <v>175</v>
      </c>
      <c r="C72" s="922" t="s">
        <v>268</v>
      </c>
      <c r="D72" s="923">
        <v>0.6116055846422338</v>
      </c>
      <c r="E72" s="923">
        <v>0.62341062079281973</v>
      </c>
      <c r="F72" s="923">
        <v>0.70886192314763741</v>
      </c>
      <c r="G72" s="923">
        <v>0.66450936883629186</v>
      </c>
      <c r="H72" s="923">
        <v>0.67203376881350751</v>
      </c>
      <c r="I72" s="923">
        <v>0.76669340667736263</v>
      </c>
      <c r="J72" s="923">
        <v>0.79990831996332801</v>
      </c>
    </row>
    <row r="73" spans="1:10" ht="16.5" customHeight="1">
      <c r="A73" s="921" t="s">
        <v>178</v>
      </c>
      <c r="B73" s="922" t="s">
        <v>179</v>
      </c>
      <c r="C73" s="922" t="s">
        <v>265</v>
      </c>
      <c r="D73" s="923">
        <v>0.50069666228317367</v>
      </c>
      <c r="E73" s="923">
        <v>0.52316332988148662</v>
      </c>
      <c r="F73" s="923">
        <v>0.62148227879695495</v>
      </c>
      <c r="G73" s="923">
        <v>0.65652331786176632</v>
      </c>
      <c r="H73" s="923">
        <v>0.62257934185962271</v>
      </c>
      <c r="I73" s="923">
        <v>0.72372453955250915</v>
      </c>
      <c r="J73" s="923">
        <v>0.77883474044972001</v>
      </c>
    </row>
    <row r="74" spans="1:10" ht="16.5" customHeight="1">
      <c r="A74" s="921" t="s">
        <v>182</v>
      </c>
      <c r="B74" s="922" t="s">
        <v>183</v>
      </c>
      <c r="C74" s="922" t="s">
        <v>266</v>
      </c>
      <c r="D74" s="923">
        <v>0.25861921829663764</v>
      </c>
      <c r="E74" s="923">
        <v>0.30095340888649036</v>
      </c>
      <c r="F74" s="923">
        <v>0.31518024944472922</v>
      </c>
      <c r="G74" s="923">
        <v>0.32521387832699622</v>
      </c>
      <c r="H74" s="923">
        <v>0.37258986928104576</v>
      </c>
      <c r="I74" s="923">
        <v>0.50318627450980391</v>
      </c>
      <c r="J74" s="923">
        <v>0.60411764705882354</v>
      </c>
    </row>
    <row r="75" spans="1:10" ht="16.5" customHeight="1">
      <c r="A75" s="921" t="s">
        <v>184</v>
      </c>
      <c r="B75" s="922" t="s">
        <v>185</v>
      </c>
      <c r="C75" s="922" t="s">
        <v>266</v>
      </c>
      <c r="D75" s="923">
        <v>0.46958978965491427</v>
      </c>
      <c r="E75" s="923">
        <v>0.47032697359325315</v>
      </c>
      <c r="F75" s="923">
        <v>0.55119505390937196</v>
      </c>
      <c r="G75" s="923">
        <v>0.48951876291408386</v>
      </c>
      <c r="H75" s="923">
        <v>0.46931306306306309</v>
      </c>
      <c r="I75" s="923">
        <v>0.54748992413466102</v>
      </c>
      <c r="J75" s="923">
        <v>0.58403271692745373</v>
      </c>
    </row>
    <row r="76" spans="1:10" ht="16.5" customHeight="1">
      <c r="A76" s="921" t="s">
        <v>186</v>
      </c>
      <c r="B76" s="922" t="s">
        <v>187</v>
      </c>
      <c r="C76" s="922" t="s">
        <v>264</v>
      </c>
      <c r="D76" s="923">
        <v>0.34425778022583309</v>
      </c>
      <c r="E76" s="923">
        <v>0.38302538260544977</v>
      </c>
      <c r="F76" s="923">
        <v>0.44177540529853698</v>
      </c>
      <c r="G76" s="923">
        <v>0.41351549684883016</v>
      </c>
      <c r="H76" s="923">
        <v>0.40390971382507052</v>
      </c>
      <c r="I76" s="923">
        <v>0.47849657396211204</v>
      </c>
      <c r="J76" s="923">
        <v>0.55380894800483671</v>
      </c>
    </row>
    <row r="77" spans="1:10" ht="16.5" customHeight="1">
      <c r="A77" s="921" t="s">
        <v>188</v>
      </c>
      <c r="B77" s="922" t="s">
        <v>189</v>
      </c>
      <c r="C77" s="922" t="s">
        <v>267</v>
      </c>
      <c r="D77" s="923">
        <v>0.35699662596208109</v>
      </c>
      <c r="E77" s="923">
        <v>0.47611355311355313</v>
      </c>
      <c r="F77" s="923">
        <v>0.46271313090143334</v>
      </c>
      <c r="G77" s="923">
        <v>0.47040204137286223</v>
      </c>
      <c r="H77" s="923">
        <v>0.53381058396028458</v>
      </c>
      <c r="I77" s="923">
        <v>0.728424561134142</v>
      </c>
      <c r="J77" s="923">
        <v>0.88352525717795183</v>
      </c>
    </row>
    <row r="78" spans="1:10" ht="16.5" customHeight="1">
      <c r="A78" s="921" t="s">
        <v>190</v>
      </c>
      <c r="B78" s="922" t="s">
        <v>191</v>
      </c>
      <c r="C78" s="922" t="s">
        <v>268</v>
      </c>
      <c r="D78" s="923">
        <v>0.55726947556677708</v>
      </c>
      <c r="E78" s="923">
        <v>0.54145800543711542</v>
      </c>
      <c r="F78" s="923">
        <v>0.62223261615216718</v>
      </c>
      <c r="G78" s="923">
        <v>0.60429967111627003</v>
      </c>
      <c r="H78" s="923">
        <v>0.61825274107393868</v>
      </c>
      <c r="I78" s="923">
        <v>0.74305360322369041</v>
      </c>
      <c r="J78" s="923">
        <v>0.81700871520944618</v>
      </c>
    </row>
    <row r="79" spans="1:10" ht="16.5" customHeight="1">
      <c r="A79" s="921" t="s">
        <v>194</v>
      </c>
      <c r="B79" s="922" t="s">
        <v>195</v>
      </c>
      <c r="C79" s="922" t="s">
        <v>267</v>
      </c>
      <c r="D79" s="923">
        <v>0.21503411306042886</v>
      </c>
      <c r="E79" s="923">
        <v>0.25735294117647056</v>
      </c>
      <c r="F79" s="923">
        <v>0.27492211838006231</v>
      </c>
      <c r="G79" s="923">
        <v>0.25112751127511274</v>
      </c>
      <c r="H79" s="923">
        <v>0.314070351758794</v>
      </c>
      <c r="I79" s="923">
        <v>0.46398659966499162</v>
      </c>
      <c r="J79" s="923">
        <v>0.54798994974874371</v>
      </c>
    </row>
    <row r="80" spans="1:10" ht="16.5" customHeight="1">
      <c r="A80" s="921" t="s">
        <v>198</v>
      </c>
      <c r="B80" s="922" t="s">
        <v>272</v>
      </c>
      <c r="C80" s="922" t="s">
        <v>266</v>
      </c>
      <c r="D80" s="923">
        <v>0.49176954732510286</v>
      </c>
      <c r="E80" s="923">
        <v>0.52760513776672879</v>
      </c>
      <c r="F80" s="923">
        <v>0.54588771493681376</v>
      </c>
      <c r="G80" s="923">
        <v>0.48061279826464209</v>
      </c>
      <c r="H80" s="923">
        <v>0.52099519052904175</v>
      </c>
      <c r="I80" s="923">
        <v>0.64729004809470958</v>
      </c>
      <c r="J80" s="923">
        <v>0.74472807991120982</v>
      </c>
    </row>
    <row r="81" spans="1:10" ht="16.5" customHeight="1">
      <c r="A81" s="921" t="s">
        <v>202</v>
      </c>
      <c r="B81" s="922" t="s">
        <v>292</v>
      </c>
      <c r="C81" s="922" t="s">
        <v>265</v>
      </c>
      <c r="D81" s="923">
        <v>0.34811001366629396</v>
      </c>
      <c r="E81" s="923">
        <v>0.45952010087524109</v>
      </c>
      <c r="F81" s="923">
        <v>0.48775808020754513</v>
      </c>
      <c r="G81" s="923">
        <v>0.42996665078608859</v>
      </c>
      <c r="H81" s="923">
        <v>0.4955533070614549</v>
      </c>
      <c r="I81" s="923">
        <v>0.66582598912432023</v>
      </c>
      <c r="J81" s="923">
        <v>0.72221190166573779</v>
      </c>
    </row>
    <row r="82" spans="1:10" ht="16.5" customHeight="1">
      <c r="A82" s="921" t="s">
        <v>204</v>
      </c>
      <c r="B82" s="922" t="s">
        <v>293</v>
      </c>
      <c r="C82" s="922" t="s">
        <v>265</v>
      </c>
      <c r="D82" s="923">
        <v>0.3775115110925073</v>
      </c>
      <c r="E82" s="923">
        <v>0.37772709242364139</v>
      </c>
      <c r="F82" s="923">
        <v>0.34263654477262073</v>
      </c>
      <c r="G82" s="923">
        <v>0.34949761580381472</v>
      </c>
      <c r="H82" s="923">
        <v>0.49797695169972184</v>
      </c>
      <c r="I82" s="923">
        <v>0.52190280629705676</v>
      </c>
      <c r="J82" s="923">
        <v>0.5958247775496236</v>
      </c>
    </row>
    <row r="83" spans="1:10" ht="16.5" customHeight="1">
      <c r="A83" s="921" t="s">
        <v>206</v>
      </c>
      <c r="B83" s="922" t="s">
        <v>294</v>
      </c>
      <c r="C83" s="922" t="s">
        <v>267</v>
      </c>
      <c r="D83" s="923">
        <v>0.32555873813838387</v>
      </c>
      <c r="E83" s="923">
        <v>0.32212364052661707</v>
      </c>
      <c r="F83" s="923">
        <v>0.29783135182738879</v>
      </c>
      <c r="G83" s="923">
        <v>0.28247908102277036</v>
      </c>
      <c r="H83" s="923">
        <v>0.41238260763507745</v>
      </c>
      <c r="I83" s="923">
        <v>0.35787130944331758</v>
      </c>
      <c r="J83" s="923">
        <v>0.42431541582150101</v>
      </c>
    </row>
    <row r="84" spans="1:10" ht="16.5" customHeight="1">
      <c r="A84" s="921" t="s">
        <v>208</v>
      </c>
      <c r="B84" s="922" t="s">
        <v>209</v>
      </c>
      <c r="C84" s="922" t="s">
        <v>268</v>
      </c>
      <c r="D84" s="923">
        <v>0.66974760918860299</v>
      </c>
      <c r="E84" s="923">
        <v>0.63450131052558978</v>
      </c>
      <c r="F84" s="923">
        <v>0.70323921097426656</v>
      </c>
      <c r="G84" s="923">
        <v>0.63408752082785236</v>
      </c>
      <c r="H84" s="923">
        <v>0.64393939393939392</v>
      </c>
      <c r="I84" s="923">
        <v>0.71540734859512156</v>
      </c>
      <c r="J84" s="923">
        <v>0.76988222839751219</v>
      </c>
    </row>
    <row r="85" spans="1:10" ht="16.5" customHeight="1">
      <c r="A85" s="921" t="s">
        <v>210</v>
      </c>
      <c r="B85" s="922" t="s">
        <v>211</v>
      </c>
      <c r="C85" s="922" t="s">
        <v>268</v>
      </c>
      <c r="D85" s="923">
        <v>0.48228455116263025</v>
      </c>
      <c r="E85" s="923">
        <v>0.47335770985686604</v>
      </c>
      <c r="F85" s="923">
        <v>0.48652777777777778</v>
      </c>
      <c r="G85" s="923">
        <v>0.44274395804833561</v>
      </c>
      <c r="H85" s="923">
        <v>0.51118367089406269</v>
      </c>
      <c r="I85" s="923">
        <v>0.61104801564767497</v>
      </c>
      <c r="J85" s="923">
        <v>0.69123604012871476</v>
      </c>
    </row>
    <row r="86" spans="1:10" ht="16.5" customHeight="1">
      <c r="A86" s="921" t="s">
        <v>212</v>
      </c>
      <c r="B86" s="922" t="s">
        <v>213</v>
      </c>
      <c r="C86" s="922" t="s">
        <v>267</v>
      </c>
      <c r="D86" s="923">
        <v>0.41473927670311184</v>
      </c>
      <c r="E86" s="923">
        <v>0.492583918813427</v>
      </c>
      <c r="F86" s="923">
        <v>0.51546468958286529</v>
      </c>
      <c r="G86" s="923">
        <v>0.48623077414002169</v>
      </c>
      <c r="H86" s="923">
        <v>0.55140692640692646</v>
      </c>
      <c r="I86" s="923">
        <v>0.77510822510822508</v>
      </c>
      <c r="J86" s="923">
        <v>0.89717996289424862</v>
      </c>
    </row>
    <row r="87" spans="1:10" ht="16.5" customHeight="1">
      <c r="A87" s="921" t="s">
        <v>214</v>
      </c>
      <c r="B87" s="922" t="s">
        <v>215</v>
      </c>
      <c r="C87" s="922" t="s">
        <v>268</v>
      </c>
      <c r="D87" s="923">
        <v>0.59406753165546344</v>
      </c>
      <c r="E87" s="923">
        <v>0.74790871067466813</v>
      </c>
      <c r="F87" s="923">
        <v>0.66579026442307687</v>
      </c>
      <c r="G87" s="923">
        <v>0.60338070628768303</v>
      </c>
      <c r="H87" s="923">
        <v>0.64303321224701604</v>
      </c>
      <c r="I87" s="923">
        <v>0.75527590382286802</v>
      </c>
      <c r="J87" s="923">
        <v>0.82021276595744685</v>
      </c>
    </row>
    <row r="88" spans="1:10" ht="16.5" customHeight="1">
      <c r="A88" s="921" t="s">
        <v>216</v>
      </c>
      <c r="B88" s="922" t="s">
        <v>217</v>
      </c>
      <c r="C88" s="922" t="s">
        <v>264</v>
      </c>
      <c r="D88" s="923">
        <v>0.5863830925628678</v>
      </c>
      <c r="E88" s="923">
        <v>0.59913345786633454</v>
      </c>
      <c r="F88" s="923">
        <v>0.60061637080867847</v>
      </c>
      <c r="G88" s="923">
        <v>0.60047281323877066</v>
      </c>
      <c r="H88" s="923">
        <v>0.55761660248181433</v>
      </c>
      <c r="I88" s="923">
        <v>0.63380402225074883</v>
      </c>
      <c r="J88" s="923">
        <v>0.67969191270860074</v>
      </c>
    </row>
    <row r="89" spans="1:10" ht="16.5" customHeight="1">
      <c r="A89" s="921" t="s">
        <v>218</v>
      </c>
      <c r="B89" s="922" t="s">
        <v>219</v>
      </c>
      <c r="C89" s="922" t="s">
        <v>267</v>
      </c>
      <c r="D89" s="923">
        <v>0.40452350518392272</v>
      </c>
      <c r="E89" s="923">
        <v>0.47466276710039396</v>
      </c>
      <c r="F89" s="923">
        <v>0.49932569116655429</v>
      </c>
      <c r="G89" s="923">
        <v>0.48859122178083519</v>
      </c>
      <c r="H89" s="923">
        <v>0.61021841624170114</v>
      </c>
      <c r="I89" s="923">
        <v>0.82611693768241445</v>
      </c>
      <c r="J89" s="923">
        <v>0.95106321562590201</v>
      </c>
    </row>
    <row r="90" spans="1:10" ht="16.5" customHeight="1">
      <c r="A90" s="921" t="s">
        <v>220</v>
      </c>
      <c r="B90" s="922" t="s">
        <v>221</v>
      </c>
      <c r="C90" s="922" t="s">
        <v>267</v>
      </c>
      <c r="D90" s="923">
        <v>0.39855823979176835</v>
      </c>
      <c r="E90" s="923">
        <v>0.50820038590051297</v>
      </c>
      <c r="F90" s="923">
        <v>0.58420800383417204</v>
      </c>
      <c r="G90" s="923">
        <v>0.62454174207619839</v>
      </c>
      <c r="H90" s="923">
        <v>0.65068566074698697</v>
      </c>
      <c r="I90" s="923">
        <v>0.85953536902176231</v>
      </c>
      <c r="J90" s="923">
        <v>1.0119074996805928</v>
      </c>
    </row>
    <row r="91" spans="1:10" ht="16.5" customHeight="1">
      <c r="A91" s="921" t="s">
        <v>224</v>
      </c>
      <c r="B91" s="922" t="s">
        <v>225</v>
      </c>
      <c r="C91" s="922" t="s">
        <v>264</v>
      </c>
      <c r="D91" s="923">
        <v>0.5353133769878391</v>
      </c>
      <c r="E91" s="923">
        <v>0.54364716636197441</v>
      </c>
      <c r="F91" s="923">
        <v>0.61371782339524272</v>
      </c>
      <c r="G91" s="923">
        <v>0.50607947805456699</v>
      </c>
      <c r="H91" s="923">
        <v>0.53523936170212771</v>
      </c>
      <c r="I91" s="923">
        <v>0.7021276595744681</v>
      </c>
      <c r="J91" s="923">
        <v>0.8117021276595745</v>
      </c>
    </row>
    <row r="92" spans="1:10" ht="16.5" customHeight="1">
      <c r="A92" s="921" t="s">
        <v>226</v>
      </c>
      <c r="B92" s="922" t="s">
        <v>227</v>
      </c>
      <c r="C92" s="922" t="s">
        <v>264</v>
      </c>
      <c r="D92" s="923">
        <v>0.49636312771016927</v>
      </c>
      <c r="E92" s="923">
        <v>0.53732423490488002</v>
      </c>
      <c r="F92" s="923">
        <v>0.44718849141231815</v>
      </c>
      <c r="G92" s="923">
        <v>0.47089384815208407</v>
      </c>
      <c r="H92" s="923">
        <v>0.4855715871254162</v>
      </c>
      <c r="I92" s="923">
        <v>0.5631088913552843</v>
      </c>
      <c r="J92" s="923">
        <v>0.63706992230854609</v>
      </c>
    </row>
    <row r="93" spans="1:10" ht="16.5" customHeight="1">
      <c r="A93" s="921" t="s">
        <v>228</v>
      </c>
      <c r="B93" s="922" t="s">
        <v>229</v>
      </c>
      <c r="C93" s="922" t="s">
        <v>268</v>
      </c>
      <c r="D93" s="923">
        <v>0.57800431717764511</v>
      </c>
      <c r="E93" s="923">
        <v>0.59208592236253088</v>
      </c>
      <c r="F93" s="923">
        <v>0.62505576718487255</v>
      </c>
      <c r="G93" s="923">
        <v>0.52772010591562857</v>
      </c>
      <c r="H93" s="923">
        <v>0.54298194806448496</v>
      </c>
      <c r="I93" s="923">
        <v>0.61547929336808571</v>
      </c>
      <c r="J93" s="923">
        <v>0.68043247417704411</v>
      </c>
    </row>
    <row r="94" spans="1:10" ht="16.5" customHeight="1">
      <c r="A94" s="921" t="s">
        <v>232</v>
      </c>
      <c r="B94" s="922" t="s">
        <v>233</v>
      </c>
      <c r="C94" s="922" t="s">
        <v>267</v>
      </c>
      <c r="D94" s="923">
        <v>0.47227875772651889</v>
      </c>
      <c r="E94" s="923">
        <v>0.4538110095832405</v>
      </c>
      <c r="F94" s="923">
        <v>0.43354869323988904</v>
      </c>
      <c r="G94" s="923">
        <v>0.48687920190847972</v>
      </c>
      <c r="H94" s="923">
        <v>0.53723654181769365</v>
      </c>
      <c r="I94" s="923">
        <v>0.76137736608940798</v>
      </c>
      <c r="J94" s="923">
        <v>0.88453483689085788</v>
      </c>
    </row>
    <row r="95" spans="1:10" ht="16.5" customHeight="1">
      <c r="A95" s="921" t="s">
        <v>234</v>
      </c>
      <c r="B95" s="922" t="s">
        <v>235</v>
      </c>
      <c r="C95" s="922" t="s">
        <v>268</v>
      </c>
      <c r="D95" s="923">
        <v>0.46882400828892834</v>
      </c>
      <c r="E95" s="923">
        <v>0.62364346365163692</v>
      </c>
      <c r="F95" s="923">
        <v>0.53939513403919803</v>
      </c>
      <c r="G95" s="923">
        <v>0.455614624984854</v>
      </c>
      <c r="H95" s="923">
        <v>0.52944655471144875</v>
      </c>
      <c r="I95" s="923">
        <v>0.63682027189124346</v>
      </c>
      <c r="J95" s="923">
        <v>0.71223510595761697</v>
      </c>
    </row>
    <row r="96" spans="1:10" ht="16.5" customHeight="1">
      <c r="A96" s="921" t="s">
        <v>236</v>
      </c>
      <c r="B96" s="922" t="s">
        <v>237</v>
      </c>
      <c r="C96" s="922" t="s">
        <v>266</v>
      </c>
      <c r="D96" s="923">
        <v>0.5462735462735463</v>
      </c>
      <c r="E96" s="923">
        <v>0.513265965300849</v>
      </c>
      <c r="F96" s="923">
        <v>0.5342257453385183</v>
      </c>
      <c r="G96" s="923">
        <v>0.5818137414522957</v>
      </c>
      <c r="H96" s="923">
        <v>0.56161601681957185</v>
      </c>
      <c r="I96" s="923">
        <v>0.6993262614678899</v>
      </c>
      <c r="J96" s="923">
        <v>0.80183486238532109</v>
      </c>
    </row>
    <row r="97" spans="1:10" ht="16.5" customHeight="1">
      <c r="A97" s="921" t="s">
        <v>242</v>
      </c>
      <c r="B97" s="922" t="s">
        <v>243</v>
      </c>
      <c r="C97" s="922" t="s">
        <v>268</v>
      </c>
      <c r="D97" s="923">
        <v>0.69689191711778986</v>
      </c>
      <c r="E97" s="923">
        <v>0.62440060570370992</v>
      </c>
      <c r="F97" s="923">
        <v>0.71126604692341744</v>
      </c>
      <c r="G97" s="923">
        <v>0.60497530966371482</v>
      </c>
      <c r="H97" s="923">
        <v>0.64847764173933464</v>
      </c>
      <c r="I97" s="923">
        <v>0.69858921283654829</v>
      </c>
      <c r="J97" s="923">
        <v>0.74560028186382454</v>
      </c>
    </row>
    <row r="98" spans="1:10" ht="16.5" customHeight="1">
      <c r="A98" s="921" t="s">
        <v>244</v>
      </c>
      <c r="B98" s="922" t="s">
        <v>245</v>
      </c>
      <c r="C98" s="922" t="s">
        <v>268</v>
      </c>
      <c r="D98" s="923">
        <v>0.54605997210599722</v>
      </c>
      <c r="E98" s="923">
        <v>0.54923417178319134</v>
      </c>
      <c r="F98" s="923">
        <v>0.52853000956480156</v>
      </c>
      <c r="G98" s="923">
        <v>0.6088541666666667</v>
      </c>
      <c r="H98" s="923">
        <v>0.59619748543391593</v>
      </c>
      <c r="I98" s="923">
        <v>0.73888377798221405</v>
      </c>
      <c r="J98" s="923">
        <v>0.82211591536338546</v>
      </c>
    </row>
    <row r="99" spans="1:10" ht="16.5" customHeight="1">
      <c r="A99" s="921" t="s">
        <v>246</v>
      </c>
      <c r="B99" s="922" t="s">
        <v>247</v>
      </c>
      <c r="C99" s="922" t="s">
        <v>264</v>
      </c>
      <c r="D99" s="923">
        <v>0.2849618780096308</v>
      </c>
      <c r="E99" s="923">
        <v>0.35629376323074419</v>
      </c>
      <c r="F99" s="923">
        <v>0.35438656876242924</v>
      </c>
      <c r="G99" s="923">
        <v>0.35473352822127274</v>
      </c>
      <c r="H99" s="923">
        <v>0.42803125261134789</v>
      </c>
      <c r="I99" s="923">
        <v>0.52887712839392542</v>
      </c>
      <c r="J99" s="923">
        <v>0.58421537045559135</v>
      </c>
    </row>
    <row r="100" spans="1:10" ht="16.5" customHeight="1">
      <c r="A100" s="921" t="s">
        <v>14</v>
      </c>
      <c r="B100" s="922" t="s">
        <v>15</v>
      </c>
      <c r="C100" s="922" t="s">
        <v>267</v>
      </c>
      <c r="D100" s="923">
        <v>0.33114145746604434</v>
      </c>
      <c r="E100" s="923">
        <v>0.37817501101159889</v>
      </c>
      <c r="F100" s="923">
        <v>0.38753983428935629</v>
      </c>
      <c r="G100" s="923">
        <v>0.31247364934048066</v>
      </c>
      <c r="H100" s="923">
        <v>0.35414131710961683</v>
      </c>
      <c r="I100" s="923">
        <v>0.43976945244956772</v>
      </c>
      <c r="J100" s="923">
        <v>0.49606147934678196</v>
      </c>
    </row>
    <row r="101" spans="1:10" ht="16.5" customHeight="1">
      <c r="A101" s="921" t="s">
        <v>34</v>
      </c>
      <c r="B101" s="922" t="s">
        <v>35</v>
      </c>
      <c r="C101" s="922" t="s">
        <v>268</v>
      </c>
      <c r="D101" s="923">
        <v>0.70840656121851198</v>
      </c>
      <c r="E101" s="923">
        <v>0.77620611265471073</v>
      </c>
      <c r="F101" s="923">
        <v>0.68836984980019289</v>
      </c>
      <c r="G101" s="923">
        <v>0.76550905313149298</v>
      </c>
      <c r="H101" s="923">
        <v>0.7749038266855639</v>
      </c>
      <c r="I101" s="923">
        <v>0.86660592562597016</v>
      </c>
      <c r="J101" s="923">
        <v>0.90730917189714522</v>
      </c>
    </row>
    <row r="102" spans="1:10" ht="16.5" customHeight="1">
      <c r="A102" s="921" t="s">
        <v>52</v>
      </c>
      <c r="B102" s="922" t="s">
        <v>53</v>
      </c>
      <c r="C102" s="922" t="s">
        <v>265</v>
      </c>
      <c r="D102" s="923">
        <v>0.41685879969258716</v>
      </c>
      <c r="E102" s="923">
        <v>0.33503288104553403</v>
      </c>
      <c r="F102" s="923">
        <v>0.31238309016086796</v>
      </c>
      <c r="G102" s="923">
        <v>0.28185874616829826</v>
      </c>
      <c r="H102" s="923">
        <v>0.3432035144039875</v>
      </c>
      <c r="I102" s="923">
        <v>0.41021092055982655</v>
      </c>
      <c r="J102" s="923">
        <v>0.45381431105854525</v>
      </c>
    </row>
    <row r="103" spans="1:10" ht="16.5" customHeight="1">
      <c r="A103" s="921" t="s">
        <v>54</v>
      </c>
      <c r="B103" s="922" t="s">
        <v>55</v>
      </c>
      <c r="C103" s="922" t="s">
        <v>264</v>
      </c>
      <c r="D103" s="923">
        <v>0.42821986001422313</v>
      </c>
      <c r="E103" s="923">
        <v>0.64449672455027551</v>
      </c>
      <c r="F103" s="923">
        <v>0.60965658081186969</v>
      </c>
      <c r="G103" s="923">
        <v>0.49046600285253461</v>
      </c>
      <c r="H103" s="923">
        <v>0.57360500049834129</v>
      </c>
      <c r="I103" s="923">
        <v>0.73518502698161836</v>
      </c>
      <c r="J103" s="923">
        <v>0.83347998803981038</v>
      </c>
    </row>
    <row r="104" spans="1:10" ht="16.5" customHeight="1">
      <c r="A104" s="921" t="s">
        <v>66</v>
      </c>
      <c r="B104" s="922" t="s">
        <v>67</v>
      </c>
      <c r="C104" s="922" t="s">
        <v>265</v>
      </c>
      <c r="D104" s="923">
        <v>0.68400000000000005</v>
      </c>
      <c r="E104" s="923">
        <v>0.63773896542029795</v>
      </c>
      <c r="F104" s="923">
        <v>0.72739879025173804</v>
      </c>
      <c r="G104" s="923">
        <v>0.69586429613167577</v>
      </c>
      <c r="H104" s="923">
        <v>0.86617822157276614</v>
      </c>
      <c r="I104" s="923">
        <v>0.9767210586134113</v>
      </c>
      <c r="J104" s="923">
        <v>1.0337230069816528</v>
      </c>
    </row>
    <row r="105" spans="1:10" ht="16.5" customHeight="1">
      <c r="A105" s="921" t="s">
        <v>82</v>
      </c>
      <c r="B105" s="922" t="s">
        <v>83</v>
      </c>
      <c r="C105" s="922" t="s">
        <v>264</v>
      </c>
      <c r="D105" s="923">
        <v>0.81553357009978011</v>
      </c>
      <c r="E105" s="923">
        <v>0.79458068422646078</v>
      </c>
      <c r="F105" s="923">
        <v>0.8303571428571429</v>
      </c>
      <c r="G105" s="923">
        <v>0.70039855072463764</v>
      </c>
      <c r="H105" s="923">
        <v>0.73646473514779043</v>
      </c>
      <c r="I105" s="923">
        <v>0.88458443078724025</v>
      </c>
      <c r="J105" s="923">
        <v>0.99122036874451269</v>
      </c>
    </row>
    <row r="106" spans="1:10" ht="16.5" customHeight="1">
      <c r="A106" s="921" t="s">
        <v>88</v>
      </c>
      <c r="B106" s="922" t="s">
        <v>89</v>
      </c>
      <c r="C106" s="922" t="s">
        <v>267</v>
      </c>
      <c r="D106" s="923">
        <v>0.5725568942436412</v>
      </c>
      <c r="E106" s="923">
        <v>0.54702765358503058</v>
      </c>
      <c r="F106" s="923">
        <v>0.59358087126253212</v>
      </c>
      <c r="G106" s="923">
        <v>0.61054784774101745</v>
      </c>
      <c r="H106" s="923">
        <v>0.61038935705368291</v>
      </c>
      <c r="I106" s="923">
        <v>0.75813436329588013</v>
      </c>
      <c r="J106" s="923">
        <v>0.86671348314606744</v>
      </c>
    </row>
    <row r="107" spans="1:10" ht="16.5" customHeight="1">
      <c r="A107" s="921" t="s">
        <v>90</v>
      </c>
      <c r="B107" s="922" t="s">
        <v>91</v>
      </c>
      <c r="C107" s="922" t="s">
        <v>268</v>
      </c>
      <c r="D107" s="923">
        <v>0.76820948782535681</v>
      </c>
      <c r="E107" s="923">
        <v>0.71312932809283169</v>
      </c>
      <c r="F107" s="923">
        <v>0.66785714285714282</v>
      </c>
      <c r="G107" s="923">
        <v>0.78565596080566136</v>
      </c>
      <c r="H107" s="923">
        <v>0.82949329096045199</v>
      </c>
      <c r="I107" s="923">
        <v>0.90841278248587576</v>
      </c>
      <c r="J107" s="923">
        <v>0.94671610169491527</v>
      </c>
    </row>
    <row r="108" spans="1:10" ht="16.5" customHeight="1">
      <c r="A108" s="921" t="s">
        <v>106</v>
      </c>
      <c r="B108" s="922" t="s">
        <v>107</v>
      </c>
      <c r="C108" s="922" t="s">
        <v>264</v>
      </c>
      <c r="D108" s="923">
        <v>0.53503918856615951</v>
      </c>
      <c r="E108" s="923">
        <v>0.57655243985089799</v>
      </c>
      <c r="F108" s="923">
        <v>0.61185690027077888</v>
      </c>
      <c r="G108" s="923">
        <v>0.43562073576301985</v>
      </c>
      <c r="H108" s="923">
        <v>0.50907545975006141</v>
      </c>
      <c r="I108" s="923">
        <v>0.60921244782176043</v>
      </c>
      <c r="J108" s="923">
        <v>0.67985112239754975</v>
      </c>
    </row>
    <row r="109" spans="1:10" ht="16.5" customHeight="1">
      <c r="A109" s="921" t="s">
        <v>116</v>
      </c>
      <c r="B109" s="922" t="s">
        <v>117</v>
      </c>
      <c r="C109" s="922" t="s">
        <v>266</v>
      </c>
      <c r="D109" s="923">
        <v>0.80158410524902668</v>
      </c>
      <c r="E109" s="923">
        <v>0.84147294725394239</v>
      </c>
      <c r="F109" s="923">
        <v>0.83261980618611442</v>
      </c>
      <c r="G109" s="923">
        <v>0.87963713764443541</v>
      </c>
      <c r="H109" s="923">
        <v>0.83398950131233596</v>
      </c>
      <c r="I109" s="923">
        <v>0.99469100453352421</v>
      </c>
      <c r="J109" s="923">
        <v>1.1075876879026485</v>
      </c>
    </row>
    <row r="110" spans="1:10" ht="16.5" customHeight="1">
      <c r="A110" s="921" t="s">
        <v>138</v>
      </c>
      <c r="B110" s="922" t="s">
        <v>139</v>
      </c>
      <c r="C110" s="922" t="s">
        <v>265</v>
      </c>
      <c r="D110" s="923">
        <v>0.54354032833690225</v>
      </c>
      <c r="E110" s="923">
        <v>0.58127704892030907</v>
      </c>
      <c r="F110" s="923">
        <v>0.58389488605386541</v>
      </c>
      <c r="G110" s="923">
        <v>0.5148619346420279</v>
      </c>
      <c r="H110" s="923">
        <v>0.5520962687008456</v>
      </c>
      <c r="I110" s="923">
        <v>0.64487611613742535</v>
      </c>
      <c r="J110" s="923">
        <v>0.71736739400390281</v>
      </c>
    </row>
    <row r="111" spans="1:10" ht="16.5" customHeight="1">
      <c r="A111" s="921" t="s">
        <v>142</v>
      </c>
      <c r="B111" s="922" t="s">
        <v>273</v>
      </c>
      <c r="C111" s="922" t="s">
        <v>267</v>
      </c>
      <c r="D111" s="923">
        <v>0.36495060466700735</v>
      </c>
      <c r="E111" s="923">
        <v>0.43618549297219655</v>
      </c>
      <c r="F111" s="923">
        <v>0.41141014858424446</v>
      </c>
      <c r="G111" s="923">
        <v>0.38660527103923331</v>
      </c>
      <c r="H111" s="923">
        <v>0.50482973149967258</v>
      </c>
      <c r="I111" s="923">
        <v>0.74433120497707927</v>
      </c>
      <c r="J111" s="923">
        <v>0.8598231827111984</v>
      </c>
    </row>
    <row r="112" spans="1:10" ht="16.5" customHeight="1">
      <c r="A112" s="921" t="s">
        <v>144</v>
      </c>
      <c r="B112" s="922" t="s">
        <v>145</v>
      </c>
      <c r="C112" s="922" t="s">
        <v>267</v>
      </c>
      <c r="D112" s="923">
        <v>0.3795736824437731</v>
      </c>
      <c r="E112" s="923">
        <v>0.46124239169351949</v>
      </c>
      <c r="F112" s="923">
        <v>0.50808457711442789</v>
      </c>
      <c r="G112" s="923">
        <v>0.59380111220150478</v>
      </c>
      <c r="H112" s="923">
        <v>0.7590412828386216</v>
      </c>
      <c r="I112" s="923">
        <v>1.0617536676902082</v>
      </c>
      <c r="J112" s="923">
        <v>1.1977482088024565</v>
      </c>
    </row>
    <row r="113" spans="1:10" ht="16.5" customHeight="1">
      <c r="A113" s="921" t="s">
        <v>158</v>
      </c>
      <c r="B113" s="922" t="s">
        <v>159</v>
      </c>
      <c r="C113" s="922" t="s">
        <v>264</v>
      </c>
      <c r="D113" s="923">
        <v>0.58625972595193832</v>
      </c>
      <c r="E113" s="923">
        <v>0.62731924326622335</v>
      </c>
      <c r="F113" s="923">
        <v>0.68828830342540936</v>
      </c>
      <c r="G113" s="923">
        <v>0.54461297491231353</v>
      </c>
      <c r="H113" s="923">
        <v>0.69319518164192861</v>
      </c>
      <c r="I113" s="923">
        <v>0.84594073461950015</v>
      </c>
      <c r="J113" s="923">
        <v>0.96594094650859741</v>
      </c>
    </row>
    <row r="114" spans="1:10" ht="16.5" customHeight="1">
      <c r="A114" s="921" t="s">
        <v>160</v>
      </c>
      <c r="B114" s="922" t="s">
        <v>161</v>
      </c>
      <c r="C114" s="922" t="s">
        <v>264</v>
      </c>
      <c r="D114" s="923">
        <v>0.55881218781820696</v>
      </c>
      <c r="E114" s="923">
        <v>0.62203083062005682</v>
      </c>
      <c r="F114" s="923">
        <v>0.65347444006095146</v>
      </c>
      <c r="G114" s="923">
        <v>0.58223755086462159</v>
      </c>
      <c r="H114" s="923">
        <v>0.5902594626491805</v>
      </c>
      <c r="I114" s="923">
        <v>0.70016528776328624</v>
      </c>
      <c r="J114" s="923">
        <v>0.77657429820441493</v>
      </c>
    </row>
    <row r="115" spans="1:10" ht="16.5" customHeight="1">
      <c r="A115" s="921" t="s">
        <v>166</v>
      </c>
      <c r="B115" s="922" t="s">
        <v>167</v>
      </c>
      <c r="C115" s="922" t="s">
        <v>268</v>
      </c>
      <c r="D115" s="923">
        <v>0.89052462526766596</v>
      </c>
      <c r="E115" s="923">
        <v>0.8070009460737938</v>
      </c>
      <c r="F115" s="923">
        <v>0.90500338066260988</v>
      </c>
      <c r="G115" s="923">
        <v>0.82953855494839102</v>
      </c>
      <c r="H115" s="923">
        <v>0.88517628205128207</v>
      </c>
      <c r="I115" s="923">
        <v>0.92940705128205126</v>
      </c>
      <c r="J115" s="923">
        <v>0.9736538461538462</v>
      </c>
    </row>
    <row r="116" spans="1:10" ht="16.5" customHeight="1">
      <c r="A116" s="921" t="s">
        <v>176</v>
      </c>
      <c r="B116" s="922" t="s">
        <v>177</v>
      </c>
      <c r="C116" s="922" t="s">
        <v>266</v>
      </c>
      <c r="D116" s="923">
        <v>0.7949986012868161</v>
      </c>
      <c r="E116" s="923">
        <v>0.75586750672414427</v>
      </c>
      <c r="F116" s="923">
        <v>0.8542577745383868</v>
      </c>
      <c r="G116" s="923">
        <v>0.79937195350581181</v>
      </c>
      <c r="H116" s="923">
        <v>0.83724882629107977</v>
      </c>
      <c r="I116" s="923">
        <v>0.99456338028169011</v>
      </c>
      <c r="J116" s="923">
        <v>1.0993126760563381</v>
      </c>
    </row>
    <row r="117" spans="1:10" ht="16.5" customHeight="1">
      <c r="A117" s="921" t="s">
        <v>180</v>
      </c>
      <c r="B117" s="922" t="s">
        <v>181</v>
      </c>
      <c r="C117" s="922" t="s">
        <v>264</v>
      </c>
      <c r="D117" s="923">
        <v>0.61106485978138536</v>
      </c>
      <c r="E117" s="923">
        <v>0.66628996178581412</v>
      </c>
      <c r="F117" s="923">
        <v>0.75725375524341632</v>
      </c>
      <c r="G117" s="923">
        <v>0.66542077505159369</v>
      </c>
      <c r="H117" s="923">
        <v>0.63847596952511887</v>
      </c>
      <c r="I117" s="923">
        <v>0.76133141433235951</v>
      </c>
      <c r="J117" s="923">
        <v>0.84777453170647876</v>
      </c>
    </row>
    <row r="118" spans="1:10" ht="16.5" customHeight="1">
      <c r="A118" s="921" t="s">
        <v>192</v>
      </c>
      <c r="B118" s="922" t="s">
        <v>193</v>
      </c>
      <c r="C118" s="922" t="s">
        <v>268</v>
      </c>
      <c r="D118" s="923">
        <v>0.30696784073506889</v>
      </c>
      <c r="E118" s="923">
        <v>0.25727826675693977</v>
      </c>
      <c r="F118" s="923">
        <v>0.31304554489672459</v>
      </c>
      <c r="G118" s="923">
        <v>0.20295520070969172</v>
      </c>
      <c r="H118" s="923">
        <v>0.27385086823289073</v>
      </c>
      <c r="I118" s="923">
        <v>0.31847122914538645</v>
      </c>
      <c r="J118" s="923">
        <v>0.34606741573033706</v>
      </c>
    </row>
    <row r="119" spans="1:10" ht="16.5" customHeight="1">
      <c r="A119" s="921" t="s">
        <v>196</v>
      </c>
      <c r="B119" s="922" t="s">
        <v>197</v>
      </c>
      <c r="C119" s="922" t="s">
        <v>266</v>
      </c>
      <c r="D119" s="923">
        <v>0.63020319462446717</v>
      </c>
      <c r="E119" s="923">
        <v>0.72582216292908119</v>
      </c>
      <c r="F119" s="923">
        <v>0.68280742978628173</v>
      </c>
      <c r="G119" s="923">
        <v>0.56104123161924646</v>
      </c>
      <c r="H119" s="923">
        <v>0.5408664480207459</v>
      </c>
      <c r="I119" s="923">
        <v>0.61187298197442352</v>
      </c>
      <c r="J119" s="923">
        <v>0.68735870642971553</v>
      </c>
    </row>
    <row r="120" spans="1:10" ht="16.5" customHeight="1">
      <c r="A120" s="921" t="s">
        <v>200</v>
      </c>
      <c r="B120" s="922" t="s">
        <v>201</v>
      </c>
      <c r="C120" s="922" t="s">
        <v>265</v>
      </c>
      <c r="D120" s="923">
        <v>0.56488408061486983</v>
      </c>
      <c r="E120" s="923">
        <v>0.63448695339799488</v>
      </c>
      <c r="F120" s="923">
        <v>0.66952366756103221</v>
      </c>
      <c r="G120" s="923">
        <v>0.64317729083665343</v>
      </c>
      <c r="H120" s="923">
        <v>0.69297988233346874</v>
      </c>
      <c r="I120" s="923">
        <v>0.83221234144359679</v>
      </c>
      <c r="J120" s="923">
        <v>0.93290299282264255</v>
      </c>
    </row>
    <row r="121" spans="1:10" ht="16.5" customHeight="1">
      <c r="A121" s="921" t="s">
        <v>222</v>
      </c>
      <c r="B121" s="922" t="s">
        <v>223</v>
      </c>
      <c r="C121" s="922" t="s">
        <v>264</v>
      </c>
      <c r="D121" s="923">
        <v>0.62066855776183327</v>
      </c>
      <c r="E121" s="923">
        <v>0.64036893683603724</v>
      </c>
      <c r="F121" s="923">
        <v>0.66446627997575969</v>
      </c>
      <c r="G121" s="923">
        <v>0.60240908129823445</v>
      </c>
      <c r="H121" s="923">
        <v>0.65524980483996875</v>
      </c>
      <c r="I121" s="923">
        <v>0.80273502843760458</v>
      </c>
      <c r="J121" s="923">
        <v>0.90807962529274</v>
      </c>
    </row>
    <row r="122" spans="1:10" ht="16.5" customHeight="1">
      <c r="A122" s="921" t="s">
        <v>230</v>
      </c>
      <c r="B122" s="922" t="s">
        <v>231</v>
      </c>
      <c r="C122" s="922" t="s">
        <v>264</v>
      </c>
      <c r="D122" s="923">
        <v>0.33338861593106262</v>
      </c>
      <c r="E122" s="923">
        <v>0.39706846825490894</v>
      </c>
      <c r="F122" s="923">
        <v>0.397593649417676</v>
      </c>
      <c r="G122" s="923">
        <v>0.40719128191355158</v>
      </c>
      <c r="H122" s="923">
        <v>0.4476939617884772</v>
      </c>
      <c r="I122" s="923">
        <v>0.59181517091376457</v>
      </c>
      <c r="J122" s="923">
        <v>0.69770879161620403</v>
      </c>
    </row>
    <row r="123" spans="1:10" ht="16.5" customHeight="1">
      <c r="A123" s="921" t="s">
        <v>238</v>
      </c>
      <c r="B123" s="922" t="s">
        <v>239</v>
      </c>
      <c r="C123" s="922" t="s">
        <v>264</v>
      </c>
      <c r="D123" s="923">
        <v>0.25940860215053763</v>
      </c>
      <c r="E123" s="923">
        <v>0.22802366682034733</v>
      </c>
      <c r="F123" s="923">
        <v>0.25445917198494516</v>
      </c>
      <c r="G123" s="923">
        <v>0.22870004391743523</v>
      </c>
      <c r="H123" s="923">
        <v>0.29020141984480768</v>
      </c>
      <c r="I123" s="923">
        <v>0.36346376093775795</v>
      </c>
      <c r="J123" s="923">
        <v>0.43704804358593363</v>
      </c>
    </row>
    <row r="124" spans="1:10" ht="16.5" customHeight="1">
      <c r="A124" s="925" t="s">
        <v>240</v>
      </c>
      <c r="B124" s="926" t="s">
        <v>241</v>
      </c>
      <c r="C124" s="926" t="s">
        <v>267</v>
      </c>
      <c r="D124" s="927">
        <v>0.43303273213092852</v>
      </c>
      <c r="E124" s="927">
        <v>0.4561613363552422</v>
      </c>
      <c r="F124" s="927">
        <v>0.39335079295795139</v>
      </c>
      <c r="G124" s="927">
        <v>0.47347957288765086</v>
      </c>
      <c r="H124" s="927">
        <v>0.53933652895077222</v>
      </c>
      <c r="I124" s="927">
        <v>0.76238301757589588</v>
      </c>
      <c r="J124" s="927">
        <v>0.89915544396256564</v>
      </c>
    </row>
    <row r="126" spans="1:10">
      <c r="A126" s="899" t="s">
        <v>829</v>
      </c>
    </row>
    <row r="127" spans="1:10" ht="18">
      <c r="A127" s="912" t="s">
        <v>828</v>
      </c>
    </row>
    <row r="128" spans="1:10" ht="18">
      <c r="A128" s="912"/>
    </row>
    <row r="129" spans="1:10">
      <c r="A129" s="1967" t="s">
        <v>248</v>
      </c>
      <c r="B129" s="1967"/>
      <c r="C129" s="1967"/>
      <c r="D129" s="1967"/>
      <c r="E129" s="1967"/>
      <c r="F129" s="1967"/>
      <c r="G129" s="1967"/>
      <c r="H129" s="1967"/>
      <c r="I129" s="1967"/>
      <c r="J129" s="1967"/>
    </row>
    <row r="130" spans="1:10">
      <c r="A130" s="900" t="s">
        <v>249</v>
      </c>
      <c r="B130" s="617" t="s">
        <v>250</v>
      </c>
    </row>
  </sheetData>
  <autoFilter ref="A3:C3"/>
  <mergeCells count="1">
    <mergeCell ref="A129:J129"/>
  </mergeCells>
  <hyperlinks>
    <hyperlink ref="B130" r:id="rId1"/>
  </hyperlinks>
  <pageMargins left="0.45" right="0.45" top="0.75" bottom="0.75" header="0.3" footer="0.3"/>
  <pageSetup orientation="portrait" r:id="rId2"/>
  <headerFooter>
    <oddFooter>&amp;C&amp;"Courier New,Regular"&amp;P of &amp;N</oddFooter>
  </headerFooter>
</worksheet>
</file>

<file path=xl/worksheets/sheet63.xml><?xml version="1.0" encoding="utf-8"?>
<worksheet xmlns="http://schemas.openxmlformats.org/spreadsheetml/2006/main" xmlns:r="http://schemas.openxmlformats.org/officeDocument/2006/relationships">
  <dimension ref="A1:J130"/>
  <sheetViews>
    <sheetView workbookViewId="0">
      <pane ySplit="5" topLeftCell="A6" activePane="bottomLeft" state="frozen"/>
      <selection pane="bottomLeft" activeCell="C15" sqref="C15"/>
    </sheetView>
  </sheetViews>
  <sheetFormatPr defaultRowHeight="15.75"/>
  <cols>
    <col min="1" max="1" width="9.125" style="714" customWidth="1"/>
    <col min="2" max="2" width="35" style="714" customWidth="1"/>
    <col min="3" max="3" width="11.25" style="714" customWidth="1"/>
    <col min="4" max="9" width="9" style="893"/>
    <col min="10" max="10" width="12.75" style="893" customWidth="1"/>
    <col min="11" max="16384" width="9" style="758"/>
  </cols>
  <sheetData>
    <row r="1" spans="1:10">
      <c r="A1" s="64" t="s">
        <v>791</v>
      </c>
      <c r="B1" s="758"/>
      <c r="C1" s="758"/>
    </row>
    <row r="2" spans="1:10">
      <c r="A2" s="758"/>
      <c r="B2" s="758"/>
      <c r="C2" s="758"/>
    </row>
    <row r="3" spans="1:10">
      <c r="A3" s="758"/>
      <c r="B3" s="758"/>
      <c r="C3" s="758"/>
      <c r="E3" s="1968" t="s">
        <v>789</v>
      </c>
      <c r="F3" s="1968"/>
      <c r="G3" s="1968"/>
      <c r="H3" s="1969" t="s">
        <v>790</v>
      </c>
      <c r="I3" s="1969"/>
      <c r="J3" s="1969"/>
    </row>
    <row r="4" spans="1:10">
      <c r="A4" s="715" t="s">
        <v>4</v>
      </c>
      <c r="B4" s="727" t="s">
        <v>5</v>
      </c>
      <c r="C4" s="715" t="s">
        <v>251</v>
      </c>
      <c r="D4" s="894" t="s">
        <v>281</v>
      </c>
      <c r="E4" s="894" t="s">
        <v>2</v>
      </c>
      <c r="F4" s="894" t="s">
        <v>450</v>
      </c>
      <c r="G4" s="894" t="s">
        <v>451</v>
      </c>
      <c r="H4" s="894" t="s">
        <v>788</v>
      </c>
      <c r="I4" s="895" t="s">
        <v>800</v>
      </c>
      <c r="J4" s="894" t="s">
        <v>801</v>
      </c>
    </row>
    <row r="5" spans="1:10">
      <c r="A5" s="904">
        <v>999</v>
      </c>
      <c r="B5" s="905" t="s">
        <v>9</v>
      </c>
      <c r="C5" s="904"/>
      <c r="D5" s="974">
        <f t="shared" ref="D5:J5" si="0">SUM(D6:D125)</f>
        <v>6028</v>
      </c>
      <c r="E5" s="974">
        <f t="shared" si="0"/>
        <v>3741</v>
      </c>
      <c r="F5" s="974">
        <f t="shared" si="0"/>
        <v>2059</v>
      </c>
      <c r="G5" s="974">
        <f t="shared" si="0"/>
        <v>228</v>
      </c>
      <c r="H5" s="974">
        <f t="shared" si="0"/>
        <v>664</v>
      </c>
      <c r="I5" s="974">
        <f t="shared" si="0"/>
        <v>2489</v>
      </c>
      <c r="J5" s="974">
        <f t="shared" si="0"/>
        <v>2924</v>
      </c>
    </row>
    <row r="6" spans="1:10">
      <c r="A6" s="706" t="s">
        <v>10</v>
      </c>
      <c r="B6" s="707" t="s">
        <v>11</v>
      </c>
      <c r="C6" s="708" t="s">
        <v>264</v>
      </c>
      <c r="D6" s="896">
        <v>46</v>
      </c>
      <c r="E6" s="896">
        <v>30</v>
      </c>
      <c r="F6" s="896">
        <v>16</v>
      </c>
      <c r="G6" s="896">
        <v>0</v>
      </c>
      <c r="H6" s="896">
        <v>4</v>
      </c>
      <c r="I6" s="896">
        <v>20</v>
      </c>
      <c r="J6" s="896">
        <v>22</v>
      </c>
    </row>
    <row r="7" spans="1:10">
      <c r="A7" s="706" t="s">
        <v>12</v>
      </c>
      <c r="B7" s="707" t="s">
        <v>13</v>
      </c>
      <c r="C7" s="708" t="s">
        <v>265</v>
      </c>
      <c r="D7" s="896">
        <v>52</v>
      </c>
      <c r="E7" s="896">
        <v>38</v>
      </c>
      <c r="F7" s="896">
        <v>12</v>
      </c>
      <c r="G7" s="896">
        <v>2</v>
      </c>
      <c r="H7" s="896">
        <v>2</v>
      </c>
      <c r="I7" s="896">
        <v>8</v>
      </c>
      <c r="J7" s="896">
        <v>42</v>
      </c>
    </row>
    <row r="8" spans="1:10">
      <c r="A8" s="706" t="s">
        <v>16</v>
      </c>
      <c r="B8" s="707" t="s">
        <v>297</v>
      </c>
      <c r="C8" s="708" t="s">
        <v>265</v>
      </c>
      <c r="D8" s="896">
        <v>13</v>
      </c>
      <c r="E8" s="896">
        <v>12</v>
      </c>
      <c r="F8" s="896">
        <v>1</v>
      </c>
      <c r="G8" s="896">
        <v>0</v>
      </c>
      <c r="H8" s="896">
        <v>2</v>
      </c>
      <c r="I8" s="896">
        <v>5</v>
      </c>
      <c r="J8" s="896">
        <v>7</v>
      </c>
    </row>
    <row r="9" spans="1:10">
      <c r="A9" s="706" t="s">
        <v>18</v>
      </c>
      <c r="B9" s="707" t="s">
        <v>19</v>
      </c>
      <c r="C9" s="708" t="s">
        <v>266</v>
      </c>
      <c r="D9" s="896">
        <v>17</v>
      </c>
      <c r="E9" s="896">
        <v>10</v>
      </c>
      <c r="F9" s="896">
        <v>6</v>
      </c>
      <c r="G9" s="896">
        <v>1</v>
      </c>
      <c r="H9" s="896">
        <v>2</v>
      </c>
      <c r="I9" s="896">
        <v>3</v>
      </c>
      <c r="J9" s="896">
        <v>12</v>
      </c>
    </row>
    <row r="10" spans="1:10">
      <c r="A10" s="706" t="s">
        <v>20</v>
      </c>
      <c r="B10" s="707" t="s">
        <v>21</v>
      </c>
      <c r="C10" s="708" t="s">
        <v>265</v>
      </c>
      <c r="D10" s="896">
        <v>31</v>
      </c>
      <c r="E10" s="896">
        <v>21</v>
      </c>
      <c r="F10" s="896">
        <v>10</v>
      </c>
      <c r="G10" s="896">
        <v>0</v>
      </c>
      <c r="H10" s="896">
        <v>2</v>
      </c>
      <c r="I10" s="896">
        <v>9</v>
      </c>
      <c r="J10" s="896">
        <v>20</v>
      </c>
    </row>
    <row r="11" spans="1:10">
      <c r="A11" s="706" t="s">
        <v>22</v>
      </c>
      <c r="B11" s="707" t="s">
        <v>23</v>
      </c>
      <c r="C11" s="708" t="s">
        <v>265</v>
      </c>
      <c r="D11" s="896">
        <v>22</v>
      </c>
      <c r="E11" s="896">
        <v>10</v>
      </c>
      <c r="F11" s="896">
        <v>10</v>
      </c>
      <c r="G11" s="896">
        <v>2</v>
      </c>
      <c r="H11" s="896">
        <v>1</v>
      </c>
      <c r="I11" s="896">
        <v>9</v>
      </c>
      <c r="J11" s="896">
        <v>12</v>
      </c>
    </row>
    <row r="12" spans="1:10">
      <c r="A12" s="706" t="s">
        <v>24</v>
      </c>
      <c r="B12" s="707" t="s">
        <v>25</v>
      </c>
      <c r="C12" s="708" t="s">
        <v>267</v>
      </c>
      <c r="D12" s="896">
        <v>84</v>
      </c>
      <c r="E12" s="896">
        <v>64</v>
      </c>
      <c r="F12" s="896">
        <v>12</v>
      </c>
      <c r="G12" s="896">
        <v>8</v>
      </c>
      <c r="H12" s="896">
        <v>3</v>
      </c>
      <c r="I12" s="896">
        <v>33</v>
      </c>
      <c r="J12" s="896">
        <v>48</v>
      </c>
    </row>
    <row r="13" spans="1:10">
      <c r="A13" s="706" t="s">
        <v>26</v>
      </c>
      <c r="B13" s="707" t="s">
        <v>298</v>
      </c>
      <c r="C13" s="708" t="s">
        <v>265</v>
      </c>
      <c r="D13" s="896">
        <v>97</v>
      </c>
      <c r="E13" s="896">
        <v>84</v>
      </c>
      <c r="F13" s="896">
        <v>10</v>
      </c>
      <c r="G13" s="896">
        <v>3</v>
      </c>
      <c r="H13" s="896">
        <v>6</v>
      </c>
      <c r="I13" s="896">
        <v>30</v>
      </c>
      <c r="J13" s="896">
        <v>62</v>
      </c>
    </row>
    <row r="14" spans="1:10">
      <c r="A14" s="706" t="s">
        <v>27</v>
      </c>
      <c r="B14" s="707" t="s">
        <v>28</v>
      </c>
      <c r="C14" s="708" t="s">
        <v>265</v>
      </c>
      <c r="D14" s="896">
        <v>1</v>
      </c>
      <c r="E14" s="896">
        <v>0</v>
      </c>
      <c r="F14" s="896">
        <v>1</v>
      </c>
      <c r="G14" s="896">
        <v>0</v>
      </c>
      <c r="H14" s="896">
        <v>0</v>
      </c>
      <c r="I14" s="896">
        <v>1</v>
      </c>
      <c r="J14" s="896">
        <v>0</v>
      </c>
    </row>
    <row r="15" spans="1:10">
      <c r="A15" s="706" t="s">
        <v>29</v>
      </c>
      <c r="B15" s="707" t="s">
        <v>1012</v>
      </c>
      <c r="C15" s="708" t="s">
        <v>265</v>
      </c>
      <c r="D15" s="896">
        <v>70</v>
      </c>
      <c r="E15" s="896">
        <v>55</v>
      </c>
      <c r="F15" s="896">
        <v>14</v>
      </c>
      <c r="G15" s="896">
        <v>1</v>
      </c>
      <c r="H15" s="896">
        <v>2</v>
      </c>
      <c r="I15" s="896">
        <v>23</v>
      </c>
      <c r="J15" s="896">
        <v>45</v>
      </c>
    </row>
    <row r="16" spans="1:10">
      <c r="A16" s="706" t="s">
        <v>30</v>
      </c>
      <c r="B16" s="707" t="s">
        <v>31</v>
      </c>
      <c r="C16" s="708" t="s">
        <v>268</v>
      </c>
      <c r="D16" s="896">
        <v>3</v>
      </c>
      <c r="E16" s="896">
        <v>3</v>
      </c>
      <c r="F16" s="896">
        <v>0</v>
      </c>
      <c r="G16" s="896">
        <v>0</v>
      </c>
      <c r="H16" s="896">
        <v>0</v>
      </c>
      <c r="I16" s="896">
        <v>0</v>
      </c>
      <c r="J16" s="896">
        <v>3</v>
      </c>
    </row>
    <row r="17" spans="1:10">
      <c r="A17" s="706" t="s">
        <v>32</v>
      </c>
      <c r="B17" s="707" t="s">
        <v>33</v>
      </c>
      <c r="C17" s="708" t="s">
        <v>265</v>
      </c>
      <c r="D17" s="896">
        <v>19</v>
      </c>
      <c r="E17" s="896">
        <v>19</v>
      </c>
      <c r="F17" s="896">
        <v>0</v>
      </c>
      <c r="G17" s="896">
        <v>0</v>
      </c>
      <c r="H17" s="896">
        <v>1</v>
      </c>
      <c r="I17" s="896">
        <v>6</v>
      </c>
      <c r="J17" s="896">
        <v>12</v>
      </c>
    </row>
    <row r="18" spans="1:10">
      <c r="A18" s="706" t="s">
        <v>36</v>
      </c>
      <c r="B18" s="707" t="s">
        <v>37</v>
      </c>
      <c r="C18" s="708" t="s">
        <v>264</v>
      </c>
      <c r="D18" s="896">
        <v>31</v>
      </c>
      <c r="E18" s="896">
        <v>6</v>
      </c>
      <c r="F18" s="896">
        <v>25</v>
      </c>
      <c r="G18" s="896">
        <v>0</v>
      </c>
      <c r="H18" s="896">
        <v>2</v>
      </c>
      <c r="I18" s="896">
        <v>17</v>
      </c>
      <c r="J18" s="896">
        <v>12</v>
      </c>
    </row>
    <row r="19" spans="1:10">
      <c r="A19" s="706" t="s">
        <v>38</v>
      </c>
      <c r="B19" s="707" t="s">
        <v>39</v>
      </c>
      <c r="C19" s="708" t="s">
        <v>268</v>
      </c>
      <c r="D19" s="896">
        <v>28</v>
      </c>
      <c r="E19" s="896">
        <v>28</v>
      </c>
      <c r="F19" s="896">
        <v>0</v>
      </c>
      <c r="G19" s="896">
        <v>0</v>
      </c>
      <c r="H19" s="896">
        <v>5</v>
      </c>
      <c r="I19" s="896">
        <v>13</v>
      </c>
      <c r="J19" s="896">
        <v>10</v>
      </c>
    </row>
    <row r="20" spans="1:10">
      <c r="A20" s="706" t="s">
        <v>40</v>
      </c>
      <c r="B20" s="707" t="s">
        <v>41</v>
      </c>
      <c r="C20" s="708" t="s">
        <v>266</v>
      </c>
      <c r="D20" s="896">
        <v>15</v>
      </c>
      <c r="E20" s="896">
        <v>8</v>
      </c>
      <c r="F20" s="896">
        <v>7</v>
      </c>
      <c r="G20" s="896">
        <v>0</v>
      </c>
      <c r="H20" s="896">
        <v>3</v>
      </c>
      <c r="I20" s="896">
        <v>6</v>
      </c>
      <c r="J20" s="896">
        <v>6</v>
      </c>
    </row>
    <row r="21" spans="1:10">
      <c r="A21" s="706" t="s">
        <v>42</v>
      </c>
      <c r="B21" s="707" t="s">
        <v>43</v>
      </c>
      <c r="C21" s="708" t="s">
        <v>265</v>
      </c>
      <c r="D21" s="896">
        <v>45</v>
      </c>
      <c r="E21" s="896">
        <v>36</v>
      </c>
      <c r="F21" s="896">
        <v>7</v>
      </c>
      <c r="G21" s="896">
        <v>2</v>
      </c>
      <c r="H21" s="896">
        <v>3</v>
      </c>
      <c r="I21" s="896">
        <v>5</v>
      </c>
      <c r="J21" s="896">
        <v>37</v>
      </c>
    </row>
    <row r="22" spans="1:10">
      <c r="A22" s="706" t="s">
        <v>44</v>
      </c>
      <c r="B22" s="707" t="s">
        <v>45</v>
      </c>
      <c r="C22" s="708" t="s">
        <v>266</v>
      </c>
      <c r="D22" s="896">
        <v>7</v>
      </c>
      <c r="E22" s="896">
        <v>6</v>
      </c>
      <c r="F22" s="896">
        <v>1</v>
      </c>
      <c r="G22" s="896">
        <v>0</v>
      </c>
      <c r="H22" s="896">
        <v>0</v>
      </c>
      <c r="I22" s="896">
        <v>2</v>
      </c>
      <c r="J22" s="896">
        <v>5</v>
      </c>
    </row>
    <row r="23" spans="1:10">
      <c r="A23" s="706" t="s">
        <v>46</v>
      </c>
      <c r="B23" s="707" t="s">
        <v>47</v>
      </c>
      <c r="C23" s="708" t="s">
        <v>268</v>
      </c>
      <c r="D23" s="896">
        <v>40</v>
      </c>
      <c r="E23" s="896">
        <v>39</v>
      </c>
      <c r="F23" s="896">
        <v>0</v>
      </c>
      <c r="G23" s="896">
        <v>1</v>
      </c>
      <c r="H23" s="896">
        <v>5</v>
      </c>
      <c r="I23" s="896">
        <v>19</v>
      </c>
      <c r="J23" s="896">
        <v>16</v>
      </c>
    </row>
    <row r="24" spans="1:10">
      <c r="A24" s="706" t="s">
        <v>48</v>
      </c>
      <c r="B24" s="707" t="s">
        <v>269</v>
      </c>
      <c r="C24" s="708" t="s">
        <v>266</v>
      </c>
      <c r="D24" s="896">
        <v>8</v>
      </c>
      <c r="E24" s="896">
        <v>4</v>
      </c>
      <c r="F24" s="896">
        <v>4</v>
      </c>
      <c r="G24" s="896">
        <v>0</v>
      </c>
      <c r="H24" s="896">
        <v>1</v>
      </c>
      <c r="I24" s="896">
        <v>6</v>
      </c>
      <c r="J24" s="896">
        <v>1</v>
      </c>
    </row>
    <row r="25" spans="1:10">
      <c r="A25" s="706" t="s">
        <v>50</v>
      </c>
      <c r="B25" s="707" t="s">
        <v>51</v>
      </c>
      <c r="C25" s="708" t="s">
        <v>265</v>
      </c>
      <c r="D25" s="896">
        <v>21</v>
      </c>
      <c r="E25" s="896">
        <v>14</v>
      </c>
      <c r="F25" s="896">
        <v>7</v>
      </c>
      <c r="G25" s="896">
        <v>0</v>
      </c>
      <c r="H25" s="896">
        <v>1</v>
      </c>
      <c r="I25" s="896">
        <v>7</v>
      </c>
      <c r="J25" s="896">
        <v>13</v>
      </c>
    </row>
    <row r="26" spans="1:10">
      <c r="A26" s="706" t="s">
        <v>56</v>
      </c>
      <c r="B26" s="707" t="s">
        <v>295</v>
      </c>
      <c r="C26" s="708" t="s">
        <v>266</v>
      </c>
      <c r="D26" s="896">
        <v>146</v>
      </c>
      <c r="E26" s="896">
        <v>101</v>
      </c>
      <c r="F26" s="896">
        <v>41</v>
      </c>
      <c r="G26" s="896">
        <v>4</v>
      </c>
      <c r="H26" s="896">
        <v>32</v>
      </c>
      <c r="I26" s="896">
        <v>66</v>
      </c>
      <c r="J26" s="896">
        <v>49</v>
      </c>
    </row>
    <row r="27" spans="1:10">
      <c r="A27" s="706" t="s">
        <v>58</v>
      </c>
      <c r="B27" s="707" t="s">
        <v>59</v>
      </c>
      <c r="C27" s="708" t="s">
        <v>267</v>
      </c>
      <c r="D27" s="896">
        <v>4</v>
      </c>
      <c r="E27" s="896">
        <v>4</v>
      </c>
      <c r="F27" s="896">
        <v>0</v>
      </c>
      <c r="G27" s="896">
        <v>0</v>
      </c>
      <c r="H27" s="896">
        <v>0</v>
      </c>
      <c r="I27" s="896">
        <v>1</v>
      </c>
      <c r="J27" s="896">
        <v>3</v>
      </c>
    </row>
    <row r="28" spans="1:10">
      <c r="A28" s="706" t="s">
        <v>60</v>
      </c>
      <c r="B28" s="707" t="s">
        <v>61</v>
      </c>
      <c r="C28" s="708" t="s">
        <v>265</v>
      </c>
      <c r="D28" s="896">
        <v>5</v>
      </c>
      <c r="E28" s="896">
        <v>5</v>
      </c>
      <c r="F28" s="896">
        <v>0</v>
      </c>
      <c r="G28" s="896">
        <v>0</v>
      </c>
      <c r="H28" s="896">
        <v>0</v>
      </c>
      <c r="I28" s="896">
        <v>1</v>
      </c>
      <c r="J28" s="896">
        <v>4</v>
      </c>
    </row>
    <row r="29" spans="1:10">
      <c r="A29" s="706" t="s">
        <v>62</v>
      </c>
      <c r="B29" s="707" t="s">
        <v>63</v>
      </c>
      <c r="C29" s="708" t="s">
        <v>267</v>
      </c>
      <c r="D29" s="896">
        <v>12</v>
      </c>
      <c r="E29" s="896">
        <v>10</v>
      </c>
      <c r="F29" s="896">
        <v>2</v>
      </c>
      <c r="G29" s="896">
        <v>0</v>
      </c>
      <c r="H29" s="896">
        <v>0</v>
      </c>
      <c r="I29" s="896">
        <v>6</v>
      </c>
      <c r="J29" s="896">
        <v>6</v>
      </c>
    </row>
    <row r="30" spans="1:10">
      <c r="A30" s="706" t="s">
        <v>64</v>
      </c>
      <c r="B30" s="707" t="s">
        <v>65</v>
      </c>
      <c r="C30" s="708" t="s">
        <v>266</v>
      </c>
      <c r="D30" s="896">
        <v>14</v>
      </c>
      <c r="E30" s="896">
        <v>3</v>
      </c>
      <c r="F30" s="896">
        <v>11</v>
      </c>
      <c r="G30" s="896">
        <v>0</v>
      </c>
      <c r="H30" s="896">
        <v>1</v>
      </c>
      <c r="I30" s="896">
        <v>4</v>
      </c>
      <c r="J30" s="896">
        <v>9</v>
      </c>
    </row>
    <row r="31" spans="1:10">
      <c r="A31" s="706" t="s">
        <v>68</v>
      </c>
      <c r="B31" s="707" t="s">
        <v>69</v>
      </c>
      <c r="C31" s="708" t="s">
        <v>268</v>
      </c>
      <c r="D31" s="896">
        <v>10</v>
      </c>
      <c r="E31" s="896">
        <v>10</v>
      </c>
      <c r="F31" s="896">
        <v>0</v>
      </c>
      <c r="G31" s="896">
        <v>0</v>
      </c>
      <c r="H31" s="896">
        <v>2</v>
      </c>
      <c r="I31" s="896">
        <v>3</v>
      </c>
      <c r="J31" s="896">
        <v>5</v>
      </c>
    </row>
    <row r="32" spans="1:10">
      <c r="A32" s="706" t="s">
        <v>70</v>
      </c>
      <c r="B32" s="707" t="s">
        <v>71</v>
      </c>
      <c r="C32" s="708" t="s">
        <v>264</v>
      </c>
      <c r="D32" s="896">
        <v>52</v>
      </c>
      <c r="E32" s="896">
        <v>22</v>
      </c>
      <c r="F32" s="896">
        <v>28</v>
      </c>
      <c r="G32" s="896">
        <v>2</v>
      </c>
      <c r="H32" s="896">
        <v>12</v>
      </c>
      <c r="I32" s="896">
        <v>28</v>
      </c>
      <c r="J32" s="896">
        <v>13</v>
      </c>
    </row>
    <row r="33" spans="1:10">
      <c r="A33" s="706" t="s">
        <v>72</v>
      </c>
      <c r="B33" s="707" t="s">
        <v>73</v>
      </c>
      <c r="C33" s="708" t="s">
        <v>266</v>
      </c>
      <c r="D33" s="896">
        <v>5</v>
      </c>
      <c r="E33" s="896">
        <v>0</v>
      </c>
      <c r="F33" s="896">
        <v>5</v>
      </c>
      <c r="G33" s="896">
        <v>0</v>
      </c>
      <c r="H33" s="896">
        <v>1</v>
      </c>
      <c r="I33" s="896">
        <v>3</v>
      </c>
      <c r="J33" s="896">
        <v>1</v>
      </c>
    </row>
    <row r="34" spans="1:10">
      <c r="A34" s="706" t="s">
        <v>74</v>
      </c>
      <c r="B34" s="707" t="s">
        <v>651</v>
      </c>
      <c r="C34" s="708" t="s">
        <v>267</v>
      </c>
      <c r="D34" s="896">
        <v>248</v>
      </c>
      <c r="E34" s="896">
        <v>162</v>
      </c>
      <c r="F34" s="896">
        <v>41</v>
      </c>
      <c r="G34" s="896">
        <v>45</v>
      </c>
      <c r="H34" s="896">
        <v>20</v>
      </c>
      <c r="I34" s="896">
        <v>98</v>
      </c>
      <c r="J34" s="896">
        <v>132</v>
      </c>
    </row>
    <row r="35" spans="1:10">
      <c r="A35" s="706" t="s">
        <v>76</v>
      </c>
      <c r="B35" s="707" t="s">
        <v>77</v>
      </c>
      <c r="C35" s="708" t="s">
        <v>267</v>
      </c>
      <c r="D35" s="896">
        <v>19</v>
      </c>
      <c r="E35" s="896">
        <v>16</v>
      </c>
      <c r="F35" s="896">
        <v>3</v>
      </c>
      <c r="G35" s="896">
        <v>0</v>
      </c>
      <c r="H35" s="896">
        <v>4</v>
      </c>
      <c r="I35" s="896">
        <v>2</v>
      </c>
      <c r="J35" s="896">
        <v>13</v>
      </c>
    </row>
    <row r="36" spans="1:10">
      <c r="A36" s="706" t="s">
        <v>78</v>
      </c>
      <c r="B36" s="707" t="s">
        <v>79</v>
      </c>
      <c r="C36" s="708" t="s">
        <v>268</v>
      </c>
      <c r="D36" s="896">
        <v>14</v>
      </c>
      <c r="E36" s="896">
        <v>14</v>
      </c>
      <c r="F36" s="896">
        <v>0</v>
      </c>
      <c r="G36" s="896">
        <v>0</v>
      </c>
      <c r="H36" s="896">
        <v>2</v>
      </c>
      <c r="I36" s="896">
        <v>5</v>
      </c>
      <c r="J36" s="896">
        <v>8</v>
      </c>
    </row>
    <row r="37" spans="1:10">
      <c r="A37" s="706" t="s">
        <v>80</v>
      </c>
      <c r="B37" s="707" t="s">
        <v>81</v>
      </c>
      <c r="C37" s="708" t="s">
        <v>266</v>
      </c>
      <c r="D37" s="896">
        <v>5</v>
      </c>
      <c r="E37" s="896">
        <v>1</v>
      </c>
      <c r="F37" s="896">
        <v>4</v>
      </c>
      <c r="G37" s="896">
        <v>0</v>
      </c>
      <c r="H37" s="896">
        <v>1</v>
      </c>
      <c r="I37" s="896">
        <v>1</v>
      </c>
      <c r="J37" s="896">
        <v>3</v>
      </c>
    </row>
    <row r="38" spans="1:10">
      <c r="A38" s="706" t="s">
        <v>84</v>
      </c>
      <c r="B38" s="707" t="s">
        <v>85</v>
      </c>
      <c r="C38" s="708" t="s">
        <v>265</v>
      </c>
      <c r="D38" s="896">
        <v>46</v>
      </c>
      <c r="E38" s="896">
        <v>36</v>
      </c>
      <c r="F38" s="896">
        <v>4</v>
      </c>
      <c r="G38" s="896">
        <v>6</v>
      </c>
      <c r="H38" s="896">
        <v>3</v>
      </c>
      <c r="I38" s="896">
        <v>14</v>
      </c>
      <c r="J38" s="896">
        <v>29</v>
      </c>
    </row>
    <row r="39" spans="1:10">
      <c r="A39" s="706" t="s">
        <v>86</v>
      </c>
      <c r="B39" s="707" t="s">
        <v>87</v>
      </c>
      <c r="C39" s="708" t="s">
        <v>267</v>
      </c>
      <c r="D39" s="896">
        <v>25</v>
      </c>
      <c r="E39" s="896">
        <v>21</v>
      </c>
      <c r="F39" s="896">
        <v>2</v>
      </c>
      <c r="G39" s="896">
        <v>2</v>
      </c>
      <c r="H39" s="896">
        <v>1</v>
      </c>
      <c r="I39" s="896">
        <v>9</v>
      </c>
      <c r="J39" s="896">
        <v>15</v>
      </c>
    </row>
    <row r="40" spans="1:10">
      <c r="A40" s="706" t="s">
        <v>92</v>
      </c>
      <c r="B40" s="707" t="s">
        <v>93</v>
      </c>
      <c r="C40" s="708" t="s">
        <v>268</v>
      </c>
      <c r="D40" s="896">
        <v>8</v>
      </c>
      <c r="E40" s="896">
        <v>8</v>
      </c>
      <c r="F40" s="896">
        <v>0</v>
      </c>
      <c r="G40" s="896">
        <v>0</v>
      </c>
      <c r="H40" s="896">
        <v>1</v>
      </c>
      <c r="I40" s="896">
        <v>5</v>
      </c>
      <c r="J40" s="896">
        <v>2</v>
      </c>
    </row>
    <row r="41" spans="1:10">
      <c r="A41" s="706" t="s">
        <v>94</v>
      </c>
      <c r="B41" s="707" t="s">
        <v>95</v>
      </c>
      <c r="C41" s="708" t="s">
        <v>264</v>
      </c>
      <c r="D41" s="896">
        <v>40</v>
      </c>
      <c r="E41" s="896">
        <v>28</v>
      </c>
      <c r="F41" s="896">
        <v>10</v>
      </c>
      <c r="G41" s="896">
        <v>2</v>
      </c>
      <c r="H41" s="896">
        <v>13</v>
      </c>
      <c r="I41" s="896">
        <v>17</v>
      </c>
      <c r="J41" s="896">
        <v>12</v>
      </c>
    </row>
    <row r="42" spans="1:10">
      <c r="A42" s="706" t="s">
        <v>96</v>
      </c>
      <c r="B42" s="707" t="s">
        <v>97</v>
      </c>
      <c r="C42" s="708" t="s">
        <v>266</v>
      </c>
      <c r="D42" s="896">
        <v>10</v>
      </c>
      <c r="E42" s="896">
        <v>6</v>
      </c>
      <c r="F42" s="896">
        <v>4</v>
      </c>
      <c r="G42" s="896">
        <v>0</v>
      </c>
      <c r="H42" s="896">
        <v>1</v>
      </c>
      <c r="I42" s="896">
        <v>1</v>
      </c>
      <c r="J42" s="896">
        <v>8</v>
      </c>
    </row>
    <row r="43" spans="1:10">
      <c r="A43" s="706" t="s">
        <v>98</v>
      </c>
      <c r="B43" s="707" t="s">
        <v>99</v>
      </c>
      <c r="C43" s="708" t="s">
        <v>268</v>
      </c>
      <c r="D43" s="896">
        <v>30</v>
      </c>
      <c r="E43" s="896">
        <v>27</v>
      </c>
      <c r="F43" s="896">
        <v>2</v>
      </c>
      <c r="G43" s="896">
        <v>1</v>
      </c>
      <c r="H43" s="896">
        <v>5</v>
      </c>
      <c r="I43" s="896">
        <v>12</v>
      </c>
      <c r="J43" s="896">
        <v>13</v>
      </c>
    </row>
    <row r="44" spans="1:10">
      <c r="A44" s="706" t="s">
        <v>100</v>
      </c>
      <c r="B44" s="707" t="s">
        <v>101</v>
      </c>
      <c r="C44" s="708" t="s">
        <v>267</v>
      </c>
      <c r="D44" s="896">
        <v>10</v>
      </c>
      <c r="E44" s="896">
        <v>6</v>
      </c>
      <c r="F44" s="896">
        <v>1</v>
      </c>
      <c r="G44" s="896">
        <v>3</v>
      </c>
      <c r="H44" s="896">
        <v>0</v>
      </c>
      <c r="I44" s="896">
        <v>0</v>
      </c>
      <c r="J44" s="896">
        <v>10</v>
      </c>
    </row>
    <row r="45" spans="1:10">
      <c r="A45" s="706" t="s">
        <v>102</v>
      </c>
      <c r="B45" s="707" t="s">
        <v>282</v>
      </c>
      <c r="C45" s="708" t="s">
        <v>264</v>
      </c>
      <c r="D45" s="896">
        <v>25</v>
      </c>
      <c r="E45" s="896">
        <v>13</v>
      </c>
      <c r="F45" s="896">
        <v>12</v>
      </c>
      <c r="G45" s="896">
        <v>0</v>
      </c>
      <c r="H45" s="896">
        <v>1</v>
      </c>
      <c r="I45" s="896">
        <v>4</v>
      </c>
      <c r="J45" s="896">
        <v>20</v>
      </c>
    </row>
    <row r="46" spans="1:10">
      <c r="A46" s="706" t="s">
        <v>104</v>
      </c>
      <c r="B46" s="707" t="s">
        <v>105</v>
      </c>
      <c r="C46" s="708" t="s">
        <v>265</v>
      </c>
      <c r="D46" s="896">
        <v>52</v>
      </c>
      <c r="E46" s="896">
        <v>22</v>
      </c>
      <c r="F46" s="896">
        <v>29</v>
      </c>
      <c r="G46" s="896">
        <v>1</v>
      </c>
      <c r="H46" s="896">
        <v>4</v>
      </c>
      <c r="I46" s="896">
        <v>23</v>
      </c>
      <c r="J46" s="896">
        <v>25</v>
      </c>
    </row>
    <row r="47" spans="1:10">
      <c r="A47" s="706" t="s">
        <v>108</v>
      </c>
      <c r="B47" s="707" t="s">
        <v>109</v>
      </c>
      <c r="C47" s="708" t="s">
        <v>266</v>
      </c>
      <c r="D47" s="896">
        <v>31</v>
      </c>
      <c r="E47" s="896">
        <v>20</v>
      </c>
      <c r="F47" s="896">
        <v>11</v>
      </c>
      <c r="G47" s="896">
        <v>0</v>
      </c>
      <c r="H47" s="896">
        <v>4</v>
      </c>
      <c r="I47" s="896">
        <v>12</v>
      </c>
      <c r="J47" s="896">
        <v>15</v>
      </c>
    </row>
    <row r="48" spans="1:10">
      <c r="A48" s="706" t="s">
        <v>110</v>
      </c>
      <c r="B48" s="707" t="s">
        <v>111</v>
      </c>
      <c r="C48" s="708" t="s">
        <v>266</v>
      </c>
      <c r="D48" s="896">
        <v>162</v>
      </c>
      <c r="E48" s="896">
        <v>92</v>
      </c>
      <c r="F48" s="896">
        <v>60</v>
      </c>
      <c r="G48" s="896">
        <v>10</v>
      </c>
      <c r="H48" s="896">
        <v>23</v>
      </c>
      <c r="I48" s="896">
        <v>60</v>
      </c>
      <c r="J48" s="896">
        <v>80</v>
      </c>
    </row>
    <row r="49" spans="1:10">
      <c r="A49" s="706" t="s">
        <v>112</v>
      </c>
      <c r="B49" s="707" t="s">
        <v>300</v>
      </c>
      <c r="C49" s="708" t="s">
        <v>265</v>
      </c>
      <c r="D49" s="896">
        <v>66</v>
      </c>
      <c r="E49" s="896">
        <v>46</v>
      </c>
      <c r="F49" s="896">
        <v>19</v>
      </c>
      <c r="G49" s="896">
        <v>1</v>
      </c>
      <c r="H49" s="896">
        <v>3</v>
      </c>
      <c r="I49" s="896">
        <v>30</v>
      </c>
      <c r="J49" s="896">
        <v>33</v>
      </c>
    </row>
    <row r="50" spans="1:10">
      <c r="A50" s="706" t="s">
        <v>114</v>
      </c>
      <c r="B50" s="707" t="s">
        <v>115</v>
      </c>
      <c r="C50" s="708" t="s">
        <v>265</v>
      </c>
      <c r="D50" s="896">
        <v>3</v>
      </c>
      <c r="E50" s="896">
        <v>3</v>
      </c>
      <c r="F50" s="896">
        <v>0</v>
      </c>
      <c r="G50" s="896">
        <v>0</v>
      </c>
      <c r="H50" s="896">
        <v>0</v>
      </c>
      <c r="I50" s="896">
        <v>1</v>
      </c>
      <c r="J50" s="896">
        <v>2</v>
      </c>
    </row>
    <row r="51" spans="1:10">
      <c r="A51" s="706" t="s">
        <v>118</v>
      </c>
      <c r="B51" s="707" t="s">
        <v>270</v>
      </c>
      <c r="C51" s="708" t="s">
        <v>264</v>
      </c>
      <c r="D51" s="896">
        <v>14</v>
      </c>
      <c r="E51" s="896">
        <v>5</v>
      </c>
      <c r="F51" s="896">
        <v>9</v>
      </c>
      <c r="G51" s="896">
        <v>0</v>
      </c>
      <c r="H51" s="896">
        <v>2</v>
      </c>
      <c r="I51" s="896">
        <v>7</v>
      </c>
      <c r="J51" s="896">
        <v>5</v>
      </c>
    </row>
    <row r="52" spans="1:10">
      <c r="A52" s="706" t="s">
        <v>120</v>
      </c>
      <c r="B52" s="707" t="s">
        <v>121</v>
      </c>
      <c r="C52" s="708" t="s">
        <v>264</v>
      </c>
      <c r="D52" s="896">
        <v>31</v>
      </c>
      <c r="E52" s="896">
        <v>15</v>
      </c>
      <c r="F52" s="896">
        <v>15</v>
      </c>
      <c r="G52" s="896">
        <v>1</v>
      </c>
      <c r="H52" s="896">
        <v>6</v>
      </c>
      <c r="I52" s="896">
        <v>15</v>
      </c>
      <c r="J52" s="896">
        <v>10</v>
      </c>
    </row>
    <row r="53" spans="1:10">
      <c r="A53" s="706" t="s">
        <v>122</v>
      </c>
      <c r="B53" s="707" t="s">
        <v>287</v>
      </c>
      <c r="C53" s="708" t="s">
        <v>266</v>
      </c>
      <c r="D53" s="896">
        <v>5</v>
      </c>
      <c r="E53" s="896">
        <v>1</v>
      </c>
      <c r="F53" s="896">
        <v>4</v>
      </c>
      <c r="G53" s="896">
        <v>0</v>
      </c>
      <c r="H53" s="896">
        <v>1</v>
      </c>
      <c r="I53" s="896">
        <v>3</v>
      </c>
      <c r="J53" s="896">
        <v>1</v>
      </c>
    </row>
    <row r="54" spans="1:10">
      <c r="A54" s="706" t="s">
        <v>124</v>
      </c>
      <c r="B54" s="707" t="s">
        <v>125</v>
      </c>
      <c r="C54" s="708" t="s">
        <v>267</v>
      </c>
      <c r="D54" s="896">
        <v>2</v>
      </c>
      <c r="E54" s="896">
        <v>1</v>
      </c>
      <c r="F54" s="896">
        <v>1</v>
      </c>
      <c r="G54" s="896">
        <v>0</v>
      </c>
      <c r="H54" s="896">
        <v>0</v>
      </c>
      <c r="I54" s="896">
        <v>0</v>
      </c>
      <c r="J54" s="896">
        <v>2</v>
      </c>
    </row>
    <row r="55" spans="1:10">
      <c r="A55" s="706" t="s">
        <v>126</v>
      </c>
      <c r="B55" s="707" t="s">
        <v>127</v>
      </c>
      <c r="C55" s="708" t="s">
        <v>266</v>
      </c>
      <c r="D55" s="896">
        <v>14</v>
      </c>
      <c r="E55" s="896">
        <v>6</v>
      </c>
      <c r="F55" s="896">
        <v>8</v>
      </c>
      <c r="G55" s="896">
        <v>0</v>
      </c>
      <c r="H55" s="896">
        <v>3</v>
      </c>
      <c r="I55" s="896">
        <v>7</v>
      </c>
      <c r="J55" s="896">
        <v>4</v>
      </c>
    </row>
    <row r="56" spans="1:10">
      <c r="A56" s="706" t="s">
        <v>128</v>
      </c>
      <c r="B56" s="707" t="s">
        <v>129</v>
      </c>
      <c r="C56" s="708" t="s">
        <v>266</v>
      </c>
      <c r="D56" s="896">
        <v>8</v>
      </c>
      <c r="E56" s="896">
        <v>5</v>
      </c>
      <c r="F56" s="896">
        <v>3</v>
      </c>
      <c r="G56" s="896">
        <v>0</v>
      </c>
      <c r="H56" s="896">
        <v>0</v>
      </c>
      <c r="I56" s="896">
        <v>5</v>
      </c>
      <c r="J56" s="896">
        <v>3</v>
      </c>
    </row>
    <row r="57" spans="1:10">
      <c r="A57" s="706" t="s">
        <v>130</v>
      </c>
      <c r="B57" s="707" t="s">
        <v>131</v>
      </c>
      <c r="C57" s="708" t="s">
        <v>268</v>
      </c>
      <c r="D57" s="896">
        <v>112</v>
      </c>
      <c r="E57" s="896">
        <v>110</v>
      </c>
      <c r="F57" s="896">
        <v>0</v>
      </c>
      <c r="G57" s="896">
        <v>2</v>
      </c>
      <c r="H57" s="896">
        <v>17</v>
      </c>
      <c r="I57" s="896">
        <v>65</v>
      </c>
      <c r="J57" s="896">
        <v>31</v>
      </c>
    </row>
    <row r="58" spans="1:10">
      <c r="A58" s="706" t="s">
        <v>132</v>
      </c>
      <c r="B58" s="707" t="s">
        <v>133</v>
      </c>
      <c r="C58" s="708" t="s">
        <v>267</v>
      </c>
      <c r="D58" s="896">
        <v>23</v>
      </c>
      <c r="E58" s="896">
        <v>18</v>
      </c>
      <c r="F58" s="896">
        <v>4</v>
      </c>
      <c r="G58" s="896">
        <v>1</v>
      </c>
      <c r="H58" s="896">
        <v>2</v>
      </c>
      <c r="I58" s="896">
        <v>6</v>
      </c>
      <c r="J58" s="896">
        <v>16</v>
      </c>
    </row>
    <row r="59" spans="1:10">
      <c r="A59" s="706" t="s">
        <v>134</v>
      </c>
      <c r="B59" s="707" t="s">
        <v>135</v>
      </c>
      <c r="C59" s="708" t="s">
        <v>267</v>
      </c>
      <c r="D59" s="896">
        <v>13</v>
      </c>
      <c r="E59" s="896">
        <v>7</v>
      </c>
      <c r="F59" s="896">
        <v>6</v>
      </c>
      <c r="G59" s="896">
        <v>0</v>
      </c>
      <c r="H59" s="896">
        <v>2</v>
      </c>
      <c r="I59" s="896">
        <v>5</v>
      </c>
      <c r="J59" s="896">
        <v>6</v>
      </c>
    </row>
    <row r="60" spans="1:10">
      <c r="A60" s="706" t="s">
        <v>136</v>
      </c>
      <c r="B60" s="707" t="s">
        <v>137</v>
      </c>
      <c r="C60" s="708" t="s">
        <v>266</v>
      </c>
      <c r="D60" s="896">
        <v>15</v>
      </c>
      <c r="E60" s="896">
        <v>7</v>
      </c>
      <c r="F60" s="896">
        <v>8</v>
      </c>
      <c r="G60" s="896">
        <v>0</v>
      </c>
      <c r="H60" s="896">
        <v>3</v>
      </c>
      <c r="I60" s="896">
        <v>5</v>
      </c>
      <c r="J60" s="896">
        <v>7</v>
      </c>
    </row>
    <row r="61" spans="1:10">
      <c r="A61" s="706" t="s">
        <v>140</v>
      </c>
      <c r="B61" s="707" t="s">
        <v>141</v>
      </c>
      <c r="C61" s="708" t="s">
        <v>267</v>
      </c>
      <c r="D61" s="896">
        <v>11</v>
      </c>
      <c r="E61" s="896">
        <v>9</v>
      </c>
      <c r="F61" s="896">
        <v>1</v>
      </c>
      <c r="G61" s="896">
        <v>1</v>
      </c>
      <c r="H61" s="896">
        <v>0</v>
      </c>
      <c r="I61" s="896">
        <v>2</v>
      </c>
      <c r="J61" s="896">
        <v>9</v>
      </c>
    </row>
    <row r="62" spans="1:10">
      <c r="A62" s="706" t="s">
        <v>146</v>
      </c>
      <c r="B62" s="707" t="s">
        <v>147</v>
      </c>
      <c r="C62" s="708" t="s">
        <v>264</v>
      </c>
      <c r="D62" s="896">
        <v>4</v>
      </c>
      <c r="E62" s="896">
        <v>4</v>
      </c>
      <c r="F62" s="896">
        <v>0</v>
      </c>
      <c r="G62" s="896">
        <v>0</v>
      </c>
      <c r="H62" s="896">
        <v>0</v>
      </c>
      <c r="I62" s="896">
        <v>3</v>
      </c>
      <c r="J62" s="896">
        <v>1</v>
      </c>
    </row>
    <row r="63" spans="1:10">
      <c r="A63" s="706" t="s">
        <v>148</v>
      </c>
      <c r="B63" s="707" t="s">
        <v>149</v>
      </c>
      <c r="C63" s="708" t="s">
        <v>265</v>
      </c>
      <c r="D63" s="896">
        <v>60</v>
      </c>
      <c r="E63" s="896">
        <v>26</v>
      </c>
      <c r="F63" s="896">
        <v>32</v>
      </c>
      <c r="G63" s="896">
        <v>2</v>
      </c>
      <c r="H63" s="896">
        <v>2</v>
      </c>
      <c r="I63" s="896">
        <v>25</v>
      </c>
      <c r="J63" s="896">
        <v>34</v>
      </c>
    </row>
    <row r="64" spans="1:10">
      <c r="A64" s="706" t="s">
        <v>150</v>
      </c>
      <c r="B64" s="707" t="s">
        <v>151</v>
      </c>
      <c r="C64" s="708" t="s">
        <v>266</v>
      </c>
      <c r="D64" s="896">
        <v>9</v>
      </c>
      <c r="E64" s="896">
        <v>3</v>
      </c>
      <c r="F64" s="896">
        <v>5</v>
      </c>
      <c r="G64" s="896">
        <v>1</v>
      </c>
      <c r="H64" s="896">
        <v>0</v>
      </c>
      <c r="I64" s="896">
        <v>7</v>
      </c>
      <c r="J64" s="896">
        <v>2</v>
      </c>
    </row>
    <row r="65" spans="1:10">
      <c r="A65" s="706" t="s">
        <v>152</v>
      </c>
      <c r="B65" s="707" t="s">
        <v>153</v>
      </c>
      <c r="C65" s="708" t="s">
        <v>268</v>
      </c>
      <c r="D65" s="896">
        <v>55</v>
      </c>
      <c r="E65" s="896">
        <v>51</v>
      </c>
      <c r="F65" s="896">
        <v>2</v>
      </c>
      <c r="G65" s="896">
        <v>2</v>
      </c>
      <c r="H65" s="896">
        <v>5</v>
      </c>
      <c r="I65" s="896">
        <v>18</v>
      </c>
      <c r="J65" s="896">
        <v>33</v>
      </c>
    </row>
    <row r="66" spans="1:10">
      <c r="A66" s="706" t="s">
        <v>154</v>
      </c>
      <c r="B66" s="707" t="s">
        <v>155</v>
      </c>
      <c r="C66" s="708" t="s">
        <v>265</v>
      </c>
      <c r="D66" s="896">
        <v>24</v>
      </c>
      <c r="E66" s="896">
        <v>12</v>
      </c>
      <c r="F66" s="896">
        <v>11</v>
      </c>
      <c r="G66" s="896">
        <v>1</v>
      </c>
      <c r="H66" s="896">
        <v>3</v>
      </c>
      <c r="I66" s="896">
        <v>7</v>
      </c>
      <c r="J66" s="896">
        <v>14</v>
      </c>
    </row>
    <row r="67" spans="1:10">
      <c r="A67" s="706" t="s">
        <v>156</v>
      </c>
      <c r="B67" s="707" t="s">
        <v>157</v>
      </c>
      <c r="C67" s="708" t="s">
        <v>266</v>
      </c>
      <c r="D67" s="896">
        <v>9</v>
      </c>
      <c r="E67" s="896">
        <v>7</v>
      </c>
      <c r="F67" s="896">
        <v>2</v>
      </c>
      <c r="G67" s="896">
        <v>0</v>
      </c>
      <c r="H67" s="896">
        <v>2</v>
      </c>
      <c r="I67" s="896">
        <v>7</v>
      </c>
      <c r="J67" s="896">
        <v>0</v>
      </c>
    </row>
    <row r="68" spans="1:10">
      <c r="A68" s="706" t="s">
        <v>162</v>
      </c>
      <c r="B68" s="707" t="s">
        <v>163</v>
      </c>
      <c r="C68" s="708" t="s">
        <v>264</v>
      </c>
      <c r="D68" s="896">
        <v>21</v>
      </c>
      <c r="E68" s="896">
        <v>9</v>
      </c>
      <c r="F68" s="896">
        <v>12</v>
      </c>
      <c r="G68" s="896">
        <v>0</v>
      </c>
      <c r="H68" s="896">
        <v>1</v>
      </c>
      <c r="I68" s="896">
        <v>11</v>
      </c>
      <c r="J68" s="896">
        <v>9</v>
      </c>
    </row>
    <row r="69" spans="1:10">
      <c r="A69" s="706" t="s">
        <v>164</v>
      </c>
      <c r="B69" s="707" t="s">
        <v>165</v>
      </c>
      <c r="C69" s="708" t="s">
        <v>266</v>
      </c>
      <c r="D69" s="896">
        <v>12</v>
      </c>
      <c r="E69" s="896">
        <v>10</v>
      </c>
      <c r="F69" s="896">
        <v>2</v>
      </c>
      <c r="G69" s="896">
        <v>0</v>
      </c>
      <c r="H69" s="896">
        <v>3</v>
      </c>
      <c r="I69" s="896">
        <v>6</v>
      </c>
      <c r="J69" s="896">
        <v>3</v>
      </c>
    </row>
    <row r="70" spans="1:10">
      <c r="A70" s="706" t="s">
        <v>168</v>
      </c>
      <c r="B70" s="707" t="s">
        <v>169</v>
      </c>
      <c r="C70" s="708" t="s">
        <v>266</v>
      </c>
      <c r="D70" s="896">
        <v>15</v>
      </c>
      <c r="E70" s="896">
        <v>4</v>
      </c>
      <c r="F70" s="896">
        <v>11</v>
      </c>
      <c r="G70" s="896">
        <v>0</v>
      </c>
      <c r="H70" s="896">
        <v>0</v>
      </c>
      <c r="I70" s="896">
        <v>7</v>
      </c>
      <c r="J70" s="896">
        <v>8</v>
      </c>
    </row>
    <row r="71" spans="1:10">
      <c r="A71" s="706" t="s">
        <v>170</v>
      </c>
      <c r="B71" s="707" t="s">
        <v>171</v>
      </c>
      <c r="C71" s="708" t="s">
        <v>267</v>
      </c>
      <c r="D71" s="896">
        <v>16</v>
      </c>
      <c r="E71" s="896">
        <v>7</v>
      </c>
      <c r="F71" s="896">
        <v>8</v>
      </c>
      <c r="G71" s="896">
        <v>1</v>
      </c>
      <c r="H71" s="896">
        <v>1</v>
      </c>
      <c r="I71" s="896">
        <v>8</v>
      </c>
      <c r="J71" s="896">
        <v>8</v>
      </c>
    </row>
    <row r="72" spans="1:10">
      <c r="A72" s="706" t="s">
        <v>172</v>
      </c>
      <c r="B72" s="707" t="s">
        <v>173</v>
      </c>
      <c r="C72" s="708" t="s">
        <v>267</v>
      </c>
      <c r="D72" s="896">
        <v>23</v>
      </c>
      <c r="E72" s="896">
        <v>23</v>
      </c>
      <c r="F72" s="896">
        <v>0</v>
      </c>
      <c r="G72" s="896">
        <v>0</v>
      </c>
      <c r="H72" s="896">
        <v>0</v>
      </c>
      <c r="I72" s="896">
        <v>7</v>
      </c>
      <c r="J72" s="896">
        <v>16</v>
      </c>
    </row>
    <row r="73" spans="1:10">
      <c r="A73" s="706" t="s">
        <v>174</v>
      </c>
      <c r="B73" s="707" t="s">
        <v>175</v>
      </c>
      <c r="C73" s="708" t="s">
        <v>268</v>
      </c>
      <c r="D73" s="896">
        <v>25</v>
      </c>
      <c r="E73" s="896">
        <v>21</v>
      </c>
      <c r="F73" s="896">
        <v>0</v>
      </c>
      <c r="G73" s="896">
        <v>4</v>
      </c>
      <c r="H73" s="896">
        <v>1</v>
      </c>
      <c r="I73" s="896">
        <v>7</v>
      </c>
      <c r="J73" s="896">
        <v>17</v>
      </c>
    </row>
    <row r="74" spans="1:10">
      <c r="A74" s="706" t="s">
        <v>178</v>
      </c>
      <c r="B74" s="707" t="s">
        <v>179</v>
      </c>
      <c r="C74" s="708" t="s">
        <v>265</v>
      </c>
      <c r="D74" s="896">
        <v>43</v>
      </c>
      <c r="E74" s="896">
        <v>27</v>
      </c>
      <c r="F74" s="896">
        <v>14</v>
      </c>
      <c r="G74" s="896">
        <v>2</v>
      </c>
      <c r="H74" s="896">
        <v>1</v>
      </c>
      <c r="I74" s="896">
        <v>12</v>
      </c>
      <c r="J74" s="896">
        <v>30</v>
      </c>
    </row>
    <row r="75" spans="1:10">
      <c r="A75" s="706" t="s">
        <v>182</v>
      </c>
      <c r="B75" s="707" t="s">
        <v>183</v>
      </c>
      <c r="C75" s="708" t="s">
        <v>266</v>
      </c>
      <c r="D75" s="896">
        <v>11</v>
      </c>
      <c r="E75" s="896">
        <v>6</v>
      </c>
      <c r="F75" s="896">
        <v>5</v>
      </c>
      <c r="G75" s="896">
        <v>0</v>
      </c>
      <c r="H75" s="896">
        <v>1</v>
      </c>
      <c r="I75" s="896">
        <v>7</v>
      </c>
      <c r="J75" s="896">
        <v>3</v>
      </c>
    </row>
    <row r="76" spans="1:10">
      <c r="A76" s="706" t="s">
        <v>184</v>
      </c>
      <c r="B76" s="707" t="s">
        <v>185</v>
      </c>
      <c r="C76" s="708" t="s">
        <v>266</v>
      </c>
      <c r="D76" s="896">
        <v>28</v>
      </c>
      <c r="E76" s="896">
        <v>12</v>
      </c>
      <c r="F76" s="896">
        <v>16</v>
      </c>
      <c r="G76" s="896">
        <v>0</v>
      </c>
      <c r="H76" s="896">
        <v>4</v>
      </c>
      <c r="I76" s="896">
        <v>12</v>
      </c>
      <c r="J76" s="896">
        <v>12</v>
      </c>
    </row>
    <row r="77" spans="1:10">
      <c r="A77" s="706" t="s">
        <v>186</v>
      </c>
      <c r="B77" s="707" t="s">
        <v>187</v>
      </c>
      <c r="C77" s="708" t="s">
        <v>264</v>
      </c>
      <c r="D77" s="896">
        <v>6</v>
      </c>
      <c r="E77" s="896">
        <v>4</v>
      </c>
      <c r="F77" s="896">
        <v>2</v>
      </c>
      <c r="G77" s="896">
        <v>0</v>
      </c>
      <c r="H77" s="896">
        <v>4</v>
      </c>
      <c r="I77" s="896">
        <v>2</v>
      </c>
      <c r="J77" s="896">
        <v>0</v>
      </c>
    </row>
    <row r="78" spans="1:10">
      <c r="A78" s="706" t="s">
        <v>188</v>
      </c>
      <c r="B78" s="707" t="s">
        <v>189</v>
      </c>
      <c r="C78" s="708" t="s">
        <v>267</v>
      </c>
      <c r="D78" s="896">
        <v>80</v>
      </c>
      <c r="E78" s="896">
        <v>48</v>
      </c>
      <c r="F78" s="896">
        <v>22</v>
      </c>
      <c r="G78" s="896">
        <v>10</v>
      </c>
      <c r="H78" s="896">
        <v>9</v>
      </c>
      <c r="I78" s="896">
        <v>23</v>
      </c>
      <c r="J78" s="896">
        <v>48</v>
      </c>
    </row>
    <row r="79" spans="1:10">
      <c r="A79" s="706" t="s">
        <v>190</v>
      </c>
      <c r="B79" s="707" t="s">
        <v>191</v>
      </c>
      <c r="C79" s="708" t="s">
        <v>268</v>
      </c>
      <c r="D79" s="896">
        <v>49</v>
      </c>
      <c r="E79" s="896">
        <v>44</v>
      </c>
      <c r="F79" s="896">
        <v>4</v>
      </c>
      <c r="G79" s="896">
        <v>1</v>
      </c>
      <c r="H79" s="896">
        <v>6</v>
      </c>
      <c r="I79" s="896">
        <v>19</v>
      </c>
      <c r="J79" s="896">
        <v>25</v>
      </c>
    </row>
    <row r="80" spans="1:10">
      <c r="A80" s="706" t="s">
        <v>194</v>
      </c>
      <c r="B80" s="707" t="s">
        <v>195</v>
      </c>
      <c r="C80" s="708" t="s">
        <v>267</v>
      </c>
      <c r="D80" s="896">
        <v>2</v>
      </c>
      <c r="E80" s="896">
        <v>2</v>
      </c>
      <c r="F80" s="896">
        <v>0</v>
      </c>
      <c r="G80" s="896">
        <v>0</v>
      </c>
      <c r="H80" s="896">
        <v>0</v>
      </c>
      <c r="I80" s="896">
        <v>0</v>
      </c>
      <c r="J80" s="896">
        <v>2</v>
      </c>
    </row>
    <row r="81" spans="1:10">
      <c r="A81" s="706" t="s">
        <v>198</v>
      </c>
      <c r="B81" s="707" t="s">
        <v>272</v>
      </c>
      <c r="C81" s="708" t="s">
        <v>266</v>
      </c>
      <c r="D81" s="896">
        <v>5</v>
      </c>
      <c r="E81" s="896">
        <v>4</v>
      </c>
      <c r="F81" s="896">
        <v>1</v>
      </c>
      <c r="G81" s="896">
        <v>0</v>
      </c>
      <c r="H81" s="896">
        <v>2</v>
      </c>
      <c r="I81" s="896">
        <v>1</v>
      </c>
      <c r="J81" s="896">
        <v>2</v>
      </c>
    </row>
    <row r="82" spans="1:10">
      <c r="A82" s="706" t="s">
        <v>202</v>
      </c>
      <c r="B82" s="707" t="s">
        <v>301</v>
      </c>
      <c r="C82" s="708" t="s">
        <v>265</v>
      </c>
      <c r="D82" s="896">
        <v>103</v>
      </c>
      <c r="E82" s="896">
        <v>95</v>
      </c>
      <c r="F82" s="896">
        <v>4</v>
      </c>
      <c r="G82" s="896">
        <v>4</v>
      </c>
      <c r="H82" s="896">
        <v>5</v>
      </c>
      <c r="I82" s="896">
        <v>36</v>
      </c>
      <c r="J82" s="896">
        <v>63</v>
      </c>
    </row>
    <row r="83" spans="1:10">
      <c r="A83" s="706" t="s">
        <v>204</v>
      </c>
      <c r="B83" s="707" t="s">
        <v>293</v>
      </c>
      <c r="C83" s="708" t="s">
        <v>265</v>
      </c>
      <c r="D83" s="896">
        <v>23</v>
      </c>
      <c r="E83" s="896">
        <v>20</v>
      </c>
      <c r="F83" s="896">
        <v>2</v>
      </c>
      <c r="G83" s="896">
        <v>1</v>
      </c>
      <c r="H83" s="896">
        <v>1</v>
      </c>
      <c r="I83" s="896">
        <v>8</v>
      </c>
      <c r="J83" s="896">
        <v>14</v>
      </c>
    </row>
    <row r="84" spans="1:10">
      <c r="A84" s="706" t="s">
        <v>206</v>
      </c>
      <c r="B84" s="707" t="s">
        <v>294</v>
      </c>
      <c r="C84" s="708" t="s">
        <v>267</v>
      </c>
      <c r="D84" s="896">
        <v>83</v>
      </c>
      <c r="E84" s="896">
        <v>74</v>
      </c>
      <c r="F84" s="896">
        <v>0</v>
      </c>
      <c r="G84" s="896">
        <v>9</v>
      </c>
      <c r="H84" s="896">
        <v>2</v>
      </c>
      <c r="I84" s="896">
        <v>23</v>
      </c>
      <c r="J84" s="896">
        <v>58</v>
      </c>
    </row>
    <row r="85" spans="1:10">
      <c r="A85" s="706" t="s">
        <v>208</v>
      </c>
      <c r="B85" s="707" t="s">
        <v>209</v>
      </c>
      <c r="C85" s="708" t="s">
        <v>268</v>
      </c>
      <c r="D85" s="896">
        <v>88</v>
      </c>
      <c r="E85" s="896">
        <v>82</v>
      </c>
      <c r="F85" s="896">
        <v>2</v>
      </c>
      <c r="G85" s="896">
        <v>4</v>
      </c>
      <c r="H85" s="896">
        <v>9</v>
      </c>
      <c r="I85" s="896">
        <v>32</v>
      </c>
      <c r="J85" s="896">
        <v>47</v>
      </c>
    </row>
    <row r="86" spans="1:10">
      <c r="A86" s="706" t="s">
        <v>210</v>
      </c>
      <c r="B86" s="707" t="s">
        <v>211</v>
      </c>
      <c r="C86" s="708" t="s">
        <v>268</v>
      </c>
      <c r="D86" s="896">
        <v>55</v>
      </c>
      <c r="E86" s="896">
        <v>49</v>
      </c>
      <c r="F86" s="896">
        <v>0</v>
      </c>
      <c r="G86" s="896">
        <v>6</v>
      </c>
      <c r="H86" s="896">
        <v>3</v>
      </c>
      <c r="I86" s="896">
        <v>19</v>
      </c>
      <c r="J86" s="896">
        <v>34</v>
      </c>
    </row>
    <row r="87" spans="1:10">
      <c r="A87" s="706" t="s">
        <v>212</v>
      </c>
      <c r="B87" s="707" t="s">
        <v>213</v>
      </c>
      <c r="C87" s="708" t="s">
        <v>267</v>
      </c>
      <c r="D87" s="896">
        <v>62</v>
      </c>
      <c r="E87" s="896">
        <v>59</v>
      </c>
      <c r="F87" s="896">
        <v>3</v>
      </c>
      <c r="G87" s="896">
        <v>0</v>
      </c>
      <c r="H87" s="896">
        <v>10</v>
      </c>
      <c r="I87" s="896">
        <v>24</v>
      </c>
      <c r="J87" s="896">
        <v>30</v>
      </c>
    </row>
    <row r="88" spans="1:10">
      <c r="A88" s="706" t="s">
        <v>214</v>
      </c>
      <c r="B88" s="707" t="s">
        <v>215</v>
      </c>
      <c r="C88" s="708" t="s">
        <v>268</v>
      </c>
      <c r="D88" s="896">
        <v>74</v>
      </c>
      <c r="E88" s="896">
        <v>71</v>
      </c>
      <c r="F88" s="896">
        <v>1</v>
      </c>
      <c r="G88" s="896">
        <v>2</v>
      </c>
      <c r="H88" s="896">
        <v>15</v>
      </c>
      <c r="I88" s="896">
        <v>33</v>
      </c>
      <c r="J88" s="896">
        <v>27</v>
      </c>
    </row>
    <row r="89" spans="1:10">
      <c r="A89" s="706" t="s">
        <v>216</v>
      </c>
      <c r="B89" s="707" t="s">
        <v>217</v>
      </c>
      <c r="C89" s="708" t="s">
        <v>264</v>
      </c>
      <c r="D89" s="896">
        <v>11</v>
      </c>
      <c r="E89" s="896">
        <v>4</v>
      </c>
      <c r="F89" s="896">
        <v>7</v>
      </c>
      <c r="G89" s="896">
        <v>0</v>
      </c>
      <c r="H89" s="896">
        <v>1</v>
      </c>
      <c r="I89" s="896">
        <v>2</v>
      </c>
      <c r="J89" s="896">
        <v>8</v>
      </c>
    </row>
    <row r="90" spans="1:10">
      <c r="A90" s="706" t="s">
        <v>218</v>
      </c>
      <c r="B90" s="707" t="s">
        <v>219</v>
      </c>
      <c r="C90" s="708" t="s">
        <v>267</v>
      </c>
      <c r="D90" s="896">
        <v>43</v>
      </c>
      <c r="E90" s="896">
        <v>29</v>
      </c>
      <c r="F90" s="896">
        <v>12</v>
      </c>
      <c r="G90" s="896">
        <v>2</v>
      </c>
      <c r="H90" s="896">
        <v>4</v>
      </c>
      <c r="I90" s="896">
        <v>13</v>
      </c>
      <c r="J90" s="896">
        <v>26</v>
      </c>
    </row>
    <row r="91" spans="1:10">
      <c r="A91" s="706" t="s">
        <v>220</v>
      </c>
      <c r="B91" s="707" t="s">
        <v>221</v>
      </c>
      <c r="C91" s="708" t="s">
        <v>267</v>
      </c>
      <c r="D91" s="896">
        <v>13</v>
      </c>
      <c r="E91" s="896">
        <v>10</v>
      </c>
      <c r="F91" s="896">
        <v>3</v>
      </c>
      <c r="G91" s="896">
        <v>0</v>
      </c>
      <c r="H91" s="896">
        <v>1</v>
      </c>
      <c r="I91" s="896">
        <v>7</v>
      </c>
      <c r="J91" s="896">
        <v>5</v>
      </c>
    </row>
    <row r="92" spans="1:10">
      <c r="A92" s="706" t="s">
        <v>224</v>
      </c>
      <c r="B92" s="707" t="s">
        <v>225</v>
      </c>
      <c r="C92" s="708" t="s">
        <v>264</v>
      </c>
      <c r="D92" s="896">
        <v>10</v>
      </c>
      <c r="E92" s="896">
        <v>2</v>
      </c>
      <c r="F92" s="896">
        <v>8</v>
      </c>
      <c r="G92" s="896">
        <v>0</v>
      </c>
      <c r="H92" s="896">
        <v>2</v>
      </c>
      <c r="I92" s="896">
        <v>4</v>
      </c>
      <c r="J92" s="896">
        <v>4</v>
      </c>
    </row>
    <row r="93" spans="1:10">
      <c r="A93" s="706" t="s">
        <v>226</v>
      </c>
      <c r="B93" s="707" t="s">
        <v>227</v>
      </c>
      <c r="C93" s="708" t="s">
        <v>264</v>
      </c>
      <c r="D93" s="896">
        <v>13</v>
      </c>
      <c r="E93" s="896">
        <v>5</v>
      </c>
      <c r="F93" s="896">
        <v>8</v>
      </c>
      <c r="G93" s="896">
        <v>0</v>
      </c>
      <c r="H93" s="896">
        <v>1</v>
      </c>
      <c r="I93" s="896">
        <v>5</v>
      </c>
      <c r="J93" s="896">
        <v>7</v>
      </c>
    </row>
    <row r="94" spans="1:10">
      <c r="A94" s="706" t="s">
        <v>228</v>
      </c>
      <c r="B94" s="707" t="s">
        <v>229</v>
      </c>
      <c r="C94" s="708" t="s">
        <v>268</v>
      </c>
      <c r="D94" s="896">
        <v>80</v>
      </c>
      <c r="E94" s="896">
        <v>73</v>
      </c>
      <c r="F94" s="896">
        <v>6</v>
      </c>
      <c r="G94" s="896">
        <v>1</v>
      </c>
      <c r="H94" s="896">
        <v>8</v>
      </c>
      <c r="I94" s="896">
        <v>41</v>
      </c>
      <c r="J94" s="896">
        <v>31</v>
      </c>
    </row>
    <row r="95" spans="1:10">
      <c r="A95" s="706" t="s">
        <v>232</v>
      </c>
      <c r="B95" s="707" t="s">
        <v>233</v>
      </c>
      <c r="C95" s="708" t="s">
        <v>267</v>
      </c>
      <c r="D95" s="896">
        <v>15</v>
      </c>
      <c r="E95" s="896">
        <v>14</v>
      </c>
      <c r="F95" s="896">
        <v>1</v>
      </c>
      <c r="G95" s="896">
        <v>0</v>
      </c>
      <c r="H95" s="896">
        <v>1</v>
      </c>
      <c r="I95" s="896">
        <v>7</v>
      </c>
      <c r="J95" s="896">
        <v>7</v>
      </c>
    </row>
    <row r="96" spans="1:10">
      <c r="A96" s="706" t="s">
        <v>234</v>
      </c>
      <c r="B96" s="707" t="s">
        <v>235</v>
      </c>
      <c r="C96" s="708" t="s">
        <v>268</v>
      </c>
      <c r="D96" s="896">
        <v>233</v>
      </c>
      <c r="E96" s="896">
        <v>215</v>
      </c>
      <c r="F96" s="896">
        <v>5</v>
      </c>
      <c r="G96" s="896">
        <v>13</v>
      </c>
      <c r="H96" s="896">
        <v>45</v>
      </c>
      <c r="I96" s="896">
        <v>108</v>
      </c>
      <c r="J96" s="896">
        <v>85</v>
      </c>
    </row>
    <row r="97" spans="1:10">
      <c r="A97" s="706" t="s">
        <v>236</v>
      </c>
      <c r="B97" s="707" t="s">
        <v>237</v>
      </c>
      <c r="C97" s="708" t="s">
        <v>266</v>
      </c>
      <c r="D97" s="896">
        <v>11</v>
      </c>
      <c r="E97" s="896">
        <v>4</v>
      </c>
      <c r="F97" s="896">
        <v>7</v>
      </c>
      <c r="G97" s="896">
        <v>0</v>
      </c>
      <c r="H97" s="896">
        <v>0</v>
      </c>
      <c r="I97" s="896">
        <v>6</v>
      </c>
      <c r="J97" s="896">
        <v>5</v>
      </c>
    </row>
    <row r="98" spans="1:10">
      <c r="A98" s="706" t="s">
        <v>242</v>
      </c>
      <c r="B98" s="707" t="s">
        <v>243</v>
      </c>
      <c r="C98" s="708" t="s">
        <v>268</v>
      </c>
      <c r="D98" s="896">
        <v>53</v>
      </c>
      <c r="E98" s="896">
        <v>52</v>
      </c>
      <c r="F98" s="896">
        <v>1</v>
      </c>
      <c r="G98" s="896">
        <v>0</v>
      </c>
      <c r="H98" s="896">
        <v>7</v>
      </c>
      <c r="I98" s="896">
        <v>30</v>
      </c>
      <c r="J98" s="896">
        <v>17</v>
      </c>
    </row>
    <row r="99" spans="1:10">
      <c r="A99" s="706" t="s">
        <v>244</v>
      </c>
      <c r="B99" s="707" t="s">
        <v>245</v>
      </c>
      <c r="C99" s="708" t="s">
        <v>268</v>
      </c>
      <c r="D99" s="896">
        <v>46</v>
      </c>
      <c r="E99" s="896">
        <v>44</v>
      </c>
      <c r="F99" s="896">
        <v>2</v>
      </c>
      <c r="G99" s="896">
        <v>0</v>
      </c>
      <c r="H99" s="896">
        <v>2</v>
      </c>
      <c r="I99" s="896">
        <v>9</v>
      </c>
      <c r="J99" s="896">
        <v>35</v>
      </c>
    </row>
    <row r="100" spans="1:10">
      <c r="A100" s="706" t="s">
        <v>246</v>
      </c>
      <c r="B100" s="707" t="s">
        <v>247</v>
      </c>
      <c r="C100" s="708" t="s">
        <v>264</v>
      </c>
      <c r="D100" s="896">
        <v>30</v>
      </c>
      <c r="E100" s="896">
        <v>18</v>
      </c>
      <c r="F100" s="896">
        <v>11</v>
      </c>
      <c r="G100" s="896">
        <v>1</v>
      </c>
      <c r="H100" s="896">
        <v>12</v>
      </c>
      <c r="I100" s="896">
        <v>12</v>
      </c>
      <c r="J100" s="896">
        <v>7</v>
      </c>
    </row>
    <row r="101" spans="1:10">
      <c r="A101" s="706" t="s">
        <v>14</v>
      </c>
      <c r="B101" s="707" t="s">
        <v>15</v>
      </c>
      <c r="C101" s="708" t="s">
        <v>267</v>
      </c>
      <c r="D101" s="896">
        <v>41</v>
      </c>
      <c r="E101" s="896">
        <v>19</v>
      </c>
      <c r="F101" s="896">
        <v>20</v>
      </c>
      <c r="G101" s="896">
        <v>2</v>
      </c>
      <c r="H101" s="896">
        <v>1</v>
      </c>
      <c r="I101" s="896">
        <v>10</v>
      </c>
      <c r="J101" s="896">
        <v>30</v>
      </c>
    </row>
    <row r="102" spans="1:10">
      <c r="A102" s="706" t="s">
        <v>34</v>
      </c>
      <c r="B102" s="707" t="s">
        <v>35</v>
      </c>
      <c r="C102" s="708" t="s">
        <v>268</v>
      </c>
      <c r="D102" s="896">
        <v>72</v>
      </c>
      <c r="E102" s="896">
        <v>67</v>
      </c>
      <c r="F102" s="896">
        <v>3</v>
      </c>
      <c r="G102" s="896">
        <v>2</v>
      </c>
      <c r="H102" s="896">
        <v>6</v>
      </c>
      <c r="I102" s="896">
        <v>26</v>
      </c>
      <c r="J102" s="896">
        <v>40</v>
      </c>
    </row>
    <row r="103" spans="1:10">
      <c r="A103" s="706" t="s">
        <v>52</v>
      </c>
      <c r="B103" s="707" t="s">
        <v>53</v>
      </c>
      <c r="C103" s="708" t="s">
        <v>265</v>
      </c>
      <c r="D103" s="896">
        <v>74</v>
      </c>
      <c r="E103" s="896">
        <v>39</v>
      </c>
      <c r="F103" s="896">
        <v>31</v>
      </c>
      <c r="G103" s="896">
        <v>4</v>
      </c>
      <c r="H103" s="896">
        <v>7</v>
      </c>
      <c r="I103" s="896">
        <v>29</v>
      </c>
      <c r="J103" s="896">
        <v>38</v>
      </c>
    </row>
    <row r="104" spans="1:10">
      <c r="A104" s="706" t="s">
        <v>54</v>
      </c>
      <c r="B104" s="707" t="s">
        <v>55</v>
      </c>
      <c r="C104" s="708" t="s">
        <v>264</v>
      </c>
      <c r="D104" s="896">
        <v>161</v>
      </c>
      <c r="E104" s="896">
        <v>79</v>
      </c>
      <c r="F104" s="896">
        <v>78</v>
      </c>
      <c r="G104" s="896">
        <v>4</v>
      </c>
      <c r="H104" s="896">
        <v>23</v>
      </c>
      <c r="I104" s="896">
        <v>75</v>
      </c>
      <c r="J104" s="896">
        <v>65</v>
      </c>
    </row>
    <row r="105" spans="1:10">
      <c r="A105" s="706" t="s">
        <v>66</v>
      </c>
      <c r="B105" s="707" t="s">
        <v>67</v>
      </c>
      <c r="C105" s="708" t="s">
        <v>265</v>
      </c>
      <c r="D105" s="896">
        <v>85</v>
      </c>
      <c r="E105" s="896">
        <v>51</v>
      </c>
      <c r="F105" s="896">
        <v>32</v>
      </c>
      <c r="G105" s="896">
        <v>2</v>
      </c>
      <c r="H105" s="896">
        <v>8</v>
      </c>
      <c r="I105" s="896">
        <v>29</v>
      </c>
      <c r="J105" s="896">
        <v>48</v>
      </c>
    </row>
    <row r="106" spans="1:10">
      <c r="A106" s="706" t="s">
        <v>82</v>
      </c>
      <c r="B106" s="707" t="s">
        <v>83</v>
      </c>
      <c r="C106" s="708" t="s">
        <v>264</v>
      </c>
      <c r="D106" s="896">
        <v>9</v>
      </c>
      <c r="E106" s="896">
        <v>1</v>
      </c>
      <c r="F106" s="896">
        <v>8</v>
      </c>
      <c r="G106" s="896">
        <v>0</v>
      </c>
      <c r="H106" s="896">
        <v>1</v>
      </c>
      <c r="I106" s="896">
        <v>8</v>
      </c>
      <c r="J106" s="896">
        <v>1</v>
      </c>
    </row>
    <row r="107" spans="1:10">
      <c r="A107" s="706" t="s">
        <v>88</v>
      </c>
      <c r="B107" s="707" t="s">
        <v>89</v>
      </c>
      <c r="C107" s="708" t="s">
        <v>267</v>
      </c>
      <c r="D107" s="896">
        <v>26</v>
      </c>
      <c r="E107" s="896">
        <v>20</v>
      </c>
      <c r="F107" s="896">
        <v>5</v>
      </c>
      <c r="G107" s="896">
        <v>1</v>
      </c>
      <c r="H107" s="896">
        <v>2</v>
      </c>
      <c r="I107" s="896">
        <v>8</v>
      </c>
      <c r="J107" s="896">
        <v>16</v>
      </c>
    </row>
    <row r="108" spans="1:10">
      <c r="A108" s="706" t="s">
        <v>90</v>
      </c>
      <c r="B108" s="707" t="s">
        <v>91</v>
      </c>
      <c r="C108" s="708" t="s">
        <v>268</v>
      </c>
      <c r="D108" s="896">
        <v>13</v>
      </c>
      <c r="E108" s="896">
        <v>13</v>
      </c>
      <c r="F108" s="896">
        <v>0</v>
      </c>
      <c r="G108" s="896">
        <v>0</v>
      </c>
      <c r="H108" s="896">
        <v>0</v>
      </c>
      <c r="I108" s="896">
        <v>6</v>
      </c>
      <c r="J108" s="896">
        <v>7</v>
      </c>
    </row>
    <row r="109" spans="1:10">
      <c r="A109" s="706" t="s">
        <v>106</v>
      </c>
      <c r="B109" s="707" t="s">
        <v>107</v>
      </c>
      <c r="C109" s="708" t="s">
        <v>264</v>
      </c>
      <c r="D109" s="896">
        <v>116</v>
      </c>
      <c r="E109" s="896">
        <v>39</v>
      </c>
      <c r="F109" s="896">
        <v>76</v>
      </c>
      <c r="G109" s="896">
        <v>1</v>
      </c>
      <c r="H109" s="896">
        <v>18</v>
      </c>
      <c r="I109" s="896">
        <v>51</v>
      </c>
      <c r="J109" s="896">
        <v>48</v>
      </c>
    </row>
    <row r="110" spans="1:10">
      <c r="A110" s="706" t="s">
        <v>116</v>
      </c>
      <c r="B110" s="707" t="s">
        <v>117</v>
      </c>
      <c r="C110" s="708" t="s">
        <v>266</v>
      </c>
      <c r="D110" s="896">
        <v>20</v>
      </c>
      <c r="E110" s="896">
        <v>8</v>
      </c>
      <c r="F110" s="896">
        <v>12</v>
      </c>
      <c r="G110" s="896">
        <v>0</v>
      </c>
      <c r="H110" s="896">
        <v>8</v>
      </c>
      <c r="I110" s="896">
        <v>6</v>
      </c>
      <c r="J110" s="896">
        <v>6</v>
      </c>
    </row>
    <row r="111" spans="1:10">
      <c r="A111" s="706" t="s">
        <v>138</v>
      </c>
      <c r="B111" s="707" t="s">
        <v>139</v>
      </c>
      <c r="C111" s="708" t="s">
        <v>265</v>
      </c>
      <c r="D111" s="896">
        <v>148</v>
      </c>
      <c r="E111" s="896">
        <v>94</v>
      </c>
      <c r="F111" s="896">
        <v>52</v>
      </c>
      <c r="G111" s="896">
        <v>2</v>
      </c>
      <c r="H111" s="896">
        <v>5</v>
      </c>
      <c r="I111" s="896">
        <v>53</v>
      </c>
      <c r="J111" s="896">
        <v>90</v>
      </c>
    </row>
    <row r="112" spans="1:10">
      <c r="A112" s="706" t="s">
        <v>142</v>
      </c>
      <c r="B112" s="707" t="s">
        <v>143</v>
      </c>
      <c r="C112" s="708" t="s">
        <v>267</v>
      </c>
      <c r="D112" s="896">
        <v>5</v>
      </c>
      <c r="E112" s="896">
        <v>3</v>
      </c>
      <c r="F112" s="896">
        <v>2</v>
      </c>
      <c r="G112" s="896">
        <v>0</v>
      </c>
      <c r="H112" s="896">
        <v>1</v>
      </c>
      <c r="I112" s="896">
        <v>1</v>
      </c>
      <c r="J112" s="896">
        <v>3</v>
      </c>
    </row>
    <row r="113" spans="1:10">
      <c r="A113" s="706" t="s">
        <v>144</v>
      </c>
      <c r="B113" s="707" t="s">
        <v>145</v>
      </c>
      <c r="C113" s="708" t="s">
        <v>267</v>
      </c>
      <c r="D113" s="896">
        <v>2</v>
      </c>
      <c r="E113" s="896">
        <v>2</v>
      </c>
      <c r="F113" s="896">
        <v>0</v>
      </c>
      <c r="G113" s="896">
        <v>0</v>
      </c>
      <c r="H113" s="896">
        <v>0</v>
      </c>
      <c r="I113" s="896">
        <v>0</v>
      </c>
      <c r="J113" s="896">
        <v>2</v>
      </c>
    </row>
    <row r="114" spans="1:10">
      <c r="A114" s="706" t="s">
        <v>158</v>
      </c>
      <c r="B114" s="707" t="s">
        <v>159</v>
      </c>
      <c r="C114" s="708" t="s">
        <v>264</v>
      </c>
      <c r="D114" s="896">
        <v>139</v>
      </c>
      <c r="E114" s="896">
        <v>51</v>
      </c>
      <c r="F114" s="896">
        <v>86</v>
      </c>
      <c r="G114" s="896">
        <v>2</v>
      </c>
      <c r="H114" s="896">
        <v>13</v>
      </c>
      <c r="I114" s="896">
        <v>77</v>
      </c>
      <c r="J114" s="896">
        <v>49</v>
      </c>
    </row>
    <row r="115" spans="1:10">
      <c r="A115" s="706" t="s">
        <v>160</v>
      </c>
      <c r="B115" s="707" t="s">
        <v>161</v>
      </c>
      <c r="C115" s="708" t="s">
        <v>264</v>
      </c>
      <c r="D115" s="896">
        <v>218</v>
      </c>
      <c r="E115" s="896">
        <v>66</v>
      </c>
      <c r="F115" s="896">
        <v>148</v>
      </c>
      <c r="G115" s="896">
        <v>4</v>
      </c>
      <c r="H115" s="896">
        <v>24</v>
      </c>
      <c r="I115" s="896">
        <v>90</v>
      </c>
      <c r="J115" s="896">
        <v>105</v>
      </c>
    </row>
    <row r="116" spans="1:10">
      <c r="A116" s="706" t="s">
        <v>166</v>
      </c>
      <c r="B116" s="707" t="s">
        <v>167</v>
      </c>
      <c r="C116" s="708" t="s">
        <v>268</v>
      </c>
      <c r="D116" s="896">
        <v>7</v>
      </c>
      <c r="E116" s="896">
        <v>7</v>
      </c>
      <c r="F116" s="896">
        <v>0</v>
      </c>
      <c r="G116" s="896">
        <v>0</v>
      </c>
      <c r="H116" s="896">
        <v>1</v>
      </c>
      <c r="I116" s="896">
        <v>5</v>
      </c>
      <c r="J116" s="896">
        <v>1</v>
      </c>
    </row>
    <row r="117" spans="1:10">
      <c r="A117" s="706" t="s">
        <v>176</v>
      </c>
      <c r="B117" s="707" t="s">
        <v>177</v>
      </c>
      <c r="C117" s="708" t="s">
        <v>266</v>
      </c>
      <c r="D117" s="896">
        <v>120</v>
      </c>
      <c r="E117" s="896">
        <v>34</v>
      </c>
      <c r="F117" s="896">
        <v>84</v>
      </c>
      <c r="G117" s="896">
        <v>2</v>
      </c>
      <c r="H117" s="896">
        <v>18</v>
      </c>
      <c r="I117" s="896">
        <v>57</v>
      </c>
      <c r="J117" s="896">
        <v>46</v>
      </c>
    </row>
    <row r="118" spans="1:10">
      <c r="A118" s="706" t="s">
        <v>180</v>
      </c>
      <c r="B118" s="707" t="s">
        <v>181</v>
      </c>
      <c r="C118" s="708" t="s">
        <v>264</v>
      </c>
      <c r="D118" s="896">
        <v>103</v>
      </c>
      <c r="E118" s="896">
        <v>26</v>
      </c>
      <c r="F118" s="896">
        <v>77</v>
      </c>
      <c r="G118" s="896">
        <v>0</v>
      </c>
      <c r="H118" s="896">
        <v>10</v>
      </c>
      <c r="I118" s="896">
        <v>39</v>
      </c>
      <c r="J118" s="896">
        <v>54</v>
      </c>
    </row>
    <row r="119" spans="1:10">
      <c r="A119" s="706" t="s">
        <v>192</v>
      </c>
      <c r="B119" s="707" t="s">
        <v>193</v>
      </c>
      <c r="C119" s="708" t="s">
        <v>268</v>
      </c>
      <c r="D119" s="896">
        <v>25</v>
      </c>
      <c r="E119" s="896">
        <v>22</v>
      </c>
      <c r="F119" s="896">
        <v>3</v>
      </c>
      <c r="G119" s="896">
        <v>0</v>
      </c>
      <c r="H119" s="896">
        <v>1</v>
      </c>
      <c r="I119" s="896">
        <v>14</v>
      </c>
      <c r="J119" s="896">
        <v>11</v>
      </c>
    </row>
    <row r="120" spans="1:10">
      <c r="A120" s="706" t="s">
        <v>196</v>
      </c>
      <c r="B120" s="707" t="s">
        <v>197</v>
      </c>
      <c r="C120" s="708" t="s">
        <v>266</v>
      </c>
      <c r="D120" s="896">
        <v>609</v>
      </c>
      <c r="E120" s="896">
        <v>178</v>
      </c>
      <c r="F120" s="896">
        <v>417</v>
      </c>
      <c r="G120" s="896">
        <v>14</v>
      </c>
      <c r="H120" s="896">
        <v>67</v>
      </c>
      <c r="I120" s="896">
        <v>311</v>
      </c>
      <c r="J120" s="896">
        <v>240</v>
      </c>
    </row>
    <row r="121" spans="1:10">
      <c r="A121" s="706" t="s">
        <v>200</v>
      </c>
      <c r="B121" s="707" t="s">
        <v>201</v>
      </c>
      <c r="C121" s="708" t="s">
        <v>265</v>
      </c>
      <c r="D121" s="896">
        <v>223</v>
      </c>
      <c r="E121" s="896">
        <v>140</v>
      </c>
      <c r="F121" s="896">
        <v>75</v>
      </c>
      <c r="G121" s="896">
        <v>8</v>
      </c>
      <c r="H121" s="896">
        <v>19</v>
      </c>
      <c r="I121" s="896">
        <v>98</v>
      </c>
      <c r="J121" s="896">
        <v>107</v>
      </c>
    </row>
    <row r="122" spans="1:10">
      <c r="A122" s="706" t="s">
        <v>222</v>
      </c>
      <c r="B122" s="707" t="s">
        <v>223</v>
      </c>
      <c r="C122" s="708" t="s">
        <v>264</v>
      </c>
      <c r="D122" s="896">
        <v>68</v>
      </c>
      <c r="E122" s="896">
        <v>16</v>
      </c>
      <c r="F122" s="896">
        <v>52</v>
      </c>
      <c r="G122" s="896">
        <v>0</v>
      </c>
      <c r="H122" s="896">
        <v>10</v>
      </c>
      <c r="I122" s="896">
        <v>34</v>
      </c>
      <c r="J122" s="896">
        <v>25</v>
      </c>
    </row>
    <row r="123" spans="1:10">
      <c r="A123" s="706" t="s">
        <v>230</v>
      </c>
      <c r="B123" s="707" t="s">
        <v>231</v>
      </c>
      <c r="C123" s="708" t="s">
        <v>264</v>
      </c>
      <c r="D123" s="896">
        <v>195</v>
      </c>
      <c r="E123" s="896">
        <v>129</v>
      </c>
      <c r="F123" s="896">
        <v>56</v>
      </c>
      <c r="G123" s="896">
        <v>10</v>
      </c>
      <c r="H123" s="896">
        <v>24</v>
      </c>
      <c r="I123" s="896">
        <v>74</v>
      </c>
      <c r="J123" s="896">
        <v>99</v>
      </c>
    </row>
    <row r="124" spans="1:10">
      <c r="A124" s="706" t="s">
        <v>238</v>
      </c>
      <c r="B124" s="707" t="s">
        <v>239</v>
      </c>
      <c r="C124" s="708" t="s">
        <v>264</v>
      </c>
      <c r="D124" s="896">
        <v>33</v>
      </c>
      <c r="E124" s="896">
        <v>17</v>
      </c>
      <c r="F124" s="896">
        <v>15</v>
      </c>
      <c r="G124" s="896">
        <v>1</v>
      </c>
      <c r="H124" s="896">
        <v>7</v>
      </c>
      <c r="I124" s="896">
        <v>16</v>
      </c>
      <c r="J124" s="896">
        <v>11</v>
      </c>
    </row>
    <row r="125" spans="1:10">
      <c r="A125" s="709" t="s">
        <v>240</v>
      </c>
      <c r="B125" s="710" t="s">
        <v>241</v>
      </c>
      <c r="C125" s="711" t="s">
        <v>267</v>
      </c>
      <c r="D125" s="897">
        <v>33</v>
      </c>
      <c r="E125" s="897">
        <v>29</v>
      </c>
      <c r="F125" s="897">
        <v>4</v>
      </c>
      <c r="G125" s="897">
        <v>0</v>
      </c>
      <c r="H125" s="897">
        <v>1</v>
      </c>
      <c r="I125" s="897">
        <v>16</v>
      </c>
      <c r="J125" s="897">
        <v>16</v>
      </c>
    </row>
    <row r="126" spans="1:10">
      <c r="A126" s="712"/>
      <c r="B126" s="712"/>
      <c r="C126" s="712"/>
    </row>
    <row r="127" spans="1:10" ht="30" customHeight="1">
      <c r="A127" s="1929" t="s">
        <v>826</v>
      </c>
      <c r="B127" s="1929"/>
      <c r="C127" s="1929"/>
      <c r="D127" s="1929"/>
      <c r="E127" s="1929"/>
      <c r="F127" s="1929"/>
    </row>
    <row r="128" spans="1:10">
      <c r="A128" s="898"/>
      <c r="B128" s="898"/>
      <c r="C128" s="898"/>
      <c r="D128" s="898"/>
      <c r="E128" s="898"/>
      <c r="F128" s="898"/>
    </row>
    <row r="129" spans="1:10" s="428" customFormat="1">
      <c r="A129" s="1930" t="s">
        <v>248</v>
      </c>
      <c r="B129" s="1930"/>
      <c r="C129" s="1930"/>
      <c r="D129" s="1930"/>
      <c r="E129" s="1930"/>
      <c r="F129" s="1930"/>
      <c r="G129" s="1930"/>
      <c r="H129" s="1930"/>
      <c r="I129" s="1930"/>
      <c r="J129" s="1930"/>
    </row>
    <row r="130" spans="1:10" s="271" customFormat="1">
      <c r="A130" s="429" t="s">
        <v>249</v>
      </c>
      <c r="B130" s="430" t="s">
        <v>250</v>
      </c>
      <c r="C130" s="902"/>
      <c r="D130" s="896"/>
      <c r="E130" s="896"/>
      <c r="F130" s="896"/>
      <c r="G130" s="896"/>
      <c r="H130" s="896"/>
      <c r="I130" s="896"/>
      <c r="J130" s="896"/>
    </row>
  </sheetData>
  <autoFilter ref="A4:C4"/>
  <mergeCells count="4">
    <mergeCell ref="A127:F127"/>
    <mergeCell ref="E3:G3"/>
    <mergeCell ref="H3:J3"/>
    <mergeCell ref="A129:J129"/>
  </mergeCells>
  <hyperlinks>
    <hyperlink ref="B130" r:id="rId1"/>
  </hyperlinks>
  <pageMargins left="0.7" right="0.7" top="0.75" bottom="0.75" header="0.3" footer="0.3"/>
  <pageSetup orientation="portrait" r:id="rId2"/>
</worksheet>
</file>

<file path=xl/worksheets/sheet64.xml><?xml version="1.0" encoding="utf-8"?>
<worksheet xmlns="http://schemas.openxmlformats.org/spreadsheetml/2006/main" xmlns:r="http://schemas.openxmlformats.org/officeDocument/2006/relationships">
  <dimension ref="B2:F132"/>
  <sheetViews>
    <sheetView zoomScaleNormal="100" workbookViewId="0">
      <selection activeCell="I8" sqref="I8"/>
    </sheetView>
  </sheetViews>
  <sheetFormatPr defaultRowHeight="15.75"/>
  <cols>
    <col min="1" max="1" width="8.125" style="936" bestFit="1" customWidth="1"/>
    <col min="2" max="2" width="6.125" style="936" customWidth="1"/>
    <col min="3" max="3" width="11.25" style="936" customWidth="1"/>
    <col min="4" max="4" width="34.375" style="937" customWidth="1"/>
    <col min="5" max="5" width="9.25" style="937" customWidth="1"/>
    <col min="6" max="6" width="14.375" style="936" customWidth="1"/>
    <col min="7" max="16384" width="9" style="936"/>
  </cols>
  <sheetData>
    <row r="2" spans="2:6">
      <c r="B2" s="936">
        <v>1</v>
      </c>
      <c r="D2" s="937">
        <f>+B2+1</f>
        <v>2</v>
      </c>
      <c r="E2" s="937">
        <f>+D2+1</f>
        <v>3</v>
      </c>
      <c r="F2" s="936">
        <v>4</v>
      </c>
    </row>
    <row r="3" spans="2:6">
      <c r="B3" s="938"/>
      <c r="C3" s="938"/>
      <c r="D3" s="941"/>
      <c r="E3" s="942"/>
    </row>
    <row r="4" spans="2:6">
      <c r="B4" s="943"/>
      <c r="C4" s="943"/>
      <c r="D4" s="939"/>
      <c r="E4" s="940"/>
    </row>
    <row r="5" spans="2:6">
      <c r="B5" s="943"/>
      <c r="C5" s="943"/>
      <c r="D5" s="944"/>
      <c r="E5" s="944"/>
    </row>
    <row r="7" spans="2:6">
      <c r="B7" s="945" t="s">
        <v>4</v>
      </c>
      <c r="C7" s="945"/>
      <c r="D7" s="946" t="s">
        <v>5</v>
      </c>
      <c r="E7" s="946"/>
      <c r="F7" s="947" t="s">
        <v>251</v>
      </c>
    </row>
    <row r="8" spans="2:6">
      <c r="B8" s="1404" t="s">
        <v>8</v>
      </c>
      <c r="C8" s="1403" t="s">
        <v>303</v>
      </c>
      <c r="D8" s="1405" t="s">
        <v>9</v>
      </c>
      <c r="E8" s="1405"/>
    </row>
    <row r="9" spans="2:6">
      <c r="B9" s="948" t="s">
        <v>10</v>
      </c>
      <c r="C9" s="950">
        <v>1</v>
      </c>
      <c r="D9" s="937" t="s">
        <v>11</v>
      </c>
      <c r="E9" s="951" t="s">
        <v>10</v>
      </c>
      <c r="F9" s="537" t="s">
        <v>264</v>
      </c>
    </row>
    <row r="10" spans="2:6">
      <c r="B10" s="949" t="s">
        <v>12</v>
      </c>
      <c r="C10" s="950">
        <v>3</v>
      </c>
      <c r="D10" s="937" t="s">
        <v>13</v>
      </c>
      <c r="E10" s="952" t="s">
        <v>12</v>
      </c>
      <c r="F10" s="537" t="s">
        <v>265</v>
      </c>
    </row>
    <row r="11" spans="2:6">
      <c r="B11" s="949" t="s">
        <v>14</v>
      </c>
      <c r="C11" s="950">
        <v>510</v>
      </c>
      <c r="D11" s="937" t="s">
        <v>15</v>
      </c>
      <c r="E11" s="952" t="s">
        <v>14</v>
      </c>
      <c r="F11" s="537" t="s">
        <v>267</v>
      </c>
    </row>
    <row r="12" spans="2:6">
      <c r="B12" s="949" t="s">
        <v>16</v>
      </c>
      <c r="C12" s="950">
        <v>5</v>
      </c>
      <c r="D12" s="937" t="s">
        <v>17</v>
      </c>
      <c r="E12" s="952" t="s">
        <v>16</v>
      </c>
      <c r="F12" s="537" t="s">
        <v>265</v>
      </c>
    </row>
    <row r="13" spans="2:6">
      <c r="B13" s="949" t="s">
        <v>18</v>
      </c>
      <c r="C13" s="950">
        <v>7</v>
      </c>
      <c r="D13" s="937" t="s">
        <v>19</v>
      </c>
      <c r="E13" s="952" t="s">
        <v>18</v>
      </c>
      <c r="F13" s="537" t="s">
        <v>266</v>
      </c>
    </row>
    <row r="14" spans="2:6">
      <c r="B14" s="949" t="s">
        <v>20</v>
      </c>
      <c r="C14" s="950">
        <v>9</v>
      </c>
      <c r="D14" s="937" t="s">
        <v>21</v>
      </c>
      <c r="E14" s="952" t="s">
        <v>20</v>
      </c>
      <c r="F14" s="537" t="s">
        <v>265</v>
      </c>
    </row>
    <row r="15" spans="2:6">
      <c r="B15" s="949" t="s">
        <v>22</v>
      </c>
      <c r="C15" s="950">
        <v>11</v>
      </c>
      <c r="D15" s="937" t="s">
        <v>23</v>
      </c>
      <c r="E15" s="952" t="s">
        <v>22</v>
      </c>
      <c r="F15" s="537" t="s">
        <v>265</v>
      </c>
    </row>
    <row r="16" spans="2:6">
      <c r="B16" s="949" t="s">
        <v>24</v>
      </c>
      <c r="C16" s="950">
        <v>13</v>
      </c>
      <c r="D16" s="937" t="s">
        <v>25</v>
      </c>
      <c r="E16" s="952" t="s">
        <v>24</v>
      </c>
      <c r="F16" s="537" t="s">
        <v>267</v>
      </c>
    </row>
    <row r="17" spans="2:6">
      <c r="B17" s="949" t="s">
        <v>26</v>
      </c>
      <c r="C17" s="950">
        <v>15</v>
      </c>
      <c r="D17" s="937" t="s">
        <v>706</v>
      </c>
      <c r="E17" s="952" t="s">
        <v>26</v>
      </c>
      <c r="F17" s="537" t="s">
        <v>265</v>
      </c>
    </row>
    <row r="18" spans="2:6">
      <c r="B18" s="949" t="s">
        <v>27</v>
      </c>
      <c r="C18" s="950">
        <v>17</v>
      </c>
      <c r="D18" s="937" t="s">
        <v>28</v>
      </c>
      <c r="E18" s="952" t="s">
        <v>27</v>
      </c>
      <c r="F18" s="537" t="s">
        <v>265</v>
      </c>
    </row>
    <row r="19" spans="2:6">
      <c r="B19" s="949" t="s">
        <v>29</v>
      </c>
      <c r="C19" s="950">
        <v>19</v>
      </c>
      <c r="D19" s="937" t="s">
        <v>1012</v>
      </c>
      <c r="E19" s="952" t="s">
        <v>29</v>
      </c>
      <c r="F19" s="537" t="s">
        <v>268</v>
      </c>
    </row>
    <row r="20" spans="2:6">
      <c r="B20" s="949" t="s">
        <v>30</v>
      </c>
      <c r="C20" s="950">
        <v>21</v>
      </c>
      <c r="D20" s="937" t="s">
        <v>31</v>
      </c>
      <c r="E20" s="952" t="s">
        <v>30</v>
      </c>
      <c r="F20" s="537" t="s">
        <v>265</v>
      </c>
    </row>
    <row r="21" spans="2:6">
      <c r="B21" s="949" t="s">
        <v>32</v>
      </c>
      <c r="C21" s="950">
        <v>23</v>
      </c>
      <c r="D21" s="937" t="s">
        <v>33</v>
      </c>
      <c r="E21" s="952" t="s">
        <v>32</v>
      </c>
      <c r="F21" s="537" t="s">
        <v>268</v>
      </c>
    </row>
    <row r="22" spans="2:6">
      <c r="B22" s="949" t="s">
        <v>34</v>
      </c>
      <c r="C22" s="950">
        <v>520</v>
      </c>
      <c r="D22" s="937" t="s">
        <v>35</v>
      </c>
      <c r="E22" s="952" t="s">
        <v>34</v>
      </c>
      <c r="F22" s="537" t="s">
        <v>264</v>
      </c>
    </row>
    <row r="23" spans="2:6">
      <c r="B23" s="949" t="s">
        <v>36</v>
      </c>
      <c r="C23" s="950">
        <v>25</v>
      </c>
      <c r="D23" s="937" t="s">
        <v>37</v>
      </c>
      <c r="E23" s="952" t="s">
        <v>36</v>
      </c>
      <c r="F23" s="537" t="s">
        <v>268</v>
      </c>
    </row>
    <row r="24" spans="2:6">
      <c r="B24" s="949" t="s">
        <v>38</v>
      </c>
      <c r="C24" s="950">
        <v>27</v>
      </c>
      <c r="D24" s="937" t="s">
        <v>39</v>
      </c>
      <c r="E24" s="952" t="s">
        <v>38</v>
      </c>
      <c r="F24" s="537" t="s">
        <v>266</v>
      </c>
    </row>
    <row r="25" spans="2:6">
      <c r="B25" s="949" t="s">
        <v>40</v>
      </c>
      <c r="C25" s="950">
        <v>29</v>
      </c>
      <c r="D25" s="937" t="s">
        <v>41</v>
      </c>
      <c r="E25" s="952" t="s">
        <v>40</v>
      </c>
      <c r="F25" s="537" t="s">
        <v>265</v>
      </c>
    </row>
    <row r="26" spans="2:6">
      <c r="B26" s="949" t="s">
        <v>42</v>
      </c>
      <c r="C26" s="950">
        <v>31</v>
      </c>
      <c r="D26" s="937" t="s">
        <v>43</v>
      </c>
      <c r="E26" s="952" t="s">
        <v>42</v>
      </c>
      <c r="F26" s="537" t="s">
        <v>266</v>
      </c>
    </row>
    <row r="27" spans="2:6">
      <c r="B27" s="949" t="s">
        <v>44</v>
      </c>
      <c r="C27" s="950">
        <v>33</v>
      </c>
      <c r="D27" s="937" t="s">
        <v>45</v>
      </c>
      <c r="E27" s="952" t="s">
        <v>44</v>
      </c>
      <c r="F27" s="537" t="s">
        <v>268</v>
      </c>
    </row>
    <row r="28" spans="2:6">
      <c r="B28" s="949" t="s">
        <v>46</v>
      </c>
      <c r="C28" s="950">
        <v>35</v>
      </c>
      <c r="D28" s="937" t="s">
        <v>47</v>
      </c>
      <c r="E28" s="952" t="s">
        <v>46</v>
      </c>
      <c r="F28" s="537" t="s">
        <v>266</v>
      </c>
    </row>
    <row r="29" spans="2:6">
      <c r="B29" s="949" t="s">
        <v>48</v>
      </c>
      <c r="C29" s="950">
        <v>36</v>
      </c>
      <c r="D29" s="937" t="s">
        <v>269</v>
      </c>
      <c r="E29" s="952" t="s">
        <v>48</v>
      </c>
      <c r="F29" s="537" t="s">
        <v>265</v>
      </c>
    </row>
    <row r="30" spans="2:6">
      <c r="B30" s="949" t="s">
        <v>50</v>
      </c>
      <c r="C30" s="950">
        <v>37</v>
      </c>
      <c r="D30" s="937" t="s">
        <v>51</v>
      </c>
      <c r="E30" s="952" t="s">
        <v>50</v>
      </c>
      <c r="F30" s="537" t="s">
        <v>265</v>
      </c>
    </row>
    <row r="31" spans="2:6">
      <c r="B31" s="949" t="s">
        <v>52</v>
      </c>
      <c r="C31" s="950">
        <v>540</v>
      </c>
      <c r="D31" s="937" t="s">
        <v>53</v>
      </c>
      <c r="E31" s="952" t="s">
        <v>52</v>
      </c>
      <c r="F31" s="537" t="s">
        <v>264</v>
      </c>
    </row>
    <row r="32" spans="2:6">
      <c r="B32" s="949" t="s">
        <v>54</v>
      </c>
      <c r="C32" s="950">
        <v>550</v>
      </c>
      <c r="D32" s="937" t="s">
        <v>55</v>
      </c>
      <c r="E32" s="952" t="s">
        <v>54</v>
      </c>
      <c r="F32" s="537" t="s">
        <v>266</v>
      </c>
    </row>
    <row r="33" spans="2:6">
      <c r="B33" s="949" t="s">
        <v>56</v>
      </c>
      <c r="C33" s="950">
        <v>41</v>
      </c>
      <c r="D33" s="937" t="s">
        <v>57</v>
      </c>
      <c r="E33" s="952" t="s">
        <v>56</v>
      </c>
      <c r="F33" s="537" t="s">
        <v>267</v>
      </c>
    </row>
    <row r="34" spans="2:6">
      <c r="B34" s="949" t="s">
        <v>58</v>
      </c>
      <c r="C34" s="950">
        <v>43</v>
      </c>
      <c r="D34" s="937" t="s">
        <v>59</v>
      </c>
      <c r="E34" s="952" t="s">
        <v>58</v>
      </c>
      <c r="F34" s="537" t="s">
        <v>265</v>
      </c>
    </row>
    <row r="35" spans="2:6">
      <c r="B35" s="949" t="s">
        <v>60</v>
      </c>
      <c r="C35" s="950">
        <v>45</v>
      </c>
      <c r="D35" s="937" t="s">
        <v>61</v>
      </c>
      <c r="E35" s="952" t="s">
        <v>60</v>
      </c>
      <c r="F35" s="537" t="s">
        <v>267</v>
      </c>
    </row>
    <row r="36" spans="2:6">
      <c r="B36" s="949" t="s">
        <v>62</v>
      </c>
      <c r="C36" s="950">
        <v>47</v>
      </c>
      <c r="D36" s="937" t="s">
        <v>63</v>
      </c>
      <c r="E36" s="952" t="s">
        <v>62</v>
      </c>
      <c r="F36" s="537" t="s">
        <v>266</v>
      </c>
    </row>
    <row r="37" spans="2:6">
      <c r="B37" s="949" t="s">
        <v>64</v>
      </c>
      <c r="C37" s="950">
        <v>49</v>
      </c>
      <c r="D37" s="937" t="s">
        <v>65</v>
      </c>
      <c r="E37" s="952" t="s">
        <v>64</v>
      </c>
      <c r="F37" s="537" t="s">
        <v>265</v>
      </c>
    </row>
    <row r="38" spans="2:6">
      <c r="B38" s="949" t="s">
        <v>66</v>
      </c>
      <c r="C38" s="950">
        <v>590</v>
      </c>
      <c r="D38" s="937" t="s">
        <v>67</v>
      </c>
      <c r="E38" s="952" t="s">
        <v>66</v>
      </c>
      <c r="F38" s="537" t="s">
        <v>268</v>
      </c>
    </row>
    <row r="39" spans="2:6">
      <c r="B39" s="949" t="s">
        <v>68</v>
      </c>
      <c r="C39" s="950">
        <v>51</v>
      </c>
      <c r="D39" s="937" t="s">
        <v>69</v>
      </c>
      <c r="E39" s="952" t="s">
        <v>68</v>
      </c>
      <c r="F39" s="537" t="s">
        <v>264</v>
      </c>
    </row>
    <row r="40" spans="2:6">
      <c r="B40" s="949" t="s">
        <v>70</v>
      </c>
      <c r="C40" s="950">
        <v>53</v>
      </c>
      <c r="D40" s="937" t="s">
        <v>71</v>
      </c>
      <c r="E40" s="952" t="s">
        <v>70</v>
      </c>
      <c r="F40" s="537" t="s">
        <v>266</v>
      </c>
    </row>
    <row r="41" spans="2:6">
      <c r="B41" s="949" t="s">
        <v>72</v>
      </c>
      <c r="C41" s="950">
        <v>57</v>
      </c>
      <c r="D41" s="937" t="s">
        <v>73</v>
      </c>
      <c r="E41" s="952" t="s">
        <v>72</v>
      </c>
      <c r="F41" s="537" t="s">
        <v>267</v>
      </c>
    </row>
    <row r="42" spans="2:6">
      <c r="B42" s="949" t="s">
        <v>74</v>
      </c>
      <c r="C42" s="950">
        <v>59</v>
      </c>
      <c r="D42" s="937" t="s">
        <v>661</v>
      </c>
      <c r="E42" s="952" t="s">
        <v>74</v>
      </c>
      <c r="F42" s="537" t="s">
        <v>267</v>
      </c>
    </row>
    <row r="43" spans="2:6">
      <c r="B43" s="949" t="s">
        <v>76</v>
      </c>
      <c r="C43" s="950">
        <v>61</v>
      </c>
      <c r="D43" s="937" t="s">
        <v>77</v>
      </c>
      <c r="E43" s="952" t="s">
        <v>76</v>
      </c>
      <c r="F43" s="537" t="s">
        <v>268</v>
      </c>
    </row>
    <row r="44" spans="2:6">
      <c r="B44" s="949" t="s">
        <v>78</v>
      </c>
      <c r="C44" s="950">
        <v>63</v>
      </c>
      <c r="D44" s="937" t="s">
        <v>79</v>
      </c>
      <c r="E44" s="952" t="s">
        <v>78</v>
      </c>
      <c r="F44" s="537" t="s">
        <v>266</v>
      </c>
    </row>
    <row r="45" spans="2:6">
      <c r="B45" s="949" t="s">
        <v>80</v>
      </c>
      <c r="C45" s="950">
        <v>65</v>
      </c>
      <c r="D45" s="937" t="s">
        <v>81</v>
      </c>
      <c r="E45" s="952" t="s">
        <v>80</v>
      </c>
      <c r="F45" s="537" t="s">
        <v>264</v>
      </c>
    </row>
    <row r="46" spans="2:6">
      <c r="B46" s="949" t="s">
        <v>82</v>
      </c>
      <c r="C46" s="950">
        <v>620</v>
      </c>
      <c r="D46" s="937" t="s">
        <v>83</v>
      </c>
      <c r="E46" s="952" t="s">
        <v>82</v>
      </c>
      <c r="F46" s="537" t="s">
        <v>265</v>
      </c>
    </row>
    <row r="47" spans="2:6">
      <c r="B47" s="949" t="s">
        <v>84</v>
      </c>
      <c r="C47" s="950">
        <v>67</v>
      </c>
      <c r="D47" s="937" t="s">
        <v>85</v>
      </c>
      <c r="E47" s="952" t="s">
        <v>84</v>
      </c>
      <c r="F47" s="537" t="s">
        <v>267</v>
      </c>
    </row>
    <row r="48" spans="2:6">
      <c r="B48" s="949" t="s">
        <v>86</v>
      </c>
      <c r="C48" s="950">
        <v>69</v>
      </c>
      <c r="D48" s="937" t="s">
        <v>87</v>
      </c>
      <c r="E48" s="952" t="s">
        <v>86</v>
      </c>
      <c r="F48" s="537" t="s">
        <v>267</v>
      </c>
    </row>
    <row r="49" spans="2:6">
      <c r="B49" s="949" t="s">
        <v>88</v>
      </c>
      <c r="C49" s="950">
        <v>630</v>
      </c>
      <c r="D49" s="937" t="s">
        <v>89</v>
      </c>
      <c r="E49" s="952" t="s">
        <v>88</v>
      </c>
      <c r="F49" s="537" t="s">
        <v>268</v>
      </c>
    </row>
    <row r="50" spans="2:6">
      <c r="B50" s="949" t="s">
        <v>90</v>
      </c>
      <c r="C50" s="950">
        <v>640</v>
      </c>
      <c r="D50" s="937" t="s">
        <v>91</v>
      </c>
      <c r="E50" s="952" t="s">
        <v>90</v>
      </c>
      <c r="F50" s="537" t="s">
        <v>268</v>
      </c>
    </row>
    <row r="51" spans="2:6">
      <c r="B51" s="949" t="s">
        <v>92</v>
      </c>
      <c r="C51" s="950">
        <v>71</v>
      </c>
      <c r="D51" s="937" t="s">
        <v>93</v>
      </c>
      <c r="E51" s="952" t="s">
        <v>92</v>
      </c>
      <c r="F51" s="537" t="s">
        <v>264</v>
      </c>
    </row>
    <row r="52" spans="2:6">
      <c r="B52" s="949" t="s">
        <v>94</v>
      </c>
      <c r="C52" s="950">
        <v>73</v>
      </c>
      <c r="D52" s="937" t="s">
        <v>95</v>
      </c>
      <c r="E52" s="952" t="s">
        <v>94</v>
      </c>
      <c r="F52" s="537" t="s">
        <v>266</v>
      </c>
    </row>
    <row r="53" spans="2:6">
      <c r="B53" s="949" t="s">
        <v>96</v>
      </c>
      <c r="C53" s="950">
        <v>75</v>
      </c>
      <c r="D53" s="937" t="s">
        <v>97</v>
      </c>
      <c r="E53" s="952" t="s">
        <v>96</v>
      </c>
      <c r="F53" s="537" t="s">
        <v>268</v>
      </c>
    </row>
    <row r="54" spans="2:6">
      <c r="B54" s="949" t="s">
        <v>98</v>
      </c>
      <c r="C54" s="950">
        <v>77</v>
      </c>
      <c r="D54" s="937" t="s">
        <v>99</v>
      </c>
      <c r="E54" s="952" t="s">
        <v>98</v>
      </c>
      <c r="F54" s="537" t="s">
        <v>267</v>
      </c>
    </row>
    <row r="55" spans="2:6">
      <c r="B55" s="949" t="s">
        <v>100</v>
      </c>
      <c r="C55" s="950">
        <v>79</v>
      </c>
      <c r="D55" s="937" t="s">
        <v>101</v>
      </c>
      <c r="E55" s="952" t="s">
        <v>100</v>
      </c>
      <c r="F55" s="537" t="s">
        <v>264</v>
      </c>
    </row>
    <row r="56" spans="2:6">
      <c r="B56" s="949" t="s">
        <v>102</v>
      </c>
      <c r="C56" s="950">
        <v>81</v>
      </c>
      <c r="D56" s="937" t="s">
        <v>103</v>
      </c>
      <c r="E56" s="952" t="s">
        <v>102</v>
      </c>
      <c r="F56" s="537" t="s">
        <v>265</v>
      </c>
    </row>
    <row r="57" spans="2:6">
      <c r="B57" s="949" t="s">
        <v>104</v>
      </c>
      <c r="C57" s="950">
        <v>83</v>
      </c>
      <c r="D57" s="937" t="s">
        <v>105</v>
      </c>
      <c r="E57" s="952" t="s">
        <v>104</v>
      </c>
      <c r="F57" s="537" t="s">
        <v>264</v>
      </c>
    </row>
    <row r="58" spans="2:6">
      <c r="B58" s="949" t="s">
        <v>106</v>
      </c>
      <c r="C58" s="950">
        <v>650</v>
      </c>
      <c r="D58" s="937" t="s">
        <v>107</v>
      </c>
      <c r="E58" s="952" t="s">
        <v>106</v>
      </c>
      <c r="F58" s="537" t="s">
        <v>266</v>
      </c>
    </row>
    <row r="59" spans="2:6">
      <c r="B59" s="949" t="s">
        <v>108</v>
      </c>
      <c r="C59" s="950">
        <v>85</v>
      </c>
      <c r="D59" s="937" t="s">
        <v>109</v>
      </c>
      <c r="E59" s="952" t="s">
        <v>108</v>
      </c>
      <c r="F59" s="537" t="s">
        <v>267</v>
      </c>
    </row>
    <row r="60" spans="2:6">
      <c r="B60" s="949" t="s">
        <v>110</v>
      </c>
      <c r="C60" s="950">
        <v>87</v>
      </c>
      <c r="D60" s="937" t="s">
        <v>111</v>
      </c>
      <c r="E60" s="952" t="s">
        <v>110</v>
      </c>
      <c r="F60" s="537" t="s">
        <v>266</v>
      </c>
    </row>
    <row r="61" spans="2:6">
      <c r="B61" s="949" t="s">
        <v>112</v>
      </c>
      <c r="C61" s="950">
        <v>89</v>
      </c>
      <c r="D61" s="937" t="s">
        <v>113</v>
      </c>
      <c r="E61" s="952" t="s">
        <v>112</v>
      </c>
      <c r="F61" s="537" t="s">
        <v>265</v>
      </c>
    </row>
    <row r="62" spans="2:6">
      <c r="B62" s="949" t="s">
        <v>114</v>
      </c>
      <c r="C62" s="950">
        <v>91</v>
      </c>
      <c r="D62" s="937" t="s">
        <v>115</v>
      </c>
      <c r="E62" s="952" t="s">
        <v>114</v>
      </c>
      <c r="F62" s="537" t="s">
        <v>265</v>
      </c>
    </row>
    <row r="63" spans="2:6">
      <c r="B63" s="949" t="s">
        <v>116</v>
      </c>
      <c r="C63" s="950">
        <v>670</v>
      </c>
      <c r="D63" s="937" t="s">
        <v>117</v>
      </c>
      <c r="E63" s="952" t="s">
        <v>116</v>
      </c>
      <c r="F63" s="537" t="s">
        <v>266</v>
      </c>
    </row>
    <row r="64" spans="2:6">
      <c r="B64" s="949" t="s">
        <v>118</v>
      </c>
      <c r="C64" s="950">
        <v>93</v>
      </c>
      <c r="D64" s="937" t="s">
        <v>119</v>
      </c>
      <c r="E64" s="952" t="s">
        <v>118</v>
      </c>
      <c r="F64" s="537" t="s">
        <v>264</v>
      </c>
    </row>
    <row r="65" spans="2:6">
      <c r="B65" s="949" t="s">
        <v>120</v>
      </c>
      <c r="C65" s="950">
        <v>95</v>
      </c>
      <c r="D65" s="937" t="s">
        <v>121</v>
      </c>
      <c r="E65" s="952" t="s">
        <v>120</v>
      </c>
      <c r="F65" s="537" t="s">
        <v>264</v>
      </c>
    </row>
    <row r="66" spans="2:6">
      <c r="B66" s="949" t="s">
        <v>122</v>
      </c>
      <c r="C66" s="950">
        <v>97</v>
      </c>
      <c r="D66" s="937" t="s">
        <v>123</v>
      </c>
      <c r="E66" s="952" t="s">
        <v>122</v>
      </c>
      <c r="F66" s="537" t="s">
        <v>266</v>
      </c>
    </row>
    <row r="67" spans="2:6">
      <c r="B67" s="949" t="s">
        <v>124</v>
      </c>
      <c r="C67" s="950">
        <v>99</v>
      </c>
      <c r="D67" s="937" t="s">
        <v>125</v>
      </c>
      <c r="E67" s="952" t="s">
        <v>124</v>
      </c>
      <c r="F67" s="537" t="s">
        <v>267</v>
      </c>
    </row>
    <row r="68" spans="2:6">
      <c r="B68" s="949" t="s">
        <v>126</v>
      </c>
      <c r="C68" s="950">
        <v>101</v>
      </c>
      <c r="D68" s="937" t="s">
        <v>127</v>
      </c>
      <c r="E68" s="952" t="s">
        <v>126</v>
      </c>
      <c r="F68" s="537" t="s">
        <v>266</v>
      </c>
    </row>
    <row r="69" spans="2:6">
      <c r="B69" s="949" t="s">
        <v>128</v>
      </c>
      <c r="C69" s="950">
        <v>103</v>
      </c>
      <c r="D69" s="937" t="s">
        <v>129</v>
      </c>
      <c r="E69" s="952" t="s">
        <v>128</v>
      </c>
      <c r="F69" s="537" t="s">
        <v>266</v>
      </c>
    </row>
    <row r="70" spans="2:6">
      <c r="B70" s="949" t="s">
        <v>130</v>
      </c>
      <c r="C70" s="950">
        <v>105</v>
      </c>
      <c r="D70" s="937" t="s">
        <v>131</v>
      </c>
      <c r="E70" s="952" t="s">
        <v>130</v>
      </c>
      <c r="F70" s="537" t="s">
        <v>268</v>
      </c>
    </row>
    <row r="71" spans="2:6">
      <c r="B71" s="949" t="s">
        <v>132</v>
      </c>
      <c r="C71" s="950">
        <v>107</v>
      </c>
      <c r="D71" s="937" t="s">
        <v>133</v>
      </c>
      <c r="E71" s="952" t="s">
        <v>132</v>
      </c>
      <c r="F71" s="537" t="s">
        <v>267</v>
      </c>
    </row>
    <row r="72" spans="2:6">
      <c r="B72" s="949" t="s">
        <v>134</v>
      </c>
      <c r="C72" s="950">
        <v>109</v>
      </c>
      <c r="D72" s="937" t="s">
        <v>135</v>
      </c>
      <c r="E72" s="952" t="s">
        <v>134</v>
      </c>
      <c r="F72" s="537" t="s">
        <v>267</v>
      </c>
    </row>
    <row r="73" spans="2:6">
      <c r="B73" s="949" t="s">
        <v>136</v>
      </c>
      <c r="C73" s="950">
        <v>111</v>
      </c>
      <c r="D73" s="937" t="s">
        <v>137</v>
      </c>
      <c r="E73" s="952" t="s">
        <v>136</v>
      </c>
      <c r="F73" s="537" t="s">
        <v>266</v>
      </c>
    </row>
    <row r="74" spans="2:6">
      <c r="B74" s="949" t="s">
        <v>138</v>
      </c>
      <c r="C74" s="950">
        <v>680</v>
      </c>
      <c r="D74" s="937" t="s">
        <v>139</v>
      </c>
      <c r="E74" s="952" t="s">
        <v>138</v>
      </c>
      <c r="F74" s="537" t="s">
        <v>265</v>
      </c>
    </row>
    <row r="75" spans="2:6">
      <c r="B75" s="949" t="s">
        <v>140</v>
      </c>
      <c r="C75" s="950">
        <v>113</v>
      </c>
      <c r="D75" s="937" t="s">
        <v>141</v>
      </c>
      <c r="E75" s="952" t="s">
        <v>140</v>
      </c>
      <c r="F75" s="537" t="s">
        <v>267</v>
      </c>
    </row>
    <row r="76" spans="2:6">
      <c r="B76" s="949" t="s">
        <v>142</v>
      </c>
      <c r="C76" s="950">
        <v>683</v>
      </c>
      <c r="D76" s="937" t="s">
        <v>143</v>
      </c>
      <c r="E76" s="952" t="s">
        <v>142</v>
      </c>
      <c r="F76" s="537" t="s">
        <v>267</v>
      </c>
    </row>
    <row r="77" spans="2:6">
      <c r="B77" s="949" t="s">
        <v>144</v>
      </c>
      <c r="C77" s="950">
        <v>685</v>
      </c>
      <c r="D77" s="937" t="s">
        <v>145</v>
      </c>
      <c r="E77" s="952" t="s">
        <v>144</v>
      </c>
      <c r="F77" s="537" t="s">
        <v>267</v>
      </c>
    </row>
    <row r="78" spans="2:6">
      <c r="B78" s="949" t="s">
        <v>146</v>
      </c>
      <c r="C78" s="950">
        <v>115</v>
      </c>
      <c r="D78" s="937" t="s">
        <v>147</v>
      </c>
      <c r="E78" s="952" t="s">
        <v>146</v>
      </c>
      <c r="F78" s="537" t="s">
        <v>264</v>
      </c>
    </row>
    <row r="79" spans="2:6">
      <c r="B79" s="949" t="s">
        <v>148</v>
      </c>
      <c r="C79" s="950">
        <v>117</v>
      </c>
      <c r="D79" s="937" t="s">
        <v>149</v>
      </c>
      <c r="E79" s="952" t="s">
        <v>148</v>
      </c>
      <c r="F79" s="537" t="s">
        <v>265</v>
      </c>
    </row>
    <row r="80" spans="2:6">
      <c r="B80" s="949" t="s">
        <v>150</v>
      </c>
      <c r="C80" s="950">
        <v>119</v>
      </c>
      <c r="D80" s="937" t="s">
        <v>151</v>
      </c>
      <c r="E80" s="952" t="s">
        <v>150</v>
      </c>
      <c r="F80" s="537" t="s">
        <v>266</v>
      </c>
    </row>
    <row r="81" spans="2:6">
      <c r="B81" s="949" t="s">
        <v>152</v>
      </c>
      <c r="C81" s="950">
        <v>121</v>
      </c>
      <c r="D81" s="937" t="s">
        <v>153</v>
      </c>
      <c r="E81" s="952" t="s">
        <v>152</v>
      </c>
      <c r="F81" s="537" t="s">
        <v>268</v>
      </c>
    </row>
    <row r="82" spans="2:6">
      <c r="B82" s="949" t="s">
        <v>154</v>
      </c>
      <c r="C82" s="950">
        <v>125</v>
      </c>
      <c r="D82" s="937" t="s">
        <v>155</v>
      </c>
      <c r="E82" s="952" t="s">
        <v>154</v>
      </c>
      <c r="F82" s="537" t="s">
        <v>265</v>
      </c>
    </row>
    <row r="83" spans="2:6">
      <c r="B83" s="949" t="s">
        <v>156</v>
      </c>
      <c r="C83" s="950">
        <v>127</v>
      </c>
      <c r="D83" s="937" t="s">
        <v>157</v>
      </c>
      <c r="E83" s="952" t="s">
        <v>156</v>
      </c>
      <c r="F83" s="537" t="s">
        <v>266</v>
      </c>
    </row>
    <row r="84" spans="2:6">
      <c r="B84" s="953" t="s">
        <v>158</v>
      </c>
      <c r="C84" s="954">
        <v>700</v>
      </c>
      <c r="D84" s="937" t="s">
        <v>159</v>
      </c>
      <c r="E84" s="954" t="s">
        <v>158</v>
      </c>
      <c r="F84" s="537" t="s">
        <v>264</v>
      </c>
    </row>
    <row r="85" spans="2:6">
      <c r="B85" s="949" t="s">
        <v>160</v>
      </c>
      <c r="C85" s="950">
        <v>710</v>
      </c>
      <c r="D85" s="937" t="s">
        <v>161</v>
      </c>
      <c r="E85" s="952" t="s">
        <v>160</v>
      </c>
      <c r="F85" s="537" t="s">
        <v>264</v>
      </c>
    </row>
    <row r="86" spans="2:6">
      <c r="B86" s="949" t="s">
        <v>162</v>
      </c>
      <c r="C86" s="950">
        <v>131</v>
      </c>
      <c r="D86" s="937" t="s">
        <v>163</v>
      </c>
      <c r="E86" s="952" t="s">
        <v>162</v>
      </c>
      <c r="F86" s="537" t="s">
        <v>264</v>
      </c>
    </row>
    <row r="87" spans="2:6">
      <c r="B87" s="949" t="s">
        <v>164</v>
      </c>
      <c r="C87" s="950">
        <v>133</v>
      </c>
      <c r="D87" s="937" t="s">
        <v>165</v>
      </c>
      <c r="E87" s="952" t="s">
        <v>164</v>
      </c>
      <c r="F87" s="537" t="s">
        <v>266</v>
      </c>
    </row>
    <row r="88" spans="2:6">
      <c r="B88" s="949" t="s">
        <v>166</v>
      </c>
      <c r="C88" s="950">
        <v>720</v>
      </c>
      <c r="D88" s="937" t="s">
        <v>167</v>
      </c>
      <c r="E88" s="952" t="s">
        <v>166</v>
      </c>
      <c r="F88" s="537" t="s">
        <v>268</v>
      </c>
    </row>
    <row r="89" spans="2:6">
      <c r="B89" s="949" t="s">
        <v>168</v>
      </c>
      <c r="C89" s="950">
        <v>135</v>
      </c>
      <c r="D89" s="937" t="s">
        <v>169</v>
      </c>
      <c r="E89" s="952" t="s">
        <v>168</v>
      </c>
      <c r="F89" s="537" t="s">
        <v>266</v>
      </c>
    </row>
    <row r="90" spans="2:6">
      <c r="B90" s="949" t="s">
        <v>170</v>
      </c>
      <c r="C90" s="950">
        <v>137</v>
      </c>
      <c r="D90" s="937" t="s">
        <v>171</v>
      </c>
      <c r="E90" s="952" t="s">
        <v>170</v>
      </c>
      <c r="F90" s="537" t="s">
        <v>267</v>
      </c>
    </row>
    <row r="91" spans="2:6">
      <c r="B91" s="949" t="s">
        <v>172</v>
      </c>
      <c r="C91" s="950">
        <v>139</v>
      </c>
      <c r="D91" s="937" t="s">
        <v>173</v>
      </c>
      <c r="E91" s="952" t="s">
        <v>172</v>
      </c>
      <c r="F91" s="537" t="s">
        <v>267</v>
      </c>
    </row>
    <row r="92" spans="2:6">
      <c r="B92" s="949" t="s">
        <v>174</v>
      </c>
      <c r="C92" s="950">
        <v>141</v>
      </c>
      <c r="D92" s="937" t="s">
        <v>175</v>
      </c>
      <c r="E92" s="952" t="s">
        <v>174</v>
      </c>
      <c r="F92" s="537" t="s">
        <v>268</v>
      </c>
    </row>
    <row r="93" spans="2:6">
      <c r="B93" s="949" t="s">
        <v>176</v>
      </c>
      <c r="C93" s="950">
        <v>730</v>
      </c>
      <c r="D93" s="937" t="s">
        <v>177</v>
      </c>
      <c r="E93" s="952" t="s">
        <v>176</v>
      </c>
      <c r="F93" s="537" t="s">
        <v>266</v>
      </c>
    </row>
    <row r="94" spans="2:6">
      <c r="B94" s="949" t="s">
        <v>178</v>
      </c>
      <c r="C94" s="950">
        <v>143</v>
      </c>
      <c r="D94" s="937" t="s">
        <v>179</v>
      </c>
      <c r="E94" s="952" t="s">
        <v>178</v>
      </c>
      <c r="F94" s="537" t="s">
        <v>265</v>
      </c>
    </row>
    <row r="95" spans="2:6">
      <c r="B95" s="949" t="s">
        <v>180</v>
      </c>
      <c r="C95" s="950">
        <v>740</v>
      </c>
      <c r="D95" s="937" t="s">
        <v>181</v>
      </c>
      <c r="E95" s="952" t="s">
        <v>180</v>
      </c>
      <c r="F95" s="537" t="s">
        <v>264</v>
      </c>
    </row>
    <row r="96" spans="2:6">
      <c r="B96" s="949" t="s">
        <v>182</v>
      </c>
      <c r="C96" s="950">
        <v>145</v>
      </c>
      <c r="D96" s="937" t="s">
        <v>183</v>
      </c>
      <c r="E96" s="952" t="s">
        <v>182</v>
      </c>
      <c r="F96" s="537" t="s">
        <v>266</v>
      </c>
    </row>
    <row r="97" spans="2:6">
      <c r="B97" s="949" t="s">
        <v>184</v>
      </c>
      <c r="C97" s="950">
        <v>147</v>
      </c>
      <c r="D97" s="937" t="s">
        <v>185</v>
      </c>
      <c r="E97" s="952" t="s">
        <v>184</v>
      </c>
      <c r="F97" s="537" t="s">
        <v>266</v>
      </c>
    </row>
    <row r="98" spans="2:6">
      <c r="B98" s="949" t="s">
        <v>186</v>
      </c>
      <c r="C98" s="950">
        <v>149</v>
      </c>
      <c r="D98" s="937" t="s">
        <v>187</v>
      </c>
      <c r="E98" s="952" t="s">
        <v>186</v>
      </c>
      <c r="F98" s="537" t="s">
        <v>264</v>
      </c>
    </row>
    <row r="99" spans="2:6">
      <c r="B99" s="949" t="s">
        <v>188</v>
      </c>
      <c r="C99" s="950">
        <v>153</v>
      </c>
      <c r="D99" s="937" t="s">
        <v>189</v>
      </c>
      <c r="E99" s="952" t="s">
        <v>188</v>
      </c>
      <c r="F99" s="537" t="s">
        <v>267</v>
      </c>
    </row>
    <row r="100" spans="2:6">
      <c r="B100" s="949" t="s">
        <v>190</v>
      </c>
      <c r="C100" s="950">
        <v>155</v>
      </c>
      <c r="D100" s="937" t="s">
        <v>191</v>
      </c>
      <c r="E100" s="952" t="s">
        <v>190</v>
      </c>
      <c r="F100" s="537" t="s">
        <v>268</v>
      </c>
    </row>
    <row r="101" spans="2:6">
      <c r="B101" s="949" t="s">
        <v>192</v>
      </c>
      <c r="C101" s="950">
        <v>750</v>
      </c>
      <c r="D101" s="937" t="s">
        <v>193</v>
      </c>
      <c r="E101" s="952" t="s">
        <v>192</v>
      </c>
      <c r="F101" s="537" t="s">
        <v>268</v>
      </c>
    </row>
    <row r="102" spans="2:6">
      <c r="B102" s="949" t="s">
        <v>194</v>
      </c>
      <c r="C102" s="950">
        <v>157</v>
      </c>
      <c r="D102" s="937" t="s">
        <v>195</v>
      </c>
      <c r="E102" s="952" t="s">
        <v>194</v>
      </c>
      <c r="F102" s="537" t="s">
        <v>267</v>
      </c>
    </row>
    <row r="103" spans="2:6">
      <c r="B103" s="949" t="s">
        <v>196</v>
      </c>
      <c r="C103" s="950">
        <v>760</v>
      </c>
      <c r="D103" s="937" t="s">
        <v>197</v>
      </c>
      <c r="E103" s="952" t="s">
        <v>196</v>
      </c>
      <c r="F103" s="537" t="s">
        <v>266</v>
      </c>
    </row>
    <row r="104" spans="2:6">
      <c r="B104" s="949" t="s">
        <v>198</v>
      </c>
      <c r="C104" s="950">
        <v>159</v>
      </c>
      <c r="D104" s="937" t="s">
        <v>272</v>
      </c>
      <c r="E104" s="952" t="s">
        <v>198</v>
      </c>
      <c r="F104" s="537" t="s">
        <v>266</v>
      </c>
    </row>
    <row r="105" spans="2:6">
      <c r="B105" s="949" t="s">
        <v>200</v>
      </c>
      <c r="C105" s="950">
        <v>770</v>
      </c>
      <c r="D105" s="937" t="s">
        <v>201</v>
      </c>
      <c r="E105" s="952" t="s">
        <v>200</v>
      </c>
      <c r="F105" s="537" t="s">
        <v>265</v>
      </c>
    </row>
    <row r="106" spans="2:6">
      <c r="B106" s="949" t="s">
        <v>202</v>
      </c>
      <c r="C106" s="950">
        <v>161</v>
      </c>
      <c r="D106" s="937" t="s">
        <v>203</v>
      </c>
      <c r="E106" s="952" t="s">
        <v>202</v>
      </c>
      <c r="F106" s="537" t="s">
        <v>265</v>
      </c>
    </row>
    <row r="107" spans="2:6">
      <c r="B107" s="949" t="s">
        <v>204</v>
      </c>
      <c r="C107" s="950">
        <v>163</v>
      </c>
      <c r="D107" s="937" t="s">
        <v>205</v>
      </c>
      <c r="E107" s="952" t="s">
        <v>204</v>
      </c>
      <c r="F107" s="537" t="s">
        <v>265</v>
      </c>
    </row>
    <row r="108" spans="2:6">
      <c r="B108" s="949" t="s">
        <v>206</v>
      </c>
      <c r="C108" s="950">
        <v>165</v>
      </c>
      <c r="D108" s="937" t="s">
        <v>207</v>
      </c>
      <c r="E108" s="952" t="s">
        <v>206</v>
      </c>
      <c r="F108" s="537" t="s">
        <v>268</v>
      </c>
    </row>
    <row r="109" spans="2:6">
      <c r="B109" s="949" t="s">
        <v>208</v>
      </c>
      <c r="C109" s="950">
        <v>167</v>
      </c>
      <c r="D109" s="937" t="s">
        <v>209</v>
      </c>
      <c r="E109" s="952" t="s">
        <v>208</v>
      </c>
      <c r="F109" s="537" t="s">
        <v>268</v>
      </c>
    </row>
    <row r="110" spans="2:6">
      <c r="B110" s="949" t="s">
        <v>210</v>
      </c>
      <c r="C110" s="950">
        <v>169</v>
      </c>
      <c r="D110" s="937" t="s">
        <v>211</v>
      </c>
      <c r="E110" s="952" t="s">
        <v>210</v>
      </c>
      <c r="F110" s="537" t="s">
        <v>267</v>
      </c>
    </row>
    <row r="111" spans="2:6">
      <c r="B111" s="949" t="s">
        <v>212</v>
      </c>
      <c r="C111" s="950">
        <v>171</v>
      </c>
      <c r="D111" s="937" t="s">
        <v>213</v>
      </c>
      <c r="E111" s="952" t="s">
        <v>212</v>
      </c>
      <c r="F111" s="537" t="s">
        <v>265</v>
      </c>
    </row>
    <row r="112" spans="2:6">
      <c r="B112" s="949" t="s">
        <v>214</v>
      </c>
      <c r="C112" s="950">
        <v>173</v>
      </c>
      <c r="D112" s="937" t="s">
        <v>215</v>
      </c>
      <c r="E112" s="952" t="s">
        <v>214</v>
      </c>
      <c r="F112" s="537" t="s">
        <v>268</v>
      </c>
    </row>
    <row r="113" spans="2:6">
      <c r="B113" s="949" t="s">
        <v>216</v>
      </c>
      <c r="C113" s="950">
        <v>175</v>
      </c>
      <c r="D113" s="937" t="s">
        <v>217</v>
      </c>
      <c r="E113" s="952" t="s">
        <v>216</v>
      </c>
      <c r="F113" s="537" t="s">
        <v>264</v>
      </c>
    </row>
    <row r="114" spans="2:6">
      <c r="B114" s="949" t="s">
        <v>218</v>
      </c>
      <c r="C114" s="950">
        <v>177</v>
      </c>
      <c r="D114" s="937" t="s">
        <v>219</v>
      </c>
      <c r="E114" s="952" t="s">
        <v>218</v>
      </c>
      <c r="F114" s="537" t="s">
        <v>267</v>
      </c>
    </row>
    <row r="115" spans="2:6">
      <c r="B115" s="949" t="s">
        <v>220</v>
      </c>
      <c r="C115" s="950">
        <v>179</v>
      </c>
      <c r="D115" s="937" t="s">
        <v>221</v>
      </c>
      <c r="E115" s="952" t="s">
        <v>220</v>
      </c>
      <c r="F115" s="537" t="s">
        <v>267</v>
      </c>
    </row>
    <row r="116" spans="2:6">
      <c r="B116" s="949" t="s">
        <v>222</v>
      </c>
      <c r="C116" s="950">
        <v>800</v>
      </c>
      <c r="D116" s="937" t="s">
        <v>223</v>
      </c>
      <c r="E116" s="952" t="s">
        <v>222</v>
      </c>
      <c r="F116" s="537" t="s">
        <v>264</v>
      </c>
    </row>
    <row r="117" spans="2:6">
      <c r="B117" s="949" t="s">
        <v>224</v>
      </c>
      <c r="C117" s="950">
        <v>181</v>
      </c>
      <c r="D117" s="937" t="s">
        <v>225</v>
      </c>
      <c r="E117" s="952" t="s">
        <v>224</v>
      </c>
      <c r="F117" s="537" t="s">
        <v>264</v>
      </c>
    </row>
    <row r="118" spans="2:6">
      <c r="B118" s="949" t="s">
        <v>226</v>
      </c>
      <c r="C118" s="950">
        <v>183</v>
      </c>
      <c r="D118" s="937" t="s">
        <v>227</v>
      </c>
      <c r="E118" s="952" t="s">
        <v>226</v>
      </c>
      <c r="F118" s="537" t="s">
        <v>264</v>
      </c>
    </row>
    <row r="119" spans="2:6">
      <c r="B119" s="949" t="s">
        <v>228</v>
      </c>
      <c r="C119" s="950">
        <v>185</v>
      </c>
      <c r="D119" s="937" t="s">
        <v>229</v>
      </c>
      <c r="E119" s="952" t="s">
        <v>228</v>
      </c>
      <c r="F119" s="537" t="s">
        <v>268</v>
      </c>
    </row>
    <row r="120" spans="2:6">
      <c r="B120" s="949" t="s">
        <v>230</v>
      </c>
      <c r="C120" s="950">
        <v>810</v>
      </c>
      <c r="D120" s="937" t="s">
        <v>231</v>
      </c>
      <c r="E120" s="952" t="s">
        <v>230</v>
      </c>
      <c r="F120" s="537" t="s">
        <v>264</v>
      </c>
    </row>
    <row r="121" spans="2:6">
      <c r="B121" s="949" t="s">
        <v>232</v>
      </c>
      <c r="C121" s="950">
        <v>187</v>
      </c>
      <c r="D121" s="937" t="s">
        <v>233</v>
      </c>
      <c r="E121" s="952" t="s">
        <v>232</v>
      </c>
      <c r="F121" s="537" t="s">
        <v>267</v>
      </c>
    </row>
    <row r="122" spans="2:6">
      <c r="B122" s="949" t="s">
        <v>234</v>
      </c>
      <c r="C122" s="950">
        <v>191</v>
      </c>
      <c r="D122" s="937" t="s">
        <v>235</v>
      </c>
      <c r="E122" s="952" t="s">
        <v>234</v>
      </c>
      <c r="F122" s="537" t="s">
        <v>268</v>
      </c>
    </row>
    <row r="123" spans="2:6">
      <c r="B123" s="949" t="s">
        <v>236</v>
      </c>
      <c r="C123" s="950">
        <v>193</v>
      </c>
      <c r="D123" s="937" t="s">
        <v>237</v>
      </c>
      <c r="E123" s="952" t="s">
        <v>236</v>
      </c>
      <c r="F123" s="537" t="s">
        <v>266</v>
      </c>
    </row>
    <row r="124" spans="2:6">
      <c r="B124" s="949" t="s">
        <v>238</v>
      </c>
      <c r="C124" s="950">
        <v>830</v>
      </c>
      <c r="D124" s="937" t="s">
        <v>239</v>
      </c>
      <c r="E124" s="952" t="s">
        <v>238</v>
      </c>
      <c r="F124" s="537" t="s">
        <v>264</v>
      </c>
    </row>
    <row r="125" spans="2:6">
      <c r="B125" s="949" t="s">
        <v>240</v>
      </c>
      <c r="C125" s="950">
        <v>840</v>
      </c>
      <c r="D125" s="937" t="s">
        <v>241</v>
      </c>
      <c r="E125" s="952" t="s">
        <v>240</v>
      </c>
      <c r="F125" s="537" t="s">
        <v>267</v>
      </c>
    </row>
    <row r="126" spans="2:6">
      <c r="B126" s="949" t="s">
        <v>242</v>
      </c>
      <c r="C126" s="950">
        <v>195</v>
      </c>
      <c r="D126" s="937" t="s">
        <v>243</v>
      </c>
      <c r="E126" s="952" t="s">
        <v>242</v>
      </c>
      <c r="F126" s="537" t="s">
        <v>268</v>
      </c>
    </row>
    <row r="127" spans="2:6">
      <c r="B127" s="949" t="s">
        <v>244</v>
      </c>
      <c r="C127" s="950">
        <v>197</v>
      </c>
      <c r="D127" s="937" t="s">
        <v>245</v>
      </c>
      <c r="E127" s="952" t="s">
        <v>244</v>
      </c>
      <c r="F127" s="537" t="s">
        <v>268</v>
      </c>
    </row>
    <row r="128" spans="2:6">
      <c r="B128" s="955" t="s">
        <v>246</v>
      </c>
      <c r="C128" s="956">
        <v>199</v>
      </c>
      <c r="D128" s="957" t="s">
        <v>310</v>
      </c>
      <c r="E128" s="958" t="s">
        <v>246</v>
      </c>
      <c r="F128" s="537" t="s">
        <v>264</v>
      </c>
    </row>
    <row r="129" spans="2:5">
      <c r="B129" s="1970" t="s">
        <v>830</v>
      </c>
      <c r="C129" s="1970"/>
      <c r="D129" s="1970"/>
      <c r="E129" s="1970"/>
    </row>
    <row r="130" spans="2:5">
      <c r="B130" s="948"/>
      <c r="C130" s="948"/>
    </row>
    <row r="131" spans="2:5">
      <c r="B131" s="1971" t="s">
        <v>248</v>
      </c>
      <c r="C131" s="1971"/>
      <c r="D131" s="1971"/>
      <c r="E131" s="1971"/>
    </row>
    <row r="132" spans="2:5">
      <c r="B132" s="959" t="s">
        <v>249</v>
      </c>
      <c r="C132" s="959"/>
      <c r="D132" s="430" t="s">
        <v>250</v>
      </c>
      <c r="E132" s="960"/>
    </row>
  </sheetData>
  <mergeCells count="2">
    <mergeCell ref="B129:E129"/>
    <mergeCell ref="B131:E131"/>
  </mergeCells>
  <hyperlinks>
    <hyperlink ref="D132" r:id="rId1"/>
  </hyperlinks>
  <pageMargins left="1" right="1" top="1" bottom="1" header="0.3" footer="0.3"/>
  <pageSetup orientation="portrait" r:id="rId2"/>
  <headerFooter>
    <oddHeader>&amp;C&amp;"Courier New,Bold"&amp;12Percent of Population Receiving SNAP, Dec. 2010, by Race and Adults or Children</oddHeader>
    <oddFooter>&amp;C&amp;"Courier New,Regular"&amp;10&amp;P of &amp;N</oddFooter>
  </headerFooter>
</worksheet>
</file>

<file path=xl/worksheets/sheet65.xml><?xml version="1.0" encoding="utf-8"?>
<worksheet xmlns="http://schemas.openxmlformats.org/spreadsheetml/2006/main" xmlns:r="http://schemas.openxmlformats.org/officeDocument/2006/relationships">
  <dimension ref="A1:D2"/>
  <sheetViews>
    <sheetView workbookViewId="0">
      <selection activeCell="I23" sqref="I23"/>
    </sheetView>
  </sheetViews>
  <sheetFormatPr defaultRowHeight="15.75"/>
  <sheetData>
    <row r="1" spans="1:4">
      <c r="A1" t="s">
        <v>588</v>
      </c>
      <c r="D1" t="s">
        <v>589</v>
      </c>
    </row>
    <row r="2" spans="1:4">
      <c r="D2" t="s">
        <v>590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O137"/>
  <sheetViews>
    <sheetView workbookViewId="0">
      <pane xSplit="3" ySplit="5" topLeftCell="D6" activePane="bottomRight" state="frozen"/>
      <selection pane="topRight" activeCell="D1" sqref="D1"/>
      <selection pane="bottomLeft" activeCell="A5" sqref="A5"/>
      <selection pane="bottomRight" activeCell="A6" sqref="A6:XFD125"/>
    </sheetView>
  </sheetViews>
  <sheetFormatPr defaultRowHeight="15.75"/>
  <cols>
    <col min="1" max="1" width="9" style="271"/>
    <col min="2" max="2" width="22.375" style="271" customWidth="1"/>
    <col min="3" max="3" width="14.125" style="271" customWidth="1"/>
    <col min="4" max="4" width="12.5" style="271" customWidth="1"/>
    <col min="5" max="10" width="9" style="271"/>
    <col min="11" max="11" width="11.875" style="271" customWidth="1"/>
    <col min="12" max="28" width="9" style="271"/>
    <col min="29" max="33" width="10.25" style="271" customWidth="1"/>
    <col min="34" max="36" width="14.875" style="271" customWidth="1"/>
    <col min="37" max="39" width="9" style="271"/>
    <col min="40" max="40" width="11.125" style="271" bestFit="1" customWidth="1"/>
    <col min="41" max="16384" width="9" style="271"/>
  </cols>
  <sheetData>
    <row r="1" spans="1:41">
      <c r="A1" s="183" t="s">
        <v>907</v>
      </c>
    </row>
    <row r="2" spans="1:41">
      <c r="A2" s="183"/>
    </row>
    <row r="3" spans="1:41">
      <c r="E3" s="1886" t="s">
        <v>749</v>
      </c>
      <c r="F3" s="1884"/>
      <c r="G3" s="1884"/>
      <c r="H3" s="1884"/>
      <c r="I3" s="1884"/>
      <c r="J3" s="1885"/>
      <c r="K3" s="1886" t="s">
        <v>628</v>
      </c>
      <c r="L3" s="1884"/>
      <c r="M3" s="1884"/>
      <c r="N3" s="1884"/>
      <c r="O3" s="1884"/>
      <c r="P3" s="1884"/>
      <c r="Q3" s="1886" t="s">
        <v>739</v>
      </c>
      <c r="R3" s="1884"/>
      <c r="S3" s="1884"/>
      <c r="T3" s="1884"/>
      <c r="U3" s="1884"/>
      <c r="V3" s="1885"/>
      <c r="W3" s="1886" t="s">
        <v>741</v>
      </c>
      <c r="X3" s="1884"/>
      <c r="Y3" s="1884"/>
      <c r="Z3" s="1884"/>
      <c r="AA3" s="1884"/>
      <c r="AB3" s="1885"/>
      <c r="AC3" s="1886" t="s">
        <v>750</v>
      </c>
      <c r="AD3" s="1884"/>
      <c r="AE3" s="1884"/>
      <c r="AF3" s="1884"/>
      <c r="AG3" s="1885"/>
      <c r="AH3" s="1887" t="s">
        <v>748</v>
      </c>
      <c r="AI3" s="1888"/>
      <c r="AJ3" s="1889"/>
      <c r="AK3" s="1884" t="s">
        <v>556</v>
      </c>
      <c r="AL3" s="1884"/>
      <c r="AM3" s="1884"/>
      <c r="AN3" s="1885"/>
      <c r="AO3" s="64" t="s">
        <v>751</v>
      </c>
    </row>
    <row r="4" spans="1:41">
      <c r="A4" s="64" t="s">
        <v>4</v>
      </c>
      <c r="B4" s="64" t="s">
        <v>5</v>
      </c>
      <c r="C4" s="64" t="s">
        <v>251</v>
      </c>
      <c r="D4" s="64" t="s">
        <v>742</v>
      </c>
      <c r="E4" s="639" t="s">
        <v>746</v>
      </c>
      <c r="F4" s="640" t="s">
        <v>2</v>
      </c>
      <c r="G4" s="640" t="s">
        <v>450</v>
      </c>
      <c r="H4" s="640" t="s">
        <v>743</v>
      </c>
      <c r="I4" s="640" t="s">
        <v>744</v>
      </c>
      <c r="J4" s="641" t="s">
        <v>451</v>
      </c>
      <c r="K4" s="64" t="s">
        <v>746</v>
      </c>
      <c r="L4" s="640" t="s">
        <v>2</v>
      </c>
      <c r="M4" s="640" t="s">
        <v>450</v>
      </c>
      <c r="N4" s="640" t="s">
        <v>743</v>
      </c>
      <c r="O4" s="640" t="s">
        <v>744</v>
      </c>
      <c r="P4" s="640" t="s">
        <v>451</v>
      </c>
      <c r="Q4" s="639" t="s">
        <v>746</v>
      </c>
      <c r="R4" s="640" t="s">
        <v>2</v>
      </c>
      <c r="S4" s="640" t="s">
        <v>450</v>
      </c>
      <c r="T4" s="640" t="s">
        <v>743</v>
      </c>
      <c r="U4" s="640" t="s">
        <v>744</v>
      </c>
      <c r="V4" s="641" t="s">
        <v>451</v>
      </c>
      <c r="W4" s="639" t="s">
        <v>746</v>
      </c>
      <c r="X4" s="640" t="s">
        <v>2</v>
      </c>
      <c r="Y4" s="640" t="s">
        <v>450</v>
      </c>
      <c r="Z4" s="640" t="s">
        <v>743</v>
      </c>
      <c r="AA4" s="640" t="s">
        <v>744</v>
      </c>
      <c r="AB4" s="641" t="s">
        <v>451</v>
      </c>
      <c r="AC4" s="648" t="s">
        <v>2</v>
      </c>
      <c r="AD4" s="317" t="s">
        <v>450</v>
      </c>
      <c r="AE4" s="640" t="s">
        <v>743</v>
      </c>
      <c r="AF4" s="640" t="s">
        <v>744</v>
      </c>
      <c r="AG4" s="649" t="s">
        <v>451</v>
      </c>
      <c r="AH4" s="648" t="s">
        <v>7</v>
      </c>
      <c r="AI4" s="317" t="s">
        <v>6</v>
      </c>
      <c r="AJ4" s="649" t="s">
        <v>747</v>
      </c>
      <c r="AK4" s="639" t="s">
        <v>281</v>
      </c>
      <c r="AL4" s="640" t="s">
        <v>7</v>
      </c>
      <c r="AM4" s="640" t="s">
        <v>6</v>
      </c>
      <c r="AN4" s="641" t="s">
        <v>747</v>
      </c>
      <c r="AO4" s="64" t="s">
        <v>556</v>
      </c>
    </row>
    <row r="5" spans="1:41">
      <c r="A5" s="635">
        <v>999</v>
      </c>
      <c r="B5" s="636" t="s">
        <v>9</v>
      </c>
      <c r="C5" s="636"/>
      <c r="D5" s="636"/>
      <c r="E5" s="642">
        <f t="shared" ref="E5" si="0">SUM(E6:E125)</f>
        <v>8260405</v>
      </c>
      <c r="F5" s="643">
        <f t="shared" ref="F5" si="1">SUM(F6:F125)</f>
        <v>5961061</v>
      </c>
      <c r="G5" s="643">
        <f t="shared" ref="G5" si="2">SUM(G6:G125)</f>
        <v>1695095</v>
      </c>
      <c r="H5" s="643">
        <f t="shared" ref="H5" si="3">SUM(H6:H125)</f>
        <v>554117</v>
      </c>
      <c r="I5" s="643">
        <f t="shared" ref="I5" si="4">SUM(I6:I125)</f>
        <v>50132</v>
      </c>
      <c r="J5" s="644">
        <f t="shared" ref="J5" si="5">SUM(J6:J125)</f>
        <v>604249</v>
      </c>
      <c r="K5" s="637">
        <f t="shared" ref="K5" si="6">SUM(K6:K125)</f>
        <v>1864535</v>
      </c>
      <c r="L5" s="643">
        <f t="shared" ref="L5" si="7">SUM(L6:L125)</f>
        <v>1274275</v>
      </c>
      <c r="M5" s="643">
        <f t="shared" ref="M5" si="8">SUM(M6:M125)</f>
        <v>440006</v>
      </c>
      <c r="N5" s="643">
        <f t="shared" ref="N5" si="9">SUM(N6:N125)</f>
        <v>137154</v>
      </c>
      <c r="O5" s="643">
        <f t="shared" ref="O5:P5" si="10">SUM(O6:O125)</f>
        <v>13100</v>
      </c>
      <c r="P5" s="643">
        <f t="shared" si="10"/>
        <v>150254</v>
      </c>
      <c r="Q5" s="642">
        <f>SUM(Q6:Q125)</f>
        <v>5290489</v>
      </c>
      <c r="R5" s="643">
        <f t="shared" ref="R5:S5" si="11">SUM(R6:R125)</f>
        <v>3797697</v>
      </c>
      <c r="S5" s="643">
        <f t="shared" si="11"/>
        <v>1087503</v>
      </c>
      <c r="T5" s="643">
        <f t="shared" ref="T5" si="12">SUM(T6:T125)</f>
        <v>371699</v>
      </c>
      <c r="U5" s="643">
        <f t="shared" ref="U5" si="13">SUM(U6:U125)</f>
        <v>33590</v>
      </c>
      <c r="V5" s="644">
        <f t="shared" ref="V5" si="14">SUM(V6:V125)</f>
        <v>405289</v>
      </c>
      <c r="W5" s="642">
        <f t="shared" ref="W5" si="15">SUM(W6:W125)</f>
        <v>1105381</v>
      </c>
      <c r="X5" s="643">
        <f t="shared" ref="X5" si="16">SUM(X6:X125)</f>
        <v>889089</v>
      </c>
      <c r="Y5" s="643">
        <f t="shared" ref="Y5" si="17">SUM(Y6:Y125)</f>
        <v>167586</v>
      </c>
      <c r="Z5" s="643">
        <f t="shared" ref="Z5" si="18">SUM(Z6:Z125)</f>
        <v>45264</v>
      </c>
      <c r="AA5" s="643">
        <f t="shared" ref="AA5" si="19">SUM(AA6:AA125)</f>
        <v>3442</v>
      </c>
      <c r="AB5" s="644">
        <f t="shared" ref="AB5" si="20">SUM(AB6:AB125)</f>
        <v>48706</v>
      </c>
      <c r="AC5" s="650">
        <f t="shared" ref="AC5" si="21">F5/E5</f>
        <v>0.72164270395943053</v>
      </c>
      <c r="AD5" s="651">
        <f t="shared" ref="AD5" si="22">G5/E5</f>
        <v>0.20520725073407417</v>
      </c>
      <c r="AE5" s="651">
        <f t="shared" ref="AE5:AE36" si="23">H5/E5</f>
        <v>6.708109348149395E-2</v>
      </c>
      <c r="AF5" s="651">
        <f t="shared" ref="AF5:AF36" si="24">I5/E5</f>
        <v>6.0689518250013168E-3</v>
      </c>
      <c r="AG5" s="652">
        <f t="shared" ref="AG5:AG36" si="25">J5/E5</f>
        <v>7.3150045306495257E-2</v>
      </c>
      <c r="AH5" s="650">
        <f t="shared" ref="AH5:AH36" si="26">K5/E5</f>
        <v>0.22571956217643083</v>
      </c>
      <c r="AI5" s="651">
        <f t="shared" ref="AI5:AI36" si="27">Q5/E5</f>
        <v>0.64046363344170176</v>
      </c>
      <c r="AJ5" s="652">
        <f t="shared" ref="AJ5:AJ36" si="28">W5/E5</f>
        <v>0.13381680438186747</v>
      </c>
      <c r="AK5" s="642">
        <f t="shared" ref="AK5:AL5" si="29">SUM(AK6:AK125)</f>
        <v>712790</v>
      </c>
      <c r="AL5" s="643">
        <f t="shared" si="29"/>
        <v>229032</v>
      </c>
      <c r="AM5" s="643">
        <f t="shared" ref="AM5" si="30">SUM(AM6:AM125)</f>
        <v>457165</v>
      </c>
      <c r="AN5" s="644">
        <f t="shared" ref="AN5" si="31">SUM(AN6:AN125)</f>
        <v>26593</v>
      </c>
      <c r="AO5" s="638">
        <f t="shared" ref="AO5:AO36" si="32">AK5/E5</f>
        <v>8.6289957937897718E-2</v>
      </c>
    </row>
    <row r="6" spans="1:41">
      <c r="A6" s="271" t="s">
        <v>10</v>
      </c>
      <c r="B6" s="271" t="s">
        <v>11</v>
      </c>
      <c r="C6" s="271" t="s">
        <v>264</v>
      </c>
      <c r="D6" s="271">
        <v>2</v>
      </c>
      <c r="E6" s="645">
        <v>33148</v>
      </c>
      <c r="F6" s="646">
        <v>23146</v>
      </c>
      <c r="G6" s="646">
        <v>9498</v>
      </c>
      <c r="H6" s="646">
        <v>277</v>
      </c>
      <c r="I6" s="646">
        <v>227</v>
      </c>
      <c r="J6" s="647">
        <f t="shared" ref="J6:J37" si="33">H6+I6</f>
        <v>504</v>
      </c>
      <c r="K6" s="272">
        <v>7018</v>
      </c>
      <c r="L6" s="646">
        <v>4497</v>
      </c>
      <c r="M6" s="646">
        <v>2389</v>
      </c>
      <c r="N6" s="646">
        <v>68</v>
      </c>
      <c r="O6" s="646">
        <v>64</v>
      </c>
      <c r="P6" s="646">
        <f t="shared" ref="P6:P37" si="34">N6+O6</f>
        <v>132</v>
      </c>
      <c r="Q6" s="645">
        <v>19237</v>
      </c>
      <c r="R6" s="646">
        <v>13049</v>
      </c>
      <c r="S6" s="646">
        <v>5871</v>
      </c>
      <c r="T6" s="646">
        <v>185</v>
      </c>
      <c r="U6" s="646">
        <v>132</v>
      </c>
      <c r="V6" s="647">
        <f t="shared" ref="V6:V37" si="35">T6+U6</f>
        <v>317</v>
      </c>
      <c r="W6" s="645">
        <v>6893</v>
      </c>
      <c r="X6" s="646">
        <v>5600</v>
      </c>
      <c r="Y6" s="646">
        <v>1238</v>
      </c>
      <c r="Z6" s="646">
        <v>24</v>
      </c>
      <c r="AA6" s="646">
        <v>31</v>
      </c>
      <c r="AB6" s="647">
        <f t="shared" ref="AB6:AB37" si="36">Z6+AA6</f>
        <v>55</v>
      </c>
      <c r="AC6" s="653">
        <f t="shared" ref="AC6:AC37" si="37">F6/E6</f>
        <v>0.69826233860263065</v>
      </c>
      <c r="AD6" s="654">
        <f t="shared" ref="AD6:AD37" si="38">G6/E6</f>
        <v>0.28653312417038734</v>
      </c>
      <c r="AE6" s="654">
        <f t="shared" si="23"/>
        <v>8.3564619283214674E-3</v>
      </c>
      <c r="AF6" s="654">
        <f t="shared" si="24"/>
        <v>6.8480752986605524E-3</v>
      </c>
      <c r="AG6" s="655">
        <f t="shared" si="25"/>
        <v>1.5204537226982021E-2</v>
      </c>
      <c r="AH6" s="653">
        <f t="shared" si="26"/>
        <v>0.21171714733920599</v>
      </c>
      <c r="AI6" s="654">
        <f t="shared" si="27"/>
        <v>0.58033667189574034</v>
      </c>
      <c r="AJ6" s="655">
        <f t="shared" si="28"/>
        <v>0.2079461807650537</v>
      </c>
      <c r="AK6" s="645">
        <v>2992</v>
      </c>
      <c r="AL6" s="646">
        <v>1297</v>
      </c>
      <c r="AM6" s="646">
        <v>1622</v>
      </c>
      <c r="AN6" s="647">
        <v>73</v>
      </c>
      <c r="AO6" s="273">
        <f t="shared" si="32"/>
        <v>9.0261855918909131E-2</v>
      </c>
    </row>
    <row r="7" spans="1:41">
      <c r="A7" s="271" t="s">
        <v>12</v>
      </c>
      <c r="B7" s="271" t="s">
        <v>13</v>
      </c>
      <c r="C7" s="271" t="s">
        <v>265</v>
      </c>
      <c r="D7" s="271">
        <v>3</v>
      </c>
      <c r="E7" s="645">
        <v>103000</v>
      </c>
      <c r="F7" s="646">
        <v>86578</v>
      </c>
      <c r="G7" s="646">
        <v>10765</v>
      </c>
      <c r="H7" s="646">
        <v>5224</v>
      </c>
      <c r="I7" s="646">
        <v>433</v>
      </c>
      <c r="J7" s="647">
        <f t="shared" si="33"/>
        <v>5657</v>
      </c>
      <c r="K7" s="272">
        <v>21775</v>
      </c>
      <c r="L7" s="646">
        <v>17843</v>
      </c>
      <c r="M7" s="646">
        <v>2724</v>
      </c>
      <c r="N7" s="646">
        <v>1069</v>
      </c>
      <c r="O7" s="646">
        <v>139</v>
      </c>
      <c r="P7" s="646">
        <f t="shared" si="34"/>
        <v>1208</v>
      </c>
      <c r="Q7" s="645">
        <v>64759</v>
      </c>
      <c r="R7" s="646">
        <v>53709</v>
      </c>
      <c r="S7" s="646">
        <v>6878</v>
      </c>
      <c r="T7" s="646">
        <v>3903</v>
      </c>
      <c r="U7" s="646">
        <v>269</v>
      </c>
      <c r="V7" s="647">
        <f t="shared" si="35"/>
        <v>4172</v>
      </c>
      <c r="W7" s="645">
        <v>16466</v>
      </c>
      <c r="X7" s="646">
        <v>15026</v>
      </c>
      <c r="Y7" s="646">
        <v>1163</v>
      </c>
      <c r="Z7" s="646">
        <v>252</v>
      </c>
      <c r="AA7" s="646">
        <v>25</v>
      </c>
      <c r="AB7" s="647">
        <f t="shared" si="36"/>
        <v>277</v>
      </c>
      <c r="AC7" s="653">
        <f t="shared" si="37"/>
        <v>0.84056310679611645</v>
      </c>
      <c r="AD7" s="654">
        <f t="shared" si="38"/>
        <v>0.10451456310679612</v>
      </c>
      <c r="AE7" s="654">
        <f t="shared" si="23"/>
        <v>5.0718446601941747E-2</v>
      </c>
      <c r="AF7" s="654">
        <f t="shared" si="24"/>
        <v>4.2038834951456314E-3</v>
      </c>
      <c r="AG7" s="655">
        <f t="shared" si="25"/>
        <v>5.4922330097087378E-2</v>
      </c>
      <c r="AH7" s="653">
        <f t="shared" si="26"/>
        <v>0.21140776699029126</v>
      </c>
      <c r="AI7" s="654">
        <f t="shared" si="27"/>
        <v>0.62872815533980586</v>
      </c>
      <c r="AJ7" s="655">
        <f t="shared" si="28"/>
        <v>0.1598640776699029</v>
      </c>
      <c r="AK7" s="645">
        <v>5900</v>
      </c>
      <c r="AL7" s="646">
        <v>2015</v>
      </c>
      <c r="AM7" s="646">
        <v>3696</v>
      </c>
      <c r="AN7" s="647">
        <v>189</v>
      </c>
      <c r="AO7" s="273">
        <f t="shared" si="32"/>
        <v>5.7281553398058252E-2</v>
      </c>
    </row>
    <row r="8" spans="1:41">
      <c r="A8" s="271" t="s">
        <v>16</v>
      </c>
      <c r="B8" s="271" t="s">
        <v>297</v>
      </c>
      <c r="C8" s="271" t="s">
        <v>265</v>
      </c>
      <c r="D8" s="271">
        <v>2</v>
      </c>
      <c r="E8" s="645">
        <v>21979</v>
      </c>
      <c r="F8" s="646">
        <v>20121</v>
      </c>
      <c r="G8" s="646">
        <v>1680</v>
      </c>
      <c r="H8" s="646">
        <v>124</v>
      </c>
      <c r="I8" s="646">
        <v>54</v>
      </c>
      <c r="J8" s="647">
        <f t="shared" si="33"/>
        <v>178</v>
      </c>
      <c r="K8" s="272">
        <v>4460</v>
      </c>
      <c r="L8" s="646">
        <v>3990</v>
      </c>
      <c r="M8" s="646">
        <v>430</v>
      </c>
      <c r="N8" s="646">
        <v>32</v>
      </c>
      <c r="O8" s="646">
        <v>8</v>
      </c>
      <c r="P8" s="646">
        <f t="shared" si="34"/>
        <v>40</v>
      </c>
      <c r="Q8" s="645">
        <v>12637</v>
      </c>
      <c r="R8" s="646">
        <v>11596</v>
      </c>
      <c r="S8" s="646">
        <v>933</v>
      </c>
      <c r="T8" s="646">
        <v>73</v>
      </c>
      <c r="U8" s="646">
        <v>35</v>
      </c>
      <c r="V8" s="647">
        <f t="shared" si="35"/>
        <v>108</v>
      </c>
      <c r="W8" s="645">
        <v>4882</v>
      </c>
      <c r="X8" s="646">
        <v>4535</v>
      </c>
      <c r="Y8" s="646">
        <v>317</v>
      </c>
      <c r="Z8" s="646">
        <v>19</v>
      </c>
      <c r="AA8" s="646">
        <v>11</v>
      </c>
      <c r="AB8" s="647">
        <f t="shared" si="36"/>
        <v>30</v>
      </c>
      <c r="AC8" s="653">
        <f t="shared" si="37"/>
        <v>0.9154647618180991</v>
      </c>
      <c r="AD8" s="654">
        <f t="shared" si="38"/>
        <v>7.6436598571363576E-2</v>
      </c>
      <c r="AE8" s="654">
        <f t="shared" si="23"/>
        <v>5.6417489421720732E-3</v>
      </c>
      <c r="AF8" s="654">
        <f t="shared" si="24"/>
        <v>2.4568906683652579E-3</v>
      </c>
      <c r="AG8" s="655">
        <f t="shared" si="25"/>
        <v>8.0986396105373303E-3</v>
      </c>
      <c r="AH8" s="653">
        <f t="shared" si="26"/>
        <v>0.20292097001683426</v>
      </c>
      <c r="AI8" s="654">
        <f t="shared" si="27"/>
        <v>0.57495791437281041</v>
      </c>
      <c r="AJ8" s="655">
        <f t="shared" si="28"/>
        <v>0.22212111561035533</v>
      </c>
      <c r="AK8" s="645">
        <v>418</v>
      </c>
      <c r="AL8" s="646">
        <v>160</v>
      </c>
      <c r="AM8" s="646">
        <v>218</v>
      </c>
      <c r="AN8" s="647">
        <v>40</v>
      </c>
      <c r="AO8" s="273">
        <f t="shared" si="32"/>
        <v>1.90181536921607E-2</v>
      </c>
    </row>
    <row r="9" spans="1:41">
      <c r="A9" s="271" t="s">
        <v>18</v>
      </c>
      <c r="B9" s="271" t="s">
        <v>19</v>
      </c>
      <c r="C9" s="271" t="s">
        <v>266</v>
      </c>
      <c r="D9" s="271">
        <v>1</v>
      </c>
      <c r="E9" s="645">
        <v>12745</v>
      </c>
      <c r="F9" s="646">
        <v>9647</v>
      </c>
      <c r="G9" s="646">
        <v>2925</v>
      </c>
      <c r="H9" s="646">
        <v>99</v>
      </c>
      <c r="I9" s="646">
        <v>74</v>
      </c>
      <c r="J9" s="647">
        <f t="shared" si="33"/>
        <v>173</v>
      </c>
      <c r="K9" s="272">
        <v>2685</v>
      </c>
      <c r="L9" s="646">
        <v>2056</v>
      </c>
      <c r="M9" s="646">
        <v>582</v>
      </c>
      <c r="N9" s="646">
        <v>33</v>
      </c>
      <c r="O9" s="646">
        <v>14</v>
      </c>
      <c r="P9" s="646">
        <f t="shared" si="34"/>
        <v>47</v>
      </c>
      <c r="Q9" s="645">
        <v>7835</v>
      </c>
      <c r="R9" s="646">
        <v>5965</v>
      </c>
      <c r="S9" s="646">
        <v>1755</v>
      </c>
      <c r="T9" s="646">
        <v>63</v>
      </c>
      <c r="U9" s="646">
        <v>52</v>
      </c>
      <c r="V9" s="647">
        <f t="shared" si="35"/>
        <v>115</v>
      </c>
      <c r="W9" s="645">
        <v>2225</v>
      </c>
      <c r="X9" s="646">
        <v>1626</v>
      </c>
      <c r="Y9" s="646">
        <v>588</v>
      </c>
      <c r="Z9" s="646">
        <v>3</v>
      </c>
      <c r="AA9" s="646">
        <v>8</v>
      </c>
      <c r="AB9" s="647">
        <f t="shared" si="36"/>
        <v>11</v>
      </c>
      <c r="AC9" s="653">
        <f t="shared" si="37"/>
        <v>0.75692428403295409</v>
      </c>
      <c r="AD9" s="654">
        <f t="shared" si="38"/>
        <v>0.22950176539819536</v>
      </c>
      <c r="AE9" s="654">
        <f t="shared" si="23"/>
        <v>7.7677520596312281E-3</v>
      </c>
      <c r="AF9" s="654">
        <f t="shared" si="24"/>
        <v>5.8061985092193015E-3</v>
      </c>
      <c r="AG9" s="655">
        <f t="shared" si="25"/>
        <v>1.357395056885053E-2</v>
      </c>
      <c r="AH9" s="653">
        <f t="shared" si="26"/>
        <v>0.21067085131424088</v>
      </c>
      <c r="AI9" s="654">
        <f t="shared" si="27"/>
        <v>0.61475088269909772</v>
      </c>
      <c r="AJ9" s="655">
        <f t="shared" si="28"/>
        <v>0.17457826598666143</v>
      </c>
      <c r="AK9" s="645">
        <v>376</v>
      </c>
      <c r="AL9" s="646">
        <v>133</v>
      </c>
      <c r="AM9" s="646">
        <v>226</v>
      </c>
      <c r="AN9" s="647">
        <v>17</v>
      </c>
      <c r="AO9" s="273">
        <f t="shared" si="32"/>
        <v>2.9501765398195372E-2</v>
      </c>
    </row>
    <row r="10" spans="1:41">
      <c r="A10" s="271" t="s">
        <v>20</v>
      </c>
      <c r="B10" s="271" t="s">
        <v>21</v>
      </c>
      <c r="C10" s="271" t="s">
        <v>265</v>
      </c>
      <c r="D10" s="271">
        <v>2</v>
      </c>
      <c r="E10" s="645">
        <v>32178</v>
      </c>
      <c r="F10" s="646">
        <v>25298</v>
      </c>
      <c r="G10" s="646">
        <v>6364</v>
      </c>
      <c r="H10" s="646">
        <v>227</v>
      </c>
      <c r="I10" s="646">
        <v>289</v>
      </c>
      <c r="J10" s="647">
        <f t="shared" si="33"/>
        <v>516</v>
      </c>
      <c r="K10" s="272">
        <v>6475</v>
      </c>
      <c r="L10" s="646">
        <v>4975</v>
      </c>
      <c r="M10" s="646">
        <v>1392</v>
      </c>
      <c r="N10" s="646">
        <v>60</v>
      </c>
      <c r="O10" s="646">
        <v>48</v>
      </c>
      <c r="P10" s="646">
        <f t="shared" si="34"/>
        <v>108</v>
      </c>
      <c r="Q10" s="645">
        <v>19840</v>
      </c>
      <c r="R10" s="646">
        <v>15541</v>
      </c>
      <c r="S10" s="646">
        <v>3971</v>
      </c>
      <c r="T10" s="646">
        <v>145</v>
      </c>
      <c r="U10" s="646">
        <v>183</v>
      </c>
      <c r="V10" s="647">
        <f t="shared" si="35"/>
        <v>328</v>
      </c>
      <c r="W10" s="645">
        <v>5863</v>
      </c>
      <c r="X10" s="646">
        <v>4782</v>
      </c>
      <c r="Y10" s="646">
        <v>1001</v>
      </c>
      <c r="Z10" s="646">
        <v>22</v>
      </c>
      <c r="AA10" s="646">
        <v>58</v>
      </c>
      <c r="AB10" s="647">
        <f t="shared" si="36"/>
        <v>80</v>
      </c>
      <c r="AC10" s="653">
        <f t="shared" si="37"/>
        <v>0.78618932189694823</v>
      </c>
      <c r="AD10" s="654">
        <f t="shared" si="38"/>
        <v>0.19777487724532289</v>
      </c>
      <c r="AE10" s="654">
        <f t="shared" si="23"/>
        <v>7.0545092920629004E-3</v>
      </c>
      <c r="AF10" s="654">
        <f t="shared" si="24"/>
        <v>8.9812915656659834E-3</v>
      </c>
      <c r="AG10" s="655">
        <f t="shared" si="25"/>
        <v>1.6035800857728884E-2</v>
      </c>
      <c r="AH10" s="653">
        <f t="shared" si="26"/>
        <v>0.20122443905774132</v>
      </c>
      <c r="AI10" s="654">
        <f t="shared" si="27"/>
        <v>0.61657032755298646</v>
      </c>
      <c r="AJ10" s="655">
        <f t="shared" si="28"/>
        <v>0.18220523338927216</v>
      </c>
      <c r="AK10" s="645">
        <v>662</v>
      </c>
      <c r="AL10" s="646">
        <v>220</v>
      </c>
      <c r="AM10" s="646">
        <v>397</v>
      </c>
      <c r="AN10" s="647">
        <v>45</v>
      </c>
      <c r="AO10" s="273">
        <f t="shared" si="32"/>
        <v>2.0573062340729691E-2</v>
      </c>
    </row>
    <row r="11" spans="1:41">
      <c r="A11" s="271" t="s">
        <v>22</v>
      </c>
      <c r="B11" s="271" t="s">
        <v>23</v>
      </c>
      <c r="C11" s="271" t="s">
        <v>265</v>
      </c>
      <c r="D11" s="271">
        <v>1</v>
      </c>
      <c r="E11" s="645">
        <v>15255</v>
      </c>
      <c r="F11" s="646">
        <v>11977</v>
      </c>
      <c r="G11" s="646">
        <v>3170</v>
      </c>
      <c r="H11" s="646">
        <v>59</v>
      </c>
      <c r="I11" s="646">
        <v>49</v>
      </c>
      <c r="J11" s="647">
        <f t="shared" si="33"/>
        <v>108</v>
      </c>
      <c r="K11" s="272">
        <v>3338</v>
      </c>
      <c r="L11" s="646">
        <v>2487</v>
      </c>
      <c r="M11" s="646">
        <v>826</v>
      </c>
      <c r="N11" s="646">
        <v>15</v>
      </c>
      <c r="O11" s="646">
        <v>10</v>
      </c>
      <c r="P11" s="646">
        <f t="shared" si="34"/>
        <v>25</v>
      </c>
      <c r="Q11" s="645">
        <v>9075</v>
      </c>
      <c r="R11" s="646">
        <v>7142</v>
      </c>
      <c r="S11" s="646">
        <v>1864</v>
      </c>
      <c r="T11" s="646">
        <v>37</v>
      </c>
      <c r="U11" s="646">
        <v>32</v>
      </c>
      <c r="V11" s="647">
        <f t="shared" si="35"/>
        <v>69</v>
      </c>
      <c r="W11" s="645">
        <v>2842</v>
      </c>
      <c r="X11" s="646">
        <v>2348</v>
      </c>
      <c r="Y11" s="646">
        <v>480</v>
      </c>
      <c r="Z11" s="646">
        <v>7</v>
      </c>
      <c r="AA11" s="646">
        <v>7</v>
      </c>
      <c r="AB11" s="647">
        <f t="shared" si="36"/>
        <v>14</v>
      </c>
      <c r="AC11" s="653">
        <f t="shared" si="37"/>
        <v>0.78511963290724351</v>
      </c>
      <c r="AD11" s="654">
        <f t="shared" si="38"/>
        <v>0.20780072107505737</v>
      </c>
      <c r="AE11" s="654">
        <f t="shared" si="23"/>
        <v>3.8675843985578498E-3</v>
      </c>
      <c r="AF11" s="654">
        <f t="shared" si="24"/>
        <v>3.2120616191412652E-3</v>
      </c>
      <c r="AG11" s="655">
        <f t="shared" si="25"/>
        <v>7.0796460176991149E-3</v>
      </c>
      <c r="AH11" s="653">
        <f t="shared" si="26"/>
        <v>0.21881350376925598</v>
      </c>
      <c r="AI11" s="654">
        <f t="shared" si="27"/>
        <v>0.59488692232055063</v>
      </c>
      <c r="AJ11" s="655">
        <f t="shared" si="28"/>
        <v>0.18629957391019339</v>
      </c>
      <c r="AK11" s="645">
        <v>186</v>
      </c>
      <c r="AL11" s="646">
        <v>70</v>
      </c>
      <c r="AM11" s="646">
        <v>103</v>
      </c>
      <c r="AN11" s="647">
        <v>13</v>
      </c>
      <c r="AO11" s="273">
        <f t="shared" si="32"/>
        <v>1.2192723697148475E-2</v>
      </c>
    </row>
    <row r="12" spans="1:41">
      <c r="A12" s="271" t="s">
        <v>24</v>
      </c>
      <c r="B12" s="271" t="s">
        <v>25</v>
      </c>
      <c r="C12" s="271" t="s">
        <v>267</v>
      </c>
      <c r="D12" s="271">
        <v>3</v>
      </c>
      <c r="E12" s="645">
        <v>224906</v>
      </c>
      <c r="F12" s="646">
        <v>177395</v>
      </c>
      <c r="G12" s="646">
        <v>21106</v>
      </c>
      <c r="H12" s="646">
        <v>24543</v>
      </c>
      <c r="I12" s="646">
        <v>1862</v>
      </c>
      <c r="J12" s="647">
        <f t="shared" si="33"/>
        <v>26405</v>
      </c>
      <c r="K12" s="272">
        <v>37510</v>
      </c>
      <c r="L12" s="646">
        <v>28848</v>
      </c>
      <c r="M12" s="646">
        <v>4133</v>
      </c>
      <c r="N12" s="646">
        <v>4116</v>
      </c>
      <c r="O12" s="646">
        <v>413</v>
      </c>
      <c r="P12" s="646">
        <f t="shared" si="34"/>
        <v>4529</v>
      </c>
      <c r="Q12" s="645">
        <v>166966</v>
      </c>
      <c r="R12" s="646">
        <v>131834</v>
      </c>
      <c r="S12" s="646">
        <v>15102</v>
      </c>
      <c r="T12" s="646">
        <v>18676</v>
      </c>
      <c r="U12" s="646">
        <v>1354</v>
      </c>
      <c r="V12" s="647">
        <f t="shared" si="35"/>
        <v>20030</v>
      </c>
      <c r="W12" s="645">
        <v>20430</v>
      </c>
      <c r="X12" s="646">
        <v>16713</v>
      </c>
      <c r="Y12" s="646">
        <v>1871</v>
      </c>
      <c r="Z12" s="646">
        <v>1751</v>
      </c>
      <c r="AA12" s="646">
        <v>95</v>
      </c>
      <c r="AB12" s="647">
        <f t="shared" si="36"/>
        <v>1846</v>
      </c>
      <c r="AC12" s="653">
        <f t="shared" si="37"/>
        <v>0.78875174517353919</v>
      </c>
      <c r="AD12" s="654">
        <f t="shared" si="38"/>
        <v>9.3843650236098641E-2</v>
      </c>
      <c r="AE12" s="654">
        <f t="shared" si="23"/>
        <v>0.10912559024659191</v>
      </c>
      <c r="AF12" s="654">
        <f t="shared" si="24"/>
        <v>8.279014343770286E-3</v>
      </c>
      <c r="AG12" s="655">
        <f t="shared" si="25"/>
        <v>0.1174046045903622</v>
      </c>
      <c r="AH12" s="653">
        <f t="shared" si="26"/>
        <v>0.16678078841827251</v>
      </c>
      <c r="AI12" s="654">
        <f t="shared" si="27"/>
        <v>0.74238126150480643</v>
      </c>
      <c r="AJ12" s="655">
        <f t="shared" si="28"/>
        <v>9.0837950076921026E-2</v>
      </c>
      <c r="AK12" s="645">
        <v>35050</v>
      </c>
      <c r="AL12" s="646">
        <v>8409</v>
      </c>
      <c r="AM12" s="646">
        <v>24846</v>
      </c>
      <c r="AN12" s="647">
        <v>1795</v>
      </c>
      <c r="AO12" s="273">
        <f t="shared" si="32"/>
        <v>0.1558428854721528</v>
      </c>
    </row>
    <row r="13" spans="1:41">
      <c r="A13" s="271" t="s">
        <v>26</v>
      </c>
      <c r="B13" s="271" t="s">
        <v>706</v>
      </c>
      <c r="C13" s="271" t="s">
        <v>265</v>
      </c>
      <c r="D13" s="271">
        <v>3</v>
      </c>
      <c r="E13" s="645">
        <v>119525</v>
      </c>
      <c r="F13" s="646">
        <v>108754</v>
      </c>
      <c r="G13" s="646">
        <v>9427</v>
      </c>
      <c r="H13" s="646">
        <v>997</v>
      </c>
      <c r="I13" s="646">
        <v>347</v>
      </c>
      <c r="J13" s="647">
        <f t="shared" si="33"/>
        <v>1344</v>
      </c>
      <c r="K13" s="272">
        <v>24494</v>
      </c>
      <c r="L13" s="646">
        <v>21814</v>
      </c>
      <c r="M13" s="646">
        <v>2360</v>
      </c>
      <c r="N13" s="646">
        <v>240</v>
      </c>
      <c r="O13" s="646">
        <v>80</v>
      </c>
      <c r="P13" s="646">
        <f t="shared" si="34"/>
        <v>320</v>
      </c>
      <c r="Q13" s="645">
        <v>72683</v>
      </c>
      <c r="R13" s="646">
        <v>65724</v>
      </c>
      <c r="S13" s="646">
        <v>6060</v>
      </c>
      <c r="T13" s="646">
        <v>659</v>
      </c>
      <c r="U13" s="646">
        <v>240</v>
      </c>
      <c r="V13" s="647">
        <f t="shared" si="35"/>
        <v>899</v>
      </c>
      <c r="W13" s="645">
        <v>22348</v>
      </c>
      <c r="X13" s="646">
        <v>21216</v>
      </c>
      <c r="Y13" s="646">
        <v>1007</v>
      </c>
      <c r="Z13" s="646">
        <v>98</v>
      </c>
      <c r="AA13" s="646">
        <v>27</v>
      </c>
      <c r="AB13" s="647">
        <f t="shared" si="36"/>
        <v>125</v>
      </c>
      <c r="AC13" s="653">
        <f t="shared" si="37"/>
        <v>0.90988496130516627</v>
      </c>
      <c r="AD13" s="654">
        <f t="shared" si="38"/>
        <v>7.8870529177996238E-2</v>
      </c>
      <c r="AE13" s="654">
        <f t="shared" si="23"/>
        <v>8.3413511817611377E-3</v>
      </c>
      <c r="AF13" s="654">
        <f t="shared" si="24"/>
        <v>2.9031583350763437E-3</v>
      </c>
      <c r="AG13" s="655">
        <f t="shared" si="25"/>
        <v>1.1244509516837482E-2</v>
      </c>
      <c r="AH13" s="653">
        <f t="shared" si="26"/>
        <v>0.20492783936414977</v>
      </c>
      <c r="AI13" s="654">
        <f t="shared" si="27"/>
        <v>0.60809872411629362</v>
      </c>
      <c r="AJ13" s="655">
        <f t="shared" si="28"/>
        <v>0.18697343651955659</v>
      </c>
      <c r="AK13" s="645">
        <v>3768</v>
      </c>
      <c r="AL13" s="646">
        <v>1421</v>
      </c>
      <c r="AM13" s="646">
        <v>2194</v>
      </c>
      <c r="AN13" s="647">
        <v>153</v>
      </c>
      <c r="AO13" s="273">
        <f t="shared" si="32"/>
        <v>3.1524785609705085E-2</v>
      </c>
    </row>
    <row r="14" spans="1:41">
      <c r="A14" s="271" t="s">
        <v>27</v>
      </c>
      <c r="B14" s="271" t="s">
        <v>28</v>
      </c>
      <c r="C14" s="271" t="s">
        <v>265</v>
      </c>
      <c r="D14" s="271">
        <v>1</v>
      </c>
      <c r="E14" s="645">
        <v>4616</v>
      </c>
      <c r="F14" s="646">
        <v>4338</v>
      </c>
      <c r="G14" s="646">
        <v>253</v>
      </c>
      <c r="H14" s="646">
        <v>17</v>
      </c>
      <c r="I14" s="646">
        <v>8</v>
      </c>
      <c r="J14" s="647">
        <f t="shared" si="33"/>
        <v>25</v>
      </c>
      <c r="K14" s="272">
        <v>756</v>
      </c>
      <c r="L14" s="646">
        <v>702</v>
      </c>
      <c r="M14" s="646">
        <v>50</v>
      </c>
      <c r="N14" s="646">
        <v>3</v>
      </c>
      <c r="O14" s="646">
        <v>1</v>
      </c>
      <c r="P14" s="646">
        <f t="shared" si="34"/>
        <v>4</v>
      </c>
      <c r="Q14" s="645">
        <v>2727</v>
      </c>
      <c r="R14" s="646">
        <v>2560</v>
      </c>
      <c r="S14" s="646">
        <v>152</v>
      </c>
      <c r="T14" s="646">
        <v>9</v>
      </c>
      <c r="U14" s="646">
        <v>6</v>
      </c>
      <c r="V14" s="647">
        <f t="shared" si="35"/>
        <v>15</v>
      </c>
      <c r="W14" s="645">
        <v>1133</v>
      </c>
      <c r="X14" s="646">
        <v>1076</v>
      </c>
      <c r="Y14" s="646">
        <v>51</v>
      </c>
      <c r="Z14" s="646">
        <v>5</v>
      </c>
      <c r="AA14" s="646">
        <v>1</v>
      </c>
      <c r="AB14" s="647">
        <f t="shared" si="36"/>
        <v>6</v>
      </c>
      <c r="AC14" s="653">
        <f t="shared" si="37"/>
        <v>0.93977469670710567</v>
      </c>
      <c r="AD14" s="654">
        <f t="shared" si="38"/>
        <v>5.480935875216638E-2</v>
      </c>
      <c r="AE14" s="654">
        <f t="shared" si="23"/>
        <v>3.6828422876949742E-3</v>
      </c>
      <c r="AF14" s="654">
        <f t="shared" si="24"/>
        <v>1.7331022530329288E-3</v>
      </c>
      <c r="AG14" s="655">
        <f t="shared" si="25"/>
        <v>5.4159445407279032E-3</v>
      </c>
      <c r="AH14" s="653">
        <f t="shared" si="26"/>
        <v>0.16377816291161179</v>
      </c>
      <c r="AI14" s="654">
        <f t="shared" si="27"/>
        <v>0.59077123050259961</v>
      </c>
      <c r="AJ14" s="655">
        <f t="shared" si="28"/>
        <v>0.24545060658578857</v>
      </c>
      <c r="AK14" s="645">
        <v>74</v>
      </c>
      <c r="AL14" s="646">
        <v>27</v>
      </c>
      <c r="AM14" s="646">
        <v>40</v>
      </c>
      <c r="AN14" s="647">
        <v>7</v>
      </c>
      <c r="AO14" s="273">
        <f t="shared" si="32"/>
        <v>1.6031195840554593E-2</v>
      </c>
    </row>
    <row r="15" spans="1:41">
      <c r="A15" s="271" t="s">
        <v>29</v>
      </c>
      <c r="B15" s="505" t="s">
        <v>1012</v>
      </c>
      <c r="C15" s="271" t="s">
        <v>265</v>
      </c>
      <c r="D15" s="271">
        <v>2</v>
      </c>
      <c r="E15" s="645">
        <v>75773</v>
      </c>
      <c r="F15" s="646">
        <v>68928</v>
      </c>
      <c r="G15" s="646">
        <v>5661</v>
      </c>
      <c r="H15" s="646">
        <v>949</v>
      </c>
      <c r="I15" s="646">
        <v>235</v>
      </c>
      <c r="J15" s="647">
        <f t="shared" si="33"/>
        <v>1184</v>
      </c>
      <c r="K15" s="272">
        <v>15755</v>
      </c>
      <c r="L15" s="646">
        <v>14064</v>
      </c>
      <c r="M15" s="646">
        <v>1321</v>
      </c>
      <c r="N15" s="646">
        <v>313</v>
      </c>
      <c r="O15" s="646">
        <v>57</v>
      </c>
      <c r="P15" s="646">
        <f t="shared" si="34"/>
        <v>370</v>
      </c>
      <c r="Q15" s="645">
        <v>45750</v>
      </c>
      <c r="R15" s="646">
        <v>41493</v>
      </c>
      <c r="S15" s="646">
        <v>3528</v>
      </c>
      <c r="T15" s="646">
        <v>575</v>
      </c>
      <c r="U15" s="646">
        <v>154</v>
      </c>
      <c r="V15" s="647">
        <f t="shared" si="35"/>
        <v>729</v>
      </c>
      <c r="W15" s="645">
        <v>14268</v>
      </c>
      <c r="X15" s="646">
        <v>13371</v>
      </c>
      <c r="Y15" s="646">
        <v>812</v>
      </c>
      <c r="Z15" s="646">
        <v>61</v>
      </c>
      <c r="AA15" s="646">
        <v>24</v>
      </c>
      <c r="AB15" s="647">
        <f t="shared" si="36"/>
        <v>85</v>
      </c>
      <c r="AC15" s="653">
        <f t="shared" si="37"/>
        <v>0.90966439232972163</v>
      </c>
      <c r="AD15" s="654">
        <f t="shared" si="38"/>
        <v>7.4709989046230191E-2</v>
      </c>
      <c r="AE15" s="654">
        <f t="shared" si="23"/>
        <v>1.2524250062687236E-2</v>
      </c>
      <c r="AF15" s="654">
        <f t="shared" si="24"/>
        <v>3.1013685613609067E-3</v>
      </c>
      <c r="AG15" s="655">
        <f t="shared" si="25"/>
        <v>1.5625618624048144E-2</v>
      </c>
      <c r="AH15" s="653">
        <f t="shared" si="26"/>
        <v>0.20792366674145144</v>
      </c>
      <c r="AI15" s="654">
        <f t="shared" si="27"/>
        <v>0.60377707098834676</v>
      </c>
      <c r="AJ15" s="655">
        <f t="shared" si="28"/>
        <v>0.1882992622702018</v>
      </c>
      <c r="AK15" s="645">
        <v>1493</v>
      </c>
      <c r="AL15" s="646">
        <v>506</v>
      </c>
      <c r="AM15" s="646">
        <v>891</v>
      </c>
      <c r="AN15" s="647">
        <v>96</v>
      </c>
      <c r="AO15" s="273">
        <f t="shared" si="32"/>
        <v>1.9703588349412059E-2</v>
      </c>
    </row>
    <row r="16" spans="1:41">
      <c r="A16" s="271" t="s">
        <v>30</v>
      </c>
      <c r="B16" s="271" t="s">
        <v>31</v>
      </c>
      <c r="C16" s="271" t="s">
        <v>268</v>
      </c>
      <c r="D16" s="271">
        <v>1</v>
      </c>
      <c r="E16" s="645">
        <v>6735</v>
      </c>
      <c r="F16" s="646">
        <v>6451</v>
      </c>
      <c r="G16" s="646">
        <v>253</v>
      </c>
      <c r="H16" s="646">
        <v>25</v>
      </c>
      <c r="I16" s="646">
        <v>6</v>
      </c>
      <c r="J16" s="647">
        <f t="shared" si="33"/>
        <v>31</v>
      </c>
      <c r="K16" s="272">
        <v>1170</v>
      </c>
      <c r="L16" s="646">
        <v>1141</v>
      </c>
      <c r="M16" s="646">
        <v>22</v>
      </c>
      <c r="N16" s="646">
        <v>4</v>
      </c>
      <c r="O16" s="646">
        <v>3</v>
      </c>
      <c r="P16" s="646">
        <f t="shared" si="34"/>
        <v>7</v>
      </c>
      <c r="Q16" s="645">
        <v>4275</v>
      </c>
      <c r="R16" s="646">
        <v>4055</v>
      </c>
      <c r="S16" s="646">
        <v>201</v>
      </c>
      <c r="T16" s="646">
        <v>16</v>
      </c>
      <c r="U16" s="646">
        <v>3</v>
      </c>
      <c r="V16" s="647">
        <f t="shared" si="35"/>
        <v>19</v>
      </c>
      <c r="W16" s="645">
        <v>1290</v>
      </c>
      <c r="X16" s="646">
        <v>1255</v>
      </c>
      <c r="Y16" s="646">
        <v>30</v>
      </c>
      <c r="Z16" s="646">
        <v>5</v>
      </c>
      <c r="AA16" s="646">
        <v>0</v>
      </c>
      <c r="AB16" s="647">
        <f t="shared" si="36"/>
        <v>5</v>
      </c>
      <c r="AC16" s="653">
        <f t="shared" si="37"/>
        <v>0.95783221974758725</v>
      </c>
      <c r="AD16" s="654">
        <f t="shared" si="38"/>
        <v>3.7564959168522642E-2</v>
      </c>
      <c r="AE16" s="654">
        <f t="shared" si="23"/>
        <v>3.7119524870081661E-3</v>
      </c>
      <c r="AF16" s="654">
        <f t="shared" si="24"/>
        <v>8.9086859688195994E-4</v>
      </c>
      <c r="AG16" s="655">
        <f t="shared" si="25"/>
        <v>4.6028210838901266E-3</v>
      </c>
      <c r="AH16" s="653">
        <f t="shared" si="26"/>
        <v>0.17371937639198218</v>
      </c>
      <c r="AI16" s="654">
        <f t="shared" si="27"/>
        <v>0.63474387527839649</v>
      </c>
      <c r="AJ16" s="655">
        <f t="shared" si="28"/>
        <v>0.19153674832962139</v>
      </c>
      <c r="AK16" s="645">
        <v>43</v>
      </c>
      <c r="AL16" s="646">
        <v>10</v>
      </c>
      <c r="AM16" s="646">
        <v>30</v>
      </c>
      <c r="AN16" s="647">
        <v>3</v>
      </c>
      <c r="AO16" s="273">
        <f t="shared" si="32"/>
        <v>6.3845582776540458E-3</v>
      </c>
    </row>
    <row r="17" spans="1:41">
      <c r="A17" s="271" t="s">
        <v>32</v>
      </c>
      <c r="B17" s="271" t="s">
        <v>33</v>
      </c>
      <c r="C17" s="271" t="s">
        <v>265</v>
      </c>
      <c r="D17" s="271">
        <v>1</v>
      </c>
      <c r="E17" s="645">
        <v>33002</v>
      </c>
      <c r="F17" s="646">
        <v>31475</v>
      </c>
      <c r="G17" s="646">
        <v>1180</v>
      </c>
      <c r="H17" s="646">
        <v>250</v>
      </c>
      <c r="I17" s="646">
        <v>97</v>
      </c>
      <c r="J17" s="647">
        <f t="shared" si="33"/>
        <v>347</v>
      </c>
      <c r="K17" s="272">
        <v>6771</v>
      </c>
      <c r="L17" s="646">
        <v>6384</v>
      </c>
      <c r="M17" s="646">
        <v>291</v>
      </c>
      <c r="N17" s="646">
        <v>62</v>
      </c>
      <c r="O17" s="646">
        <v>34</v>
      </c>
      <c r="P17" s="646">
        <f t="shared" si="34"/>
        <v>96</v>
      </c>
      <c r="Q17" s="645">
        <v>19894</v>
      </c>
      <c r="R17" s="646">
        <v>18969</v>
      </c>
      <c r="S17" s="646">
        <v>718</v>
      </c>
      <c r="T17" s="646">
        <v>159</v>
      </c>
      <c r="U17" s="646">
        <v>48</v>
      </c>
      <c r="V17" s="647">
        <f t="shared" si="35"/>
        <v>207</v>
      </c>
      <c r="W17" s="645">
        <v>6337</v>
      </c>
      <c r="X17" s="646">
        <v>6122</v>
      </c>
      <c r="Y17" s="646">
        <v>171</v>
      </c>
      <c r="Z17" s="646">
        <v>29</v>
      </c>
      <c r="AA17" s="646">
        <v>15</v>
      </c>
      <c r="AB17" s="647">
        <f t="shared" si="36"/>
        <v>44</v>
      </c>
      <c r="AC17" s="653">
        <f t="shared" si="37"/>
        <v>0.95373007696503243</v>
      </c>
      <c r="AD17" s="654">
        <f t="shared" si="38"/>
        <v>3.5755408763105269E-2</v>
      </c>
      <c r="AE17" s="654">
        <f t="shared" si="23"/>
        <v>7.5752984667595905E-3</v>
      </c>
      <c r="AF17" s="654">
        <f t="shared" si="24"/>
        <v>2.9392158051027208E-3</v>
      </c>
      <c r="AG17" s="655">
        <f t="shared" si="25"/>
        <v>1.0514514271862311E-2</v>
      </c>
      <c r="AH17" s="653">
        <f t="shared" si="26"/>
        <v>0.20516938367371673</v>
      </c>
      <c r="AI17" s="654">
        <f t="shared" si="27"/>
        <v>0.60281195079086114</v>
      </c>
      <c r="AJ17" s="655">
        <f t="shared" si="28"/>
        <v>0.1920186655354221</v>
      </c>
      <c r="AK17" s="645">
        <v>486</v>
      </c>
      <c r="AL17" s="646">
        <v>181</v>
      </c>
      <c r="AM17" s="646">
        <v>277</v>
      </c>
      <c r="AN17" s="647">
        <v>28</v>
      </c>
      <c r="AO17" s="273">
        <f t="shared" si="32"/>
        <v>1.4726380219380643E-2</v>
      </c>
    </row>
    <row r="18" spans="1:41">
      <c r="A18" s="271" t="s">
        <v>36</v>
      </c>
      <c r="B18" s="271" t="s">
        <v>37</v>
      </c>
      <c r="C18" s="271" t="s">
        <v>264</v>
      </c>
      <c r="D18" s="271">
        <v>2</v>
      </c>
      <c r="E18" s="645">
        <v>16973</v>
      </c>
      <c r="F18" s="646">
        <v>7218</v>
      </c>
      <c r="G18" s="646">
        <v>9620</v>
      </c>
      <c r="H18" s="646">
        <v>74</v>
      </c>
      <c r="I18" s="646">
        <v>61</v>
      </c>
      <c r="J18" s="647">
        <f t="shared" si="33"/>
        <v>135</v>
      </c>
      <c r="K18" s="272">
        <v>3065</v>
      </c>
      <c r="L18" s="646">
        <v>1163</v>
      </c>
      <c r="M18" s="646">
        <v>1869</v>
      </c>
      <c r="N18" s="646">
        <v>19</v>
      </c>
      <c r="O18" s="646">
        <v>14</v>
      </c>
      <c r="P18" s="646">
        <f t="shared" si="34"/>
        <v>33</v>
      </c>
      <c r="Q18" s="645">
        <v>10811</v>
      </c>
      <c r="R18" s="646">
        <v>4391</v>
      </c>
      <c r="S18" s="646">
        <v>6335</v>
      </c>
      <c r="T18" s="646">
        <v>47</v>
      </c>
      <c r="U18" s="646">
        <v>38</v>
      </c>
      <c r="V18" s="647">
        <f t="shared" si="35"/>
        <v>85</v>
      </c>
      <c r="W18" s="645">
        <v>3097</v>
      </c>
      <c r="X18" s="646">
        <v>1664</v>
      </c>
      <c r="Y18" s="646">
        <v>1416</v>
      </c>
      <c r="Z18" s="646">
        <v>8</v>
      </c>
      <c r="AA18" s="646">
        <v>9</v>
      </c>
      <c r="AB18" s="647">
        <f t="shared" si="36"/>
        <v>17</v>
      </c>
      <c r="AC18" s="653">
        <f t="shared" si="37"/>
        <v>0.42526365403876748</v>
      </c>
      <c r="AD18" s="654">
        <f t="shared" si="38"/>
        <v>0.56678253697048253</v>
      </c>
      <c r="AE18" s="654">
        <f t="shared" si="23"/>
        <v>4.3598656690037119E-3</v>
      </c>
      <c r="AF18" s="654">
        <f t="shared" si="24"/>
        <v>3.5939433217463028E-3</v>
      </c>
      <c r="AG18" s="655">
        <f t="shared" si="25"/>
        <v>7.9538089907500147E-3</v>
      </c>
      <c r="AH18" s="653">
        <f t="shared" si="26"/>
        <v>0.18058092264184292</v>
      </c>
      <c r="AI18" s="654">
        <f t="shared" si="27"/>
        <v>0.63695280739998816</v>
      </c>
      <c r="AJ18" s="655">
        <f t="shared" si="28"/>
        <v>0.18246626995816886</v>
      </c>
      <c r="AK18" s="645">
        <v>321</v>
      </c>
      <c r="AL18" s="646">
        <v>96</v>
      </c>
      <c r="AM18" s="646">
        <v>210</v>
      </c>
      <c r="AN18" s="647">
        <v>15</v>
      </c>
      <c r="AO18" s="273">
        <f t="shared" si="32"/>
        <v>1.891239026689448E-2</v>
      </c>
    </row>
    <row r="19" spans="1:41">
      <c r="A19" s="271" t="s">
        <v>38</v>
      </c>
      <c r="B19" s="271" t="s">
        <v>39</v>
      </c>
      <c r="C19" s="271" t="s">
        <v>268</v>
      </c>
      <c r="D19" s="271">
        <v>2</v>
      </c>
      <c r="E19" s="645">
        <v>23597</v>
      </c>
      <c r="F19" s="646">
        <v>22763</v>
      </c>
      <c r="G19" s="646">
        <v>731</v>
      </c>
      <c r="H19" s="646">
        <v>76</v>
      </c>
      <c r="I19" s="646">
        <v>27</v>
      </c>
      <c r="J19" s="647">
        <f t="shared" si="33"/>
        <v>103</v>
      </c>
      <c r="K19" s="272">
        <v>4241</v>
      </c>
      <c r="L19" s="646">
        <v>4095</v>
      </c>
      <c r="M19" s="646">
        <v>127</v>
      </c>
      <c r="N19" s="646">
        <v>11</v>
      </c>
      <c r="O19" s="646">
        <v>8</v>
      </c>
      <c r="P19" s="646">
        <f t="shared" si="34"/>
        <v>19</v>
      </c>
      <c r="Q19" s="645">
        <v>14985</v>
      </c>
      <c r="R19" s="646">
        <v>14321</v>
      </c>
      <c r="S19" s="646">
        <v>590</v>
      </c>
      <c r="T19" s="646">
        <v>57</v>
      </c>
      <c r="U19" s="646">
        <v>17</v>
      </c>
      <c r="V19" s="647">
        <f t="shared" si="35"/>
        <v>74</v>
      </c>
      <c r="W19" s="645">
        <v>4371</v>
      </c>
      <c r="X19" s="646">
        <v>4347</v>
      </c>
      <c r="Y19" s="646">
        <v>14</v>
      </c>
      <c r="Z19" s="646">
        <v>8</v>
      </c>
      <c r="AA19" s="646">
        <v>2</v>
      </c>
      <c r="AB19" s="647">
        <f t="shared" si="36"/>
        <v>10</v>
      </c>
      <c r="AC19" s="653">
        <f t="shared" si="37"/>
        <v>0.96465652413442382</v>
      </c>
      <c r="AD19" s="654">
        <f t="shared" si="38"/>
        <v>3.0978514217909058E-2</v>
      </c>
      <c r="AE19" s="654">
        <f t="shared" si="23"/>
        <v>3.2207484002203671E-3</v>
      </c>
      <c r="AF19" s="654">
        <f t="shared" si="24"/>
        <v>1.1442132474467094E-3</v>
      </c>
      <c r="AG19" s="655">
        <f t="shared" si="25"/>
        <v>4.3649616476670768E-3</v>
      </c>
      <c r="AH19" s="653">
        <f t="shared" si="26"/>
        <v>0.17972623638598126</v>
      </c>
      <c r="AI19" s="654">
        <f t="shared" si="27"/>
        <v>0.63503835233292372</v>
      </c>
      <c r="AJ19" s="655">
        <f t="shared" si="28"/>
        <v>0.18523541128109505</v>
      </c>
      <c r="AK19" s="645">
        <v>127</v>
      </c>
      <c r="AL19" s="646">
        <v>48</v>
      </c>
      <c r="AM19" s="646">
        <v>71</v>
      </c>
      <c r="AN19" s="647">
        <v>8</v>
      </c>
      <c r="AO19" s="273">
        <f t="shared" si="32"/>
        <v>5.3820400898419293E-3</v>
      </c>
    </row>
    <row r="20" spans="1:41">
      <c r="A20" s="271" t="s">
        <v>40</v>
      </c>
      <c r="B20" s="271" t="s">
        <v>41</v>
      </c>
      <c r="C20" s="271" t="s">
        <v>266</v>
      </c>
      <c r="D20" s="271">
        <v>2</v>
      </c>
      <c r="E20" s="645">
        <v>17136</v>
      </c>
      <c r="F20" s="646">
        <v>10855</v>
      </c>
      <c r="G20" s="646">
        <v>6143</v>
      </c>
      <c r="H20" s="646">
        <v>83</v>
      </c>
      <c r="I20" s="646">
        <v>55</v>
      </c>
      <c r="J20" s="647">
        <f t="shared" si="33"/>
        <v>138</v>
      </c>
      <c r="K20" s="272">
        <v>3242</v>
      </c>
      <c r="L20" s="646">
        <v>2057</v>
      </c>
      <c r="M20" s="646">
        <v>1166</v>
      </c>
      <c r="N20" s="646">
        <v>13</v>
      </c>
      <c r="O20" s="646">
        <v>6</v>
      </c>
      <c r="P20" s="646">
        <f t="shared" si="34"/>
        <v>19</v>
      </c>
      <c r="Q20" s="645">
        <v>11121</v>
      </c>
      <c r="R20" s="646">
        <v>6875</v>
      </c>
      <c r="S20" s="646">
        <v>4141</v>
      </c>
      <c r="T20" s="646">
        <v>61</v>
      </c>
      <c r="U20" s="646">
        <v>44</v>
      </c>
      <c r="V20" s="647">
        <f t="shared" si="35"/>
        <v>105</v>
      </c>
      <c r="W20" s="645">
        <v>2773</v>
      </c>
      <c r="X20" s="646">
        <v>1923</v>
      </c>
      <c r="Y20" s="646">
        <v>836</v>
      </c>
      <c r="Z20" s="646">
        <v>9</v>
      </c>
      <c r="AA20" s="646">
        <v>5</v>
      </c>
      <c r="AB20" s="647">
        <f t="shared" si="36"/>
        <v>14</v>
      </c>
      <c r="AC20" s="653">
        <f t="shared" si="37"/>
        <v>0.63346171802054152</v>
      </c>
      <c r="AD20" s="654">
        <f t="shared" si="38"/>
        <v>0.35848506069094305</v>
      </c>
      <c r="AE20" s="654">
        <f t="shared" si="23"/>
        <v>4.8436041083099908E-3</v>
      </c>
      <c r="AF20" s="654">
        <f t="shared" si="24"/>
        <v>3.2096171802054154E-3</v>
      </c>
      <c r="AG20" s="655">
        <f t="shared" si="25"/>
        <v>8.0532212885154053E-3</v>
      </c>
      <c r="AH20" s="653">
        <f t="shared" si="26"/>
        <v>0.1891923436041083</v>
      </c>
      <c r="AI20" s="654">
        <f t="shared" si="27"/>
        <v>0.64898459383753504</v>
      </c>
      <c r="AJ20" s="655">
        <f t="shared" si="28"/>
        <v>0.16182306255835668</v>
      </c>
      <c r="AK20" s="645">
        <v>354</v>
      </c>
      <c r="AL20" s="646">
        <v>117</v>
      </c>
      <c r="AM20" s="646">
        <v>222</v>
      </c>
      <c r="AN20" s="647">
        <v>15</v>
      </c>
      <c r="AO20" s="273">
        <f t="shared" si="32"/>
        <v>2.0658263305322128E-2</v>
      </c>
    </row>
    <row r="21" spans="1:41">
      <c r="A21" s="271" t="s">
        <v>42</v>
      </c>
      <c r="B21" s="271" t="s">
        <v>43</v>
      </c>
      <c r="C21" s="271" t="s">
        <v>265</v>
      </c>
      <c r="D21" s="271">
        <v>2</v>
      </c>
      <c r="E21" s="645">
        <v>55235</v>
      </c>
      <c r="F21" s="646">
        <v>46099</v>
      </c>
      <c r="G21" s="646">
        <v>8328</v>
      </c>
      <c r="H21" s="646">
        <v>638</v>
      </c>
      <c r="I21" s="646">
        <v>170</v>
      </c>
      <c r="J21" s="647">
        <f t="shared" si="33"/>
        <v>808</v>
      </c>
      <c r="K21" s="272">
        <v>11304</v>
      </c>
      <c r="L21" s="646">
        <v>9183</v>
      </c>
      <c r="M21" s="646">
        <v>1896</v>
      </c>
      <c r="N21" s="646">
        <v>191</v>
      </c>
      <c r="O21" s="646">
        <v>34</v>
      </c>
      <c r="P21" s="646">
        <f t="shared" si="34"/>
        <v>225</v>
      </c>
      <c r="Q21" s="645">
        <v>34184</v>
      </c>
      <c r="R21" s="646">
        <v>28377</v>
      </c>
      <c r="S21" s="646">
        <v>5285</v>
      </c>
      <c r="T21" s="646">
        <v>403</v>
      </c>
      <c r="U21" s="646">
        <v>119</v>
      </c>
      <c r="V21" s="647">
        <f t="shared" si="35"/>
        <v>522</v>
      </c>
      <c r="W21" s="645">
        <v>9747</v>
      </c>
      <c r="X21" s="646">
        <v>8539</v>
      </c>
      <c r="Y21" s="646">
        <v>1147</v>
      </c>
      <c r="Z21" s="646">
        <v>44</v>
      </c>
      <c r="AA21" s="646">
        <v>17</v>
      </c>
      <c r="AB21" s="647">
        <f t="shared" si="36"/>
        <v>61</v>
      </c>
      <c r="AC21" s="653">
        <f t="shared" si="37"/>
        <v>0.83459762831537976</v>
      </c>
      <c r="AD21" s="654">
        <f t="shared" si="38"/>
        <v>0.15077396578256541</v>
      </c>
      <c r="AE21" s="654">
        <f t="shared" si="23"/>
        <v>1.1550647234543314E-2</v>
      </c>
      <c r="AF21" s="654">
        <f t="shared" si="24"/>
        <v>3.0777586675115416E-3</v>
      </c>
      <c r="AG21" s="655">
        <f t="shared" si="25"/>
        <v>1.4628405902054857E-2</v>
      </c>
      <c r="AH21" s="653">
        <f t="shared" si="26"/>
        <v>0.20465284692676744</v>
      </c>
      <c r="AI21" s="654">
        <f t="shared" si="27"/>
        <v>0.61888295464832077</v>
      </c>
      <c r="AJ21" s="655">
        <f t="shared" si="28"/>
        <v>0.17646419842491173</v>
      </c>
      <c r="AK21" s="645">
        <v>1097</v>
      </c>
      <c r="AL21" s="646">
        <v>339</v>
      </c>
      <c r="AM21" s="646">
        <v>714</v>
      </c>
      <c r="AN21" s="647">
        <v>44</v>
      </c>
      <c r="AO21" s="273">
        <f t="shared" si="32"/>
        <v>1.9860595636824477E-2</v>
      </c>
    </row>
    <row r="22" spans="1:41">
      <c r="A22" s="271" t="s">
        <v>44</v>
      </c>
      <c r="B22" s="271" t="s">
        <v>45</v>
      </c>
      <c r="C22" s="271" t="s">
        <v>266</v>
      </c>
      <c r="D22" s="271">
        <v>2</v>
      </c>
      <c r="E22" s="645">
        <v>29298</v>
      </c>
      <c r="F22" s="646">
        <v>19942</v>
      </c>
      <c r="G22" s="646">
        <v>8744</v>
      </c>
      <c r="H22" s="646">
        <v>330</v>
      </c>
      <c r="I22" s="646">
        <v>282</v>
      </c>
      <c r="J22" s="647">
        <f t="shared" si="33"/>
        <v>612</v>
      </c>
      <c r="K22" s="272">
        <v>6854</v>
      </c>
      <c r="L22" s="646">
        <v>4608</v>
      </c>
      <c r="M22" s="646">
        <v>2059</v>
      </c>
      <c r="N22" s="646">
        <v>86</v>
      </c>
      <c r="O22" s="646">
        <v>101</v>
      </c>
      <c r="P22" s="646">
        <f t="shared" si="34"/>
        <v>187</v>
      </c>
      <c r="Q22" s="645">
        <v>18160</v>
      </c>
      <c r="R22" s="646">
        <v>12526</v>
      </c>
      <c r="S22" s="646">
        <v>5274</v>
      </c>
      <c r="T22" s="646">
        <v>214</v>
      </c>
      <c r="U22" s="646">
        <v>146</v>
      </c>
      <c r="V22" s="647">
        <f t="shared" si="35"/>
        <v>360</v>
      </c>
      <c r="W22" s="645">
        <v>4284</v>
      </c>
      <c r="X22" s="646">
        <v>2808</v>
      </c>
      <c r="Y22" s="646">
        <v>1411</v>
      </c>
      <c r="Z22" s="646">
        <v>30</v>
      </c>
      <c r="AA22" s="646">
        <v>35</v>
      </c>
      <c r="AB22" s="647">
        <f t="shared" si="36"/>
        <v>65</v>
      </c>
      <c r="AC22" s="653">
        <f t="shared" si="37"/>
        <v>0.68066079595876849</v>
      </c>
      <c r="AD22" s="654">
        <f t="shared" si="38"/>
        <v>0.29845040617106972</v>
      </c>
      <c r="AE22" s="654">
        <f t="shared" si="23"/>
        <v>1.1263567479008805E-2</v>
      </c>
      <c r="AF22" s="654">
        <f t="shared" si="24"/>
        <v>9.62523039115298E-3</v>
      </c>
      <c r="AG22" s="655">
        <f t="shared" si="25"/>
        <v>2.0888797870161787E-2</v>
      </c>
      <c r="AH22" s="653">
        <f t="shared" si="26"/>
        <v>0.23394088333674654</v>
      </c>
      <c r="AI22" s="654">
        <f t="shared" si="27"/>
        <v>0.61983753157212096</v>
      </c>
      <c r="AJ22" s="655">
        <f t="shared" si="28"/>
        <v>0.14622158509113251</v>
      </c>
      <c r="AK22" s="645">
        <v>1186</v>
      </c>
      <c r="AL22" s="646">
        <v>422</v>
      </c>
      <c r="AM22" s="646">
        <v>705</v>
      </c>
      <c r="AN22" s="647">
        <v>59</v>
      </c>
      <c r="AO22" s="273">
        <f t="shared" si="32"/>
        <v>4.0480578879104376E-2</v>
      </c>
    </row>
    <row r="23" spans="1:41">
      <c r="A23" s="271" t="s">
        <v>46</v>
      </c>
      <c r="B23" s="271" t="s">
        <v>47</v>
      </c>
      <c r="C23" s="271" t="s">
        <v>268</v>
      </c>
      <c r="D23" s="271">
        <v>2</v>
      </c>
      <c r="E23" s="645">
        <v>29883</v>
      </c>
      <c r="F23" s="646">
        <v>29367</v>
      </c>
      <c r="G23" s="646">
        <v>328</v>
      </c>
      <c r="H23" s="646">
        <v>86</v>
      </c>
      <c r="I23" s="646">
        <v>102</v>
      </c>
      <c r="J23" s="647">
        <f t="shared" si="33"/>
        <v>188</v>
      </c>
      <c r="K23" s="272">
        <v>5863</v>
      </c>
      <c r="L23" s="646">
        <v>5687</v>
      </c>
      <c r="M23" s="646">
        <v>112</v>
      </c>
      <c r="N23" s="646">
        <v>24</v>
      </c>
      <c r="O23" s="646">
        <v>40</v>
      </c>
      <c r="P23" s="646">
        <f t="shared" si="34"/>
        <v>64</v>
      </c>
      <c r="Q23" s="645">
        <v>17681</v>
      </c>
      <c r="R23" s="646">
        <v>17408</v>
      </c>
      <c r="S23" s="646">
        <v>173</v>
      </c>
      <c r="T23" s="646">
        <v>49</v>
      </c>
      <c r="U23" s="646">
        <v>51</v>
      </c>
      <c r="V23" s="647">
        <f t="shared" si="35"/>
        <v>100</v>
      </c>
      <c r="W23" s="645">
        <v>6339</v>
      </c>
      <c r="X23" s="646">
        <v>6272</v>
      </c>
      <c r="Y23" s="646">
        <v>43</v>
      </c>
      <c r="Z23" s="646">
        <v>13</v>
      </c>
      <c r="AA23" s="646">
        <v>11</v>
      </c>
      <c r="AB23" s="647">
        <f t="shared" si="36"/>
        <v>24</v>
      </c>
      <c r="AC23" s="653">
        <f t="shared" si="37"/>
        <v>0.98273265736371851</v>
      </c>
      <c r="AD23" s="654">
        <f t="shared" si="38"/>
        <v>1.0976140280426998E-2</v>
      </c>
      <c r="AE23" s="654">
        <f t="shared" si="23"/>
        <v>2.8778904393802498E-3</v>
      </c>
      <c r="AF23" s="654">
        <f t="shared" si="24"/>
        <v>3.4133119164742494E-3</v>
      </c>
      <c r="AG23" s="655">
        <f t="shared" si="25"/>
        <v>6.2912023558544996E-3</v>
      </c>
      <c r="AH23" s="653">
        <f t="shared" si="26"/>
        <v>0.1961985075126326</v>
      </c>
      <c r="AI23" s="654">
        <f t="shared" si="27"/>
        <v>0.59167419603118832</v>
      </c>
      <c r="AJ23" s="655">
        <f t="shared" si="28"/>
        <v>0.21212729645617909</v>
      </c>
      <c r="AK23" s="645">
        <v>962</v>
      </c>
      <c r="AL23" s="646">
        <v>401</v>
      </c>
      <c r="AM23" s="646">
        <v>521</v>
      </c>
      <c r="AN23" s="647">
        <v>40</v>
      </c>
      <c r="AO23" s="273">
        <f t="shared" si="32"/>
        <v>3.2192216310276744E-2</v>
      </c>
    </row>
    <row r="24" spans="1:41">
      <c r="A24" s="271" t="s">
        <v>48</v>
      </c>
      <c r="B24" s="271" t="s">
        <v>269</v>
      </c>
      <c r="C24" s="271" t="s">
        <v>266</v>
      </c>
      <c r="D24" s="271">
        <v>1</v>
      </c>
      <c r="E24" s="645">
        <v>7130</v>
      </c>
      <c r="F24" s="646">
        <v>3090</v>
      </c>
      <c r="G24" s="646">
        <v>3452</v>
      </c>
      <c r="H24" s="646">
        <v>53</v>
      </c>
      <c r="I24" s="646">
        <v>535</v>
      </c>
      <c r="J24" s="647">
        <f t="shared" si="33"/>
        <v>588</v>
      </c>
      <c r="K24" s="272">
        <v>1171</v>
      </c>
      <c r="L24" s="646">
        <v>491</v>
      </c>
      <c r="M24" s="646">
        <v>587</v>
      </c>
      <c r="N24" s="646">
        <v>7</v>
      </c>
      <c r="O24" s="646">
        <v>86</v>
      </c>
      <c r="P24" s="646">
        <f t="shared" si="34"/>
        <v>93</v>
      </c>
      <c r="Q24" s="645">
        <v>4531</v>
      </c>
      <c r="R24" s="646">
        <v>2036</v>
      </c>
      <c r="S24" s="646">
        <v>2123</v>
      </c>
      <c r="T24" s="646">
        <v>39</v>
      </c>
      <c r="U24" s="646">
        <v>333</v>
      </c>
      <c r="V24" s="647">
        <f t="shared" si="35"/>
        <v>372</v>
      </c>
      <c r="W24" s="645">
        <v>1428</v>
      </c>
      <c r="X24" s="646">
        <v>563</v>
      </c>
      <c r="Y24" s="646">
        <v>742</v>
      </c>
      <c r="Z24" s="646">
        <v>7</v>
      </c>
      <c r="AA24" s="646">
        <v>116</v>
      </c>
      <c r="AB24" s="647">
        <f t="shared" si="36"/>
        <v>123</v>
      </c>
      <c r="AC24" s="653">
        <f t="shared" si="37"/>
        <v>0.43338008415147267</v>
      </c>
      <c r="AD24" s="654">
        <f t="shared" si="38"/>
        <v>0.48415147265077141</v>
      </c>
      <c r="AE24" s="654">
        <f t="shared" si="23"/>
        <v>7.433380084151473E-3</v>
      </c>
      <c r="AF24" s="654">
        <f t="shared" si="24"/>
        <v>7.5035063113604486E-2</v>
      </c>
      <c r="AG24" s="655">
        <f t="shared" si="25"/>
        <v>8.2468443197755967E-2</v>
      </c>
      <c r="AH24" s="653">
        <f t="shared" si="26"/>
        <v>0.16423562412342216</v>
      </c>
      <c r="AI24" s="654">
        <f t="shared" si="27"/>
        <v>0.63548387096774195</v>
      </c>
      <c r="AJ24" s="655">
        <f t="shared" si="28"/>
        <v>0.20028050490883589</v>
      </c>
      <c r="AK24" s="645">
        <v>122</v>
      </c>
      <c r="AL24" s="646">
        <v>31</v>
      </c>
      <c r="AM24" s="646">
        <v>87</v>
      </c>
      <c r="AN24" s="647">
        <v>4</v>
      </c>
      <c r="AO24" s="273">
        <f t="shared" si="32"/>
        <v>1.7110799438990184E-2</v>
      </c>
    </row>
    <row r="25" spans="1:41">
      <c r="A25" s="271" t="s">
        <v>50</v>
      </c>
      <c r="B25" s="271" t="s">
        <v>51</v>
      </c>
      <c r="C25" s="271" t="s">
        <v>265</v>
      </c>
      <c r="D25" s="271">
        <v>2</v>
      </c>
      <c r="E25" s="645">
        <v>12305</v>
      </c>
      <c r="F25" s="646">
        <v>8500</v>
      </c>
      <c r="G25" s="646">
        <v>3729</v>
      </c>
      <c r="H25" s="646">
        <v>31</v>
      </c>
      <c r="I25" s="646">
        <v>45</v>
      </c>
      <c r="J25" s="647">
        <f t="shared" si="33"/>
        <v>76</v>
      </c>
      <c r="K25" s="272">
        <v>2714</v>
      </c>
      <c r="L25" s="646">
        <v>1757</v>
      </c>
      <c r="M25" s="646">
        <v>934</v>
      </c>
      <c r="N25" s="646">
        <v>8</v>
      </c>
      <c r="O25" s="646">
        <v>15</v>
      </c>
      <c r="P25" s="646">
        <f t="shared" si="34"/>
        <v>23</v>
      </c>
      <c r="Q25" s="645">
        <v>7133</v>
      </c>
      <c r="R25" s="646">
        <v>4943</v>
      </c>
      <c r="S25" s="646">
        <v>2148</v>
      </c>
      <c r="T25" s="646">
        <v>20</v>
      </c>
      <c r="U25" s="646">
        <v>22</v>
      </c>
      <c r="V25" s="647">
        <f t="shared" si="35"/>
        <v>42</v>
      </c>
      <c r="W25" s="645">
        <v>2458</v>
      </c>
      <c r="X25" s="646">
        <v>1800</v>
      </c>
      <c r="Y25" s="646">
        <v>647</v>
      </c>
      <c r="Z25" s="646">
        <v>3</v>
      </c>
      <c r="AA25" s="646">
        <v>8</v>
      </c>
      <c r="AB25" s="647">
        <f t="shared" si="36"/>
        <v>11</v>
      </c>
      <c r="AC25" s="653">
        <f t="shared" si="37"/>
        <v>0.69077610727346606</v>
      </c>
      <c r="AD25" s="654">
        <f t="shared" si="38"/>
        <v>0.30304754164973585</v>
      </c>
      <c r="AE25" s="654">
        <f t="shared" si="23"/>
        <v>2.5193010971149938E-3</v>
      </c>
      <c r="AF25" s="654">
        <f t="shared" si="24"/>
        <v>3.6570499796830555E-3</v>
      </c>
      <c r="AG25" s="655">
        <f t="shared" si="25"/>
        <v>6.1763510767980498E-3</v>
      </c>
      <c r="AH25" s="653">
        <f t="shared" si="26"/>
        <v>0.22056074766355141</v>
      </c>
      <c r="AI25" s="654">
        <f t="shared" si="27"/>
        <v>0.57968305566842748</v>
      </c>
      <c r="AJ25" s="655">
        <f t="shared" si="28"/>
        <v>0.19975619666802114</v>
      </c>
      <c r="AK25" s="645">
        <v>263</v>
      </c>
      <c r="AL25" s="646">
        <v>74</v>
      </c>
      <c r="AM25" s="646">
        <v>179</v>
      </c>
      <c r="AN25" s="647">
        <v>10</v>
      </c>
      <c r="AO25" s="273">
        <f t="shared" si="32"/>
        <v>2.1373425436814301E-2</v>
      </c>
    </row>
    <row r="26" spans="1:41">
      <c r="A26" s="271" t="s">
        <v>56</v>
      </c>
      <c r="B26" s="271" t="s">
        <v>295</v>
      </c>
      <c r="C26" s="271" t="s">
        <v>266</v>
      </c>
      <c r="D26" s="271">
        <v>3</v>
      </c>
      <c r="E26" s="645">
        <v>345379</v>
      </c>
      <c r="F26" s="646">
        <v>247941</v>
      </c>
      <c r="G26" s="646">
        <v>81528</v>
      </c>
      <c r="H26" s="646">
        <v>13692</v>
      </c>
      <c r="I26" s="646">
        <v>2218</v>
      </c>
      <c r="J26" s="647">
        <f t="shared" si="33"/>
        <v>15910</v>
      </c>
      <c r="K26" s="272">
        <v>85092</v>
      </c>
      <c r="L26" s="646">
        <v>58138</v>
      </c>
      <c r="M26" s="646">
        <v>22823</v>
      </c>
      <c r="N26" s="646">
        <v>3500</v>
      </c>
      <c r="O26" s="646">
        <v>631</v>
      </c>
      <c r="P26" s="646">
        <f t="shared" si="34"/>
        <v>4131</v>
      </c>
      <c r="Q26" s="645">
        <v>216624</v>
      </c>
      <c r="R26" s="646">
        <v>153014</v>
      </c>
      <c r="S26" s="646">
        <v>53274</v>
      </c>
      <c r="T26" s="646">
        <v>8915</v>
      </c>
      <c r="U26" s="646">
        <v>1421</v>
      </c>
      <c r="V26" s="647">
        <f t="shared" si="35"/>
        <v>10336</v>
      </c>
      <c r="W26" s="645">
        <v>43663</v>
      </c>
      <c r="X26" s="646">
        <v>36789</v>
      </c>
      <c r="Y26" s="646">
        <v>5431</v>
      </c>
      <c r="Z26" s="646">
        <v>1277</v>
      </c>
      <c r="AA26" s="646">
        <v>166</v>
      </c>
      <c r="AB26" s="647">
        <f t="shared" si="36"/>
        <v>1443</v>
      </c>
      <c r="AC26" s="653">
        <f t="shared" si="37"/>
        <v>0.71788093659429209</v>
      </c>
      <c r="AD26" s="654">
        <f t="shared" si="38"/>
        <v>0.23605372648597628</v>
      </c>
      <c r="AE26" s="654">
        <f t="shared" si="23"/>
        <v>3.9643406229099044E-2</v>
      </c>
      <c r="AF26" s="654">
        <f t="shared" si="24"/>
        <v>6.4219306906326094E-3</v>
      </c>
      <c r="AG26" s="655">
        <f t="shared" si="25"/>
        <v>4.6065336919731657E-2</v>
      </c>
      <c r="AH26" s="653">
        <f t="shared" si="26"/>
        <v>0.24637282521519838</v>
      </c>
      <c r="AI26" s="654">
        <f t="shared" si="27"/>
        <v>0.62720663387177567</v>
      </c>
      <c r="AJ26" s="655">
        <f t="shared" si="28"/>
        <v>0.12642054091302599</v>
      </c>
      <c r="AK26" s="645">
        <v>26180</v>
      </c>
      <c r="AL26" s="646">
        <v>9258</v>
      </c>
      <c r="AM26" s="646">
        <v>16122</v>
      </c>
      <c r="AN26" s="647">
        <v>800</v>
      </c>
      <c r="AO26" s="273">
        <f t="shared" si="32"/>
        <v>7.5800786961569749E-2</v>
      </c>
    </row>
    <row r="27" spans="1:41">
      <c r="A27" s="271" t="s">
        <v>58</v>
      </c>
      <c r="B27" s="271" t="s">
        <v>59</v>
      </c>
      <c r="C27" s="271" t="s">
        <v>267</v>
      </c>
      <c r="D27" s="271">
        <v>1</v>
      </c>
      <c r="E27" s="645">
        <v>14348</v>
      </c>
      <c r="F27" s="646">
        <v>13263</v>
      </c>
      <c r="G27" s="646">
        <v>817</v>
      </c>
      <c r="H27" s="646">
        <v>212</v>
      </c>
      <c r="I27" s="646">
        <v>56</v>
      </c>
      <c r="J27" s="647">
        <f t="shared" si="33"/>
        <v>268</v>
      </c>
      <c r="K27" s="272">
        <v>3071</v>
      </c>
      <c r="L27" s="646">
        <v>2799</v>
      </c>
      <c r="M27" s="646">
        <v>195</v>
      </c>
      <c r="N27" s="646">
        <v>63</v>
      </c>
      <c r="O27" s="646">
        <v>14</v>
      </c>
      <c r="P27" s="646">
        <f t="shared" si="34"/>
        <v>77</v>
      </c>
      <c r="Q27" s="645">
        <v>8737</v>
      </c>
      <c r="R27" s="646">
        <v>8137</v>
      </c>
      <c r="S27" s="646">
        <v>440</v>
      </c>
      <c r="T27" s="646">
        <v>124</v>
      </c>
      <c r="U27" s="646">
        <v>36</v>
      </c>
      <c r="V27" s="647">
        <f t="shared" si="35"/>
        <v>160</v>
      </c>
      <c r="W27" s="645">
        <v>2540</v>
      </c>
      <c r="X27" s="646">
        <v>2327</v>
      </c>
      <c r="Y27" s="646">
        <v>182</v>
      </c>
      <c r="Z27" s="646">
        <v>25</v>
      </c>
      <c r="AA27" s="646">
        <v>6</v>
      </c>
      <c r="AB27" s="647">
        <f t="shared" si="36"/>
        <v>31</v>
      </c>
      <c r="AC27" s="653">
        <f t="shared" si="37"/>
        <v>0.92437970448843043</v>
      </c>
      <c r="AD27" s="654">
        <f t="shared" si="38"/>
        <v>5.6941734039587397E-2</v>
      </c>
      <c r="AE27" s="654">
        <f t="shared" si="23"/>
        <v>1.4775578477836632E-2</v>
      </c>
      <c r="AF27" s="654">
        <f t="shared" si="24"/>
        <v>3.9029829941455256E-3</v>
      </c>
      <c r="AG27" s="655">
        <f t="shared" si="25"/>
        <v>1.8678561471982158E-2</v>
      </c>
      <c r="AH27" s="653">
        <f t="shared" si="26"/>
        <v>0.21403679955394481</v>
      </c>
      <c r="AI27" s="654">
        <f t="shared" si="27"/>
        <v>0.60893504321159742</v>
      </c>
      <c r="AJ27" s="655">
        <f t="shared" si="28"/>
        <v>0.17702815723445775</v>
      </c>
      <c r="AK27" s="645">
        <v>562</v>
      </c>
      <c r="AL27" s="646">
        <v>204</v>
      </c>
      <c r="AM27" s="646">
        <v>325</v>
      </c>
      <c r="AN27" s="647">
        <v>33</v>
      </c>
      <c r="AO27" s="273">
        <f t="shared" si="32"/>
        <v>3.9169222191246168E-2</v>
      </c>
    </row>
    <row r="28" spans="1:41">
      <c r="A28" s="271" t="s">
        <v>60</v>
      </c>
      <c r="B28" s="271" t="s">
        <v>61</v>
      </c>
      <c r="C28" s="271" t="s">
        <v>265</v>
      </c>
      <c r="D28" s="271">
        <v>1</v>
      </c>
      <c r="E28" s="645">
        <v>5210</v>
      </c>
      <c r="F28" s="646">
        <v>5166</v>
      </c>
      <c r="G28" s="646">
        <v>23</v>
      </c>
      <c r="H28" s="646">
        <v>8</v>
      </c>
      <c r="I28" s="646">
        <v>13</v>
      </c>
      <c r="J28" s="647">
        <f t="shared" si="33"/>
        <v>21</v>
      </c>
      <c r="K28" s="272">
        <v>1010</v>
      </c>
      <c r="L28" s="646">
        <v>998</v>
      </c>
      <c r="M28" s="646">
        <v>9</v>
      </c>
      <c r="N28" s="646">
        <v>2</v>
      </c>
      <c r="O28" s="646">
        <v>1</v>
      </c>
      <c r="P28" s="646">
        <f t="shared" si="34"/>
        <v>3</v>
      </c>
      <c r="Q28" s="645">
        <v>3144</v>
      </c>
      <c r="R28" s="646">
        <v>3116</v>
      </c>
      <c r="S28" s="646">
        <v>13</v>
      </c>
      <c r="T28" s="646">
        <v>4</v>
      </c>
      <c r="U28" s="646">
        <v>11</v>
      </c>
      <c r="V28" s="647">
        <f t="shared" si="35"/>
        <v>15</v>
      </c>
      <c r="W28" s="645">
        <v>1056</v>
      </c>
      <c r="X28" s="646">
        <v>1052</v>
      </c>
      <c r="Y28" s="646">
        <v>1</v>
      </c>
      <c r="Z28" s="646">
        <v>2</v>
      </c>
      <c r="AA28" s="646">
        <v>1</v>
      </c>
      <c r="AB28" s="647">
        <f t="shared" si="36"/>
        <v>3</v>
      </c>
      <c r="AC28" s="653">
        <f t="shared" si="37"/>
        <v>0.9915547024952015</v>
      </c>
      <c r="AD28" s="654">
        <f t="shared" si="38"/>
        <v>4.4145873320537432E-3</v>
      </c>
      <c r="AE28" s="654">
        <f t="shared" si="23"/>
        <v>1.5355086372360845E-3</v>
      </c>
      <c r="AF28" s="654">
        <f t="shared" si="24"/>
        <v>2.4952015355086373E-3</v>
      </c>
      <c r="AG28" s="655">
        <f t="shared" si="25"/>
        <v>4.030710172744722E-3</v>
      </c>
      <c r="AH28" s="653">
        <f t="shared" si="26"/>
        <v>0.19385796545105566</v>
      </c>
      <c r="AI28" s="654">
        <f t="shared" si="27"/>
        <v>0.6034548944337812</v>
      </c>
      <c r="AJ28" s="655">
        <f t="shared" si="28"/>
        <v>0.20268714011516314</v>
      </c>
      <c r="AK28" s="645">
        <v>51</v>
      </c>
      <c r="AL28" s="646">
        <v>17</v>
      </c>
      <c r="AM28" s="646">
        <v>30</v>
      </c>
      <c r="AN28" s="647">
        <v>4</v>
      </c>
      <c r="AO28" s="273">
        <f t="shared" si="32"/>
        <v>9.7888675623800381E-3</v>
      </c>
    </row>
    <row r="29" spans="1:41">
      <c r="A29" s="271" t="s">
        <v>62</v>
      </c>
      <c r="B29" s="271" t="s">
        <v>63</v>
      </c>
      <c r="C29" s="271" t="s">
        <v>267</v>
      </c>
      <c r="D29" s="271">
        <v>2</v>
      </c>
      <c r="E29" s="645">
        <v>48506</v>
      </c>
      <c r="F29" s="646">
        <v>39030</v>
      </c>
      <c r="G29" s="646">
        <v>8146</v>
      </c>
      <c r="H29" s="646">
        <v>945</v>
      </c>
      <c r="I29" s="646">
        <v>385</v>
      </c>
      <c r="J29" s="647">
        <f t="shared" si="33"/>
        <v>1330</v>
      </c>
      <c r="K29" s="272">
        <v>12301</v>
      </c>
      <c r="L29" s="646">
        <v>9712</v>
      </c>
      <c r="M29" s="646">
        <v>2166</v>
      </c>
      <c r="N29" s="646">
        <v>290</v>
      </c>
      <c r="O29" s="646">
        <v>133</v>
      </c>
      <c r="P29" s="646">
        <f t="shared" si="34"/>
        <v>423</v>
      </c>
      <c r="Q29" s="645">
        <v>29658</v>
      </c>
      <c r="R29" s="646">
        <v>23751</v>
      </c>
      <c r="S29" s="646">
        <v>5090</v>
      </c>
      <c r="T29" s="646">
        <v>584</v>
      </c>
      <c r="U29" s="646">
        <v>233</v>
      </c>
      <c r="V29" s="647">
        <f t="shared" si="35"/>
        <v>817</v>
      </c>
      <c r="W29" s="645">
        <v>6547</v>
      </c>
      <c r="X29" s="646">
        <v>5567</v>
      </c>
      <c r="Y29" s="646">
        <v>890</v>
      </c>
      <c r="Z29" s="646">
        <v>71</v>
      </c>
      <c r="AA29" s="646">
        <v>19</v>
      </c>
      <c r="AB29" s="647">
        <f t="shared" si="36"/>
        <v>90</v>
      </c>
      <c r="AC29" s="653">
        <f t="shared" si="37"/>
        <v>0.8046427246113883</v>
      </c>
      <c r="AD29" s="654">
        <f t="shared" si="38"/>
        <v>0.16793798705314805</v>
      </c>
      <c r="AE29" s="654">
        <f t="shared" si="23"/>
        <v>1.948212592256628E-2</v>
      </c>
      <c r="AF29" s="654">
        <f t="shared" si="24"/>
        <v>7.9371624128973736E-3</v>
      </c>
      <c r="AG29" s="655">
        <f t="shared" si="25"/>
        <v>2.7419288335463653E-2</v>
      </c>
      <c r="AH29" s="653">
        <f t="shared" si="26"/>
        <v>0.25359749309363788</v>
      </c>
      <c r="AI29" s="654">
        <f t="shared" si="27"/>
        <v>0.61142951387457223</v>
      </c>
      <c r="AJ29" s="655">
        <f t="shared" si="28"/>
        <v>0.13497299303178989</v>
      </c>
      <c r="AK29" s="645">
        <v>4367</v>
      </c>
      <c r="AL29" s="646">
        <v>1675</v>
      </c>
      <c r="AM29" s="646">
        <v>2577</v>
      </c>
      <c r="AN29" s="647">
        <v>115</v>
      </c>
      <c r="AO29" s="273">
        <f t="shared" si="32"/>
        <v>9.0030099369150213E-2</v>
      </c>
    </row>
    <row r="30" spans="1:41">
      <c r="A30" s="271" t="s">
        <v>64</v>
      </c>
      <c r="B30" s="271" t="s">
        <v>65</v>
      </c>
      <c r="C30" s="271" t="s">
        <v>266</v>
      </c>
      <c r="D30" s="271">
        <v>1</v>
      </c>
      <c r="E30" s="645">
        <v>9841</v>
      </c>
      <c r="F30" s="646">
        <v>6445</v>
      </c>
      <c r="G30" s="646">
        <v>3287</v>
      </c>
      <c r="H30" s="646">
        <v>53</v>
      </c>
      <c r="I30" s="646">
        <v>56</v>
      </c>
      <c r="J30" s="647">
        <f t="shared" si="33"/>
        <v>109</v>
      </c>
      <c r="K30" s="272">
        <v>2062</v>
      </c>
      <c r="L30" s="646">
        <v>1264</v>
      </c>
      <c r="M30" s="646">
        <v>776</v>
      </c>
      <c r="N30" s="646">
        <v>7</v>
      </c>
      <c r="O30" s="646">
        <v>15</v>
      </c>
      <c r="P30" s="646">
        <f t="shared" si="34"/>
        <v>22</v>
      </c>
      <c r="Q30" s="645">
        <v>5941</v>
      </c>
      <c r="R30" s="646">
        <v>3937</v>
      </c>
      <c r="S30" s="646">
        <v>1927</v>
      </c>
      <c r="T30" s="646">
        <v>38</v>
      </c>
      <c r="U30" s="646">
        <v>39</v>
      </c>
      <c r="V30" s="647">
        <f t="shared" si="35"/>
        <v>77</v>
      </c>
      <c r="W30" s="645">
        <v>1838</v>
      </c>
      <c r="X30" s="646">
        <v>1244</v>
      </c>
      <c r="Y30" s="646">
        <v>584</v>
      </c>
      <c r="Z30" s="646">
        <v>8</v>
      </c>
      <c r="AA30" s="646">
        <v>2</v>
      </c>
      <c r="AB30" s="647">
        <f t="shared" si="36"/>
        <v>10</v>
      </c>
      <c r="AC30" s="653">
        <f t="shared" si="37"/>
        <v>0.6549131185855096</v>
      </c>
      <c r="AD30" s="654">
        <f t="shared" si="38"/>
        <v>0.33401077126308304</v>
      </c>
      <c r="AE30" s="654">
        <f t="shared" si="23"/>
        <v>5.3856315415100088E-3</v>
      </c>
      <c r="AF30" s="654">
        <f t="shared" si="24"/>
        <v>5.6904786098973684E-3</v>
      </c>
      <c r="AG30" s="655">
        <f t="shared" si="25"/>
        <v>1.1076110151407378E-2</v>
      </c>
      <c r="AH30" s="653">
        <f t="shared" si="26"/>
        <v>0.20953155167157808</v>
      </c>
      <c r="AI30" s="654">
        <f t="shared" si="27"/>
        <v>0.60369881109643331</v>
      </c>
      <c r="AJ30" s="655">
        <f t="shared" si="28"/>
        <v>0.18676963723198861</v>
      </c>
      <c r="AK30" s="645">
        <v>233</v>
      </c>
      <c r="AL30" s="646">
        <v>98</v>
      </c>
      <c r="AM30" s="646">
        <v>130</v>
      </c>
      <c r="AN30" s="647">
        <v>5</v>
      </c>
      <c r="AO30" s="273">
        <f t="shared" si="32"/>
        <v>2.367645564475155E-2</v>
      </c>
    </row>
    <row r="31" spans="1:41">
      <c r="A31" s="271" t="s">
        <v>68</v>
      </c>
      <c r="B31" s="271" t="s">
        <v>69</v>
      </c>
      <c r="C31" s="271" t="s">
        <v>268</v>
      </c>
      <c r="D31" s="271">
        <v>2</v>
      </c>
      <c r="E31" s="645">
        <v>15486</v>
      </c>
      <c r="F31" s="646">
        <v>15342</v>
      </c>
      <c r="G31" s="646">
        <v>84</v>
      </c>
      <c r="H31" s="646">
        <v>29</v>
      </c>
      <c r="I31" s="646">
        <v>31</v>
      </c>
      <c r="J31" s="647">
        <f t="shared" si="33"/>
        <v>60</v>
      </c>
      <c r="K31" s="272">
        <v>3207</v>
      </c>
      <c r="L31" s="646">
        <v>3162</v>
      </c>
      <c r="M31" s="646">
        <v>34</v>
      </c>
      <c r="N31" s="646">
        <v>6</v>
      </c>
      <c r="O31" s="646">
        <v>5</v>
      </c>
      <c r="P31" s="646">
        <f t="shared" si="34"/>
        <v>11</v>
      </c>
      <c r="Q31" s="645">
        <v>9475</v>
      </c>
      <c r="R31" s="646">
        <v>9389</v>
      </c>
      <c r="S31" s="646">
        <v>43</v>
      </c>
      <c r="T31" s="646">
        <v>19</v>
      </c>
      <c r="U31" s="646">
        <v>24</v>
      </c>
      <c r="V31" s="647">
        <f t="shared" si="35"/>
        <v>43</v>
      </c>
      <c r="W31" s="645">
        <v>2804</v>
      </c>
      <c r="X31" s="646">
        <v>2791</v>
      </c>
      <c r="Y31" s="646">
        <v>7</v>
      </c>
      <c r="Z31" s="646">
        <v>4</v>
      </c>
      <c r="AA31" s="646">
        <v>2</v>
      </c>
      <c r="AB31" s="647">
        <f t="shared" si="36"/>
        <v>6</v>
      </c>
      <c r="AC31" s="653">
        <f t="shared" si="37"/>
        <v>0.9907012785741961</v>
      </c>
      <c r="AD31" s="654">
        <f t="shared" si="38"/>
        <v>5.424254165052305E-3</v>
      </c>
      <c r="AE31" s="654">
        <f t="shared" si="23"/>
        <v>1.8726591760299626E-3</v>
      </c>
      <c r="AF31" s="654">
        <f t="shared" si="24"/>
        <v>2.001808084721684E-3</v>
      </c>
      <c r="AG31" s="655">
        <f t="shared" si="25"/>
        <v>3.8744672607516468E-3</v>
      </c>
      <c r="AH31" s="653">
        <f t="shared" si="26"/>
        <v>0.20709027508717551</v>
      </c>
      <c r="AI31" s="654">
        <f t="shared" si="27"/>
        <v>0.61184295492703089</v>
      </c>
      <c r="AJ31" s="655">
        <f t="shared" si="28"/>
        <v>0.18106676998579363</v>
      </c>
      <c r="AK31" s="645">
        <v>111</v>
      </c>
      <c r="AL31" s="646">
        <v>40</v>
      </c>
      <c r="AM31" s="646">
        <v>63</v>
      </c>
      <c r="AN31" s="647">
        <v>8</v>
      </c>
      <c r="AO31" s="273">
        <f t="shared" si="32"/>
        <v>7.1677644323905462E-3</v>
      </c>
    </row>
    <row r="32" spans="1:41">
      <c r="A32" s="271" t="s">
        <v>70</v>
      </c>
      <c r="B32" s="271" t="s">
        <v>71</v>
      </c>
      <c r="C32" s="271" t="s">
        <v>264</v>
      </c>
      <c r="D32" s="271">
        <v>2</v>
      </c>
      <c r="E32" s="645">
        <v>27904</v>
      </c>
      <c r="F32" s="646">
        <v>18303</v>
      </c>
      <c r="G32" s="646">
        <v>9282</v>
      </c>
      <c r="H32" s="646">
        <v>205</v>
      </c>
      <c r="I32" s="646">
        <v>114</v>
      </c>
      <c r="J32" s="647">
        <f t="shared" si="33"/>
        <v>319</v>
      </c>
      <c r="K32" s="272">
        <v>5715</v>
      </c>
      <c r="L32" s="646">
        <v>3684</v>
      </c>
      <c r="M32" s="646">
        <v>1956</v>
      </c>
      <c r="N32" s="646">
        <v>56</v>
      </c>
      <c r="O32" s="646">
        <v>19</v>
      </c>
      <c r="P32" s="646">
        <f t="shared" si="34"/>
        <v>75</v>
      </c>
      <c r="Q32" s="645">
        <v>17776</v>
      </c>
      <c r="R32" s="646">
        <v>11641</v>
      </c>
      <c r="S32" s="646">
        <v>5916</v>
      </c>
      <c r="T32" s="646">
        <v>132</v>
      </c>
      <c r="U32" s="646">
        <v>87</v>
      </c>
      <c r="V32" s="647">
        <f t="shared" si="35"/>
        <v>219</v>
      </c>
      <c r="W32" s="645">
        <v>4413</v>
      </c>
      <c r="X32" s="646">
        <v>2978</v>
      </c>
      <c r="Y32" s="646">
        <v>1410</v>
      </c>
      <c r="Z32" s="646">
        <v>17</v>
      </c>
      <c r="AA32" s="646">
        <v>8</v>
      </c>
      <c r="AB32" s="647">
        <f t="shared" si="36"/>
        <v>25</v>
      </c>
      <c r="AC32" s="653">
        <f t="shared" si="37"/>
        <v>0.65592746559633031</v>
      </c>
      <c r="AD32" s="654">
        <f t="shared" si="38"/>
        <v>0.33264048165137616</v>
      </c>
      <c r="AE32" s="654">
        <f t="shared" si="23"/>
        <v>7.3466169724770644E-3</v>
      </c>
      <c r="AF32" s="654">
        <f t="shared" si="24"/>
        <v>4.0854357798165136E-3</v>
      </c>
      <c r="AG32" s="655">
        <f t="shared" si="25"/>
        <v>1.1432052752293578E-2</v>
      </c>
      <c r="AH32" s="653">
        <f t="shared" si="26"/>
        <v>0.20480934633027523</v>
      </c>
      <c r="AI32" s="654">
        <f t="shared" si="27"/>
        <v>0.63704128440366969</v>
      </c>
      <c r="AJ32" s="655">
        <f t="shared" si="28"/>
        <v>0.15814936926605505</v>
      </c>
      <c r="AK32" s="645">
        <v>796</v>
      </c>
      <c r="AL32" s="646">
        <v>282</v>
      </c>
      <c r="AM32" s="646">
        <v>488</v>
      </c>
      <c r="AN32" s="647">
        <v>26</v>
      </c>
      <c r="AO32" s="273">
        <f t="shared" si="32"/>
        <v>2.852637614678899E-2</v>
      </c>
    </row>
    <row r="33" spans="1:41">
      <c r="A33" s="271" t="s">
        <v>72</v>
      </c>
      <c r="B33" s="271" t="s">
        <v>73</v>
      </c>
      <c r="C33" s="271" t="s">
        <v>266</v>
      </c>
      <c r="D33" s="271">
        <v>1</v>
      </c>
      <c r="E33" s="645">
        <v>11229</v>
      </c>
      <c r="F33" s="646">
        <v>6525</v>
      </c>
      <c r="G33" s="646">
        <v>4457</v>
      </c>
      <c r="H33" s="646">
        <v>141</v>
      </c>
      <c r="I33" s="646">
        <v>106</v>
      </c>
      <c r="J33" s="647">
        <f t="shared" si="33"/>
        <v>247</v>
      </c>
      <c r="K33" s="272">
        <v>2318</v>
      </c>
      <c r="L33" s="646">
        <v>1150</v>
      </c>
      <c r="M33" s="646">
        <v>1104</v>
      </c>
      <c r="N33" s="646">
        <v>44</v>
      </c>
      <c r="O33" s="646">
        <v>20</v>
      </c>
      <c r="P33" s="646">
        <f t="shared" si="34"/>
        <v>64</v>
      </c>
      <c r="Q33" s="645">
        <v>6686</v>
      </c>
      <c r="R33" s="646">
        <v>3824</v>
      </c>
      <c r="S33" s="646">
        <v>2704</v>
      </c>
      <c r="T33" s="646">
        <v>85</v>
      </c>
      <c r="U33" s="646">
        <v>73</v>
      </c>
      <c r="V33" s="647">
        <f t="shared" si="35"/>
        <v>158</v>
      </c>
      <c r="W33" s="645">
        <v>2225</v>
      </c>
      <c r="X33" s="646">
        <v>1551</v>
      </c>
      <c r="Y33" s="646">
        <v>649</v>
      </c>
      <c r="Z33" s="646">
        <v>12</v>
      </c>
      <c r="AA33" s="646">
        <v>13</v>
      </c>
      <c r="AB33" s="647">
        <f t="shared" si="36"/>
        <v>25</v>
      </c>
      <c r="AC33" s="653">
        <f t="shared" si="37"/>
        <v>0.58108469142399144</v>
      </c>
      <c r="AD33" s="654">
        <f t="shared" si="38"/>
        <v>0.39691869267076318</v>
      </c>
      <c r="AE33" s="654">
        <f t="shared" si="23"/>
        <v>1.2556772642265563E-2</v>
      </c>
      <c r="AF33" s="654">
        <f t="shared" si="24"/>
        <v>9.4398432629797836E-3</v>
      </c>
      <c r="AG33" s="655">
        <f t="shared" si="25"/>
        <v>2.1996615905245348E-2</v>
      </c>
      <c r="AH33" s="653">
        <f t="shared" si="26"/>
        <v>0.20642978003384094</v>
      </c>
      <c r="AI33" s="654">
        <f t="shared" si="27"/>
        <v>0.59542256656870607</v>
      </c>
      <c r="AJ33" s="655">
        <f t="shared" si="28"/>
        <v>0.19814765339745302</v>
      </c>
      <c r="AK33" s="645">
        <v>375</v>
      </c>
      <c r="AL33" s="646">
        <v>126</v>
      </c>
      <c r="AM33" s="646">
        <v>218</v>
      </c>
      <c r="AN33" s="647">
        <v>31</v>
      </c>
      <c r="AO33" s="273">
        <f t="shared" si="32"/>
        <v>3.3395671920919051E-2</v>
      </c>
    </row>
    <row r="34" spans="1:41">
      <c r="A34" s="271" t="s">
        <v>74</v>
      </c>
      <c r="B34" s="271" t="s">
        <v>684</v>
      </c>
      <c r="C34" s="271" t="s">
        <v>267</v>
      </c>
      <c r="D34" s="271">
        <v>3</v>
      </c>
      <c r="E34" s="645">
        <v>1168405</v>
      </c>
      <c r="F34" s="646">
        <v>808772</v>
      </c>
      <c r="G34" s="646">
        <v>120106</v>
      </c>
      <c r="H34" s="646">
        <v>230972</v>
      </c>
      <c r="I34" s="646">
        <v>8555</v>
      </c>
      <c r="J34" s="647">
        <f t="shared" si="33"/>
        <v>239527</v>
      </c>
      <c r="K34" s="272">
        <v>280218</v>
      </c>
      <c r="L34" s="646">
        <v>187680</v>
      </c>
      <c r="M34" s="646">
        <v>33008</v>
      </c>
      <c r="N34" s="646">
        <v>57168</v>
      </c>
      <c r="O34" s="646">
        <v>2362</v>
      </c>
      <c r="P34" s="646">
        <f t="shared" si="34"/>
        <v>59530</v>
      </c>
      <c r="Q34" s="645">
        <v>757938</v>
      </c>
      <c r="R34" s="646">
        <v>519749</v>
      </c>
      <c r="S34" s="646">
        <v>78921</v>
      </c>
      <c r="T34" s="646">
        <v>153437</v>
      </c>
      <c r="U34" s="646">
        <v>5831</v>
      </c>
      <c r="V34" s="647">
        <f t="shared" si="35"/>
        <v>159268</v>
      </c>
      <c r="W34" s="645">
        <v>130249</v>
      </c>
      <c r="X34" s="646">
        <v>101343</v>
      </c>
      <c r="Y34" s="646">
        <v>8177</v>
      </c>
      <c r="Z34" s="646">
        <v>20367</v>
      </c>
      <c r="AA34" s="646">
        <v>362</v>
      </c>
      <c r="AB34" s="647">
        <f t="shared" si="36"/>
        <v>20729</v>
      </c>
      <c r="AC34" s="653">
        <f t="shared" si="37"/>
        <v>0.69220176223141805</v>
      </c>
      <c r="AD34" s="654">
        <f t="shared" si="38"/>
        <v>0.10279483569481472</v>
      </c>
      <c r="AE34" s="654">
        <f t="shared" si="23"/>
        <v>0.19768145463259743</v>
      </c>
      <c r="AF34" s="654">
        <f t="shared" si="24"/>
        <v>7.3219474411698E-3</v>
      </c>
      <c r="AG34" s="655">
        <f t="shared" si="25"/>
        <v>0.20500340207376724</v>
      </c>
      <c r="AH34" s="653">
        <f t="shared" si="26"/>
        <v>0.23982951117121204</v>
      </c>
      <c r="AI34" s="654">
        <f t="shared" si="27"/>
        <v>0.64869458792114032</v>
      </c>
      <c r="AJ34" s="655">
        <f t="shared" si="28"/>
        <v>0.1114759009076476</v>
      </c>
      <c r="AK34" s="645">
        <v>188643</v>
      </c>
      <c r="AL34" s="646">
        <v>57154</v>
      </c>
      <c r="AM34" s="646">
        <v>123062</v>
      </c>
      <c r="AN34" s="647">
        <v>8427</v>
      </c>
      <c r="AO34" s="273">
        <f t="shared" si="32"/>
        <v>0.16145343438276968</v>
      </c>
    </row>
    <row r="35" spans="1:41">
      <c r="A35" s="271" t="s">
        <v>76</v>
      </c>
      <c r="B35" s="271" t="s">
        <v>77</v>
      </c>
      <c r="C35" s="271" t="s">
        <v>267</v>
      </c>
      <c r="D35" s="271">
        <v>2</v>
      </c>
      <c r="E35" s="645">
        <v>67207</v>
      </c>
      <c r="F35" s="646">
        <v>59622</v>
      </c>
      <c r="G35" s="646">
        <v>5938</v>
      </c>
      <c r="H35" s="646">
        <v>1309</v>
      </c>
      <c r="I35" s="646">
        <v>338</v>
      </c>
      <c r="J35" s="647">
        <f t="shared" si="33"/>
        <v>1647</v>
      </c>
      <c r="K35" s="272">
        <v>16246</v>
      </c>
      <c r="L35" s="646">
        <v>14202</v>
      </c>
      <c r="M35" s="646">
        <v>1583</v>
      </c>
      <c r="N35" s="646">
        <v>380</v>
      </c>
      <c r="O35" s="646">
        <v>81</v>
      </c>
      <c r="P35" s="646">
        <f t="shared" si="34"/>
        <v>461</v>
      </c>
      <c r="Q35" s="645">
        <v>41277</v>
      </c>
      <c r="R35" s="646">
        <v>36769</v>
      </c>
      <c r="S35" s="646">
        <v>3486</v>
      </c>
      <c r="T35" s="646">
        <v>797</v>
      </c>
      <c r="U35" s="646">
        <v>225</v>
      </c>
      <c r="V35" s="647">
        <f t="shared" si="35"/>
        <v>1022</v>
      </c>
      <c r="W35" s="645">
        <v>9684</v>
      </c>
      <c r="X35" s="646">
        <v>8651</v>
      </c>
      <c r="Y35" s="646">
        <v>869</v>
      </c>
      <c r="Z35" s="646">
        <v>132</v>
      </c>
      <c r="AA35" s="646">
        <v>32</v>
      </c>
      <c r="AB35" s="647">
        <f t="shared" si="36"/>
        <v>164</v>
      </c>
      <c r="AC35" s="653">
        <f t="shared" si="37"/>
        <v>0.8871397324683441</v>
      </c>
      <c r="AD35" s="654">
        <f t="shared" si="38"/>
        <v>8.835389170770902E-2</v>
      </c>
      <c r="AE35" s="654">
        <f t="shared" si="23"/>
        <v>1.9477137798146027E-2</v>
      </c>
      <c r="AF35" s="654">
        <f t="shared" si="24"/>
        <v>5.0292380258008841E-3</v>
      </c>
      <c r="AG35" s="655">
        <f t="shared" si="25"/>
        <v>2.4506375823946911E-2</v>
      </c>
      <c r="AH35" s="653">
        <f t="shared" si="26"/>
        <v>0.24173077209219276</v>
      </c>
      <c r="AI35" s="654">
        <f t="shared" si="27"/>
        <v>0.61417709464787895</v>
      </c>
      <c r="AJ35" s="655">
        <f t="shared" si="28"/>
        <v>0.14409213325992828</v>
      </c>
      <c r="AK35" s="645">
        <v>4652</v>
      </c>
      <c r="AL35" s="646">
        <v>1764</v>
      </c>
      <c r="AM35" s="646">
        <v>2736</v>
      </c>
      <c r="AN35" s="647">
        <v>152</v>
      </c>
      <c r="AO35" s="273">
        <f t="shared" si="32"/>
        <v>6.9218980165756547E-2</v>
      </c>
    </row>
    <row r="36" spans="1:41">
      <c r="A36" s="271" t="s">
        <v>78</v>
      </c>
      <c r="B36" s="271" t="s">
        <v>79</v>
      </c>
      <c r="C36" s="271" t="s">
        <v>268</v>
      </c>
      <c r="D36" s="271">
        <v>1</v>
      </c>
      <c r="E36" s="645">
        <v>15528</v>
      </c>
      <c r="F36" s="646">
        <v>15059</v>
      </c>
      <c r="G36" s="646">
        <v>352</v>
      </c>
      <c r="H36" s="646">
        <v>87</v>
      </c>
      <c r="I36" s="646">
        <v>30</v>
      </c>
      <c r="J36" s="647">
        <f t="shared" si="33"/>
        <v>117</v>
      </c>
      <c r="K36" s="272">
        <v>3213</v>
      </c>
      <c r="L36" s="646">
        <v>3120</v>
      </c>
      <c r="M36" s="646">
        <v>75</v>
      </c>
      <c r="N36" s="646">
        <v>15</v>
      </c>
      <c r="O36" s="646">
        <v>3</v>
      </c>
      <c r="P36" s="646">
        <f t="shared" si="34"/>
        <v>18</v>
      </c>
      <c r="Q36" s="645">
        <v>9229</v>
      </c>
      <c r="R36" s="646">
        <v>8930</v>
      </c>
      <c r="S36" s="646">
        <v>209</v>
      </c>
      <c r="T36" s="646">
        <v>68</v>
      </c>
      <c r="U36" s="646">
        <v>22</v>
      </c>
      <c r="V36" s="647">
        <f t="shared" si="35"/>
        <v>90</v>
      </c>
      <c r="W36" s="645">
        <v>3086</v>
      </c>
      <c r="X36" s="646">
        <v>3009</v>
      </c>
      <c r="Y36" s="646">
        <v>68</v>
      </c>
      <c r="Z36" s="646">
        <v>4</v>
      </c>
      <c r="AA36" s="646">
        <v>5</v>
      </c>
      <c r="AB36" s="647">
        <f t="shared" si="36"/>
        <v>9</v>
      </c>
      <c r="AC36" s="653">
        <f t="shared" si="37"/>
        <v>0.9697964966512107</v>
      </c>
      <c r="AD36" s="654">
        <f t="shared" si="38"/>
        <v>2.2668727460072129E-2</v>
      </c>
      <c r="AE36" s="654">
        <f t="shared" si="23"/>
        <v>5.6027820710973725E-3</v>
      </c>
      <c r="AF36" s="654">
        <f t="shared" si="24"/>
        <v>1.9319938176197836E-3</v>
      </c>
      <c r="AG36" s="655">
        <f t="shared" si="25"/>
        <v>7.5347758887171559E-3</v>
      </c>
      <c r="AH36" s="653">
        <f t="shared" si="26"/>
        <v>0.20691653786707884</v>
      </c>
      <c r="AI36" s="654">
        <f t="shared" si="27"/>
        <v>0.59434569809376614</v>
      </c>
      <c r="AJ36" s="655">
        <f t="shared" si="28"/>
        <v>0.19873776403915508</v>
      </c>
      <c r="AK36" s="645">
        <v>406</v>
      </c>
      <c r="AL36" s="646">
        <v>124</v>
      </c>
      <c r="AM36" s="646">
        <v>259</v>
      </c>
      <c r="AN36" s="647">
        <v>23</v>
      </c>
      <c r="AO36" s="273">
        <f t="shared" si="32"/>
        <v>2.6146316331787739E-2</v>
      </c>
    </row>
    <row r="37" spans="1:41">
      <c r="A37" s="271" t="s">
        <v>80</v>
      </c>
      <c r="B37" s="271" t="s">
        <v>81</v>
      </c>
      <c r="C37" s="271" t="s">
        <v>266</v>
      </c>
      <c r="D37" s="271">
        <v>2</v>
      </c>
      <c r="E37" s="645">
        <v>25977</v>
      </c>
      <c r="F37" s="646">
        <v>21465</v>
      </c>
      <c r="G37" s="646">
        <v>4216</v>
      </c>
      <c r="H37" s="646">
        <v>229</v>
      </c>
      <c r="I37" s="646">
        <v>67</v>
      </c>
      <c r="J37" s="647">
        <f t="shared" si="33"/>
        <v>296</v>
      </c>
      <c r="K37" s="272">
        <v>5639</v>
      </c>
      <c r="L37" s="646">
        <v>4645</v>
      </c>
      <c r="M37" s="646">
        <v>923</v>
      </c>
      <c r="N37" s="646">
        <v>51</v>
      </c>
      <c r="O37" s="646">
        <v>20</v>
      </c>
      <c r="P37" s="646">
        <f t="shared" si="34"/>
        <v>71</v>
      </c>
      <c r="Q37" s="645">
        <v>15773</v>
      </c>
      <c r="R37" s="646">
        <v>12804</v>
      </c>
      <c r="S37" s="646">
        <v>2764</v>
      </c>
      <c r="T37" s="646">
        <v>161</v>
      </c>
      <c r="U37" s="646">
        <v>44</v>
      </c>
      <c r="V37" s="647">
        <f t="shared" si="35"/>
        <v>205</v>
      </c>
      <c r="W37" s="645">
        <v>4565</v>
      </c>
      <c r="X37" s="646">
        <v>4016</v>
      </c>
      <c r="Y37" s="646">
        <v>529</v>
      </c>
      <c r="Z37" s="646">
        <v>17</v>
      </c>
      <c r="AA37" s="646">
        <v>3</v>
      </c>
      <c r="AB37" s="647">
        <f t="shared" si="36"/>
        <v>20</v>
      </c>
      <c r="AC37" s="653">
        <f t="shared" si="37"/>
        <v>0.82630788774685293</v>
      </c>
      <c r="AD37" s="654">
        <f t="shared" si="38"/>
        <v>0.16229741694575972</v>
      </c>
      <c r="AE37" s="654">
        <f t="shared" ref="AE37:AE68" si="39">H37/E37</f>
        <v>8.8154906263232854E-3</v>
      </c>
      <c r="AF37" s="654">
        <f t="shared" ref="AF37:AF68" si="40">I37/E37</f>
        <v>2.579204681064018E-3</v>
      </c>
      <c r="AG37" s="655">
        <f t="shared" ref="AG37:AG68" si="41">J37/E37</f>
        <v>1.1394695307387305E-2</v>
      </c>
      <c r="AH37" s="653">
        <f t="shared" ref="AH37:AH68" si="42">K37/E37</f>
        <v>0.21707664472417909</v>
      </c>
      <c r="AI37" s="654">
        <f t="shared" ref="AI37:AI68" si="43">Q37/E37</f>
        <v>0.60719097663317545</v>
      </c>
      <c r="AJ37" s="655">
        <f t="shared" ref="AJ37:AJ68" si="44">W37/E37</f>
        <v>0.1757323786426454</v>
      </c>
      <c r="AK37" s="645">
        <v>860</v>
      </c>
      <c r="AL37" s="646">
        <v>277</v>
      </c>
      <c r="AM37" s="646">
        <v>516</v>
      </c>
      <c r="AN37" s="647">
        <v>67</v>
      </c>
      <c r="AO37" s="273">
        <f t="shared" ref="AO37:AO68" si="45">AK37/E37</f>
        <v>3.3106209339030683E-2</v>
      </c>
    </row>
    <row r="38" spans="1:41">
      <c r="A38" s="271" t="s">
        <v>84</v>
      </c>
      <c r="B38" s="271" t="s">
        <v>308</v>
      </c>
      <c r="C38" s="271" t="s">
        <v>265</v>
      </c>
      <c r="D38" s="271">
        <v>2</v>
      </c>
      <c r="E38" s="645">
        <v>56335</v>
      </c>
      <c r="F38" s="646">
        <v>50872</v>
      </c>
      <c r="G38" s="646">
        <v>4900</v>
      </c>
      <c r="H38" s="646">
        <v>311</v>
      </c>
      <c r="I38" s="646">
        <v>252</v>
      </c>
      <c r="J38" s="647">
        <f t="shared" ref="J38:J69" si="46">H38+I38</f>
        <v>563</v>
      </c>
      <c r="K38" s="272">
        <v>11124</v>
      </c>
      <c r="L38" s="646">
        <v>9940</v>
      </c>
      <c r="M38" s="646">
        <v>1046</v>
      </c>
      <c r="N38" s="646">
        <v>70</v>
      </c>
      <c r="O38" s="646">
        <v>68</v>
      </c>
      <c r="P38" s="646">
        <f t="shared" ref="P38:P69" si="47">N38+O38</f>
        <v>138</v>
      </c>
      <c r="Q38" s="645">
        <v>33817</v>
      </c>
      <c r="R38" s="646">
        <v>30311</v>
      </c>
      <c r="S38" s="646">
        <v>3142</v>
      </c>
      <c r="T38" s="646">
        <v>197</v>
      </c>
      <c r="U38" s="646">
        <v>167</v>
      </c>
      <c r="V38" s="647">
        <f t="shared" ref="V38:V69" si="48">T38+U38</f>
        <v>364</v>
      </c>
      <c r="W38" s="645">
        <v>11394</v>
      </c>
      <c r="X38" s="646">
        <v>10621</v>
      </c>
      <c r="Y38" s="646">
        <v>712</v>
      </c>
      <c r="Z38" s="646">
        <v>44</v>
      </c>
      <c r="AA38" s="646">
        <v>17</v>
      </c>
      <c r="AB38" s="647">
        <f t="shared" ref="AB38:AB69" si="49">Z38+AA38</f>
        <v>61</v>
      </c>
      <c r="AC38" s="653">
        <f t="shared" ref="AC38:AC69" si="50">F38/E38</f>
        <v>0.90302653767640007</v>
      </c>
      <c r="AD38" s="654">
        <f t="shared" ref="AD38:AD69" si="51">G38/E38</f>
        <v>8.6979675157539724E-2</v>
      </c>
      <c r="AE38" s="654">
        <f t="shared" si="39"/>
        <v>5.5205467293867041E-3</v>
      </c>
      <c r="AF38" s="654">
        <f t="shared" si="40"/>
        <v>4.4732404366734715E-3</v>
      </c>
      <c r="AG38" s="655">
        <f t="shared" si="41"/>
        <v>9.9937871660601765E-3</v>
      </c>
      <c r="AH38" s="653">
        <f t="shared" si="42"/>
        <v>0.19746161356172895</v>
      </c>
      <c r="AI38" s="654">
        <f t="shared" si="43"/>
        <v>0.60028401526582054</v>
      </c>
      <c r="AJ38" s="655">
        <f t="shared" si="44"/>
        <v>0.20225437117245051</v>
      </c>
      <c r="AK38" s="645">
        <v>1524</v>
      </c>
      <c r="AL38" s="646">
        <v>581</v>
      </c>
      <c r="AM38" s="646">
        <v>872</v>
      </c>
      <c r="AN38" s="647">
        <v>71</v>
      </c>
      <c r="AO38" s="273">
        <f t="shared" si="45"/>
        <v>2.7052454069406231E-2</v>
      </c>
    </row>
    <row r="39" spans="1:41">
      <c r="A39" s="271" t="s">
        <v>86</v>
      </c>
      <c r="B39" s="271" t="s">
        <v>87</v>
      </c>
      <c r="C39" s="271" t="s">
        <v>267</v>
      </c>
      <c r="D39" s="271">
        <v>2</v>
      </c>
      <c r="E39" s="645">
        <v>81319</v>
      </c>
      <c r="F39" s="646">
        <v>75389</v>
      </c>
      <c r="G39" s="646">
        <v>4273</v>
      </c>
      <c r="H39" s="646">
        <v>1279</v>
      </c>
      <c r="I39" s="646">
        <v>378</v>
      </c>
      <c r="J39" s="647">
        <f t="shared" si="46"/>
        <v>1657</v>
      </c>
      <c r="K39" s="272">
        <v>19374</v>
      </c>
      <c r="L39" s="646">
        <v>17525</v>
      </c>
      <c r="M39" s="646">
        <v>1410</v>
      </c>
      <c r="N39" s="646">
        <v>315</v>
      </c>
      <c r="O39" s="646">
        <v>124</v>
      </c>
      <c r="P39" s="646">
        <f t="shared" si="47"/>
        <v>439</v>
      </c>
      <c r="Q39" s="645">
        <v>50021</v>
      </c>
      <c r="R39" s="646">
        <v>46387</v>
      </c>
      <c r="S39" s="646">
        <v>2578</v>
      </c>
      <c r="T39" s="646">
        <v>838</v>
      </c>
      <c r="U39" s="646">
        <v>218</v>
      </c>
      <c r="V39" s="647">
        <f t="shared" si="48"/>
        <v>1056</v>
      </c>
      <c r="W39" s="645">
        <v>11924</v>
      </c>
      <c r="X39" s="646">
        <v>11477</v>
      </c>
      <c r="Y39" s="646">
        <v>285</v>
      </c>
      <c r="Z39" s="646">
        <v>126</v>
      </c>
      <c r="AA39" s="646">
        <v>36</v>
      </c>
      <c r="AB39" s="647">
        <f t="shared" si="49"/>
        <v>162</v>
      </c>
      <c r="AC39" s="653">
        <f t="shared" si="50"/>
        <v>0.92707731280512551</v>
      </c>
      <c r="AD39" s="654">
        <f t="shared" si="51"/>
        <v>5.2546145427267918E-2</v>
      </c>
      <c r="AE39" s="654">
        <f t="shared" si="39"/>
        <v>1.5728181605774789E-2</v>
      </c>
      <c r="AF39" s="654">
        <f t="shared" si="40"/>
        <v>4.6483601618317986E-3</v>
      </c>
      <c r="AG39" s="655">
        <f t="shared" si="41"/>
        <v>2.0376541767606587E-2</v>
      </c>
      <c r="AH39" s="653">
        <f t="shared" si="42"/>
        <v>0.23824690416753772</v>
      </c>
      <c r="AI39" s="654">
        <f t="shared" si="43"/>
        <v>0.61512069749996923</v>
      </c>
      <c r="AJ39" s="655">
        <f t="shared" si="44"/>
        <v>0.14663239833249303</v>
      </c>
      <c r="AK39" s="645">
        <v>5808</v>
      </c>
      <c r="AL39" s="646">
        <v>2217</v>
      </c>
      <c r="AM39" s="646">
        <v>3400</v>
      </c>
      <c r="AN39" s="647">
        <v>191</v>
      </c>
      <c r="AO39" s="273">
        <f t="shared" si="45"/>
        <v>7.142242280401874E-2</v>
      </c>
    </row>
    <row r="40" spans="1:41">
      <c r="A40" s="271" t="s">
        <v>92</v>
      </c>
      <c r="B40" s="271" t="s">
        <v>93</v>
      </c>
      <c r="C40" s="271" t="s">
        <v>268</v>
      </c>
      <c r="D40" s="271">
        <v>2</v>
      </c>
      <c r="E40" s="645">
        <v>16925</v>
      </c>
      <c r="F40" s="646">
        <v>16499</v>
      </c>
      <c r="G40" s="646">
        <v>316</v>
      </c>
      <c r="H40" s="646">
        <v>80</v>
      </c>
      <c r="I40" s="646">
        <v>30</v>
      </c>
      <c r="J40" s="647">
        <f t="shared" si="46"/>
        <v>110</v>
      </c>
      <c r="K40" s="272">
        <v>3551</v>
      </c>
      <c r="L40" s="646">
        <v>3436</v>
      </c>
      <c r="M40" s="646">
        <v>94</v>
      </c>
      <c r="N40" s="646">
        <v>16</v>
      </c>
      <c r="O40" s="646">
        <v>5</v>
      </c>
      <c r="P40" s="646">
        <f t="shared" si="47"/>
        <v>21</v>
      </c>
      <c r="Q40" s="645">
        <v>10062</v>
      </c>
      <c r="R40" s="646">
        <v>9819</v>
      </c>
      <c r="S40" s="646">
        <v>169</v>
      </c>
      <c r="T40" s="646">
        <v>51</v>
      </c>
      <c r="U40" s="646">
        <v>23</v>
      </c>
      <c r="V40" s="647">
        <f t="shared" si="48"/>
        <v>74</v>
      </c>
      <c r="W40" s="645">
        <v>3312</v>
      </c>
      <c r="X40" s="646">
        <v>3244</v>
      </c>
      <c r="Y40" s="646">
        <v>53</v>
      </c>
      <c r="Z40" s="646">
        <v>13</v>
      </c>
      <c r="AA40" s="646">
        <v>2</v>
      </c>
      <c r="AB40" s="647">
        <f t="shared" si="49"/>
        <v>15</v>
      </c>
      <c r="AC40" s="653">
        <f t="shared" si="50"/>
        <v>0.97483013293943865</v>
      </c>
      <c r="AD40" s="654">
        <f t="shared" si="51"/>
        <v>1.8670605612998523E-2</v>
      </c>
      <c r="AE40" s="654">
        <f t="shared" si="39"/>
        <v>4.7267355982274738E-3</v>
      </c>
      <c r="AF40" s="654">
        <f t="shared" si="40"/>
        <v>1.7725258493353029E-3</v>
      </c>
      <c r="AG40" s="655">
        <f t="shared" si="41"/>
        <v>6.4992614475627769E-3</v>
      </c>
      <c r="AH40" s="653">
        <f t="shared" si="42"/>
        <v>0.20980797636632201</v>
      </c>
      <c r="AI40" s="654">
        <f t="shared" si="43"/>
        <v>0.59450516986706059</v>
      </c>
      <c r="AJ40" s="655">
        <f t="shared" si="44"/>
        <v>0.19568685376661743</v>
      </c>
      <c r="AK40" s="645">
        <v>243</v>
      </c>
      <c r="AL40" s="646">
        <v>73</v>
      </c>
      <c r="AM40" s="646">
        <v>147</v>
      </c>
      <c r="AN40" s="647">
        <v>23</v>
      </c>
      <c r="AO40" s="273">
        <f t="shared" si="45"/>
        <v>1.4357459379615953E-2</v>
      </c>
    </row>
    <row r="41" spans="1:41">
      <c r="A41" s="271" t="s">
        <v>94</v>
      </c>
      <c r="B41" s="271" t="s">
        <v>95</v>
      </c>
      <c r="C41" s="271" t="s">
        <v>264</v>
      </c>
      <c r="D41" s="271">
        <v>2</v>
      </c>
      <c r="E41" s="645">
        <v>36834</v>
      </c>
      <c r="F41" s="646">
        <v>32862</v>
      </c>
      <c r="G41" s="646">
        <v>3318</v>
      </c>
      <c r="H41" s="646">
        <v>463</v>
      </c>
      <c r="I41" s="646">
        <v>191</v>
      </c>
      <c r="J41" s="647">
        <f t="shared" si="46"/>
        <v>654</v>
      </c>
      <c r="K41" s="272">
        <v>7542</v>
      </c>
      <c r="L41" s="646">
        <v>6716</v>
      </c>
      <c r="M41" s="646">
        <v>668</v>
      </c>
      <c r="N41" s="646">
        <v>115</v>
      </c>
      <c r="O41" s="646">
        <v>43</v>
      </c>
      <c r="P41" s="646">
        <f t="shared" si="47"/>
        <v>158</v>
      </c>
      <c r="Q41" s="645">
        <v>23099</v>
      </c>
      <c r="R41" s="646">
        <v>20647</v>
      </c>
      <c r="S41" s="646">
        <v>2029</v>
      </c>
      <c r="T41" s="646">
        <v>297</v>
      </c>
      <c r="U41" s="646">
        <v>126</v>
      </c>
      <c r="V41" s="647">
        <f t="shared" si="48"/>
        <v>423</v>
      </c>
      <c r="W41" s="645">
        <v>6193</v>
      </c>
      <c r="X41" s="646">
        <v>5499</v>
      </c>
      <c r="Y41" s="646">
        <v>621</v>
      </c>
      <c r="Z41" s="646">
        <v>51</v>
      </c>
      <c r="AA41" s="646">
        <v>22</v>
      </c>
      <c r="AB41" s="647">
        <f t="shared" si="49"/>
        <v>73</v>
      </c>
      <c r="AC41" s="653">
        <f t="shared" si="50"/>
        <v>0.89216484769506432</v>
      </c>
      <c r="AD41" s="654">
        <f t="shared" si="51"/>
        <v>9.0079817559863176E-2</v>
      </c>
      <c r="AE41" s="654">
        <f t="shared" si="39"/>
        <v>1.2569908236954988E-2</v>
      </c>
      <c r="AF41" s="654">
        <f t="shared" si="40"/>
        <v>5.1854265081175003E-3</v>
      </c>
      <c r="AG41" s="655">
        <f t="shared" si="41"/>
        <v>1.7755334745072487E-2</v>
      </c>
      <c r="AH41" s="653">
        <f t="shared" si="42"/>
        <v>0.20475647499592767</v>
      </c>
      <c r="AI41" s="654">
        <f t="shared" si="43"/>
        <v>0.62711082152359232</v>
      </c>
      <c r="AJ41" s="655">
        <f t="shared" si="44"/>
        <v>0.16813270348047998</v>
      </c>
      <c r="AK41" s="645">
        <v>1086</v>
      </c>
      <c r="AL41" s="646">
        <v>343</v>
      </c>
      <c r="AM41" s="646">
        <v>668</v>
      </c>
      <c r="AN41" s="647">
        <v>75</v>
      </c>
      <c r="AO41" s="273">
        <f t="shared" si="45"/>
        <v>2.9483629255579083E-2</v>
      </c>
    </row>
    <row r="42" spans="1:41">
      <c r="A42" s="271" t="s">
        <v>96</v>
      </c>
      <c r="B42" s="271" t="s">
        <v>97</v>
      </c>
      <c r="C42" s="271" t="s">
        <v>266</v>
      </c>
      <c r="D42" s="271">
        <v>1</v>
      </c>
      <c r="E42" s="645">
        <v>21626</v>
      </c>
      <c r="F42" s="646">
        <v>17283</v>
      </c>
      <c r="G42" s="646">
        <v>3976</v>
      </c>
      <c r="H42" s="646">
        <v>305</v>
      </c>
      <c r="I42" s="646">
        <v>62</v>
      </c>
      <c r="J42" s="647">
        <f t="shared" si="46"/>
        <v>367</v>
      </c>
      <c r="K42" s="272">
        <v>4155</v>
      </c>
      <c r="L42" s="646">
        <v>3388</v>
      </c>
      <c r="M42" s="646">
        <v>693</v>
      </c>
      <c r="N42" s="646">
        <v>63</v>
      </c>
      <c r="O42" s="646">
        <v>11</v>
      </c>
      <c r="P42" s="646">
        <f t="shared" si="47"/>
        <v>74</v>
      </c>
      <c r="Q42" s="645">
        <v>13452</v>
      </c>
      <c r="R42" s="646">
        <v>10647</v>
      </c>
      <c r="S42" s="646">
        <v>2559</v>
      </c>
      <c r="T42" s="646">
        <v>203</v>
      </c>
      <c r="U42" s="646">
        <v>43</v>
      </c>
      <c r="V42" s="647">
        <f t="shared" si="48"/>
        <v>246</v>
      </c>
      <c r="W42" s="645">
        <v>4019</v>
      </c>
      <c r="X42" s="646">
        <v>3248</v>
      </c>
      <c r="Y42" s="646">
        <v>724</v>
      </c>
      <c r="Z42" s="646">
        <v>39</v>
      </c>
      <c r="AA42" s="646">
        <v>8</v>
      </c>
      <c r="AB42" s="647">
        <f t="shared" si="49"/>
        <v>47</v>
      </c>
      <c r="AC42" s="653">
        <f t="shared" si="50"/>
        <v>0.79917691667437341</v>
      </c>
      <c r="AD42" s="654">
        <f t="shared" si="51"/>
        <v>0.18385276981411264</v>
      </c>
      <c r="AE42" s="654">
        <f t="shared" si="39"/>
        <v>1.4103394062702303E-2</v>
      </c>
      <c r="AF42" s="654">
        <f t="shared" si="40"/>
        <v>2.8669194488116158E-3</v>
      </c>
      <c r="AG42" s="655">
        <f t="shared" si="41"/>
        <v>1.6970313511513919E-2</v>
      </c>
      <c r="AH42" s="653">
        <f t="shared" si="42"/>
        <v>0.1921298437066494</v>
      </c>
      <c r="AI42" s="654">
        <f t="shared" si="43"/>
        <v>0.6220290391195783</v>
      </c>
      <c r="AJ42" s="655">
        <f t="shared" si="44"/>
        <v>0.1858411171737723</v>
      </c>
      <c r="AK42" s="645">
        <v>470</v>
      </c>
      <c r="AL42" s="646">
        <v>152</v>
      </c>
      <c r="AM42" s="646">
        <v>296</v>
      </c>
      <c r="AN42" s="647">
        <v>22</v>
      </c>
      <c r="AO42" s="273">
        <f t="shared" si="45"/>
        <v>2.1733099047442892E-2</v>
      </c>
    </row>
    <row r="43" spans="1:41">
      <c r="A43" s="271" t="s">
        <v>98</v>
      </c>
      <c r="B43" s="271" t="s">
        <v>99</v>
      </c>
      <c r="C43" s="271" t="s">
        <v>268</v>
      </c>
      <c r="D43" s="271">
        <v>2</v>
      </c>
      <c r="E43" s="645">
        <v>15161</v>
      </c>
      <c r="F43" s="646">
        <v>14697</v>
      </c>
      <c r="G43" s="646">
        <v>396</v>
      </c>
      <c r="H43" s="646">
        <v>31</v>
      </c>
      <c r="I43" s="646">
        <v>37</v>
      </c>
      <c r="J43" s="647">
        <f t="shared" si="46"/>
        <v>68</v>
      </c>
      <c r="K43" s="272">
        <v>2711</v>
      </c>
      <c r="L43" s="646">
        <v>2612</v>
      </c>
      <c r="M43" s="646">
        <v>92</v>
      </c>
      <c r="N43" s="646">
        <v>2</v>
      </c>
      <c r="O43" s="646">
        <v>5</v>
      </c>
      <c r="P43" s="646">
        <f t="shared" si="47"/>
        <v>7</v>
      </c>
      <c r="Q43" s="645">
        <v>8912</v>
      </c>
      <c r="R43" s="646">
        <v>8623</v>
      </c>
      <c r="S43" s="646">
        <v>235</v>
      </c>
      <c r="T43" s="646">
        <v>26</v>
      </c>
      <c r="U43" s="646">
        <v>28</v>
      </c>
      <c r="V43" s="647">
        <f t="shared" si="48"/>
        <v>54</v>
      </c>
      <c r="W43" s="645">
        <v>3538</v>
      </c>
      <c r="X43" s="646">
        <v>3462</v>
      </c>
      <c r="Y43" s="646">
        <v>69</v>
      </c>
      <c r="Z43" s="646">
        <v>3</v>
      </c>
      <c r="AA43" s="646">
        <v>4</v>
      </c>
      <c r="AB43" s="647">
        <f t="shared" si="49"/>
        <v>7</v>
      </c>
      <c r="AC43" s="653">
        <f t="shared" si="50"/>
        <v>0.96939515863069714</v>
      </c>
      <c r="AD43" s="654">
        <f t="shared" si="51"/>
        <v>2.6119649099663609E-2</v>
      </c>
      <c r="AE43" s="654">
        <f t="shared" si="39"/>
        <v>2.0447200052766969E-3</v>
      </c>
      <c r="AF43" s="654">
        <f t="shared" si="40"/>
        <v>2.4404722643625093E-3</v>
      </c>
      <c r="AG43" s="655">
        <f t="shared" si="41"/>
        <v>4.4851922696392058E-3</v>
      </c>
      <c r="AH43" s="653">
        <f t="shared" si="42"/>
        <v>0.1788140623969395</v>
      </c>
      <c r="AI43" s="654">
        <f t="shared" si="43"/>
        <v>0.58782402216212648</v>
      </c>
      <c r="AJ43" s="655">
        <f t="shared" si="44"/>
        <v>0.23336191544093399</v>
      </c>
      <c r="AK43" s="645">
        <v>423</v>
      </c>
      <c r="AL43" s="646">
        <v>153</v>
      </c>
      <c r="AM43" s="646">
        <v>257</v>
      </c>
      <c r="AN43" s="647">
        <v>13</v>
      </c>
      <c r="AO43" s="273">
        <f t="shared" si="45"/>
        <v>2.7900534265549767E-2</v>
      </c>
    </row>
    <row r="44" spans="1:41">
      <c r="A44" s="271" t="s">
        <v>100</v>
      </c>
      <c r="B44" s="271" t="s">
        <v>101</v>
      </c>
      <c r="C44" s="271" t="s">
        <v>267</v>
      </c>
      <c r="D44" s="271">
        <v>1</v>
      </c>
      <c r="E44" s="645">
        <v>18804</v>
      </c>
      <c r="F44" s="646">
        <v>16995</v>
      </c>
      <c r="G44" s="646">
        <v>1413</v>
      </c>
      <c r="H44" s="646">
        <v>330</v>
      </c>
      <c r="I44" s="646">
        <v>66</v>
      </c>
      <c r="J44" s="647">
        <f t="shared" si="46"/>
        <v>396</v>
      </c>
      <c r="K44" s="272">
        <v>4564</v>
      </c>
      <c r="L44" s="646">
        <v>4023</v>
      </c>
      <c r="M44" s="646">
        <v>435</v>
      </c>
      <c r="N44" s="646">
        <v>94</v>
      </c>
      <c r="O44" s="646">
        <v>12</v>
      </c>
      <c r="P44" s="646">
        <f t="shared" si="47"/>
        <v>106</v>
      </c>
      <c r="Q44" s="645">
        <v>11344</v>
      </c>
      <c r="R44" s="646">
        <v>10256</v>
      </c>
      <c r="S44" s="646">
        <v>836</v>
      </c>
      <c r="T44" s="646">
        <v>204</v>
      </c>
      <c r="U44" s="646">
        <v>48</v>
      </c>
      <c r="V44" s="647">
        <f t="shared" si="48"/>
        <v>252</v>
      </c>
      <c r="W44" s="645">
        <v>2896</v>
      </c>
      <c r="X44" s="646">
        <v>2716</v>
      </c>
      <c r="Y44" s="646">
        <v>142</v>
      </c>
      <c r="Z44" s="646">
        <v>32</v>
      </c>
      <c r="AA44" s="646">
        <v>6</v>
      </c>
      <c r="AB44" s="647">
        <f t="shared" si="49"/>
        <v>38</v>
      </c>
      <c r="AC44" s="653">
        <f t="shared" si="50"/>
        <v>0.90379706445437136</v>
      </c>
      <c r="AD44" s="654">
        <f t="shared" si="51"/>
        <v>7.5143586470963628E-2</v>
      </c>
      <c r="AE44" s="654">
        <f t="shared" si="39"/>
        <v>1.7549457562220806E-2</v>
      </c>
      <c r="AF44" s="654">
        <f t="shared" si="40"/>
        <v>3.5098915124441607E-3</v>
      </c>
      <c r="AG44" s="655">
        <f t="shared" si="41"/>
        <v>2.1059349074664963E-2</v>
      </c>
      <c r="AH44" s="653">
        <f t="shared" si="42"/>
        <v>0.24271431610295682</v>
      </c>
      <c r="AI44" s="654">
        <f t="shared" si="43"/>
        <v>0.60327589874494791</v>
      </c>
      <c r="AJ44" s="655">
        <f t="shared" si="44"/>
        <v>0.15400978515209529</v>
      </c>
      <c r="AK44" s="645">
        <v>875</v>
      </c>
      <c r="AL44" s="646">
        <v>346</v>
      </c>
      <c r="AM44" s="646">
        <v>499</v>
      </c>
      <c r="AN44" s="647">
        <v>30</v>
      </c>
      <c r="AO44" s="273">
        <f t="shared" si="45"/>
        <v>4.6532652627100615E-2</v>
      </c>
    </row>
    <row r="45" spans="1:41">
      <c r="A45" s="271" t="s">
        <v>102</v>
      </c>
      <c r="B45" s="271" t="s">
        <v>103</v>
      </c>
      <c r="C45" s="271" t="s">
        <v>264</v>
      </c>
      <c r="D45" s="271">
        <v>2</v>
      </c>
      <c r="E45" s="645">
        <v>17474</v>
      </c>
      <c r="F45" s="646">
        <v>6593</v>
      </c>
      <c r="G45" s="646">
        <v>10691</v>
      </c>
      <c r="H45" s="646">
        <v>130</v>
      </c>
      <c r="I45" s="646">
        <v>60</v>
      </c>
      <c r="J45" s="647">
        <f t="shared" si="46"/>
        <v>190</v>
      </c>
      <c r="K45" s="272">
        <v>3387</v>
      </c>
      <c r="L45" s="646">
        <v>1046</v>
      </c>
      <c r="M45" s="646">
        <v>2298</v>
      </c>
      <c r="N45" s="646">
        <v>32</v>
      </c>
      <c r="O45" s="646">
        <v>11</v>
      </c>
      <c r="P45" s="646">
        <f t="shared" si="47"/>
        <v>43</v>
      </c>
      <c r="Q45" s="645">
        <v>11409</v>
      </c>
      <c r="R45" s="646">
        <v>4164</v>
      </c>
      <c r="S45" s="646">
        <v>7117</v>
      </c>
      <c r="T45" s="646">
        <v>86</v>
      </c>
      <c r="U45" s="646">
        <v>42</v>
      </c>
      <c r="V45" s="647">
        <f t="shared" si="48"/>
        <v>128</v>
      </c>
      <c r="W45" s="645">
        <v>2678</v>
      </c>
      <c r="X45" s="646">
        <v>1383</v>
      </c>
      <c r="Y45" s="646">
        <v>1276</v>
      </c>
      <c r="Z45" s="646">
        <v>12</v>
      </c>
      <c r="AA45" s="646">
        <v>7</v>
      </c>
      <c r="AB45" s="647">
        <f t="shared" si="49"/>
        <v>19</v>
      </c>
      <c r="AC45" s="653">
        <f t="shared" si="50"/>
        <v>0.37730342222730917</v>
      </c>
      <c r="AD45" s="654">
        <f t="shared" si="51"/>
        <v>0.61182328030216326</v>
      </c>
      <c r="AE45" s="654">
        <f t="shared" si="39"/>
        <v>7.4396245850978596E-3</v>
      </c>
      <c r="AF45" s="654">
        <f t="shared" si="40"/>
        <v>3.4336728854297816E-3</v>
      </c>
      <c r="AG45" s="655">
        <f t="shared" si="41"/>
        <v>1.0873297470527642E-2</v>
      </c>
      <c r="AH45" s="653">
        <f t="shared" si="42"/>
        <v>0.19383083438251117</v>
      </c>
      <c r="AI45" s="654">
        <f t="shared" si="43"/>
        <v>0.65291289916447293</v>
      </c>
      <c r="AJ45" s="655">
        <f t="shared" si="44"/>
        <v>0.1532562664530159</v>
      </c>
      <c r="AK45" s="645">
        <v>532</v>
      </c>
      <c r="AL45" s="646">
        <v>174</v>
      </c>
      <c r="AM45" s="646">
        <v>346</v>
      </c>
      <c r="AN45" s="647">
        <v>12</v>
      </c>
      <c r="AO45" s="273">
        <f t="shared" si="45"/>
        <v>3.0445232917477395E-2</v>
      </c>
    </row>
    <row r="46" spans="1:41">
      <c r="A46" s="271" t="s">
        <v>104</v>
      </c>
      <c r="B46" s="271" t="s">
        <v>662</v>
      </c>
      <c r="C46" s="271" t="s">
        <v>265</v>
      </c>
      <c r="D46" s="271">
        <v>2</v>
      </c>
      <c r="E46" s="645">
        <v>35401</v>
      </c>
      <c r="F46" s="646">
        <v>21941</v>
      </c>
      <c r="G46" s="646">
        <v>13146</v>
      </c>
      <c r="H46" s="646">
        <v>199</v>
      </c>
      <c r="I46" s="646">
        <v>115</v>
      </c>
      <c r="J46" s="647">
        <f t="shared" si="46"/>
        <v>314</v>
      </c>
      <c r="K46" s="272">
        <v>7416</v>
      </c>
      <c r="L46" s="646">
        <v>4333</v>
      </c>
      <c r="M46" s="646">
        <v>3013</v>
      </c>
      <c r="N46" s="646">
        <v>44</v>
      </c>
      <c r="O46" s="646">
        <v>26</v>
      </c>
      <c r="P46" s="646">
        <f t="shared" si="47"/>
        <v>70</v>
      </c>
      <c r="Q46" s="645">
        <v>20351</v>
      </c>
      <c r="R46" s="646">
        <v>12402</v>
      </c>
      <c r="S46" s="646">
        <v>7748</v>
      </c>
      <c r="T46" s="646">
        <v>131</v>
      </c>
      <c r="U46" s="646">
        <v>70</v>
      </c>
      <c r="V46" s="647">
        <f t="shared" si="48"/>
        <v>201</v>
      </c>
      <c r="W46" s="645">
        <v>7634</v>
      </c>
      <c r="X46" s="646">
        <v>5206</v>
      </c>
      <c r="Y46" s="646">
        <v>2385</v>
      </c>
      <c r="Z46" s="646">
        <v>24</v>
      </c>
      <c r="AA46" s="646">
        <v>19</v>
      </c>
      <c r="AB46" s="647">
        <f t="shared" si="49"/>
        <v>43</v>
      </c>
      <c r="AC46" s="653">
        <f t="shared" si="50"/>
        <v>0.61978475184316828</v>
      </c>
      <c r="AD46" s="654">
        <f t="shared" si="51"/>
        <v>0.37134544221914634</v>
      </c>
      <c r="AE46" s="654">
        <f t="shared" si="39"/>
        <v>5.6213101324821329E-3</v>
      </c>
      <c r="AF46" s="654">
        <f t="shared" si="40"/>
        <v>3.2484958052032427E-3</v>
      </c>
      <c r="AG46" s="655">
        <f t="shared" si="41"/>
        <v>8.869805937685377E-3</v>
      </c>
      <c r="AH46" s="653">
        <f t="shared" si="42"/>
        <v>0.20948560775119346</v>
      </c>
      <c r="AI46" s="654">
        <f t="shared" si="43"/>
        <v>0.57487076636253209</v>
      </c>
      <c r="AJ46" s="655">
        <f t="shared" si="44"/>
        <v>0.21564362588627439</v>
      </c>
      <c r="AK46" s="645">
        <v>682</v>
      </c>
      <c r="AL46" s="646">
        <v>236</v>
      </c>
      <c r="AM46" s="646">
        <v>390</v>
      </c>
      <c r="AN46" s="647">
        <v>56</v>
      </c>
      <c r="AO46" s="273">
        <f t="shared" si="45"/>
        <v>1.9264992514335753E-2</v>
      </c>
    </row>
    <row r="47" spans="1:41">
      <c r="A47" s="271" t="s">
        <v>108</v>
      </c>
      <c r="B47" s="271" t="s">
        <v>109</v>
      </c>
      <c r="C47" s="271" t="s">
        <v>266</v>
      </c>
      <c r="D47" s="271">
        <v>2</v>
      </c>
      <c r="E47" s="645">
        <v>101330</v>
      </c>
      <c r="F47" s="646">
        <v>89026</v>
      </c>
      <c r="G47" s="646">
        <v>10110</v>
      </c>
      <c r="H47" s="646">
        <v>1720</v>
      </c>
      <c r="I47" s="646">
        <v>474</v>
      </c>
      <c r="J47" s="647">
        <f t="shared" si="46"/>
        <v>2194</v>
      </c>
      <c r="K47" s="272">
        <v>23543</v>
      </c>
      <c r="L47" s="646">
        <v>20519</v>
      </c>
      <c r="M47" s="646">
        <v>2411</v>
      </c>
      <c r="N47" s="646">
        <v>480</v>
      </c>
      <c r="O47" s="646">
        <v>133</v>
      </c>
      <c r="P47" s="646">
        <f t="shared" si="47"/>
        <v>613</v>
      </c>
      <c r="Q47" s="645">
        <v>62570</v>
      </c>
      <c r="R47" s="646">
        <v>54938</v>
      </c>
      <c r="S47" s="646">
        <v>6226</v>
      </c>
      <c r="T47" s="646">
        <v>1101</v>
      </c>
      <c r="U47" s="646">
        <v>305</v>
      </c>
      <c r="V47" s="647">
        <f t="shared" si="48"/>
        <v>1406</v>
      </c>
      <c r="W47" s="645">
        <v>15217</v>
      </c>
      <c r="X47" s="646">
        <v>13569</v>
      </c>
      <c r="Y47" s="646">
        <v>1473</v>
      </c>
      <c r="Z47" s="646">
        <v>139</v>
      </c>
      <c r="AA47" s="646">
        <v>36</v>
      </c>
      <c r="AB47" s="647">
        <f t="shared" si="49"/>
        <v>175</v>
      </c>
      <c r="AC47" s="653">
        <f t="shared" si="50"/>
        <v>0.87857495312345801</v>
      </c>
      <c r="AD47" s="654">
        <f t="shared" si="51"/>
        <v>9.9773018849304257E-2</v>
      </c>
      <c r="AE47" s="654">
        <f t="shared" si="39"/>
        <v>1.6974242573768873E-2</v>
      </c>
      <c r="AF47" s="654">
        <f t="shared" si="40"/>
        <v>4.6777854534688643E-3</v>
      </c>
      <c r="AG47" s="655">
        <f t="shared" si="41"/>
        <v>2.1652028027237737E-2</v>
      </c>
      <c r="AH47" s="653">
        <f t="shared" si="42"/>
        <v>0.23233987960130267</v>
      </c>
      <c r="AI47" s="654">
        <f t="shared" si="43"/>
        <v>0.61748741734925494</v>
      </c>
      <c r="AJ47" s="655">
        <f t="shared" si="44"/>
        <v>0.15017270304944241</v>
      </c>
      <c r="AK47" s="645">
        <v>2549</v>
      </c>
      <c r="AL47" s="646">
        <v>842</v>
      </c>
      <c r="AM47" s="646">
        <v>1598</v>
      </c>
      <c r="AN47" s="647">
        <v>109</v>
      </c>
      <c r="AO47" s="273">
        <f t="shared" si="45"/>
        <v>2.5155432744498173E-2</v>
      </c>
    </row>
    <row r="48" spans="1:41">
      <c r="A48" s="271" t="s">
        <v>110</v>
      </c>
      <c r="B48" s="271" t="s">
        <v>111</v>
      </c>
      <c r="C48" s="271" t="s">
        <v>266</v>
      </c>
      <c r="D48" s="271">
        <v>3</v>
      </c>
      <c r="E48" s="645">
        <v>318611</v>
      </c>
      <c r="F48" s="646">
        <v>193637</v>
      </c>
      <c r="G48" s="646">
        <v>98400</v>
      </c>
      <c r="H48" s="646">
        <v>25167</v>
      </c>
      <c r="I48" s="646">
        <v>1407</v>
      </c>
      <c r="J48" s="647">
        <f t="shared" si="46"/>
        <v>26574</v>
      </c>
      <c r="K48" s="272">
        <v>75092</v>
      </c>
      <c r="L48" s="646">
        <v>41384</v>
      </c>
      <c r="M48" s="646">
        <v>26524</v>
      </c>
      <c r="N48" s="646">
        <v>6840</v>
      </c>
      <c r="O48" s="646">
        <v>344</v>
      </c>
      <c r="P48" s="646">
        <f t="shared" si="47"/>
        <v>7184</v>
      </c>
      <c r="Q48" s="645">
        <v>200821</v>
      </c>
      <c r="R48" s="646">
        <v>120405</v>
      </c>
      <c r="S48" s="646">
        <v>62617</v>
      </c>
      <c r="T48" s="646">
        <v>16880</v>
      </c>
      <c r="U48" s="646">
        <v>919</v>
      </c>
      <c r="V48" s="647">
        <f t="shared" si="48"/>
        <v>17799</v>
      </c>
      <c r="W48" s="645">
        <v>42698</v>
      </c>
      <c r="X48" s="646">
        <v>31848</v>
      </c>
      <c r="Y48" s="646">
        <v>9259</v>
      </c>
      <c r="Z48" s="646">
        <v>1447</v>
      </c>
      <c r="AA48" s="646">
        <v>144</v>
      </c>
      <c r="AB48" s="647">
        <f t="shared" si="49"/>
        <v>1591</v>
      </c>
      <c r="AC48" s="653">
        <f t="shared" si="50"/>
        <v>0.60775365571182416</v>
      </c>
      <c r="AD48" s="654">
        <f t="shared" si="51"/>
        <v>0.30884056106035257</v>
      </c>
      <c r="AE48" s="654">
        <f t="shared" si="39"/>
        <v>7.8989739839490786E-2</v>
      </c>
      <c r="AF48" s="654">
        <f t="shared" si="40"/>
        <v>4.4160433883324805E-3</v>
      </c>
      <c r="AG48" s="655">
        <f t="shared" si="41"/>
        <v>8.3405783227823271E-2</v>
      </c>
      <c r="AH48" s="653">
        <f t="shared" si="42"/>
        <v>0.23568552247097557</v>
      </c>
      <c r="AI48" s="654">
        <f t="shared" si="43"/>
        <v>0.63030152756810032</v>
      </c>
      <c r="AJ48" s="655">
        <f t="shared" si="44"/>
        <v>0.13401294996092414</v>
      </c>
      <c r="AK48" s="645">
        <v>16860</v>
      </c>
      <c r="AL48" s="646">
        <v>5684</v>
      </c>
      <c r="AM48" s="646">
        <v>10559</v>
      </c>
      <c r="AN48" s="647">
        <v>617</v>
      </c>
      <c r="AO48" s="273">
        <f t="shared" si="45"/>
        <v>5.2917193693877485E-2</v>
      </c>
    </row>
    <row r="49" spans="1:41">
      <c r="A49" s="271" t="s">
        <v>112</v>
      </c>
      <c r="B49" s="271" t="s">
        <v>113</v>
      </c>
      <c r="C49" s="271" t="s">
        <v>265</v>
      </c>
      <c r="D49" s="271">
        <v>3</v>
      </c>
      <c r="E49" s="645">
        <v>66372</v>
      </c>
      <c r="F49" s="646">
        <v>47322</v>
      </c>
      <c r="G49" s="646">
        <v>18334</v>
      </c>
      <c r="H49" s="646">
        <v>490</v>
      </c>
      <c r="I49" s="646">
        <v>226</v>
      </c>
      <c r="J49" s="647">
        <f t="shared" si="46"/>
        <v>716</v>
      </c>
      <c r="K49" s="272">
        <v>13631</v>
      </c>
      <c r="L49" s="646">
        <v>9147</v>
      </c>
      <c r="M49" s="646">
        <v>4279</v>
      </c>
      <c r="N49" s="646">
        <v>135</v>
      </c>
      <c r="O49" s="646">
        <v>70</v>
      </c>
      <c r="P49" s="646">
        <f t="shared" si="47"/>
        <v>205</v>
      </c>
      <c r="Q49" s="645">
        <v>38797</v>
      </c>
      <c r="R49" s="646">
        <v>27212</v>
      </c>
      <c r="S49" s="646">
        <v>11138</v>
      </c>
      <c r="T49" s="646">
        <v>308</v>
      </c>
      <c r="U49" s="646">
        <v>139</v>
      </c>
      <c r="V49" s="647">
        <f t="shared" si="48"/>
        <v>447</v>
      </c>
      <c r="W49" s="645">
        <v>13944</v>
      </c>
      <c r="X49" s="646">
        <v>10963</v>
      </c>
      <c r="Y49" s="646">
        <v>2917</v>
      </c>
      <c r="Z49" s="646">
        <v>47</v>
      </c>
      <c r="AA49" s="646">
        <v>17</v>
      </c>
      <c r="AB49" s="647">
        <f t="shared" si="49"/>
        <v>64</v>
      </c>
      <c r="AC49" s="653">
        <f t="shared" si="50"/>
        <v>0.71298137768938707</v>
      </c>
      <c r="AD49" s="654">
        <f t="shared" si="51"/>
        <v>0.27623094075815102</v>
      </c>
      <c r="AE49" s="654">
        <f t="shared" si="39"/>
        <v>7.3826312300367628E-3</v>
      </c>
      <c r="AF49" s="654">
        <f t="shared" si="40"/>
        <v>3.4050503224251189E-3</v>
      </c>
      <c r="AG49" s="655">
        <f t="shared" si="41"/>
        <v>1.0787681552461882E-2</v>
      </c>
      <c r="AH49" s="653">
        <f t="shared" si="42"/>
        <v>0.20537274754414511</v>
      </c>
      <c r="AI49" s="654">
        <f t="shared" si="43"/>
        <v>0.58453866088109441</v>
      </c>
      <c r="AJ49" s="655">
        <f t="shared" si="44"/>
        <v>0.21008859157476045</v>
      </c>
      <c r="AK49" s="645">
        <v>3360</v>
      </c>
      <c r="AL49" s="646">
        <v>1484</v>
      </c>
      <c r="AM49" s="646">
        <v>1793</v>
      </c>
      <c r="AN49" s="647">
        <v>83</v>
      </c>
      <c r="AO49" s="273">
        <f t="shared" si="45"/>
        <v>5.0623757005966372E-2</v>
      </c>
    </row>
    <row r="50" spans="1:41">
      <c r="A50" s="271" t="s">
        <v>114</v>
      </c>
      <c r="B50" s="271" t="s">
        <v>115</v>
      </c>
      <c r="C50" s="271" t="s">
        <v>265</v>
      </c>
      <c r="D50" s="271">
        <v>1</v>
      </c>
      <c r="E50" s="645">
        <v>2215</v>
      </c>
      <c r="F50" s="646">
        <v>2185</v>
      </c>
      <c r="G50" s="646">
        <v>16</v>
      </c>
      <c r="H50" s="646">
        <v>7</v>
      </c>
      <c r="I50" s="646">
        <v>7</v>
      </c>
      <c r="J50" s="647">
        <f t="shared" si="46"/>
        <v>14</v>
      </c>
      <c r="K50" s="272">
        <v>282</v>
      </c>
      <c r="L50" s="646">
        <v>278</v>
      </c>
      <c r="M50" s="646">
        <v>1</v>
      </c>
      <c r="N50" s="646">
        <v>3</v>
      </c>
      <c r="O50" s="646">
        <v>0</v>
      </c>
      <c r="P50" s="646">
        <f t="shared" si="47"/>
        <v>3</v>
      </c>
      <c r="Q50" s="645">
        <v>1285</v>
      </c>
      <c r="R50" s="646">
        <v>1271</v>
      </c>
      <c r="S50" s="646">
        <v>10</v>
      </c>
      <c r="T50" s="646">
        <v>3</v>
      </c>
      <c r="U50" s="646">
        <v>1</v>
      </c>
      <c r="V50" s="647">
        <f t="shared" si="48"/>
        <v>4</v>
      </c>
      <c r="W50" s="645">
        <v>648</v>
      </c>
      <c r="X50" s="646">
        <v>636</v>
      </c>
      <c r="Y50" s="646">
        <v>5</v>
      </c>
      <c r="Z50" s="646">
        <v>1</v>
      </c>
      <c r="AA50" s="646">
        <v>6</v>
      </c>
      <c r="AB50" s="647">
        <f t="shared" si="49"/>
        <v>7</v>
      </c>
      <c r="AC50" s="653">
        <f t="shared" si="50"/>
        <v>0.98645598194130923</v>
      </c>
      <c r="AD50" s="654">
        <f t="shared" si="51"/>
        <v>7.2234762979683969E-3</v>
      </c>
      <c r="AE50" s="654">
        <f t="shared" si="39"/>
        <v>3.1602708803611739E-3</v>
      </c>
      <c r="AF50" s="654">
        <f t="shared" si="40"/>
        <v>3.1602708803611739E-3</v>
      </c>
      <c r="AG50" s="655">
        <f t="shared" si="41"/>
        <v>6.3205417607223478E-3</v>
      </c>
      <c r="AH50" s="653">
        <f t="shared" si="42"/>
        <v>0.12731376975169301</v>
      </c>
      <c r="AI50" s="654">
        <f t="shared" si="43"/>
        <v>0.58013544018058694</v>
      </c>
      <c r="AJ50" s="655">
        <f t="shared" si="44"/>
        <v>0.29255079006772011</v>
      </c>
      <c r="AK50" s="645">
        <v>26</v>
      </c>
      <c r="AL50" s="646">
        <v>3</v>
      </c>
      <c r="AM50" s="646">
        <v>16</v>
      </c>
      <c r="AN50" s="647">
        <v>7</v>
      </c>
      <c r="AO50" s="273">
        <f t="shared" si="45"/>
        <v>1.1738148984198645E-2</v>
      </c>
    </row>
    <row r="51" spans="1:41">
      <c r="A51" s="271" t="s">
        <v>118</v>
      </c>
      <c r="B51" s="271" t="s">
        <v>119</v>
      </c>
      <c r="C51" s="271" t="s">
        <v>264</v>
      </c>
      <c r="D51" s="271">
        <v>2</v>
      </c>
      <c r="E51" s="645">
        <v>35656</v>
      </c>
      <c r="F51" s="646">
        <v>26184</v>
      </c>
      <c r="G51" s="646">
        <v>8826</v>
      </c>
      <c r="H51" s="646">
        <v>478</v>
      </c>
      <c r="I51" s="646">
        <v>168</v>
      </c>
      <c r="J51" s="647">
        <f t="shared" si="46"/>
        <v>646</v>
      </c>
      <c r="K51" s="272">
        <v>7514</v>
      </c>
      <c r="L51" s="646">
        <v>5304</v>
      </c>
      <c r="M51" s="646">
        <v>2051</v>
      </c>
      <c r="N51" s="646">
        <v>124</v>
      </c>
      <c r="O51" s="646">
        <v>35</v>
      </c>
      <c r="P51" s="646">
        <f t="shared" si="47"/>
        <v>159</v>
      </c>
      <c r="Q51" s="645">
        <v>22195</v>
      </c>
      <c r="R51" s="646">
        <v>16416</v>
      </c>
      <c r="S51" s="646">
        <v>5352</v>
      </c>
      <c r="T51" s="646">
        <v>316</v>
      </c>
      <c r="U51" s="646">
        <v>111</v>
      </c>
      <c r="V51" s="647">
        <f t="shared" si="48"/>
        <v>427</v>
      </c>
      <c r="W51" s="645">
        <v>5947</v>
      </c>
      <c r="X51" s="646">
        <v>4464</v>
      </c>
      <c r="Y51" s="646">
        <v>1423</v>
      </c>
      <c r="Z51" s="646">
        <v>38</v>
      </c>
      <c r="AA51" s="646">
        <v>22</v>
      </c>
      <c r="AB51" s="647">
        <f t="shared" si="49"/>
        <v>60</v>
      </c>
      <c r="AC51" s="653">
        <f t="shared" si="50"/>
        <v>0.73435045995063941</v>
      </c>
      <c r="AD51" s="654">
        <f t="shared" si="51"/>
        <v>0.24753197217859546</v>
      </c>
      <c r="AE51" s="654">
        <f t="shared" si="39"/>
        <v>1.3405878393538254E-2</v>
      </c>
      <c r="AF51" s="654">
        <f t="shared" si="40"/>
        <v>4.7116894772268342E-3</v>
      </c>
      <c r="AG51" s="655">
        <f t="shared" si="41"/>
        <v>1.811756787076509E-2</v>
      </c>
      <c r="AH51" s="653">
        <f t="shared" si="42"/>
        <v>0.2107359210231097</v>
      </c>
      <c r="AI51" s="654">
        <f t="shared" si="43"/>
        <v>0.62247588063719994</v>
      </c>
      <c r="AJ51" s="655">
        <f t="shared" si="44"/>
        <v>0.16678819833969039</v>
      </c>
      <c r="AK51" s="645">
        <v>864</v>
      </c>
      <c r="AL51" s="646">
        <v>305</v>
      </c>
      <c r="AM51" s="646">
        <v>518</v>
      </c>
      <c r="AN51" s="647">
        <v>41</v>
      </c>
      <c r="AO51" s="273">
        <f t="shared" si="45"/>
        <v>2.4231545882880862E-2</v>
      </c>
    </row>
    <row r="52" spans="1:41">
      <c r="A52" s="271" t="s">
        <v>120</v>
      </c>
      <c r="B52" s="271" t="s">
        <v>121</v>
      </c>
      <c r="C52" s="271" t="s">
        <v>264</v>
      </c>
      <c r="D52" s="271">
        <v>2</v>
      </c>
      <c r="E52" s="645">
        <v>70516</v>
      </c>
      <c r="F52" s="646">
        <v>57923</v>
      </c>
      <c r="G52" s="646">
        <v>10138</v>
      </c>
      <c r="H52" s="646">
        <v>2176</v>
      </c>
      <c r="I52" s="646">
        <v>279</v>
      </c>
      <c r="J52" s="647">
        <f t="shared" si="46"/>
        <v>2455</v>
      </c>
      <c r="K52" s="272">
        <v>14848</v>
      </c>
      <c r="L52" s="646">
        <v>11489</v>
      </c>
      <c r="M52" s="646">
        <v>2681</v>
      </c>
      <c r="N52" s="646">
        <v>605</v>
      </c>
      <c r="O52" s="646">
        <v>73</v>
      </c>
      <c r="P52" s="646">
        <f t="shared" si="47"/>
        <v>678</v>
      </c>
      <c r="Q52" s="645">
        <v>39850</v>
      </c>
      <c r="R52" s="646">
        <v>32105</v>
      </c>
      <c r="S52" s="646">
        <v>6218</v>
      </c>
      <c r="T52" s="646">
        <v>1352</v>
      </c>
      <c r="U52" s="646">
        <v>175</v>
      </c>
      <c r="V52" s="647">
        <f t="shared" si="48"/>
        <v>1527</v>
      </c>
      <c r="W52" s="645">
        <v>15818</v>
      </c>
      <c r="X52" s="646">
        <v>14329</v>
      </c>
      <c r="Y52" s="646">
        <v>1239</v>
      </c>
      <c r="Z52" s="646">
        <v>219</v>
      </c>
      <c r="AA52" s="646">
        <v>31</v>
      </c>
      <c r="AB52" s="647">
        <f t="shared" si="49"/>
        <v>250</v>
      </c>
      <c r="AC52" s="653">
        <f t="shared" si="50"/>
        <v>0.82141641613250893</v>
      </c>
      <c r="AD52" s="654">
        <f t="shared" si="51"/>
        <v>0.14376879006182994</v>
      </c>
      <c r="AE52" s="654">
        <f t="shared" si="39"/>
        <v>3.0858244937319191E-2</v>
      </c>
      <c r="AF52" s="654">
        <f t="shared" si="40"/>
        <v>3.9565488683419364E-3</v>
      </c>
      <c r="AG52" s="655">
        <f t="shared" si="41"/>
        <v>3.4814793805661125E-2</v>
      </c>
      <c r="AH52" s="653">
        <f t="shared" si="42"/>
        <v>0.21056214192523681</v>
      </c>
      <c r="AI52" s="654">
        <f t="shared" si="43"/>
        <v>0.56511997277213677</v>
      </c>
      <c r="AJ52" s="655">
        <f t="shared" si="44"/>
        <v>0.22431788530262636</v>
      </c>
      <c r="AK52" s="645">
        <v>3745</v>
      </c>
      <c r="AL52" s="646">
        <v>1307</v>
      </c>
      <c r="AM52" s="646">
        <v>2256</v>
      </c>
      <c r="AN52" s="647">
        <v>182</v>
      </c>
      <c r="AO52" s="273">
        <f t="shared" si="45"/>
        <v>5.3108514379715241E-2</v>
      </c>
    </row>
    <row r="53" spans="1:41">
      <c r="A53" s="271" t="s">
        <v>122</v>
      </c>
      <c r="B53" s="271" t="s">
        <v>271</v>
      </c>
      <c r="C53" s="271" t="s">
        <v>266</v>
      </c>
      <c r="D53" s="271">
        <v>1</v>
      </c>
      <c r="E53" s="645">
        <v>7130</v>
      </c>
      <c r="F53" s="646">
        <v>4970</v>
      </c>
      <c r="G53" s="646">
        <v>2003</v>
      </c>
      <c r="H53" s="646">
        <v>30</v>
      </c>
      <c r="I53" s="646">
        <v>127</v>
      </c>
      <c r="J53" s="647">
        <f t="shared" si="46"/>
        <v>157</v>
      </c>
      <c r="K53" s="272">
        <v>1348</v>
      </c>
      <c r="L53" s="646">
        <v>923</v>
      </c>
      <c r="M53" s="646">
        <v>394</v>
      </c>
      <c r="N53" s="646">
        <v>10</v>
      </c>
      <c r="O53" s="646">
        <v>21</v>
      </c>
      <c r="P53" s="646">
        <f t="shared" si="47"/>
        <v>31</v>
      </c>
      <c r="Q53" s="645">
        <v>4344</v>
      </c>
      <c r="R53" s="646">
        <v>3045</v>
      </c>
      <c r="S53" s="646">
        <v>1205</v>
      </c>
      <c r="T53" s="646">
        <v>12</v>
      </c>
      <c r="U53" s="646">
        <v>82</v>
      </c>
      <c r="V53" s="647">
        <f t="shared" si="48"/>
        <v>94</v>
      </c>
      <c r="W53" s="645">
        <v>1438</v>
      </c>
      <c r="X53" s="646">
        <v>1002</v>
      </c>
      <c r="Y53" s="646">
        <v>404</v>
      </c>
      <c r="Z53" s="646">
        <v>8</v>
      </c>
      <c r="AA53" s="646">
        <v>24</v>
      </c>
      <c r="AB53" s="647">
        <f t="shared" si="49"/>
        <v>32</v>
      </c>
      <c r="AC53" s="653">
        <f t="shared" si="50"/>
        <v>0.69705469845722301</v>
      </c>
      <c r="AD53" s="654">
        <f t="shared" si="51"/>
        <v>0.28092566619915849</v>
      </c>
      <c r="AE53" s="654">
        <f t="shared" si="39"/>
        <v>4.2075736325385693E-3</v>
      </c>
      <c r="AF53" s="654">
        <f t="shared" si="40"/>
        <v>1.7812061711079945E-2</v>
      </c>
      <c r="AG53" s="655">
        <f t="shared" si="41"/>
        <v>2.2019635343618515E-2</v>
      </c>
      <c r="AH53" s="653">
        <f t="shared" si="42"/>
        <v>0.18906030855539971</v>
      </c>
      <c r="AI53" s="654">
        <f t="shared" si="43"/>
        <v>0.6092566619915849</v>
      </c>
      <c r="AJ53" s="655">
        <f t="shared" si="44"/>
        <v>0.20168302945301542</v>
      </c>
      <c r="AK53" s="645">
        <v>243</v>
      </c>
      <c r="AL53" s="646">
        <v>94</v>
      </c>
      <c r="AM53" s="646">
        <v>145</v>
      </c>
      <c r="AN53" s="647">
        <v>4</v>
      </c>
      <c r="AO53" s="273">
        <f t="shared" si="45"/>
        <v>3.4081346423562413E-2</v>
      </c>
    </row>
    <row r="54" spans="1:41">
      <c r="A54" s="271" t="s">
        <v>124</v>
      </c>
      <c r="B54" s="271" t="s">
        <v>125</v>
      </c>
      <c r="C54" s="271" t="s">
        <v>267</v>
      </c>
      <c r="D54" s="271">
        <v>1</v>
      </c>
      <c r="E54" s="645">
        <v>24926</v>
      </c>
      <c r="F54" s="646">
        <v>19732</v>
      </c>
      <c r="G54" s="646">
        <v>4544</v>
      </c>
      <c r="H54" s="646">
        <v>491</v>
      </c>
      <c r="I54" s="646">
        <v>159</v>
      </c>
      <c r="J54" s="647">
        <f t="shared" si="46"/>
        <v>650</v>
      </c>
      <c r="K54" s="272">
        <v>6619</v>
      </c>
      <c r="L54" s="646">
        <v>5145</v>
      </c>
      <c r="M54" s="646">
        <v>1277</v>
      </c>
      <c r="N54" s="646">
        <v>146</v>
      </c>
      <c r="O54" s="646">
        <v>51</v>
      </c>
      <c r="P54" s="646">
        <f t="shared" si="47"/>
        <v>197</v>
      </c>
      <c r="Q54" s="645">
        <v>15485</v>
      </c>
      <c r="R54" s="646">
        <v>12304</v>
      </c>
      <c r="S54" s="646">
        <v>2769</v>
      </c>
      <c r="T54" s="646">
        <v>313</v>
      </c>
      <c r="U54" s="646">
        <v>99</v>
      </c>
      <c r="V54" s="647">
        <f t="shared" si="48"/>
        <v>412</v>
      </c>
      <c r="W54" s="645">
        <v>2822</v>
      </c>
      <c r="X54" s="646">
        <v>2283</v>
      </c>
      <c r="Y54" s="646">
        <v>498</v>
      </c>
      <c r="Z54" s="646">
        <v>32</v>
      </c>
      <c r="AA54" s="646">
        <v>9</v>
      </c>
      <c r="AB54" s="647">
        <f t="shared" si="49"/>
        <v>41</v>
      </c>
      <c r="AC54" s="653">
        <f t="shared" si="50"/>
        <v>0.79162320468587022</v>
      </c>
      <c r="AD54" s="654">
        <f t="shared" si="51"/>
        <v>0.18229960683623525</v>
      </c>
      <c r="AE54" s="654">
        <f t="shared" si="39"/>
        <v>1.9698306988686513E-2</v>
      </c>
      <c r="AF54" s="654">
        <f t="shared" si="40"/>
        <v>6.3788814892080554E-3</v>
      </c>
      <c r="AG54" s="655">
        <f t="shared" si="41"/>
        <v>2.6077188477894569E-2</v>
      </c>
      <c r="AH54" s="653">
        <f t="shared" si="42"/>
        <v>0.26554601620797563</v>
      </c>
      <c r="AI54" s="654">
        <f t="shared" si="43"/>
        <v>0.62123886704645748</v>
      </c>
      <c r="AJ54" s="655">
        <f t="shared" si="44"/>
        <v>0.11321511674556688</v>
      </c>
      <c r="AK54" s="645">
        <v>1039</v>
      </c>
      <c r="AL54" s="646">
        <v>368</v>
      </c>
      <c r="AM54" s="646">
        <v>635</v>
      </c>
      <c r="AN54" s="647">
        <v>36</v>
      </c>
      <c r="AO54" s="273">
        <f t="shared" si="45"/>
        <v>4.1683382813126856E-2</v>
      </c>
    </row>
    <row r="55" spans="1:41">
      <c r="A55" s="271" t="s">
        <v>126</v>
      </c>
      <c r="B55" s="271" t="s">
        <v>127</v>
      </c>
      <c r="C55" s="271" t="s">
        <v>266</v>
      </c>
      <c r="D55" s="271">
        <v>1</v>
      </c>
      <c r="E55" s="645">
        <v>16097</v>
      </c>
      <c r="F55" s="646">
        <v>12718</v>
      </c>
      <c r="G55" s="646">
        <v>2985</v>
      </c>
      <c r="H55" s="646">
        <v>155</v>
      </c>
      <c r="I55" s="646">
        <v>239</v>
      </c>
      <c r="J55" s="647">
        <f t="shared" si="46"/>
        <v>394</v>
      </c>
      <c r="K55" s="272">
        <v>3825</v>
      </c>
      <c r="L55" s="646">
        <v>3031</v>
      </c>
      <c r="M55" s="646">
        <v>695</v>
      </c>
      <c r="N55" s="646">
        <v>51</v>
      </c>
      <c r="O55" s="646">
        <v>48</v>
      </c>
      <c r="P55" s="646">
        <f t="shared" si="47"/>
        <v>99</v>
      </c>
      <c r="Q55" s="645">
        <v>10042</v>
      </c>
      <c r="R55" s="646">
        <v>7977</v>
      </c>
      <c r="S55" s="646">
        <v>1818</v>
      </c>
      <c r="T55" s="646">
        <v>91</v>
      </c>
      <c r="U55" s="646">
        <v>156</v>
      </c>
      <c r="V55" s="647">
        <f t="shared" si="48"/>
        <v>247</v>
      </c>
      <c r="W55" s="645">
        <v>2230</v>
      </c>
      <c r="X55" s="646">
        <v>1710</v>
      </c>
      <c r="Y55" s="646">
        <v>472</v>
      </c>
      <c r="Z55" s="646">
        <v>13</v>
      </c>
      <c r="AA55" s="646">
        <v>35</v>
      </c>
      <c r="AB55" s="647">
        <f t="shared" si="49"/>
        <v>48</v>
      </c>
      <c r="AC55" s="653">
        <f t="shared" si="50"/>
        <v>0.79008510902652673</v>
      </c>
      <c r="AD55" s="654">
        <f t="shared" si="51"/>
        <v>0.18543828042492391</v>
      </c>
      <c r="AE55" s="654">
        <f t="shared" si="39"/>
        <v>9.6291234391501519E-3</v>
      </c>
      <c r="AF55" s="654">
        <f t="shared" si="40"/>
        <v>1.4847487109399267E-2</v>
      </c>
      <c r="AG55" s="655">
        <f t="shared" si="41"/>
        <v>2.4476610548549421E-2</v>
      </c>
      <c r="AH55" s="653">
        <f t="shared" si="42"/>
        <v>0.23762191712741504</v>
      </c>
      <c r="AI55" s="654">
        <f t="shared" si="43"/>
        <v>0.62384295210287632</v>
      </c>
      <c r="AJ55" s="655">
        <f t="shared" si="44"/>
        <v>0.13853513076970864</v>
      </c>
      <c r="AK55" s="645">
        <v>363</v>
      </c>
      <c r="AL55" s="646">
        <v>140</v>
      </c>
      <c r="AM55" s="646">
        <v>210</v>
      </c>
      <c r="AN55" s="647">
        <v>13</v>
      </c>
      <c r="AO55" s="273">
        <f t="shared" si="45"/>
        <v>2.2550785860719388E-2</v>
      </c>
    </row>
    <row r="56" spans="1:41">
      <c r="A56" s="271" t="s">
        <v>128</v>
      </c>
      <c r="B56" s="271" t="s">
        <v>129</v>
      </c>
      <c r="C56" s="271" t="s">
        <v>266</v>
      </c>
      <c r="D56" s="271">
        <v>1</v>
      </c>
      <c r="E56" s="645">
        <v>11148</v>
      </c>
      <c r="F56" s="646">
        <v>7835</v>
      </c>
      <c r="G56" s="646">
        <v>3206</v>
      </c>
      <c r="H56" s="646">
        <v>83</v>
      </c>
      <c r="I56" s="646">
        <v>24</v>
      </c>
      <c r="J56" s="647">
        <f t="shared" si="46"/>
        <v>107</v>
      </c>
      <c r="K56" s="272">
        <v>1725</v>
      </c>
      <c r="L56" s="646">
        <v>917</v>
      </c>
      <c r="M56" s="646">
        <v>785</v>
      </c>
      <c r="N56" s="646">
        <v>21</v>
      </c>
      <c r="O56" s="646">
        <v>2</v>
      </c>
      <c r="P56" s="646">
        <f t="shared" si="47"/>
        <v>23</v>
      </c>
      <c r="Q56" s="645">
        <v>5607</v>
      </c>
      <c r="R56" s="646">
        <v>3665</v>
      </c>
      <c r="S56" s="646">
        <v>1875</v>
      </c>
      <c r="T56" s="646">
        <v>49</v>
      </c>
      <c r="U56" s="646">
        <v>18</v>
      </c>
      <c r="V56" s="647">
        <f t="shared" si="48"/>
        <v>67</v>
      </c>
      <c r="W56" s="645">
        <v>3816</v>
      </c>
      <c r="X56" s="646">
        <v>3253</v>
      </c>
      <c r="Y56" s="646">
        <v>546</v>
      </c>
      <c r="Z56" s="646">
        <v>13</v>
      </c>
      <c r="AA56" s="646">
        <v>4</v>
      </c>
      <c r="AB56" s="647">
        <f t="shared" si="49"/>
        <v>17</v>
      </c>
      <c r="AC56" s="653">
        <f t="shared" si="50"/>
        <v>0.70281664872622895</v>
      </c>
      <c r="AD56" s="654">
        <f t="shared" si="51"/>
        <v>0.28758521707929674</v>
      </c>
      <c r="AE56" s="654">
        <f t="shared" si="39"/>
        <v>7.4452816648726229E-3</v>
      </c>
      <c r="AF56" s="654">
        <f t="shared" si="40"/>
        <v>2.1528525296017221E-3</v>
      </c>
      <c r="AG56" s="655">
        <f t="shared" si="41"/>
        <v>9.5981341944743458E-3</v>
      </c>
      <c r="AH56" s="653">
        <f t="shared" si="42"/>
        <v>0.15473627556512379</v>
      </c>
      <c r="AI56" s="654">
        <f t="shared" si="43"/>
        <v>0.50296017222820233</v>
      </c>
      <c r="AJ56" s="655">
        <f t="shared" si="44"/>
        <v>0.34230355220667386</v>
      </c>
      <c r="AK56" s="645">
        <v>184</v>
      </c>
      <c r="AL56" s="646">
        <v>60</v>
      </c>
      <c r="AM56" s="646">
        <v>82</v>
      </c>
      <c r="AN56" s="647">
        <v>42</v>
      </c>
      <c r="AO56" s="273">
        <f t="shared" si="45"/>
        <v>1.6505202726946538E-2</v>
      </c>
    </row>
    <row r="57" spans="1:41">
      <c r="A57" s="271" t="s">
        <v>130</v>
      </c>
      <c r="B57" s="271" t="s">
        <v>131</v>
      </c>
      <c r="C57" s="271" t="s">
        <v>268</v>
      </c>
      <c r="D57" s="271">
        <v>2</v>
      </c>
      <c r="E57" s="645">
        <v>25185</v>
      </c>
      <c r="F57" s="646">
        <v>23920</v>
      </c>
      <c r="G57" s="646">
        <v>1072</v>
      </c>
      <c r="H57" s="646">
        <v>90</v>
      </c>
      <c r="I57" s="646">
        <v>103</v>
      </c>
      <c r="J57" s="647">
        <f t="shared" si="46"/>
        <v>193</v>
      </c>
      <c r="K57" s="272">
        <v>4904</v>
      </c>
      <c r="L57" s="646">
        <v>4814</v>
      </c>
      <c r="M57" s="646">
        <v>71</v>
      </c>
      <c r="N57" s="646">
        <v>8</v>
      </c>
      <c r="O57" s="646">
        <v>11</v>
      </c>
      <c r="P57" s="646">
        <f t="shared" si="47"/>
        <v>19</v>
      </c>
      <c r="Q57" s="645">
        <v>15695</v>
      </c>
      <c r="R57" s="646">
        <v>14562</v>
      </c>
      <c r="S57" s="646">
        <v>977</v>
      </c>
      <c r="T57" s="646">
        <v>72</v>
      </c>
      <c r="U57" s="646">
        <v>84</v>
      </c>
      <c r="V57" s="647">
        <f t="shared" si="48"/>
        <v>156</v>
      </c>
      <c r="W57" s="645">
        <v>4586</v>
      </c>
      <c r="X57" s="646">
        <v>4544</v>
      </c>
      <c r="Y57" s="646">
        <v>24</v>
      </c>
      <c r="Z57" s="646">
        <v>10</v>
      </c>
      <c r="AA57" s="646">
        <v>8</v>
      </c>
      <c r="AB57" s="647">
        <f t="shared" si="49"/>
        <v>18</v>
      </c>
      <c r="AC57" s="653">
        <f t="shared" si="50"/>
        <v>0.94977168949771684</v>
      </c>
      <c r="AD57" s="654">
        <f t="shared" si="51"/>
        <v>4.2565018860432798E-2</v>
      </c>
      <c r="AE57" s="654">
        <f t="shared" si="39"/>
        <v>3.5735556879094698E-3</v>
      </c>
      <c r="AF57" s="654">
        <f t="shared" si="40"/>
        <v>4.0897359539408375E-3</v>
      </c>
      <c r="AG57" s="655">
        <f t="shared" si="41"/>
        <v>7.6632916418503073E-3</v>
      </c>
      <c r="AH57" s="653">
        <f t="shared" si="42"/>
        <v>0.19471907881675601</v>
      </c>
      <c r="AI57" s="654">
        <f t="shared" si="43"/>
        <v>0.62318840579710144</v>
      </c>
      <c r="AJ57" s="655">
        <f t="shared" si="44"/>
        <v>0.18209251538614254</v>
      </c>
      <c r="AK57" s="645">
        <v>449</v>
      </c>
      <c r="AL57" s="646">
        <v>85</v>
      </c>
      <c r="AM57" s="646">
        <v>349</v>
      </c>
      <c r="AN57" s="647">
        <v>15</v>
      </c>
      <c r="AO57" s="273">
        <f t="shared" si="45"/>
        <v>1.7828072265237246E-2</v>
      </c>
    </row>
    <row r="58" spans="1:41">
      <c r="A58" s="271" t="s">
        <v>132</v>
      </c>
      <c r="B58" s="271" t="s">
        <v>133</v>
      </c>
      <c r="C58" s="271" t="s">
        <v>267</v>
      </c>
      <c r="D58" s="271">
        <v>3</v>
      </c>
      <c r="E58" s="645">
        <v>349679</v>
      </c>
      <c r="F58" s="646">
        <v>257223</v>
      </c>
      <c r="G58" s="646">
        <v>29029</v>
      </c>
      <c r="H58" s="646">
        <v>61536</v>
      </c>
      <c r="I58" s="646">
        <v>1891</v>
      </c>
      <c r="J58" s="647">
        <f t="shared" si="46"/>
        <v>63427</v>
      </c>
      <c r="K58" s="272">
        <v>104070</v>
      </c>
      <c r="L58" s="646">
        <v>74841</v>
      </c>
      <c r="M58" s="646">
        <v>9047</v>
      </c>
      <c r="N58" s="646">
        <v>19501</v>
      </c>
      <c r="O58" s="646">
        <v>681</v>
      </c>
      <c r="P58" s="646">
        <f t="shared" si="47"/>
        <v>20182</v>
      </c>
      <c r="Q58" s="645">
        <v>218899</v>
      </c>
      <c r="R58" s="646">
        <v>160947</v>
      </c>
      <c r="S58" s="646">
        <v>18289</v>
      </c>
      <c r="T58" s="646">
        <v>38537</v>
      </c>
      <c r="U58" s="646">
        <v>1126</v>
      </c>
      <c r="V58" s="647">
        <f t="shared" si="48"/>
        <v>39663</v>
      </c>
      <c r="W58" s="645">
        <v>26710</v>
      </c>
      <c r="X58" s="646">
        <v>21435</v>
      </c>
      <c r="Y58" s="646">
        <v>1693</v>
      </c>
      <c r="Z58" s="646">
        <v>3498</v>
      </c>
      <c r="AA58" s="646">
        <v>84</v>
      </c>
      <c r="AB58" s="647">
        <f t="shared" si="49"/>
        <v>3582</v>
      </c>
      <c r="AC58" s="653">
        <f t="shared" si="50"/>
        <v>0.73559750514042876</v>
      </c>
      <c r="AD58" s="654">
        <f t="shared" si="51"/>
        <v>8.3016137657680331E-2</v>
      </c>
      <c r="AE58" s="654">
        <f t="shared" si="39"/>
        <v>0.17597854031840632</v>
      </c>
      <c r="AF58" s="654">
        <f t="shared" si="40"/>
        <v>5.4078168834845669E-3</v>
      </c>
      <c r="AG58" s="655">
        <f t="shared" si="41"/>
        <v>0.18138635720189086</v>
      </c>
      <c r="AH58" s="653">
        <f t="shared" si="42"/>
        <v>0.29761581336025328</v>
      </c>
      <c r="AI58" s="654">
        <f t="shared" si="43"/>
        <v>0.62599984557265376</v>
      </c>
      <c r="AJ58" s="655">
        <f t="shared" si="44"/>
        <v>7.6384341067092965E-2</v>
      </c>
      <c r="AK58" s="645">
        <v>45814</v>
      </c>
      <c r="AL58" s="646">
        <v>15580</v>
      </c>
      <c r="AM58" s="646">
        <v>28634</v>
      </c>
      <c r="AN58" s="647">
        <v>1600</v>
      </c>
      <c r="AO58" s="273">
        <f t="shared" si="45"/>
        <v>0.13101730444207402</v>
      </c>
    </row>
    <row r="59" spans="1:41">
      <c r="A59" s="271" t="s">
        <v>134</v>
      </c>
      <c r="B59" s="271" t="s">
        <v>135</v>
      </c>
      <c r="C59" s="271" t="s">
        <v>267</v>
      </c>
      <c r="D59" s="271">
        <v>2</v>
      </c>
      <c r="E59" s="645">
        <v>33945</v>
      </c>
      <c r="F59" s="646">
        <v>27398</v>
      </c>
      <c r="G59" s="646">
        <v>6177</v>
      </c>
      <c r="H59" s="646">
        <v>220</v>
      </c>
      <c r="I59" s="646">
        <v>150</v>
      </c>
      <c r="J59" s="647">
        <f t="shared" si="46"/>
        <v>370</v>
      </c>
      <c r="K59" s="272">
        <v>7078</v>
      </c>
      <c r="L59" s="646">
        <v>5628</v>
      </c>
      <c r="M59" s="646">
        <v>1363</v>
      </c>
      <c r="N59" s="646">
        <v>58</v>
      </c>
      <c r="O59" s="646">
        <v>29</v>
      </c>
      <c r="P59" s="646">
        <f t="shared" si="47"/>
        <v>87</v>
      </c>
      <c r="Q59" s="645">
        <v>21156</v>
      </c>
      <c r="R59" s="646">
        <v>17082</v>
      </c>
      <c r="S59" s="646">
        <v>3825</v>
      </c>
      <c r="T59" s="646">
        <v>146</v>
      </c>
      <c r="U59" s="646">
        <v>103</v>
      </c>
      <c r="V59" s="647">
        <f t="shared" si="48"/>
        <v>249</v>
      </c>
      <c r="W59" s="645">
        <v>5711</v>
      </c>
      <c r="X59" s="646">
        <v>4688</v>
      </c>
      <c r="Y59" s="646">
        <v>989</v>
      </c>
      <c r="Z59" s="646">
        <v>16</v>
      </c>
      <c r="AA59" s="646">
        <v>18</v>
      </c>
      <c r="AB59" s="647">
        <f t="shared" si="49"/>
        <v>34</v>
      </c>
      <c r="AC59" s="653">
        <f t="shared" si="50"/>
        <v>0.80712917955516272</v>
      </c>
      <c r="AD59" s="654">
        <f t="shared" si="51"/>
        <v>0.18197083517454707</v>
      </c>
      <c r="AE59" s="654">
        <f t="shared" si="39"/>
        <v>6.4810723228752396E-3</v>
      </c>
      <c r="AF59" s="654">
        <f t="shared" si="40"/>
        <v>4.4189129474149361E-3</v>
      </c>
      <c r="AG59" s="655">
        <f t="shared" si="41"/>
        <v>1.0899985270290175E-2</v>
      </c>
      <c r="AH59" s="653">
        <f t="shared" si="42"/>
        <v>0.20851377227868612</v>
      </c>
      <c r="AI59" s="654">
        <f t="shared" si="43"/>
        <v>0.62324348210340252</v>
      </c>
      <c r="AJ59" s="655">
        <f t="shared" si="44"/>
        <v>0.16824274561791133</v>
      </c>
      <c r="AK59" s="645">
        <v>853</v>
      </c>
      <c r="AL59" s="646">
        <v>284</v>
      </c>
      <c r="AM59" s="646">
        <v>517</v>
      </c>
      <c r="AN59" s="647">
        <v>52</v>
      </c>
      <c r="AO59" s="273">
        <f t="shared" si="45"/>
        <v>2.5128884960966269E-2</v>
      </c>
    </row>
    <row r="60" spans="1:41">
      <c r="A60" s="271" t="s">
        <v>136</v>
      </c>
      <c r="B60" s="271" t="s">
        <v>137</v>
      </c>
      <c r="C60" s="271" t="s">
        <v>266</v>
      </c>
      <c r="D60" s="271">
        <v>1</v>
      </c>
      <c r="E60" s="645">
        <v>12527</v>
      </c>
      <c r="F60" s="646">
        <v>8032</v>
      </c>
      <c r="G60" s="646">
        <v>4385</v>
      </c>
      <c r="H60" s="646">
        <v>59</v>
      </c>
      <c r="I60" s="646">
        <v>51</v>
      </c>
      <c r="J60" s="647">
        <f t="shared" si="46"/>
        <v>110</v>
      </c>
      <c r="K60" s="272">
        <v>2327</v>
      </c>
      <c r="L60" s="646">
        <v>1491</v>
      </c>
      <c r="M60" s="646">
        <v>812</v>
      </c>
      <c r="N60" s="646">
        <v>14</v>
      </c>
      <c r="O60" s="646">
        <v>10</v>
      </c>
      <c r="P60" s="646">
        <f t="shared" si="47"/>
        <v>24</v>
      </c>
      <c r="Q60" s="645">
        <v>7799</v>
      </c>
      <c r="R60" s="646">
        <v>4914</v>
      </c>
      <c r="S60" s="646">
        <v>2808</v>
      </c>
      <c r="T60" s="646">
        <v>44</v>
      </c>
      <c r="U60" s="646">
        <v>33</v>
      </c>
      <c r="V60" s="647">
        <f t="shared" si="48"/>
        <v>77</v>
      </c>
      <c r="W60" s="645">
        <v>2401</v>
      </c>
      <c r="X60" s="646">
        <v>1627</v>
      </c>
      <c r="Y60" s="646">
        <v>765</v>
      </c>
      <c r="Z60" s="646">
        <v>1</v>
      </c>
      <c r="AA60" s="646">
        <v>8</v>
      </c>
      <c r="AB60" s="647">
        <f t="shared" si="49"/>
        <v>9</v>
      </c>
      <c r="AC60" s="653">
        <f t="shared" si="50"/>
        <v>0.64117506186636863</v>
      </c>
      <c r="AD60" s="654">
        <f t="shared" si="51"/>
        <v>0.35004390516484396</v>
      </c>
      <c r="AE60" s="654">
        <f t="shared" si="39"/>
        <v>4.7098267741677979E-3</v>
      </c>
      <c r="AF60" s="654">
        <f t="shared" si="40"/>
        <v>4.0712061946196216E-3</v>
      </c>
      <c r="AG60" s="655">
        <f t="shared" si="41"/>
        <v>8.7810329687874195E-3</v>
      </c>
      <c r="AH60" s="653">
        <f t="shared" si="42"/>
        <v>0.18575876107607567</v>
      </c>
      <c r="AI60" s="654">
        <f t="shared" si="43"/>
        <v>0.62257523748702803</v>
      </c>
      <c r="AJ60" s="655">
        <f t="shared" si="44"/>
        <v>0.1916660014368963</v>
      </c>
      <c r="AK60" s="645">
        <v>516</v>
      </c>
      <c r="AL60" s="646">
        <v>151</v>
      </c>
      <c r="AM60" s="646">
        <v>344</v>
      </c>
      <c r="AN60" s="647">
        <v>21</v>
      </c>
      <c r="AO60" s="273">
        <f t="shared" si="45"/>
        <v>4.1191027380857351E-2</v>
      </c>
    </row>
    <row r="61" spans="1:41">
      <c r="A61" s="271" t="s">
        <v>140</v>
      </c>
      <c r="B61" s="271" t="s">
        <v>141</v>
      </c>
      <c r="C61" s="271" t="s">
        <v>267</v>
      </c>
      <c r="D61" s="271">
        <v>1</v>
      </c>
      <c r="E61" s="645">
        <v>13200</v>
      </c>
      <c r="F61" s="646">
        <v>11693</v>
      </c>
      <c r="G61" s="646">
        <v>1372</v>
      </c>
      <c r="H61" s="646">
        <v>101</v>
      </c>
      <c r="I61" s="646">
        <v>34</v>
      </c>
      <c r="J61" s="647">
        <f t="shared" si="46"/>
        <v>135</v>
      </c>
      <c r="K61" s="272">
        <v>2808</v>
      </c>
      <c r="L61" s="646">
        <v>2466</v>
      </c>
      <c r="M61" s="646">
        <v>321</v>
      </c>
      <c r="N61" s="646">
        <v>21</v>
      </c>
      <c r="O61" s="646">
        <v>0</v>
      </c>
      <c r="P61" s="646">
        <f t="shared" si="47"/>
        <v>21</v>
      </c>
      <c r="Q61" s="645">
        <v>7767</v>
      </c>
      <c r="R61" s="646">
        <v>6880</v>
      </c>
      <c r="S61" s="646">
        <v>787</v>
      </c>
      <c r="T61" s="646">
        <v>70</v>
      </c>
      <c r="U61" s="646">
        <v>30</v>
      </c>
      <c r="V61" s="647">
        <f t="shared" si="48"/>
        <v>100</v>
      </c>
      <c r="W61" s="645">
        <v>2625</v>
      </c>
      <c r="X61" s="646">
        <v>2347</v>
      </c>
      <c r="Y61" s="646">
        <v>264</v>
      </c>
      <c r="Z61" s="646">
        <v>10</v>
      </c>
      <c r="AA61" s="646">
        <v>4</v>
      </c>
      <c r="AB61" s="647">
        <f t="shared" si="49"/>
        <v>14</v>
      </c>
      <c r="AC61" s="653">
        <f t="shared" si="50"/>
        <v>0.88583333333333336</v>
      </c>
      <c r="AD61" s="654">
        <f t="shared" si="51"/>
        <v>0.10393939393939394</v>
      </c>
      <c r="AE61" s="654">
        <f t="shared" si="39"/>
        <v>7.6515151515151513E-3</v>
      </c>
      <c r="AF61" s="654">
        <f t="shared" si="40"/>
        <v>2.5757575757575759E-3</v>
      </c>
      <c r="AG61" s="655">
        <f t="shared" si="41"/>
        <v>1.0227272727272727E-2</v>
      </c>
      <c r="AH61" s="653">
        <f t="shared" si="42"/>
        <v>0.21272727272727274</v>
      </c>
      <c r="AI61" s="654">
        <f t="shared" si="43"/>
        <v>0.58840909090909088</v>
      </c>
      <c r="AJ61" s="655">
        <f t="shared" si="44"/>
        <v>0.19886363636363635</v>
      </c>
      <c r="AK61" s="645">
        <v>281</v>
      </c>
      <c r="AL61" s="646">
        <v>110</v>
      </c>
      <c r="AM61" s="646">
        <v>151</v>
      </c>
      <c r="AN61" s="647">
        <v>20</v>
      </c>
      <c r="AO61" s="273">
        <f t="shared" si="45"/>
        <v>2.1287878787878786E-2</v>
      </c>
    </row>
    <row r="62" spans="1:41">
      <c r="A62" s="271" t="s">
        <v>146</v>
      </c>
      <c r="B62" s="271" t="s">
        <v>147</v>
      </c>
      <c r="C62" s="271" t="s">
        <v>264</v>
      </c>
      <c r="D62" s="271">
        <v>1</v>
      </c>
      <c r="E62" s="645">
        <v>8897</v>
      </c>
      <c r="F62" s="646">
        <v>7969</v>
      </c>
      <c r="G62" s="646">
        <v>834</v>
      </c>
      <c r="H62" s="646">
        <v>72</v>
      </c>
      <c r="I62" s="646">
        <v>22</v>
      </c>
      <c r="J62" s="647">
        <f t="shared" si="46"/>
        <v>94</v>
      </c>
      <c r="K62" s="272">
        <v>1528</v>
      </c>
      <c r="L62" s="646">
        <v>1366</v>
      </c>
      <c r="M62" s="646">
        <v>146</v>
      </c>
      <c r="N62" s="646">
        <v>15</v>
      </c>
      <c r="O62" s="646">
        <v>1</v>
      </c>
      <c r="P62" s="646">
        <f t="shared" si="47"/>
        <v>16</v>
      </c>
      <c r="Q62" s="645">
        <v>4936</v>
      </c>
      <c r="R62" s="646">
        <v>4396</v>
      </c>
      <c r="S62" s="646">
        <v>479</v>
      </c>
      <c r="T62" s="646">
        <v>44</v>
      </c>
      <c r="U62" s="646">
        <v>17</v>
      </c>
      <c r="V62" s="647">
        <f t="shared" si="48"/>
        <v>61</v>
      </c>
      <c r="W62" s="645">
        <v>2433</v>
      </c>
      <c r="X62" s="646">
        <v>2207</v>
      </c>
      <c r="Y62" s="646">
        <v>209</v>
      </c>
      <c r="Z62" s="646">
        <v>13</v>
      </c>
      <c r="AA62" s="646">
        <v>4</v>
      </c>
      <c r="AB62" s="647">
        <f t="shared" si="49"/>
        <v>17</v>
      </c>
      <c r="AC62" s="653">
        <f t="shared" si="50"/>
        <v>0.89569517814993815</v>
      </c>
      <c r="AD62" s="654">
        <f t="shared" si="51"/>
        <v>9.3739462740249524E-2</v>
      </c>
      <c r="AE62" s="654">
        <f t="shared" si="39"/>
        <v>8.0926154883668652E-3</v>
      </c>
      <c r="AF62" s="654">
        <f t="shared" si="40"/>
        <v>2.472743621445431E-3</v>
      </c>
      <c r="AG62" s="655">
        <f t="shared" si="41"/>
        <v>1.0565359109812296E-2</v>
      </c>
      <c r="AH62" s="653">
        <f t="shared" si="42"/>
        <v>0.17174328425311902</v>
      </c>
      <c r="AI62" s="654">
        <f t="shared" si="43"/>
        <v>0.55479375070248393</v>
      </c>
      <c r="AJ62" s="655">
        <f t="shared" si="44"/>
        <v>0.27346296504439699</v>
      </c>
      <c r="AK62" s="645">
        <v>175</v>
      </c>
      <c r="AL62" s="646">
        <v>61</v>
      </c>
      <c r="AM62" s="646">
        <v>100</v>
      </c>
      <c r="AN62" s="647">
        <v>14</v>
      </c>
      <c r="AO62" s="273">
        <f t="shared" si="45"/>
        <v>1.9669551534225019E-2</v>
      </c>
    </row>
    <row r="63" spans="1:41">
      <c r="A63" s="271" t="s">
        <v>148</v>
      </c>
      <c r="B63" s="271" t="s">
        <v>149</v>
      </c>
      <c r="C63" s="271" t="s">
        <v>265</v>
      </c>
      <c r="D63" s="271">
        <v>2</v>
      </c>
      <c r="E63" s="645">
        <v>31426</v>
      </c>
      <c r="F63" s="646">
        <v>19669</v>
      </c>
      <c r="G63" s="646">
        <v>11302</v>
      </c>
      <c r="H63" s="646">
        <v>358</v>
      </c>
      <c r="I63" s="646">
        <v>97</v>
      </c>
      <c r="J63" s="647">
        <f t="shared" si="46"/>
        <v>455</v>
      </c>
      <c r="K63" s="272">
        <v>6084</v>
      </c>
      <c r="L63" s="646">
        <v>3390</v>
      </c>
      <c r="M63" s="646">
        <v>2568</v>
      </c>
      <c r="N63" s="646">
        <v>104</v>
      </c>
      <c r="O63" s="646">
        <v>22</v>
      </c>
      <c r="P63" s="646">
        <f t="shared" si="47"/>
        <v>126</v>
      </c>
      <c r="Q63" s="645">
        <v>18090</v>
      </c>
      <c r="R63" s="646">
        <v>11160</v>
      </c>
      <c r="S63" s="646">
        <v>6665</v>
      </c>
      <c r="T63" s="646">
        <v>211</v>
      </c>
      <c r="U63" s="646">
        <v>54</v>
      </c>
      <c r="V63" s="647">
        <f t="shared" si="48"/>
        <v>265</v>
      </c>
      <c r="W63" s="645">
        <v>7252</v>
      </c>
      <c r="X63" s="646">
        <v>5119</v>
      </c>
      <c r="Y63" s="646">
        <v>2069</v>
      </c>
      <c r="Z63" s="646">
        <v>43</v>
      </c>
      <c r="AA63" s="646">
        <v>21</v>
      </c>
      <c r="AB63" s="647">
        <f t="shared" si="49"/>
        <v>64</v>
      </c>
      <c r="AC63" s="653">
        <f t="shared" si="50"/>
        <v>0.62588302679310126</v>
      </c>
      <c r="AD63" s="654">
        <f t="shared" si="51"/>
        <v>0.35963851587857187</v>
      </c>
      <c r="AE63" s="654">
        <f t="shared" si="39"/>
        <v>1.1391841150639598E-2</v>
      </c>
      <c r="AF63" s="654">
        <f t="shared" si="40"/>
        <v>3.0866161776872654E-3</v>
      </c>
      <c r="AG63" s="655">
        <f t="shared" si="41"/>
        <v>1.4478457328326862E-2</v>
      </c>
      <c r="AH63" s="653">
        <f t="shared" si="42"/>
        <v>0.19359765799019921</v>
      </c>
      <c r="AI63" s="654">
        <f t="shared" si="43"/>
        <v>0.57563800674600651</v>
      </c>
      <c r="AJ63" s="655">
        <f t="shared" si="44"/>
        <v>0.23076433526379431</v>
      </c>
      <c r="AK63" s="645">
        <v>806</v>
      </c>
      <c r="AL63" s="646">
        <v>253</v>
      </c>
      <c r="AM63" s="646">
        <v>483</v>
      </c>
      <c r="AN63" s="647">
        <v>70</v>
      </c>
      <c r="AO63" s="273">
        <f t="shared" si="45"/>
        <v>2.5647552981607587E-2</v>
      </c>
    </row>
    <row r="64" spans="1:41">
      <c r="A64" s="271" t="s">
        <v>150</v>
      </c>
      <c r="B64" s="271" t="s">
        <v>151</v>
      </c>
      <c r="C64" s="271" t="s">
        <v>266</v>
      </c>
      <c r="D64" s="271">
        <v>1</v>
      </c>
      <c r="E64" s="645">
        <v>10762</v>
      </c>
      <c r="F64" s="646">
        <v>8638</v>
      </c>
      <c r="G64" s="646">
        <v>2016</v>
      </c>
      <c r="H64" s="646">
        <v>65</v>
      </c>
      <c r="I64" s="646">
        <v>43</v>
      </c>
      <c r="J64" s="647">
        <f t="shared" si="46"/>
        <v>108</v>
      </c>
      <c r="K64" s="272">
        <v>1680</v>
      </c>
      <c r="L64" s="646">
        <v>1310</v>
      </c>
      <c r="M64" s="646">
        <v>347</v>
      </c>
      <c r="N64" s="646">
        <v>13</v>
      </c>
      <c r="O64" s="646">
        <v>10</v>
      </c>
      <c r="P64" s="646">
        <f t="shared" si="47"/>
        <v>23</v>
      </c>
      <c r="Q64" s="645">
        <v>6022</v>
      </c>
      <c r="R64" s="646">
        <v>4741</v>
      </c>
      <c r="S64" s="646">
        <v>1211</v>
      </c>
      <c r="T64" s="646">
        <v>39</v>
      </c>
      <c r="U64" s="646">
        <v>31</v>
      </c>
      <c r="V64" s="647">
        <f t="shared" si="48"/>
        <v>70</v>
      </c>
      <c r="W64" s="645">
        <v>3060</v>
      </c>
      <c r="X64" s="646">
        <v>2587</v>
      </c>
      <c r="Y64" s="646">
        <v>458</v>
      </c>
      <c r="Z64" s="646">
        <v>13</v>
      </c>
      <c r="AA64" s="646">
        <v>2</v>
      </c>
      <c r="AB64" s="647">
        <f t="shared" si="49"/>
        <v>15</v>
      </c>
      <c r="AC64" s="653">
        <f t="shared" si="50"/>
        <v>0.80263891469986992</v>
      </c>
      <c r="AD64" s="654">
        <f t="shared" si="51"/>
        <v>0.18732577587808957</v>
      </c>
      <c r="AE64" s="654">
        <f t="shared" si="39"/>
        <v>6.0397695595614202E-3</v>
      </c>
      <c r="AF64" s="654">
        <f t="shared" si="40"/>
        <v>3.9955398624790927E-3</v>
      </c>
      <c r="AG64" s="655">
        <f t="shared" si="41"/>
        <v>1.0035309422040513E-2</v>
      </c>
      <c r="AH64" s="653">
        <f t="shared" si="42"/>
        <v>0.1561048132317413</v>
      </c>
      <c r="AI64" s="654">
        <f t="shared" si="43"/>
        <v>0.55956141981044416</v>
      </c>
      <c r="AJ64" s="655">
        <f t="shared" si="44"/>
        <v>0.28433376695781454</v>
      </c>
      <c r="AK64" s="645">
        <v>219</v>
      </c>
      <c r="AL64" s="646">
        <v>58</v>
      </c>
      <c r="AM64" s="646">
        <v>145</v>
      </c>
      <c r="AN64" s="647">
        <v>16</v>
      </c>
      <c r="AO64" s="273">
        <f t="shared" si="45"/>
        <v>2.0349377439137707E-2</v>
      </c>
    </row>
    <row r="65" spans="1:41">
      <c r="A65" s="271" t="s">
        <v>152</v>
      </c>
      <c r="B65" s="271" t="s">
        <v>153</v>
      </c>
      <c r="C65" s="271" t="s">
        <v>268</v>
      </c>
      <c r="D65" s="271">
        <v>2</v>
      </c>
      <c r="E65" s="645">
        <v>96207</v>
      </c>
      <c r="F65" s="646">
        <v>85680</v>
      </c>
      <c r="G65" s="646">
        <v>4343</v>
      </c>
      <c r="H65" s="646">
        <v>5867</v>
      </c>
      <c r="I65" s="646">
        <v>317</v>
      </c>
      <c r="J65" s="647">
        <f t="shared" si="46"/>
        <v>6184</v>
      </c>
      <c r="K65" s="272">
        <v>15204</v>
      </c>
      <c r="L65" s="646">
        <v>13526</v>
      </c>
      <c r="M65" s="646">
        <v>831</v>
      </c>
      <c r="N65" s="646">
        <v>791</v>
      </c>
      <c r="O65" s="646">
        <v>56</v>
      </c>
      <c r="P65" s="646">
        <f t="shared" si="47"/>
        <v>847</v>
      </c>
      <c r="Q65" s="645">
        <v>70655</v>
      </c>
      <c r="R65" s="646">
        <v>62246</v>
      </c>
      <c r="S65" s="646">
        <v>3233</v>
      </c>
      <c r="T65" s="646">
        <v>4933</v>
      </c>
      <c r="U65" s="646">
        <v>243</v>
      </c>
      <c r="V65" s="647">
        <f t="shared" si="48"/>
        <v>5176</v>
      </c>
      <c r="W65" s="645">
        <v>10348</v>
      </c>
      <c r="X65" s="646">
        <v>9908</v>
      </c>
      <c r="Y65" s="646">
        <v>279</v>
      </c>
      <c r="Z65" s="646">
        <v>143</v>
      </c>
      <c r="AA65" s="646">
        <v>18</v>
      </c>
      <c r="AB65" s="647">
        <f t="shared" si="49"/>
        <v>161</v>
      </c>
      <c r="AC65" s="653">
        <f t="shared" si="50"/>
        <v>0.89057968754872308</v>
      </c>
      <c r="AD65" s="654">
        <f t="shared" si="51"/>
        <v>4.5142245366761258E-2</v>
      </c>
      <c r="AE65" s="654">
        <f t="shared" si="39"/>
        <v>6.0983088548650304E-2</v>
      </c>
      <c r="AF65" s="654">
        <f t="shared" si="40"/>
        <v>3.2949785358653738E-3</v>
      </c>
      <c r="AG65" s="655">
        <f t="shared" si="41"/>
        <v>6.427806708451568E-2</v>
      </c>
      <c r="AH65" s="653">
        <f t="shared" si="42"/>
        <v>0.15803423867286165</v>
      </c>
      <c r="AI65" s="654">
        <f t="shared" si="43"/>
        <v>0.73440602035194946</v>
      </c>
      <c r="AJ65" s="655">
        <f t="shared" si="44"/>
        <v>0.10755974097518892</v>
      </c>
      <c r="AK65" s="645">
        <v>2758</v>
      </c>
      <c r="AL65" s="646">
        <v>570</v>
      </c>
      <c r="AM65" s="646">
        <v>2116</v>
      </c>
      <c r="AN65" s="647">
        <v>72</v>
      </c>
      <c r="AO65" s="273">
        <f t="shared" si="45"/>
        <v>2.8667352687434387E-2</v>
      </c>
    </row>
    <row r="66" spans="1:41">
      <c r="A66" s="271" t="s">
        <v>154</v>
      </c>
      <c r="B66" s="271" t="s">
        <v>155</v>
      </c>
      <c r="C66" s="271" t="s">
        <v>265</v>
      </c>
      <c r="D66" s="271">
        <v>1</v>
      </c>
      <c r="E66" s="645">
        <v>14789</v>
      </c>
      <c r="F66" s="646">
        <v>12647</v>
      </c>
      <c r="G66" s="646">
        <v>1970</v>
      </c>
      <c r="H66" s="646">
        <v>107</v>
      </c>
      <c r="I66" s="646">
        <v>65</v>
      </c>
      <c r="J66" s="647">
        <f t="shared" si="46"/>
        <v>172</v>
      </c>
      <c r="K66" s="272">
        <v>2781</v>
      </c>
      <c r="L66" s="646">
        <v>2324</v>
      </c>
      <c r="M66" s="646">
        <v>414</v>
      </c>
      <c r="N66" s="646">
        <v>27</v>
      </c>
      <c r="O66" s="646">
        <v>16</v>
      </c>
      <c r="P66" s="646">
        <f t="shared" si="47"/>
        <v>43</v>
      </c>
      <c r="Q66" s="645">
        <v>8658</v>
      </c>
      <c r="R66" s="646">
        <v>7400</v>
      </c>
      <c r="S66" s="646">
        <v>1140</v>
      </c>
      <c r="T66" s="646">
        <v>72</v>
      </c>
      <c r="U66" s="646">
        <v>46</v>
      </c>
      <c r="V66" s="647">
        <f t="shared" si="48"/>
        <v>118</v>
      </c>
      <c r="W66" s="645">
        <v>3350</v>
      </c>
      <c r="X66" s="646">
        <v>2923</v>
      </c>
      <c r="Y66" s="646">
        <v>416</v>
      </c>
      <c r="Z66" s="646">
        <v>8</v>
      </c>
      <c r="AA66" s="646">
        <v>3</v>
      </c>
      <c r="AB66" s="647">
        <f t="shared" si="49"/>
        <v>11</v>
      </c>
      <c r="AC66" s="653">
        <f t="shared" si="50"/>
        <v>0.85516262086686046</v>
      </c>
      <c r="AD66" s="654">
        <f t="shared" si="51"/>
        <v>0.13320711339509095</v>
      </c>
      <c r="AE66" s="654">
        <f t="shared" si="39"/>
        <v>7.2351071742511328E-3</v>
      </c>
      <c r="AF66" s="654">
        <f t="shared" si="40"/>
        <v>4.3951585637974173E-3</v>
      </c>
      <c r="AG66" s="655">
        <f t="shared" si="41"/>
        <v>1.163026573804855E-2</v>
      </c>
      <c r="AH66" s="653">
        <f t="shared" si="42"/>
        <v>0.18804516870647103</v>
      </c>
      <c r="AI66" s="654">
        <f t="shared" si="43"/>
        <v>0.58543512069781589</v>
      </c>
      <c r="AJ66" s="655">
        <f t="shared" si="44"/>
        <v>0.22651971059571302</v>
      </c>
      <c r="AK66" s="645">
        <v>511</v>
      </c>
      <c r="AL66" s="646">
        <v>199</v>
      </c>
      <c r="AM66" s="646">
        <v>282</v>
      </c>
      <c r="AN66" s="647">
        <v>30</v>
      </c>
      <c r="AO66" s="273">
        <f t="shared" si="45"/>
        <v>3.4552708093853537E-2</v>
      </c>
    </row>
    <row r="67" spans="1:41">
      <c r="A67" s="271" t="s">
        <v>156</v>
      </c>
      <c r="B67" s="271" t="s">
        <v>157</v>
      </c>
      <c r="C67" s="271" t="s">
        <v>266</v>
      </c>
      <c r="D67" s="271">
        <v>1</v>
      </c>
      <c r="E67" s="645">
        <v>19507</v>
      </c>
      <c r="F67" s="646">
        <v>16255</v>
      </c>
      <c r="G67" s="646">
        <v>2792</v>
      </c>
      <c r="H67" s="646">
        <v>256</v>
      </c>
      <c r="I67" s="646">
        <v>204</v>
      </c>
      <c r="J67" s="647">
        <f t="shared" si="46"/>
        <v>460</v>
      </c>
      <c r="K67" s="272">
        <v>4170</v>
      </c>
      <c r="L67" s="646">
        <v>3505</v>
      </c>
      <c r="M67" s="646">
        <v>548</v>
      </c>
      <c r="N67" s="646">
        <v>78</v>
      </c>
      <c r="O67" s="646">
        <v>39</v>
      </c>
      <c r="P67" s="646">
        <f t="shared" si="47"/>
        <v>117</v>
      </c>
      <c r="Q67" s="645">
        <v>12523</v>
      </c>
      <c r="R67" s="646">
        <v>10414</v>
      </c>
      <c r="S67" s="646">
        <v>1816</v>
      </c>
      <c r="T67" s="646">
        <v>155</v>
      </c>
      <c r="U67" s="646">
        <v>138</v>
      </c>
      <c r="V67" s="647">
        <f t="shared" si="48"/>
        <v>293</v>
      </c>
      <c r="W67" s="645">
        <v>2814</v>
      </c>
      <c r="X67" s="646">
        <v>2336</v>
      </c>
      <c r="Y67" s="646">
        <v>428</v>
      </c>
      <c r="Z67" s="646">
        <v>23</v>
      </c>
      <c r="AA67" s="646">
        <v>27</v>
      </c>
      <c r="AB67" s="647">
        <f t="shared" si="49"/>
        <v>50</v>
      </c>
      <c r="AC67" s="653">
        <f t="shared" si="50"/>
        <v>0.83329061362587786</v>
      </c>
      <c r="AD67" s="654">
        <f t="shared" si="51"/>
        <v>0.14312810785871738</v>
      </c>
      <c r="AE67" s="654">
        <f t="shared" si="39"/>
        <v>1.3123494130312196E-2</v>
      </c>
      <c r="AF67" s="654">
        <f t="shared" si="40"/>
        <v>1.045778438509253E-2</v>
      </c>
      <c r="AG67" s="655">
        <f t="shared" si="41"/>
        <v>2.3581278515404726E-2</v>
      </c>
      <c r="AH67" s="653">
        <f t="shared" si="42"/>
        <v>0.21376941610703851</v>
      </c>
      <c r="AI67" s="654">
        <f t="shared" si="43"/>
        <v>0.6419746757574204</v>
      </c>
      <c r="AJ67" s="655">
        <f t="shared" si="44"/>
        <v>0.14425590813554109</v>
      </c>
      <c r="AK67" s="645">
        <v>464</v>
      </c>
      <c r="AL67" s="646">
        <v>143</v>
      </c>
      <c r="AM67" s="646">
        <v>298</v>
      </c>
      <c r="AN67" s="647">
        <v>23</v>
      </c>
      <c r="AO67" s="273">
        <f t="shared" si="45"/>
        <v>2.3786333111190855E-2</v>
      </c>
    </row>
    <row r="68" spans="1:41">
      <c r="A68" s="271" t="s">
        <v>162</v>
      </c>
      <c r="B68" s="271" t="s">
        <v>163</v>
      </c>
      <c r="C68" s="271" t="s">
        <v>264</v>
      </c>
      <c r="D68" s="271">
        <v>2</v>
      </c>
      <c r="E68" s="645">
        <v>12125</v>
      </c>
      <c r="F68" s="646">
        <v>7511</v>
      </c>
      <c r="G68" s="646">
        <v>4450</v>
      </c>
      <c r="H68" s="646">
        <v>132</v>
      </c>
      <c r="I68" s="646">
        <v>32</v>
      </c>
      <c r="J68" s="647">
        <f t="shared" si="46"/>
        <v>164</v>
      </c>
      <c r="K68" s="272">
        <v>2372</v>
      </c>
      <c r="L68" s="646">
        <v>1335</v>
      </c>
      <c r="M68" s="646">
        <v>1001</v>
      </c>
      <c r="N68" s="646">
        <v>30</v>
      </c>
      <c r="O68" s="646">
        <v>6</v>
      </c>
      <c r="P68" s="646">
        <f t="shared" si="47"/>
        <v>36</v>
      </c>
      <c r="Q68" s="645">
        <v>6853</v>
      </c>
      <c r="R68" s="646">
        <v>4201</v>
      </c>
      <c r="S68" s="646">
        <v>2550</v>
      </c>
      <c r="T68" s="646">
        <v>83</v>
      </c>
      <c r="U68" s="646">
        <v>19</v>
      </c>
      <c r="V68" s="647">
        <f t="shared" si="48"/>
        <v>102</v>
      </c>
      <c r="W68" s="645">
        <v>2900</v>
      </c>
      <c r="X68" s="646">
        <v>1975</v>
      </c>
      <c r="Y68" s="646">
        <v>899</v>
      </c>
      <c r="Z68" s="646">
        <v>19</v>
      </c>
      <c r="AA68" s="646">
        <v>7</v>
      </c>
      <c r="AB68" s="647">
        <f t="shared" si="49"/>
        <v>26</v>
      </c>
      <c r="AC68" s="653">
        <f t="shared" si="50"/>
        <v>0.61946391752577323</v>
      </c>
      <c r="AD68" s="654">
        <f t="shared" si="51"/>
        <v>0.36701030927835049</v>
      </c>
      <c r="AE68" s="654">
        <f t="shared" si="39"/>
        <v>1.0886597938144329E-2</v>
      </c>
      <c r="AF68" s="654">
        <f t="shared" si="40"/>
        <v>2.6391752577319587E-3</v>
      </c>
      <c r="AG68" s="655">
        <f t="shared" si="41"/>
        <v>1.3525773195876289E-2</v>
      </c>
      <c r="AH68" s="653">
        <f t="shared" si="42"/>
        <v>0.19562886597938145</v>
      </c>
      <c r="AI68" s="654">
        <f t="shared" si="43"/>
        <v>0.56519587628865975</v>
      </c>
      <c r="AJ68" s="655">
        <f t="shared" si="44"/>
        <v>0.23917525773195877</v>
      </c>
      <c r="AK68" s="645">
        <v>990</v>
      </c>
      <c r="AL68" s="646">
        <v>383</v>
      </c>
      <c r="AM68" s="646">
        <v>569</v>
      </c>
      <c r="AN68" s="647">
        <v>38</v>
      </c>
      <c r="AO68" s="273">
        <f t="shared" si="45"/>
        <v>8.1649484536082478E-2</v>
      </c>
    </row>
    <row r="69" spans="1:41">
      <c r="A69" s="271" t="s">
        <v>164</v>
      </c>
      <c r="B69" s="271" t="s">
        <v>165</v>
      </c>
      <c r="C69" s="271" t="s">
        <v>266</v>
      </c>
      <c r="D69" s="271">
        <v>1</v>
      </c>
      <c r="E69" s="645">
        <v>12200</v>
      </c>
      <c r="F69" s="646">
        <v>8989</v>
      </c>
      <c r="G69" s="646">
        <v>3116</v>
      </c>
      <c r="H69" s="646">
        <v>69</v>
      </c>
      <c r="I69" s="646">
        <v>26</v>
      </c>
      <c r="J69" s="647">
        <f t="shared" si="46"/>
        <v>95</v>
      </c>
      <c r="K69" s="272">
        <v>1907</v>
      </c>
      <c r="L69" s="646">
        <v>1164</v>
      </c>
      <c r="M69" s="646">
        <v>726</v>
      </c>
      <c r="N69" s="646">
        <v>12</v>
      </c>
      <c r="O69" s="646">
        <v>5</v>
      </c>
      <c r="P69" s="646">
        <f t="shared" si="47"/>
        <v>17</v>
      </c>
      <c r="Q69" s="645">
        <v>6212</v>
      </c>
      <c r="R69" s="646">
        <v>4380</v>
      </c>
      <c r="S69" s="646">
        <v>1767</v>
      </c>
      <c r="T69" s="646">
        <v>50</v>
      </c>
      <c r="U69" s="646">
        <v>15</v>
      </c>
      <c r="V69" s="647">
        <f t="shared" si="48"/>
        <v>65</v>
      </c>
      <c r="W69" s="645">
        <v>4081</v>
      </c>
      <c r="X69" s="646">
        <v>3445</v>
      </c>
      <c r="Y69" s="646">
        <v>623</v>
      </c>
      <c r="Z69" s="646">
        <v>7</v>
      </c>
      <c r="AA69" s="646">
        <v>6</v>
      </c>
      <c r="AB69" s="647">
        <f t="shared" si="49"/>
        <v>13</v>
      </c>
      <c r="AC69" s="653">
        <f t="shared" si="50"/>
        <v>0.73680327868852458</v>
      </c>
      <c r="AD69" s="654">
        <f t="shared" si="51"/>
        <v>0.25540983606557377</v>
      </c>
      <c r="AE69" s="654">
        <f t="shared" ref="AE69:AE100" si="52">H69/E69</f>
        <v>5.6557377049180329E-3</v>
      </c>
      <c r="AF69" s="654">
        <f t="shared" ref="AF69:AF100" si="53">I69/E69</f>
        <v>2.1311475409836068E-3</v>
      </c>
      <c r="AG69" s="655">
        <f t="shared" ref="AG69:AG100" si="54">J69/E69</f>
        <v>7.7868852459016397E-3</v>
      </c>
      <c r="AH69" s="653">
        <f t="shared" ref="AH69:AH100" si="55">K69/E69</f>
        <v>0.15631147540983606</v>
      </c>
      <c r="AI69" s="654">
        <f t="shared" ref="AI69:AI100" si="56">Q69/E69</f>
        <v>0.50918032786885248</v>
      </c>
      <c r="AJ69" s="655">
        <f t="shared" ref="AJ69:AJ100" si="57">W69/E69</f>
        <v>0.33450819672131149</v>
      </c>
      <c r="AK69" s="645">
        <v>414</v>
      </c>
      <c r="AL69" s="646">
        <v>105</v>
      </c>
      <c r="AM69" s="646">
        <v>284</v>
      </c>
      <c r="AN69" s="647">
        <v>25</v>
      </c>
      <c r="AO69" s="273">
        <f t="shared" ref="AO69:AO100" si="58">AK69/E69</f>
        <v>3.3934426229508194E-2</v>
      </c>
    </row>
    <row r="70" spans="1:41">
      <c r="A70" s="271" t="s">
        <v>168</v>
      </c>
      <c r="B70" s="271" t="s">
        <v>169</v>
      </c>
      <c r="C70" s="271" t="s">
        <v>266</v>
      </c>
      <c r="D70" s="271">
        <v>1</v>
      </c>
      <c r="E70" s="645">
        <v>15773</v>
      </c>
      <c r="F70" s="646">
        <v>9251</v>
      </c>
      <c r="G70" s="646">
        <v>6336</v>
      </c>
      <c r="H70" s="646">
        <v>84</v>
      </c>
      <c r="I70" s="646">
        <v>102</v>
      </c>
      <c r="J70" s="647">
        <f t="shared" ref="J70:J101" si="59">H70+I70</f>
        <v>186</v>
      </c>
      <c r="K70" s="272">
        <v>3113</v>
      </c>
      <c r="L70" s="646">
        <v>1808</v>
      </c>
      <c r="M70" s="646">
        <v>1258</v>
      </c>
      <c r="N70" s="646">
        <v>19</v>
      </c>
      <c r="O70" s="646">
        <v>28</v>
      </c>
      <c r="P70" s="646">
        <f t="shared" ref="P70:P101" si="60">N70+O70</f>
        <v>47</v>
      </c>
      <c r="Q70" s="645">
        <v>9806</v>
      </c>
      <c r="R70" s="646">
        <v>5593</v>
      </c>
      <c r="S70" s="646">
        <v>4087</v>
      </c>
      <c r="T70" s="646">
        <v>58</v>
      </c>
      <c r="U70" s="646">
        <v>68</v>
      </c>
      <c r="V70" s="647">
        <f t="shared" ref="V70:V101" si="61">T70+U70</f>
        <v>126</v>
      </c>
      <c r="W70" s="645">
        <v>2854</v>
      </c>
      <c r="X70" s="646">
        <v>1850</v>
      </c>
      <c r="Y70" s="646">
        <v>991</v>
      </c>
      <c r="Z70" s="646">
        <v>7</v>
      </c>
      <c r="AA70" s="646">
        <v>6</v>
      </c>
      <c r="AB70" s="647">
        <f t="shared" ref="AB70:AB101" si="62">Z70+AA70</f>
        <v>13</v>
      </c>
      <c r="AC70" s="653">
        <f t="shared" ref="AC70:AC101" si="63">F70/E70</f>
        <v>0.58650859062955685</v>
      </c>
      <c r="AD70" s="654">
        <f t="shared" ref="AD70:AD101" si="64">G70/E70</f>
        <v>0.40169910606733022</v>
      </c>
      <c r="AE70" s="654">
        <f t="shared" si="52"/>
        <v>5.3255563304380905E-3</v>
      </c>
      <c r="AF70" s="654">
        <f t="shared" si="53"/>
        <v>6.4667469726748241E-3</v>
      </c>
      <c r="AG70" s="655">
        <f t="shared" si="54"/>
        <v>1.1792303303112914E-2</v>
      </c>
      <c r="AH70" s="653">
        <f t="shared" si="55"/>
        <v>0.19736258162683065</v>
      </c>
      <c r="AI70" s="654">
        <f t="shared" si="56"/>
        <v>0.62169530209852275</v>
      </c>
      <c r="AJ70" s="655">
        <f t="shared" si="57"/>
        <v>0.18094211627464654</v>
      </c>
      <c r="AK70" s="645">
        <v>643</v>
      </c>
      <c r="AL70" s="646">
        <v>199</v>
      </c>
      <c r="AM70" s="646">
        <v>420</v>
      </c>
      <c r="AN70" s="647">
        <v>24</v>
      </c>
      <c r="AO70" s="273">
        <f t="shared" si="58"/>
        <v>4.0765865719901095E-2</v>
      </c>
    </row>
    <row r="71" spans="1:41">
      <c r="A71" s="271" t="s">
        <v>170</v>
      </c>
      <c r="B71" s="271" t="s">
        <v>171</v>
      </c>
      <c r="C71" s="271" t="s">
        <v>267</v>
      </c>
      <c r="D71" s="271">
        <v>2</v>
      </c>
      <c r="E71" s="645">
        <v>34689</v>
      </c>
      <c r="F71" s="646">
        <v>29244</v>
      </c>
      <c r="G71" s="646">
        <v>4841</v>
      </c>
      <c r="H71" s="646">
        <v>458</v>
      </c>
      <c r="I71" s="646">
        <v>146</v>
      </c>
      <c r="J71" s="647">
        <f t="shared" si="59"/>
        <v>604</v>
      </c>
      <c r="K71" s="272">
        <v>7698</v>
      </c>
      <c r="L71" s="646">
        <v>6316</v>
      </c>
      <c r="M71" s="646">
        <v>1250</v>
      </c>
      <c r="N71" s="646">
        <v>108</v>
      </c>
      <c r="O71" s="646">
        <v>24</v>
      </c>
      <c r="P71" s="646">
        <f t="shared" si="60"/>
        <v>132</v>
      </c>
      <c r="Q71" s="645">
        <v>20262</v>
      </c>
      <c r="R71" s="646">
        <v>16901</v>
      </c>
      <c r="S71" s="646">
        <v>2953</v>
      </c>
      <c r="T71" s="646">
        <v>298</v>
      </c>
      <c r="U71" s="646">
        <v>110</v>
      </c>
      <c r="V71" s="647">
        <f t="shared" si="61"/>
        <v>408</v>
      </c>
      <c r="W71" s="645">
        <v>6729</v>
      </c>
      <c r="X71" s="646">
        <v>6027</v>
      </c>
      <c r="Y71" s="646">
        <v>638</v>
      </c>
      <c r="Z71" s="646">
        <v>52</v>
      </c>
      <c r="AA71" s="646">
        <v>12</v>
      </c>
      <c r="AB71" s="647">
        <f t="shared" si="62"/>
        <v>64</v>
      </c>
      <c r="AC71" s="653">
        <f t="shared" si="63"/>
        <v>0.84303381475395656</v>
      </c>
      <c r="AD71" s="654">
        <f t="shared" si="64"/>
        <v>0.13955432557871372</v>
      </c>
      <c r="AE71" s="654">
        <f t="shared" si="52"/>
        <v>1.3203032661650667E-2</v>
      </c>
      <c r="AF71" s="654">
        <f t="shared" si="53"/>
        <v>4.2088270056790337E-3</v>
      </c>
      <c r="AG71" s="655">
        <f t="shared" si="54"/>
        <v>1.74118596673297E-2</v>
      </c>
      <c r="AH71" s="653">
        <f t="shared" si="55"/>
        <v>0.22191472801176165</v>
      </c>
      <c r="AI71" s="654">
        <f t="shared" si="56"/>
        <v>0.58410447115800401</v>
      </c>
      <c r="AJ71" s="655">
        <f t="shared" si="57"/>
        <v>0.19398080083023436</v>
      </c>
      <c r="AK71" s="645">
        <v>1410</v>
      </c>
      <c r="AL71" s="646">
        <v>468</v>
      </c>
      <c r="AM71" s="646">
        <v>854</v>
      </c>
      <c r="AN71" s="647">
        <v>88</v>
      </c>
      <c r="AO71" s="273">
        <f t="shared" si="58"/>
        <v>4.064689094525642E-2</v>
      </c>
    </row>
    <row r="72" spans="1:41">
      <c r="A72" s="271" t="s">
        <v>172</v>
      </c>
      <c r="B72" s="271" t="s">
        <v>173</v>
      </c>
      <c r="C72" s="271" t="s">
        <v>267</v>
      </c>
      <c r="D72" s="271">
        <v>2</v>
      </c>
      <c r="E72" s="645">
        <v>23821</v>
      </c>
      <c r="F72" s="646">
        <v>23041</v>
      </c>
      <c r="G72" s="646">
        <v>604</v>
      </c>
      <c r="H72" s="646">
        <v>124</v>
      </c>
      <c r="I72" s="646">
        <v>52</v>
      </c>
      <c r="J72" s="647">
        <f t="shared" si="59"/>
        <v>176</v>
      </c>
      <c r="K72" s="272">
        <v>4844</v>
      </c>
      <c r="L72" s="646">
        <v>4640</v>
      </c>
      <c r="M72" s="646">
        <v>171</v>
      </c>
      <c r="N72" s="646">
        <v>23</v>
      </c>
      <c r="O72" s="646">
        <v>10</v>
      </c>
      <c r="P72" s="646">
        <f t="shared" si="60"/>
        <v>33</v>
      </c>
      <c r="Q72" s="645">
        <v>14362</v>
      </c>
      <c r="R72" s="646">
        <v>13917</v>
      </c>
      <c r="S72" s="646">
        <v>320</v>
      </c>
      <c r="T72" s="646">
        <v>91</v>
      </c>
      <c r="U72" s="646">
        <v>34</v>
      </c>
      <c r="V72" s="647">
        <f t="shared" si="61"/>
        <v>125</v>
      </c>
      <c r="W72" s="645">
        <v>4615</v>
      </c>
      <c r="X72" s="646">
        <v>4484</v>
      </c>
      <c r="Y72" s="646">
        <v>113</v>
      </c>
      <c r="Z72" s="646">
        <v>10</v>
      </c>
      <c r="AA72" s="646">
        <v>8</v>
      </c>
      <c r="AB72" s="647">
        <f t="shared" si="62"/>
        <v>18</v>
      </c>
      <c r="AC72" s="653">
        <f t="shared" si="63"/>
        <v>0.96725578271273249</v>
      </c>
      <c r="AD72" s="654">
        <f t="shared" si="64"/>
        <v>2.5355778514755886E-2</v>
      </c>
      <c r="AE72" s="654">
        <f t="shared" si="52"/>
        <v>5.2054909533604801E-3</v>
      </c>
      <c r="AF72" s="654">
        <f t="shared" si="53"/>
        <v>2.182947819151169E-3</v>
      </c>
      <c r="AG72" s="655">
        <f t="shared" si="54"/>
        <v>7.388438772511649E-3</v>
      </c>
      <c r="AH72" s="653">
        <f t="shared" si="55"/>
        <v>0.20334998530708198</v>
      </c>
      <c r="AI72" s="654">
        <f t="shared" si="56"/>
        <v>0.60291339574325176</v>
      </c>
      <c r="AJ72" s="655">
        <f t="shared" si="57"/>
        <v>0.19373661894966626</v>
      </c>
      <c r="AK72" s="645">
        <v>425</v>
      </c>
      <c r="AL72" s="646">
        <v>144</v>
      </c>
      <c r="AM72" s="646">
        <v>250</v>
      </c>
      <c r="AN72" s="647">
        <v>31</v>
      </c>
      <c r="AO72" s="273">
        <f t="shared" si="58"/>
        <v>1.7841400444985517E-2</v>
      </c>
    </row>
    <row r="73" spans="1:41">
      <c r="A73" s="271" t="s">
        <v>174</v>
      </c>
      <c r="B73" s="271" t="s">
        <v>175</v>
      </c>
      <c r="C73" s="271" t="s">
        <v>268</v>
      </c>
      <c r="D73" s="271">
        <v>2</v>
      </c>
      <c r="E73" s="645">
        <v>18368</v>
      </c>
      <c r="F73" s="646">
        <v>17054</v>
      </c>
      <c r="G73" s="646">
        <v>1163</v>
      </c>
      <c r="H73" s="646">
        <v>70</v>
      </c>
      <c r="I73" s="646">
        <v>81</v>
      </c>
      <c r="J73" s="647">
        <f t="shared" si="59"/>
        <v>151</v>
      </c>
      <c r="K73" s="272">
        <v>3366</v>
      </c>
      <c r="L73" s="646">
        <v>3064</v>
      </c>
      <c r="M73" s="646">
        <v>265</v>
      </c>
      <c r="N73" s="646">
        <v>20</v>
      </c>
      <c r="O73" s="646">
        <v>17</v>
      </c>
      <c r="P73" s="646">
        <f t="shared" si="60"/>
        <v>37</v>
      </c>
      <c r="Q73" s="645">
        <v>10662</v>
      </c>
      <c r="R73" s="646">
        <v>9868</v>
      </c>
      <c r="S73" s="646">
        <v>704</v>
      </c>
      <c r="T73" s="646">
        <v>40</v>
      </c>
      <c r="U73" s="646">
        <v>50</v>
      </c>
      <c r="V73" s="647">
        <f t="shared" si="61"/>
        <v>90</v>
      </c>
      <c r="W73" s="645">
        <v>4340</v>
      </c>
      <c r="X73" s="646">
        <v>4122</v>
      </c>
      <c r="Y73" s="646">
        <v>194</v>
      </c>
      <c r="Z73" s="646">
        <v>10</v>
      </c>
      <c r="AA73" s="646">
        <v>14</v>
      </c>
      <c r="AB73" s="647">
        <f t="shared" si="62"/>
        <v>24</v>
      </c>
      <c r="AC73" s="653">
        <f t="shared" si="63"/>
        <v>0.92846254355400692</v>
      </c>
      <c r="AD73" s="654">
        <f t="shared" si="64"/>
        <v>6.3316637630662018E-2</v>
      </c>
      <c r="AE73" s="654">
        <f t="shared" si="52"/>
        <v>3.8109756097560975E-3</v>
      </c>
      <c r="AF73" s="654">
        <f t="shared" si="53"/>
        <v>4.4098432055749131E-3</v>
      </c>
      <c r="AG73" s="655">
        <f t="shared" si="54"/>
        <v>8.2208188153310106E-3</v>
      </c>
      <c r="AH73" s="653">
        <f t="shared" si="55"/>
        <v>0.18325348432055749</v>
      </c>
      <c r="AI73" s="654">
        <f t="shared" si="56"/>
        <v>0.58046602787456447</v>
      </c>
      <c r="AJ73" s="655">
        <f t="shared" si="57"/>
        <v>0.23628048780487804</v>
      </c>
      <c r="AK73" s="645">
        <v>500</v>
      </c>
      <c r="AL73" s="646">
        <v>182</v>
      </c>
      <c r="AM73" s="646">
        <v>288</v>
      </c>
      <c r="AN73" s="647">
        <v>30</v>
      </c>
      <c r="AO73" s="273">
        <f t="shared" si="58"/>
        <v>2.7221254355400695E-2</v>
      </c>
    </row>
    <row r="74" spans="1:41">
      <c r="A74" s="271" t="s">
        <v>178</v>
      </c>
      <c r="B74" s="271" t="s">
        <v>179</v>
      </c>
      <c r="C74" s="271" t="s">
        <v>265</v>
      </c>
      <c r="D74" s="271">
        <v>2</v>
      </c>
      <c r="E74" s="645">
        <v>62426</v>
      </c>
      <c r="F74" s="646">
        <v>48083</v>
      </c>
      <c r="G74" s="646">
        <v>13859</v>
      </c>
      <c r="H74" s="646">
        <v>310</v>
      </c>
      <c r="I74" s="646">
        <v>174</v>
      </c>
      <c r="J74" s="647">
        <f t="shared" si="59"/>
        <v>484</v>
      </c>
      <c r="K74" s="272">
        <v>12451</v>
      </c>
      <c r="L74" s="646">
        <v>9563</v>
      </c>
      <c r="M74" s="646">
        <v>2761</v>
      </c>
      <c r="N74" s="646">
        <v>82</v>
      </c>
      <c r="O74" s="646">
        <v>45</v>
      </c>
      <c r="P74" s="646">
        <f t="shared" si="60"/>
        <v>127</v>
      </c>
      <c r="Q74" s="645">
        <v>37818</v>
      </c>
      <c r="R74" s="646">
        <v>28895</v>
      </c>
      <c r="S74" s="646">
        <v>8613</v>
      </c>
      <c r="T74" s="646">
        <v>205</v>
      </c>
      <c r="U74" s="646">
        <v>105</v>
      </c>
      <c r="V74" s="647">
        <f t="shared" si="61"/>
        <v>310</v>
      </c>
      <c r="W74" s="645">
        <v>12157</v>
      </c>
      <c r="X74" s="646">
        <v>9625</v>
      </c>
      <c r="Y74" s="646">
        <v>2485</v>
      </c>
      <c r="Z74" s="646">
        <v>23</v>
      </c>
      <c r="AA74" s="646">
        <v>24</v>
      </c>
      <c r="AB74" s="647">
        <f t="shared" si="62"/>
        <v>47</v>
      </c>
      <c r="AC74" s="653">
        <f t="shared" si="63"/>
        <v>0.77023996411751516</v>
      </c>
      <c r="AD74" s="654">
        <f t="shared" si="64"/>
        <v>0.22200685611764329</v>
      </c>
      <c r="AE74" s="654">
        <f t="shared" si="52"/>
        <v>4.9658796014481147E-3</v>
      </c>
      <c r="AF74" s="654">
        <f t="shared" si="53"/>
        <v>2.787300163393458E-3</v>
      </c>
      <c r="AG74" s="655">
        <f t="shared" si="54"/>
        <v>7.7531797648415727E-3</v>
      </c>
      <c r="AH74" s="653">
        <f t="shared" si="55"/>
        <v>0.19945215134719507</v>
      </c>
      <c r="AI74" s="654">
        <f t="shared" si="56"/>
        <v>0.60580527344375745</v>
      </c>
      <c r="AJ74" s="655">
        <f t="shared" si="57"/>
        <v>0.1947425752090475</v>
      </c>
      <c r="AK74" s="645">
        <v>1505</v>
      </c>
      <c r="AL74" s="646">
        <v>539</v>
      </c>
      <c r="AM74" s="646">
        <v>888</v>
      </c>
      <c r="AN74" s="647">
        <v>78</v>
      </c>
      <c r="AO74" s="273">
        <f t="shared" si="58"/>
        <v>2.4108544516707783E-2</v>
      </c>
    </row>
    <row r="75" spans="1:41">
      <c r="A75" s="271" t="s">
        <v>182</v>
      </c>
      <c r="B75" s="271" t="s">
        <v>183</v>
      </c>
      <c r="C75" s="271" t="s">
        <v>266</v>
      </c>
      <c r="D75" s="271">
        <v>1</v>
      </c>
      <c r="E75" s="645">
        <v>28259</v>
      </c>
      <c r="F75" s="646">
        <v>24192</v>
      </c>
      <c r="G75" s="646">
        <v>3791</v>
      </c>
      <c r="H75" s="646">
        <v>185</v>
      </c>
      <c r="I75" s="646">
        <v>91</v>
      </c>
      <c r="J75" s="647">
        <f t="shared" si="59"/>
        <v>276</v>
      </c>
      <c r="K75" s="272">
        <v>5576</v>
      </c>
      <c r="L75" s="646">
        <v>4950</v>
      </c>
      <c r="M75" s="646">
        <v>564</v>
      </c>
      <c r="N75" s="646">
        <v>44</v>
      </c>
      <c r="O75" s="646">
        <v>18</v>
      </c>
      <c r="P75" s="646">
        <f t="shared" si="60"/>
        <v>62</v>
      </c>
      <c r="Q75" s="645">
        <v>18460</v>
      </c>
      <c r="R75" s="646">
        <v>15546</v>
      </c>
      <c r="S75" s="646">
        <v>2726</v>
      </c>
      <c r="T75" s="646">
        <v>124</v>
      </c>
      <c r="U75" s="646">
        <v>64</v>
      </c>
      <c r="V75" s="647">
        <f t="shared" si="61"/>
        <v>188</v>
      </c>
      <c r="W75" s="645">
        <v>4223</v>
      </c>
      <c r="X75" s="646">
        <v>3696</v>
      </c>
      <c r="Y75" s="646">
        <v>501</v>
      </c>
      <c r="Z75" s="646">
        <v>17</v>
      </c>
      <c r="AA75" s="646">
        <v>9</v>
      </c>
      <c r="AB75" s="647">
        <f t="shared" si="62"/>
        <v>26</v>
      </c>
      <c r="AC75" s="653">
        <f t="shared" si="63"/>
        <v>0.85608124845182065</v>
      </c>
      <c r="AD75" s="654">
        <f t="shared" si="64"/>
        <v>0.13415195159064369</v>
      </c>
      <c r="AE75" s="654">
        <f t="shared" si="52"/>
        <v>6.5465869280583178E-3</v>
      </c>
      <c r="AF75" s="654">
        <f t="shared" si="53"/>
        <v>3.2202130294773346E-3</v>
      </c>
      <c r="AG75" s="655">
        <f t="shared" si="54"/>
        <v>9.7667999575356528E-3</v>
      </c>
      <c r="AH75" s="653">
        <f t="shared" si="55"/>
        <v>0.19731766870731449</v>
      </c>
      <c r="AI75" s="654">
        <f t="shared" si="56"/>
        <v>0.65324321455111645</v>
      </c>
      <c r="AJ75" s="655">
        <f t="shared" si="57"/>
        <v>0.14943911674156907</v>
      </c>
      <c r="AK75" s="645">
        <v>569</v>
      </c>
      <c r="AL75" s="646">
        <v>181</v>
      </c>
      <c r="AM75" s="646">
        <v>361</v>
      </c>
      <c r="AN75" s="647">
        <v>27</v>
      </c>
      <c r="AO75" s="273">
        <f t="shared" si="58"/>
        <v>2.0135178173325313E-2</v>
      </c>
    </row>
    <row r="76" spans="1:41">
      <c r="A76" s="271" t="s">
        <v>184</v>
      </c>
      <c r="B76" s="271" t="s">
        <v>185</v>
      </c>
      <c r="C76" s="271" t="s">
        <v>266</v>
      </c>
      <c r="D76" s="271">
        <v>2</v>
      </c>
      <c r="E76" s="645">
        <v>22802</v>
      </c>
      <c r="F76" s="646">
        <v>14752</v>
      </c>
      <c r="G76" s="646">
        <v>7682</v>
      </c>
      <c r="H76" s="646">
        <v>285</v>
      </c>
      <c r="I76" s="646">
        <v>83</v>
      </c>
      <c r="J76" s="647">
        <f t="shared" si="59"/>
        <v>368</v>
      </c>
      <c r="K76" s="272">
        <v>3795</v>
      </c>
      <c r="L76" s="646">
        <v>2035</v>
      </c>
      <c r="M76" s="646">
        <v>1689</v>
      </c>
      <c r="N76" s="646">
        <v>60</v>
      </c>
      <c r="O76" s="646">
        <v>11</v>
      </c>
      <c r="P76" s="646">
        <f t="shared" si="60"/>
        <v>71</v>
      </c>
      <c r="Q76" s="645">
        <v>15525</v>
      </c>
      <c r="R76" s="646">
        <v>10407</v>
      </c>
      <c r="S76" s="646">
        <v>4840</v>
      </c>
      <c r="T76" s="646">
        <v>212</v>
      </c>
      <c r="U76" s="646">
        <v>66</v>
      </c>
      <c r="V76" s="647">
        <f t="shared" si="61"/>
        <v>278</v>
      </c>
      <c r="W76" s="645">
        <v>3482</v>
      </c>
      <c r="X76" s="646">
        <v>2310</v>
      </c>
      <c r="Y76" s="646">
        <v>1153</v>
      </c>
      <c r="Z76" s="646">
        <v>13</v>
      </c>
      <c r="AA76" s="646">
        <v>6</v>
      </c>
      <c r="AB76" s="647">
        <f t="shared" si="62"/>
        <v>19</v>
      </c>
      <c r="AC76" s="653">
        <f t="shared" si="63"/>
        <v>0.64696079291290243</v>
      </c>
      <c r="AD76" s="654">
        <f t="shared" si="64"/>
        <v>0.33690027190597316</v>
      </c>
      <c r="AE76" s="654">
        <f t="shared" si="52"/>
        <v>1.2498903604946935E-2</v>
      </c>
      <c r="AF76" s="654">
        <f t="shared" si="53"/>
        <v>3.6400315761775282E-3</v>
      </c>
      <c r="AG76" s="655">
        <f t="shared" si="54"/>
        <v>1.6138935181124463E-2</v>
      </c>
      <c r="AH76" s="653">
        <f t="shared" si="55"/>
        <v>0.16643276905534601</v>
      </c>
      <c r="AI76" s="654">
        <f t="shared" si="56"/>
        <v>0.68086132795368826</v>
      </c>
      <c r="AJ76" s="655">
        <f t="shared" si="57"/>
        <v>0.1527059029909657</v>
      </c>
      <c r="AK76" s="645">
        <v>548</v>
      </c>
      <c r="AL76" s="646">
        <v>157</v>
      </c>
      <c r="AM76" s="646">
        <v>363</v>
      </c>
      <c r="AN76" s="647">
        <v>28</v>
      </c>
      <c r="AO76" s="273">
        <f t="shared" si="58"/>
        <v>2.4032979563196211E-2</v>
      </c>
    </row>
    <row r="77" spans="1:41">
      <c r="A77" s="271" t="s">
        <v>186</v>
      </c>
      <c r="B77" s="271" t="s">
        <v>187</v>
      </c>
      <c r="C77" s="271" t="s">
        <v>264</v>
      </c>
      <c r="D77" s="271">
        <v>2</v>
      </c>
      <c r="E77" s="645">
        <v>37253</v>
      </c>
      <c r="F77" s="646">
        <v>23433</v>
      </c>
      <c r="G77" s="646">
        <v>12592</v>
      </c>
      <c r="H77" s="646">
        <v>946</v>
      </c>
      <c r="I77" s="646">
        <v>282</v>
      </c>
      <c r="J77" s="647">
        <f t="shared" si="59"/>
        <v>1228</v>
      </c>
      <c r="K77" s="272">
        <v>7896</v>
      </c>
      <c r="L77" s="646">
        <v>4851</v>
      </c>
      <c r="M77" s="646">
        <v>2768</v>
      </c>
      <c r="N77" s="646">
        <v>215</v>
      </c>
      <c r="O77" s="646">
        <v>62</v>
      </c>
      <c r="P77" s="646">
        <f t="shared" si="60"/>
        <v>277</v>
      </c>
      <c r="Q77" s="645">
        <v>24902</v>
      </c>
      <c r="R77" s="646">
        <v>15244</v>
      </c>
      <c r="S77" s="646">
        <v>8824</v>
      </c>
      <c r="T77" s="646">
        <v>627</v>
      </c>
      <c r="U77" s="646">
        <v>207</v>
      </c>
      <c r="V77" s="647">
        <f t="shared" si="61"/>
        <v>834</v>
      </c>
      <c r="W77" s="645">
        <v>4455</v>
      </c>
      <c r="X77" s="646">
        <v>3338</v>
      </c>
      <c r="Y77" s="646">
        <v>1000</v>
      </c>
      <c r="Z77" s="646">
        <v>104</v>
      </c>
      <c r="AA77" s="646">
        <v>13</v>
      </c>
      <c r="AB77" s="647">
        <f t="shared" si="62"/>
        <v>117</v>
      </c>
      <c r="AC77" s="653">
        <f t="shared" si="63"/>
        <v>0.62902316591952323</v>
      </c>
      <c r="AD77" s="654">
        <f t="shared" si="64"/>
        <v>0.33801304592918691</v>
      </c>
      <c r="AE77" s="654">
        <f t="shared" si="52"/>
        <v>2.5393928005798191E-2</v>
      </c>
      <c r="AF77" s="654">
        <f t="shared" si="53"/>
        <v>7.5698601454916381E-3</v>
      </c>
      <c r="AG77" s="655">
        <f t="shared" si="54"/>
        <v>3.2963788151289829E-2</v>
      </c>
      <c r="AH77" s="653">
        <f t="shared" si="55"/>
        <v>0.21195608407376587</v>
      </c>
      <c r="AI77" s="654">
        <f t="shared" si="56"/>
        <v>0.66845623171288215</v>
      </c>
      <c r="AJ77" s="655">
        <f t="shared" si="57"/>
        <v>0.11958768421335195</v>
      </c>
      <c r="AK77" s="645">
        <v>2697</v>
      </c>
      <c r="AL77" s="646">
        <v>796</v>
      </c>
      <c r="AM77" s="646">
        <v>1834</v>
      </c>
      <c r="AN77" s="647">
        <v>67</v>
      </c>
      <c r="AO77" s="273">
        <f t="shared" si="58"/>
        <v>7.2396853944648759E-2</v>
      </c>
    </row>
    <row r="78" spans="1:41">
      <c r="A78" s="271" t="s">
        <v>188</v>
      </c>
      <c r="B78" s="271" t="s">
        <v>189</v>
      </c>
      <c r="C78" s="271" t="s">
        <v>267</v>
      </c>
      <c r="D78" s="271">
        <v>3</v>
      </c>
      <c r="E78" s="645">
        <v>438580</v>
      </c>
      <c r="F78" s="646">
        <v>293281</v>
      </c>
      <c r="G78" s="646">
        <v>99543</v>
      </c>
      <c r="H78" s="646">
        <v>40291</v>
      </c>
      <c r="I78" s="646">
        <v>5465</v>
      </c>
      <c r="J78" s="647">
        <f t="shared" si="59"/>
        <v>45756</v>
      </c>
      <c r="K78" s="272">
        <v>124308</v>
      </c>
      <c r="L78" s="646">
        <v>80764</v>
      </c>
      <c r="M78" s="646">
        <v>30531</v>
      </c>
      <c r="N78" s="646">
        <v>11235</v>
      </c>
      <c r="O78" s="646">
        <v>1778</v>
      </c>
      <c r="P78" s="646">
        <f t="shared" si="60"/>
        <v>13013</v>
      </c>
      <c r="Q78" s="645">
        <v>279557</v>
      </c>
      <c r="R78" s="646">
        <v>186052</v>
      </c>
      <c r="S78" s="646">
        <v>64120</v>
      </c>
      <c r="T78" s="646">
        <v>25883</v>
      </c>
      <c r="U78" s="646">
        <v>3502</v>
      </c>
      <c r="V78" s="647">
        <f t="shared" si="61"/>
        <v>29385</v>
      </c>
      <c r="W78" s="645">
        <v>34715</v>
      </c>
      <c r="X78" s="646">
        <v>26465</v>
      </c>
      <c r="Y78" s="646">
        <v>4892</v>
      </c>
      <c r="Z78" s="646">
        <v>3173</v>
      </c>
      <c r="AA78" s="646">
        <v>185</v>
      </c>
      <c r="AB78" s="647">
        <f t="shared" si="62"/>
        <v>3358</v>
      </c>
      <c r="AC78" s="653">
        <f t="shared" si="63"/>
        <v>0.66870582333895756</v>
      </c>
      <c r="AD78" s="654">
        <f t="shared" si="64"/>
        <v>0.22696657394318026</v>
      </c>
      <c r="AE78" s="654">
        <f t="shared" si="52"/>
        <v>9.18669341967258E-2</v>
      </c>
      <c r="AF78" s="654">
        <f t="shared" si="53"/>
        <v>1.2460668521136396E-2</v>
      </c>
      <c r="AG78" s="655">
        <f t="shared" si="54"/>
        <v>0.10432760271786219</v>
      </c>
      <c r="AH78" s="653">
        <f t="shared" si="55"/>
        <v>0.28343289707693009</v>
      </c>
      <c r="AI78" s="654">
        <f t="shared" si="56"/>
        <v>0.63741392676364628</v>
      </c>
      <c r="AJ78" s="655">
        <f t="shared" si="57"/>
        <v>7.9153176159423591E-2</v>
      </c>
      <c r="AK78" s="645">
        <v>94127</v>
      </c>
      <c r="AL78" s="646">
        <v>32482</v>
      </c>
      <c r="AM78" s="646">
        <v>59044</v>
      </c>
      <c r="AN78" s="647">
        <v>2601</v>
      </c>
      <c r="AO78" s="273">
        <f t="shared" si="58"/>
        <v>0.21461762962287381</v>
      </c>
    </row>
    <row r="79" spans="1:41">
      <c r="A79" s="271" t="s">
        <v>190</v>
      </c>
      <c r="B79" s="271" t="s">
        <v>191</v>
      </c>
      <c r="C79" s="271" t="s">
        <v>268</v>
      </c>
      <c r="D79" s="271">
        <v>2</v>
      </c>
      <c r="E79" s="645">
        <v>34507</v>
      </c>
      <c r="F79" s="646">
        <v>32182</v>
      </c>
      <c r="G79" s="646">
        <v>2016</v>
      </c>
      <c r="H79" s="646">
        <v>239</v>
      </c>
      <c r="I79" s="646">
        <v>70</v>
      </c>
      <c r="J79" s="647">
        <f t="shared" si="59"/>
        <v>309</v>
      </c>
      <c r="K79" s="272">
        <v>6351</v>
      </c>
      <c r="L79" s="646">
        <v>5814</v>
      </c>
      <c r="M79" s="646">
        <v>476</v>
      </c>
      <c r="N79" s="646">
        <v>49</v>
      </c>
      <c r="O79" s="646">
        <v>12</v>
      </c>
      <c r="P79" s="646">
        <f t="shared" si="60"/>
        <v>61</v>
      </c>
      <c r="Q79" s="645">
        <v>21280</v>
      </c>
      <c r="R79" s="646">
        <v>19819</v>
      </c>
      <c r="S79" s="646">
        <v>1255</v>
      </c>
      <c r="T79" s="646">
        <v>160</v>
      </c>
      <c r="U79" s="646">
        <v>46</v>
      </c>
      <c r="V79" s="647">
        <f t="shared" si="61"/>
        <v>206</v>
      </c>
      <c r="W79" s="645">
        <v>6876</v>
      </c>
      <c r="X79" s="646">
        <v>6549</v>
      </c>
      <c r="Y79" s="646">
        <v>285</v>
      </c>
      <c r="Z79" s="646">
        <v>30</v>
      </c>
      <c r="AA79" s="646">
        <v>12</v>
      </c>
      <c r="AB79" s="647">
        <f t="shared" si="62"/>
        <v>42</v>
      </c>
      <c r="AC79" s="653">
        <f t="shared" si="63"/>
        <v>0.93262236647636709</v>
      </c>
      <c r="AD79" s="654">
        <f t="shared" si="64"/>
        <v>5.842292868113716E-2</v>
      </c>
      <c r="AE79" s="654">
        <f t="shared" si="52"/>
        <v>6.9261309299562404E-3</v>
      </c>
      <c r="AF79" s="654">
        <f t="shared" si="53"/>
        <v>2.0285739125394846E-3</v>
      </c>
      <c r="AG79" s="655">
        <f t="shared" si="54"/>
        <v>8.9547048424957251E-3</v>
      </c>
      <c r="AH79" s="653">
        <f t="shared" si="55"/>
        <v>0.18404961312197526</v>
      </c>
      <c r="AI79" s="654">
        <f t="shared" si="56"/>
        <v>0.61668646941200334</v>
      </c>
      <c r="AJ79" s="655">
        <f t="shared" si="57"/>
        <v>0.1992639174660214</v>
      </c>
      <c r="AK79" s="645">
        <v>483</v>
      </c>
      <c r="AL79" s="646">
        <v>159</v>
      </c>
      <c r="AM79" s="646">
        <v>284</v>
      </c>
      <c r="AN79" s="647">
        <v>40</v>
      </c>
      <c r="AO79" s="273">
        <f t="shared" si="58"/>
        <v>1.3997159996522445E-2</v>
      </c>
    </row>
    <row r="80" spans="1:41">
      <c r="A80" s="271" t="s">
        <v>194</v>
      </c>
      <c r="B80" s="271" t="s">
        <v>195</v>
      </c>
      <c r="C80" s="271" t="s">
        <v>267</v>
      </c>
      <c r="D80" s="271">
        <v>1</v>
      </c>
      <c r="E80" s="645">
        <v>7478</v>
      </c>
      <c r="F80" s="646">
        <v>6978</v>
      </c>
      <c r="G80" s="646">
        <v>418</v>
      </c>
      <c r="H80" s="646">
        <v>64</v>
      </c>
      <c r="I80" s="646">
        <v>18</v>
      </c>
      <c r="J80" s="647">
        <f t="shared" si="59"/>
        <v>82</v>
      </c>
      <c r="K80" s="272">
        <v>1403</v>
      </c>
      <c r="L80" s="646">
        <v>1284</v>
      </c>
      <c r="M80" s="646">
        <v>107</v>
      </c>
      <c r="N80" s="646">
        <v>9</v>
      </c>
      <c r="O80" s="646">
        <v>3</v>
      </c>
      <c r="P80" s="646">
        <f t="shared" si="60"/>
        <v>12</v>
      </c>
      <c r="Q80" s="645">
        <v>4388</v>
      </c>
      <c r="R80" s="646">
        <v>4109</v>
      </c>
      <c r="S80" s="646">
        <v>228</v>
      </c>
      <c r="T80" s="646">
        <v>38</v>
      </c>
      <c r="U80" s="646">
        <v>13</v>
      </c>
      <c r="V80" s="647">
        <f t="shared" si="61"/>
        <v>51</v>
      </c>
      <c r="W80" s="645">
        <v>1687</v>
      </c>
      <c r="X80" s="646">
        <v>1585</v>
      </c>
      <c r="Y80" s="646">
        <v>83</v>
      </c>
      <c r="Z80" s="646">
        <v>17</v>
      </c>
      <c r="AA80" s="646">
        <v>2</v>
      </c>
      <c r="AB80" s="647">
        <f t="shared" si="62"/>
        <v>19</v>
      </c>
      <c r="AC80" s="653">
        <f t="shared" si="63"/>
        <v>0.93313720246055099</v>
      </c>
      <c r="AD80" s="654">
        <f t="shared" si="64"/>
        <v>5.5897298742979405E-2</v>
      </c>
      <c r="AE80" s="654">
        <f t="shared" si="52"/>
        <v>8.5584380850494777E-3</v>
      </c>
      <c r="AF80" s="654">
        <f t="shared" si="53"/>
        <v>2.4070607114201658E-3</v>
      </c>
      <c r="AG80" s="655">
        <f t="shared" si="54"/>
        <v>1.0965498796469644E-2</v>
      </c>
      <c r="AH80" s="653">
        <f t="shared" si="55"/>
        <v>0.18761700989569405</v>
      </c>
      <c r="AI80" s="654">
        <f t="shared" si="56"/>
        <v>0.58678791120620488</v>
      </c>
      <c r="AJ80" s="655">
        <f t="shared" si="57"/>
        <v>0.2255950788981011</v>
      </c>
      <c r="AK80" s="645">
        <v>263</v>
      </c>
      <c r="AL80" s="646">
        <v>85</v>
      </c>
      <c r="AM80" s="646">
        <v>157</v>
      </c>
      <c r="AN80" s="647">
        <v>21</v>
      </c>
      <c r="AO80" s="273">
        <f t="shared" si="58"/>
        <v>3.5169831505750197E-2</v>
      </c>
    </row>
    <row r="81" spans="1:41">
      <c r="A81" s="271" t="s">
        <v>198</v>
      </c>
      <c r="B81" s="271" t="s">
        <v>199</v>
      </c>
      <c r="C81" s="271" t="s">
        <v>266</v>
      </c>
      <c r="D81" s="271">
        <v>1</v>
      </c>
      <c r="E81" s="645">
        <v>8953</v>
      </c>
      <c r="F81" s="646">
        <v>6053</v>
      </c>
      <c r="G81" s="646">
        <v>2808</v>
      </c>
      <c r="H81" s="646">
        <v>53</v>
      </c>
      <c r="I81" s="646">
        <v>39</v>
      </c>
      <c r="J81" s="647">
        <f t="shared" si="59"/>
        <v>92</v>
      </c>
      <c r="K81" s="272">
        <v>1518</v>
      </c>
      <c r="L81" s="646">
        <v>1049</v>
      </c>
      <c r="M81" s="646">
        <v>450</v>
      </c>
      <c r="N81" s="646">
        <v>12</v>
      </c>
      <c r="O81" s="646">
        <v>7</v>
      </c>
      <c r="P81" s="646">
        <f t="shared" si="60"/>
        <v>19</v>
      </c>
      <c r="Q81" s="645">
        <v>5725</v>
      </c>
      <c r="R81" s="646">
        <v>3682</v>
      </c>
      <c r="S81" s="646">
        <v>1981</v>
      </c>
      <c r="T81" s="646">
        <v>35</v>
      </c>
      <c r="U81" s="646">
        <v>27</v>
      </c>
      <c r="V81" s="647">
        <f t="shared" si="61"/>
        <v>62</v>
      </c>
      <c r="W81" s="645">
        <v>1710</v>
      </c>
      <c r="X81" s="646">
        <v>1322</v>
      </c>
      <c r="Y81" s="646">
        <v>377</v>
      </c>
      <c r="Z81" s="646">
        <v>6</v>
      </c>
      <c r="AA81" s="646">
        <v>5</v>
      </c>
      <c r="AB81" s="647">
        <f t="shared" si="62"/>
        <v>11</v>
      </c>
      <c r="AC81" s="653">
        <f t="shared" si="63"/>
        <v>0.67608622807997321</v>
      </c>
      <c r="AD81" s="654">
        <f t="shared" si="64"/>
        <v>0.31363788674187421</v>
      </c>
      <c r="AE81" s="654">
        <f t="shared" si="52"/>
        <v>5.9198034178487655E-3</v>
      </c>
      <c r="AF81" s="654">
        <f t="shared" si="53"/>
        <v>4.356081760303809E-3</v>
      </c>
      <c r="AG81" s="655">
        <f t="shared" si="54"/>
        <v>1.0275885178152575E-2</v>
      </c>
      <c r="AH81" s="653">
        <f t="shared" si="55"/>
        <v>0.16955210543951749</v>
      </c>
      <c r="AI81" s="654">
        <f t="shared" si="56"/>
        <v>0.63945046353177704</v>
      </c>
      <c r="AJ81" s="655">
        <f t="shared" si="57"/>
        <v>0.19099743102870545</v>
      </c>
      <c r="AK81" s="645">
        <v>554</v>
      </c>
      <c r="AL81" s="646">
        <v>156</v>
      </c>
      <c r="AM81" s="646">
        <v>380</v>
      </c>
      <c r="AN81" s="647">
        <v>18</v>
      </c>
      <c r="AO81" s="273">
        <f t="shared" si="58"/>
        <v>6.1878699877136158E-2</v>
      </c>
    </row>
    <row r="82" spans="1:41">
      <c r="A82" s="271" t="s">
        <v>202</v>
      </c>
      <c r="B82" s="271" t="s">
        <v>203</v>
      </c>
      <c r="C82" s="271" t="s">
        <v>265</v>
      </c>
      <c r="D82" s="271">
        <v>3</v>
      </c>
      <c r="E82" s="645">
        <v>118823</v>
      </c>
      <c r="F82" s="646">
        <v>107263</v>
      </c>
      <c r="G82" s="646">
        <v>7722</v>
      </c>
      <c r="H82" s="646">
        <v>3569</v>
      </c>
      <c r="I82" s="646">
        <v>269</v>
      </c>
      <c r="J82" s="647">
        <f t="shared" si="59"/>
        <v>3838</v>
      </c>
      <c r="K82" s="272">
        <v>24752</v>
      </c>
      <c r="L82" s="646">
        <v>21502</v>
      </c>
      <c r="M82" s="646">
        <v>2172</v>
      </c>
      <c r="N82" s="646">
        <v>1027</v>
      </c>
      <c r="O82" s="646">
        <v>51</v>
      </c>
      <c r="P82" s="646">
        <f t="shared" si="60"/>
        <v>1078</v>
      </c>
      <c r="Q82" s="645">
        <v>71974</v>
      </c>
      <c r="R82" s="646">
        <v>64748</v>
      </c>
      <c r="S82" s="646">
        <v>4735</v>
      </c>
      <c r="T82" s="646">
        <v>2295</v>
      </c>
      <c r="U82" s="646">
        <v>196</v>
      </c>
      <c r="V82" s="647">
        <f t="shared" si="61"/>
        <v>2491</v>
      </c>
      <c r="W82" s="645">
        <v>22097</v>
      </c>
      <c r="X82" s="646">
        <v>21013</v>
      </c>
      <c r="Y82" s="646">
        <v>815</v>
      </c>
      <c r="Z82" s="646">
        <v>247</v>
      </c>
      <c r="AA82" s="646">
        <v>22</v>
      </c>
      <c r="AB82" s="647">
        <f t="shared" si="62"/>
        <v>269</v>
      </c>
      <c r="AC82" s="653">
        <f t="shared" si="63"/>
        <v>0.90271243782769328</v>
      </c>
      <c r="AD82" s="654">
        <f t="shared" si="64"/>
        <v>6.4987418260774435E-2</v>
      </c>
      <c r="AE82" s="654">
        <f t="shared" si="52"/>
        <v>3.0036272438837597E-2</v>
      </c>
      <c r="AF82" s="654">
        <f t="shared" si="53"/>
        <v>2.2638714726946805E-3</v>
      </c>
      <c r="AG82" s="655">
        <f t="shared" si="54"/>
        <v>3.2300143911532277E-2</v>
      </c>
      <c r="AH82" s="653">
        <f t="shared" si="55"/>
        <v>0.20830983900423319</v>
      </c>
      <c r="AI82" s="654">
        <f t="shared" si="56"/>
        <v>0.60572448095065767</v>
      </c>
      <c r="AJ82" s="655">
        <f t="shared" si="57"/>
        <v>0.18596568004510911</v>
      </c>
      <c r="AK82" s="645">
        <v>3169</v>
      </c>
      <c r="AL82" s="646">
        <v>1152</v>
      </c>
      <c r="AM82" s="646">
        <v>1874</v>
      </c>
      <c r="AN82" s="647">
        <v>143</v>
      </c>
      <c r="AO82" s="273">
        <f t="shared" si="58"/>
        <v>2.6669920806577849E-2</v>
      </c>
    </row>
    <row r="83" spans="1:41">
      <c r="A83" s="271" t="s">
        <v>204</v>
      </c>
      <c r="B83" s="271" t="s">
        <v>205</v>
      </c>
      <c r="C83" s="271" t="s">
        <v>265</v>
      </c>
      <c r="D83" s="271">
        <v>2</v>
      </c>
      <c r="E83" s="645">
        <v>36157</v>
      </c>
      <c r="F83" s="646">
        <v>33660</v>
      </c>
      <c r="G83" s="646">
        <v>1867</v>
      </c>
      <c r="H83" s="646">
        <v>410</v>
      </c>
      <c r="I83" s="646">
        <v>220</v>
      </c>
      <c r="J83" s="647">
        <f t="shared" si="59"/>
        <v>630</v>
      </c>
      <c r="K83" s="272">
        <v>6172</v>
      </c>
      <c r="L83" s="646">
        <v>5642</v>
      </c>
      <c r="M83" s="646">
        <v>387</v>
      </c>
      <c r="N83" s="646">
        <v>81</v>
      </c>
      <c r="O83" s="646">
        <v>62</v>
      </c>
      <c r="P83" s="646">
        <f t="shared" si="60"/>
        <v>143</v>
      </c>
      <c r="Q83" s="645">
        <v>22582</v>
      </c>
      <c r="R83" s="646">
        <v>20961</v>
      </c>
      <c r="S83" s="646">
        <v>1185</v>
      </c>
      <c r="T83" s="646">
        <v>308</v>
      </c>
      <c r="U83" s="646">
        <v>128</v>
      </c>
      <c r="V83" s="647">
        <f t="shared" si="61"/>
        <v>436</v>
      </c>
      <c r="W83" s="645">
        <v>7403</v>
      </c>
      <c r="X83" s="646">
        <v>7057</v>
      </c>
      <c r="Y83" s="646">
        <v>295</v>
      </c>
      <c r="Z83" s="646">
        <v>21</v>
      </c>
      <c r="AA83" s="646">
        <v>30</v>
      </c>
      <c r="AB83" s="647">
        <f t="shared" si="62"/>
        <v>51</v>
      </c>
      <c r="AC83" s="653">
        <f t="shared" si="63"/>
        <v>0.9309400669303316</v>
      </c>
      <c r="AD83" s="654">
        <f t="shared" si="64"/>
        <v>5.1635921121774481E-2</v>
      </c>
      <c r="AE83" s="654">
        <f t="shared" si="52"/>
        <v>1.1339436347042067E-2</v>
      </c>
      <c r="AF83" s="654">
        <f t="shared" si="53"/>
        <v>6.0845756008518406E-3</v>
      </c>
      <c r="AG83" s="655">
        <f t="shared" si="54"/>
        <v>1.7424011947893905E-2</v>
      </c>
      <c r="AH83" s="653">
        <f t="shared" si="55"/>
        <v>0.17070000276571617</v>
      </c>
      <c r="AI83" s="654">
        <f t="shared" si="56"/>
        <v>0.62455402826561934</v>
      </c>
      <c r="AJ83" s="655">
        <f t="shared" si="57"/>
        <v>0.20474596896866443</v>
      </c>
      <c r="AK83" s="645">
        <v>745</v>
      </c>
      <c r="AL83" s="646">
        <v>216</v>
      </c>
      <c r="AM83" s="646">
        <v>481</v>
      </c>
      <c r="AN83" s="647">
        <v>48</v>
      </c>
      <c r="AO83" s="273">
        <f t="shared" si="58"/>
        <v>2.0604585557430097E-2</v>
      </c>
    </row>
    <row r="84" spans="1:41">
      <c r="A84" s="271" t="s">
        <v>206</v>
      </c>
      <c r="B84" s="271" t="s">
        <v>207</v>
      </c>
      <c r="C84" s="271" t="s">
        <v>267</v>
      </c>
      <c r="D84" s="271">
        <v>3</v>
      </c>
      <c r="E84" s="645">
        <v>129136</v>
      </c>
      <c r="F84" s="646">
        <v>118961</v>
      </c>
      <c r="G84" s="646">
        <v>6437</v>
      </c>
      <c r="H84" s="646">
        <v>2924</v>
      </c>
      <c r="I84" s="646">
        <v>814</v>
      </c>
      <c r="J84" s="647">
        <f t="shared" si="59"/>
        <v>3738</v>
      </c>
      <c r="K84" s="272">
        <v>25875</v>
      </c>
      <c r="L84" s="646">
        <v>23391</v>
      </c>
      <c r="M84" s="646">
        <v>1700</v>
      </c>
      <c r="N84" s="646">
        <v>537</v>
      </c>
      <c r="O84" s="646">
        <v>247</v>
      </c>
      <c r="P84" s="646">
        <f t="shared" si="60"/>
        <v>784</v>
      </c>
      <c r="Q84" s="645">
        <v>85616</v>
      </c>
      <c r="R84" s="646">
        <v>78410</v>
      </c>
      <c r="S84" s="646">
        <v>4411</v>
      </c>
      <c r="T84" s="646">
        <v>2263</v>
      </c>
      <c r="U84" s="646">
        <v>532</v>
      </c>
      <c r="V84" s="647">
        <f t="shared" si="61"/>
        <v>2795</v>
      </c>
      <c r="W84" s="645">
        <v>17645</v>
      </c>
      <c r="X84" s="646">
        <v>17160</v>
      </c>
      <c r="Y84" s="646">
        <v>326</v>
      </c>
      <c r="Z84" s="646">
        <v>124</v>
      </c>
      <c r="AA84" s="646">
        <v>35</v>
      </c>
      <c r="AB84" s="647">
        <f t="shared" si="62"/>
        <v>159</v>
      </c>
      <c r="AC84" s="653">
        <f t="shared" si="63"/>
        <v>0.92120709949200841</v>
      </c>
      <c r="AD84" s="654">
        <f t="shared" si="64"/>
        <v>4.9846673274687149E-2</v>
      </c>
      <c r="AE84" s="654">
        <f t="shared" si="52"/>
        <v>2.2642795192665096E-2</v>
      </c>
      <c r="AF84" s="654">
        <f t="shared" si="53"/>
        <v>6.3034320406393264E-3</v>
      </c>
      <c r="AG84" s="655">
        <f t="shared" si="54"/>
        <v>2.8946227233304422E-2</v>
      </c>
      <c r="AH84" s="653">
        <f t="shared" si="55"/>
        <v>0.20037015239747244</v>
      </c>
      <c r="AI84" s="654">
        <f t="shared" si="56"/>
        <v>0.66299095527196139</v>
      </c>
      <c r="AJ84" s="655">
        <f t="shared" si="57"/>
        <v>0.13663889233056623</v>
      </c>
      <c r="AK84" s="645">
        <v>13973</v>
      </c>
      <c r="AL84" s="646">
        <v>4932</v>
      </c>
      <c r="AM84" s="646">
        <v>8742</v>
      </c>
      <c r="AN84" s="647">
        <v>299</v>
      </c>
      <c r="AO84" s="273">
        <f t="shared" si="58"/>
        <v>0.10820375418163797</v>
      </c>
    </row>
    <row r="85" spans="1:41">
      <c r="A85" s="271" t="s">
        <v>208</v>
      </c>
      <c r="B85" s="271" t="s">
        <v>209</v>
      </c>
      <c r="C85" s="271" t="s">
        <v>268</v>
      </c>
      <c r="D85" s="271">
        <v>2</v>
      </c>
      <c r="E85" s="645">
        <v>28264</v>
      </c>
      <c r="F85" s="646">
        <v>27790</v>
      </c>
      <c r="G85" s="646">
        <v>342</v>
      </c>
      <c r="H85" s="646">
        <v>68</v>
      </c>
      <c r="I85" s="646">
        <v>64</v>
      </c>
      <c r="J85" s="647">
        <f t="shared" si="59"/>
        <v>132</v>
      </c>
      <c r="K85" s="272">
        <v>5551</v>
      </c>
      <c r="L85" s="646">
        <v>5447</v>
      </c>
      <c r="M85" s="646">
        <v>82</v>
      </c>
      <c r="N85" s="646">
        <v>10</v>
      </c>
      <c r="O85" s="646">
        <v>12</v>
      </c>
      <c r="P85" s="646">
        <f t="shared" si="60"/>
        <v>22</v>
      </c>
      <c r="Q85" s="645">
        <v>17592</v>
      </c>
      <c r="R85" s="646">
        <v>17306</v>
      </c>
      <c r="S85" s="646">
        <v>197</v>
      </c>
      <c r="T85" s="646">
        <v>49</v>
      </c>
      <c r="U85" s="646">
        <v>40</v>
      </c>
      <c r="V85" s="647">
        <f t="shared" si="61"/>
        <v>89</v>
      </c>
      <c r="W85" s="645">
        <v>5121</v>
      </c>
      <c r="X85" s="646">
        <v>5037</v>
      </c>
      <c r="Y85" s="646">
        <v>63</v>
      </c>
      <c r="Z85" s="646">
        <v>9</v>
      </c>
      <c r="AA85" s="646">
        <v>12</v>
      </c>
      <c r="AB85" s="647">
        <f t="shared" si="62"/>
        <v>21</v>
      </c>
      <c r="AC85" s="653">
        <f t="shared" si="63"/>
        <v>0.98322954995754319</v>
      </c>
      <c r="AD85" s="654">
        <f t="shared" si="64"/>
        <v>1.2100198131899236E-2</v>
      </c>
      <c r="AE85" s="654">
        <f t="shared" si="52"/>
        <v>2.405887347863006E-3</v>
      </c>
      <c r="AF85" s="654">
        <f t="shared" si="53"/>
        <v>2.2643645626945937E-3</v>
      </c>
      <c r="AG85" s="655">
        <f t="shared" si="54"/>
        <v>4.6702519105576001E-3</v>
      </c>
      <c r="AH85" s="653">
        <f t="shared" si="55"/>
        <v>0.1963982451174639</v>
      </c>
      <c r="AI85" s="654">
        <f t="shared" si="56"/>
        <v>0.62241720917067644</v>
      </c>
      <c r="AJ85" s="655">
        <f t="shared" si="57"/>
        <v>0.1811845457118596</v>
      </c>
      <c r="AK85" s="645">
        <v>300</v>
      </c>
      <c r="AL85" s="646">
        <v>105</v>
      </c>
      <c r="AM85" s="646">
        <v>172</v>
      </c>
      <c r="AN85" s="647">
        <v>23</v>
      </c>
      <c r="AO85" s="273">
        <f t="shared" si="58"/>
        <v>1.0614208887630908E-2</v>
      </c>
    </row>
    <row r="86" spans="1:41">
      <c r="A86" s="271" t="s">
        <v>210</v>
      </c>
      <c r="B86" s="271" t="s">
        <v>211</v>
      </c>
      <c r="C86" s="271" t="s">
        <v>268</v>
      </c>
      <c r="D86" s="271">
        <v>2</v>
      </c>
      <c r="E86" s="645">
        <v>22640</v>
      </c>
      <c r="F86" s="646">
        <v>22304</v>
      </c>
      <c r="G86" s="646">
        <v>217</v>
      </c>
      <c r="H86" s="646">
        <v>66</v>
      </c>
      <c r="I86" s="646">
        <v>53</v>
      </c>
      <c r="J86" s="647">
        <f t="shared" si="59"/>
        <v>119</v>
      </c>
      <c r="K86" s="272">
        <v>4287</v>
      </c>
      <c r="L86" s="646">
        <v>4191</v>
      </c>
      <c r="M86" s="646">
        <v>60</v>
      </c>
      <c r="N86" s="646">
        <v>31</v>
      </c>
      <c r="O86" s="646">
        <v>5</v>
      </c>
      <c r="P86" s="646">
        <f t="shared" si="60"/>
        <v>36</v>
      </c>
      <c r="Q86" s="645">
        <v>13623</v>
      </c>
      <c r="R86" s="646">
        <v>13430</v>
      </c>
      <c r="S86" s="646">
        <v>123</v>
      </c>
      <c r="T86" s="646">
        <v>31</v>
      </c>
      <c r="U86" s="646">
        <v>39</v>
      </c>
      <c r="V86" s="647">
        <f t="shared" si="61"/>
        <v>70</v>
      </c>
      <c r="W86" s="645">
        <v>4730</v>
      </c>
      <c r="X86" s="646">
        <v>4683</v>
      </c>
      <c r="Y86" s="646">
        <v>34</v>
      </c>
      <c r="Z86" s="646">
        <v>4</v>
      </c>
      <c r="AA86" s="646">
        <v>9</v>
      </c>
      <c r="AB86" s="647">
        <f t="shared" si="62"/>
        <v>13</v>
      </c>
      <c r="AC86" s="653">
        <f t="shared" si="63"/>
        <v>0.98515901060070676</v>
      </c>
      <c r="AD86" s="654">
        <f t="shared" si="64"/>
        <v>9.5848056537102475E-3</v>
      </c>
      <c r="AE86" s="654">
        <f t="shared" si="52"/>
        <v>2.9151943462897528E-3</v>
      </c>
      <c r="AF86" s="654">
        <f t="shared" si="53"/>
        <v>2.3409893992932863E-3</v>
      </c>
      <c r="AG86" s="655">
        <f t="shared" si="54"/>
        <v>5.2561837455830391E-3</v>
      </c>
      <c r="AH86" s="653">
        <f t="shared" si="55"/>
        <v>0.18935512367491167</v>
      </c>
      <c r="AI86" s="654">
        <f t="shared" si="56"/>
        <v>0.60172261484098943</v>
      </c>
      <c r="AJ86" s="655">
        <f t="shared" si="57"/>
        <v>0.20892226148409895</v>
      </c>
      <c r="AK86" s="645">
        <v>288</v>
      </c>
      <c r="AL86" s="646">
        <v>124</v>
      </c>
      <c r="AM86" s="646">
        <v>152</v>
      </c>
      <c r="AN86" s="647">
        <v>12</v>
      </c>
      <c r="AO86" s="273">
        <f t="shared" si="58"/>
        <v>1.2720848056537103E-2</v>
      </c>
    </row>
    <row r="87" spans="1:41">
      <c r="A87" s="271" t="s">
        <v>212</v>
      </c>
      <c r="B87" s="271" t="s">
        <v>213</v>
      </c>
      <c r="C87" s="271" t="s">
        <v>267</v>
      </c>
      <c r="D87" s="271">
        <v>2</v>
      </c>
      <c r="E87" s="645">
        <v>42684</v>
      </c>
      <c r="F87" s="646">
        <v>40998</v>
      </c>
      <c r="G87" s="646">
        <v>1166</v>
      </c>
      <c r="H87" s="646">
        <v>339</v>
      </c>
      <c r="I87" s="646">
        <v>181</v>
      </c>
      <c r="J87" s="647">
        <f t="shared" si="59"/>
        <v>520</v>
      </c>
      <c r="K87" s="272">
        <v>9146</v>
      </c>
      <c r="L87" s="646">
        <v>8649</v>
      </c>
      <c r="M87" s="646">
        <v>362</v>
      </c>
      <c r="N87" s="646">
        <v>84</v>
      </c>
      <c r="O87" s="646">
        <v>51</v>
      </c>
      <c r="P87" s="646">
        <f t="shared" si="60"/>
        <v>135</v>
      </c>
      <c r="Q87" s="645">
        <v>25036</v>
      </c>
      <c r="R87" s="646">
        <v>24022</v>
      </c>
      <c r="S87" s="646">
        <v>681</v>
      </c>
      <c r="T87" s="646">
        <v>228</v>
      </c>
      <c r="U87" s="646">
        <v>105</v>
      </c>
      <c r="V87" s="647">
        <f t="shared" si="61"/>
        <v>333</v>
      </c>
      <c r="W87" s="645">
        <v>8502</v>
      </c>
      <c r="X87" s="646">
        <v>8327</v>
      </c>
      <c r="Y87" s="646">
        <v>123</v>
      </c>
      <c r="Z87" s="646">
        <v>27</v>
      </c>
      <c r="AA87" s="646">
        <v>25</v>
      </c>
      <c r="AB87" s="647">
        <f t="shared" si="62"/>
        <v>52</v>
      </c>
      <c r="AC87" s="653">
        <f t="shared" si="63"/>
        <v>0.96050042170368288</v>
      </c>
      <c r="AD87" s="654">
        <f t="shared" si="64"/>
        <v>2.7317027457595351E-2</v>
      </c>
      <c r="AE87" s="654">
        <f t="shared" si="52"/>
        <v>7.9420860275513077E-3</v>
      </c>
      <c r="AF87" s="654">
        <f t="shared" si="53"/>
        <v>4.2404648111704617E-3</v>
      </c>
      <c r="AG87" s="655">
        <f t="shared" si="54"/>
        <v>1.2182550838721769E-2</v>
      </c>
      <c r="AH87" s="653">
        <f t="shared" si="55"/>
        <v>0.21427232686721021</v>
      </c>
      <c r="AI87" s="654">
        <f t="shared" si="56"/>
        <v>0.58654296691968888</v>
      </c>
      <c r="AJ87" s="655">
        <f t="shared" si="57"/>
        <v>0.19918470621310091</v>
      </c>
      <c r="AK87" s="645">
        <v>2793</v>
      </c>
      <c r="AL87" s="646">
        <v>1063</v>
      </c>
      <c r="AM87" s="646">
        <v>1650</v>
      </c>
      <c r="AN87" s="647">
        <v>80</v>
      </c>
      <c r="AO87" s="273">
        <f t="shared" si="58"/>
        <v>6.5434354793365193E-2</v>
      </c>
    </row>
    <row r="88" spans="1:41">
      <c r="A88" s="271" t="s">
        <v>214</v>
      </c>
      <c r="B88" s="271" t="s">
        <v>215</v>
      </c>
      <c r="C88" s="271" t="s">
        <v>268</v>
      </c>
      <c r="D88" s="271">
        <v>2</v>
      </c>
      <c r="E88" s="645">
        <v>31652</v>
      </c>
      <c r="F88" s="646">
        <v>30634</v>
      </c>
      <c r="G88" s="646">
        <v>824</v>
      </c>
      <c r="H88" s="646">
        <v>143</v>
      </c>
      <c r="I88" s="646">
        <v>51</v>
      </c>
      <c r="J88" s="647">
        <f t="shared" si="59"/>
        <v>194</v>
      </c>
      <c r="K88" s="272">
        <v>6354</v>
      </c>
      <c r="L88" s="646">
        <v>6129</v>
      </c>
      <c r="M88" s="646">
        <v>179</v>
      </c>
      <c r="N88" s="646">
        <v>45</v>
      </c>
      <c r="O88" s="646">
        <v>1</v>
      </c>
      <c r="P88" s="646">
        <f t="shared" si="60"/>
        <v>46</v>
      </c>
      <c r="Q88" s="645">
        <v>19160</v>
      </c>
      <c r="R88" s="646">
        <v>18463</v>
      </c>
      <c r="S88" s="646">
        <v>574</v>
      </c>
      <c r="T88" s="646">
        <v>85</v>
      </c>
      <c r="U88" s="646">
        <v>38</v>
      </c>
      <c r="V88" s="647">
        <f t="shared" si="61"/>
        <v>123</v>
      </c>
      <c r="W88" s="645">
        <v>6138</v>
      </c>
      <c r="X88" s="646">
        <v>6042</v>
      </c>
      <c r="Y88" s="646">
        <v>71</v>
      </c>
      <c r="Z88" s="646">
        <v>13</v>
      </c>
      <c r="AA88" s="646">
        <v>12</v>
      </c>
      <c r="AB88" s="647">
        <f t="shared" si="62"/>
        <v>25</v>
      </c>
      <c r="AC88" s="653">
        <f t="shared" si="63"/>
        <v>0.96783773537217233</v>
      </c>
      <c r="AD88" s="654">
        <f t="shared" si="64"/>
        <v>2.6033110072033364E-2</v>
      </c>
      <c r="AE88" s="654">
        <f t="shared" si="52"/>
        <v>4.5178819663844304E-3</v>
      </c>
      <c r="AF88" s="654">
        <f t="shared" si="53"/>
        <v>1.6112725894098319E-3</v>
      </c>
      <c r="AG88" s="655">
        <f t="shared" si="54"/>
        <v>6.1291545557942625E-3</v>
      </c>
      <c r="AH88" s="653">
        <f t="shared" si="55"/>
        <v>0.20074560849235434</v>
      </c>
      <c r="AI88" s="654">
        <f t="shared" si="56"/>
        <v>0.6053329963351447</v>
      </c>
      <c r="AJ88" s="655">
        <f t="shared" si="57"/>
        <v>0.19392139517250095</v>
      </c>
      <c r="AK88" s="645">
        <v>572</v>
      </c>
      <c r="AL88" s="646">
        <v>227</v>
      </c>
      <c r="AM88" s="646">
        <v>317</v>
      </c>
      <c r="AN88" s="647">
        <v>28</v>
      </c>
      <c r="AO88" s="273">
        <f t="shared" si="58"/>
        <v>1.8071527865537722E-2</v>
      </c>
    </row>
    <row r="89" spans="1:41">
      <c r="A89" s="271" t="s">
        <v>216</v>
      </c>
      <c r="B89" s="271" t="s">
        <v>217</v>
      </c>
      <c r="C89" s="271" t="s">
        <v>264</v>
      </c>
      <c r="D89" s="271">
        <v>2</v>
      </c>
      <c r="E89" s="645">
        <v>18128</v>
      </c>
      <c r="F89" s="646">
        <v>11214</v>
      </c>
      <c r="G89" s="646">
        <v>6773</v>
      </c>
      <c r="H89" s="646">
        <v>69</v>
      </c>
      <c r="I89" s="646">
        <v>72</v>
      </c>
      <c r="J89" s="647">
        <f t="shared" si="59"/>
        <v>141</v>
      </c>
      <c r="K89" s="272">
        <v>3533</v>
      </c>
      <c r="L89" s="646">
        <v>2181</v>
      </c>
      <c r="M89" s="646">
        <v>1324</v>
      </c>
      <c r="N89" s="646">
        <v>15</v>
      </c>
      <c r="O89" s="646">
        <v>13</v>
      </c>
      <c r="P89" s="646">
        <f t="shared" si="60"/>
        <v>28</v>
      </c>
      <c r="Q89" s="645">
        <v>11456</v>
      </c>
      <c r="R89" s="646">
        <v>7021</v>
      </c>
      <c r="S89" s="646">
        <v>4333</v>
      </c>
      <c r="T89" s="646">
        <v>51</v>
      </c>
      <c r="U89" s="646">
        <v>51</v>
      </c>
      <c r="V89" s="647">
        <f t="shared" si="61"/>
        <v>102</v>
      </c>
      <c r="W89" s="645">
        <v>3139</v>
      </c>
      <c r="X89" s="646">
        <v>2012</v>
      </c>
      <c r="Y89" s="646">
        <v>1116</v>
      </c>
      <c r="Z89" s="646">
        <v>3</v>
      </c>
      <c r="AA89" s="646">
        <v>8</v>
      </c>
      <c r="AB89" s="647">
        <f t="shared" si="62"/>
        <v>11</v>
      </c>
      <c r="AC89" s="653">
        <f t="shared" si="63"/>
        <v>0.61860105913503971</v>
      </c>
      <c r="AD89" s="654">
        <f t="shared" si="64"/>
        <v>0.37362091791703445</v>
      </c>
      <c r="AE89" s="654">
        <f t="shared" si="52"/>
        <v>3.8062665489849955E-3</v>
      </c>
      <c r="AF89" s="654">
        <f t="shared" si="53"/>
        <v>3.9717563989408646E-3</v>
      </c>
      <c r="AG89" s="655">
        <f t="shared" si="54"/>
        <v>7.778022947925861E-3</v>
      </c>
      <c r="AH89" s="653">
        <f t="shared" si="55"/>
        <v>0.19489187996469551</v>
      </c>
      <c r="AI89" s="654">
        <f t="shared" si="56"/>
        <v>0.63195057369814656</v>
      </c>
      <c r="AJ89" s="655">
        <f t="shared" si="57"/>
        <v>0.17315754633715799</v>
      </c>
      <c r="AK89" s="645">
        <v>236</v>
      </c>
      <c r="AL89" s="646">
        <v>81</v>
      </c>
      <c r="AM89" s="646">
        <v>138</v>
      </c>
      <c r="AN89" s="647">
        <v>17</v>
      </c>
      <c r="AO89" s="273">
        <f t="shared" si="58"/>
        <v>1.3018534863195057E-2</v>
      </c>
    </row>
    <row r="90" spans="1:41">
      <c r="A90" s="271" t="s">
        <v>218</v>
      </c>
      <c r="B90" s="271" t="s">
        <v>219</v>
      </c>
      <c r="C90" s="271" t="s">
        <v>267</v>
      </c>
      <c r="D90" s="271">
        <v>2</v>
      </c>
      <c r="E90" s="645">
        <v>127348</v>
      </c>
      <c r="F90" s="646">
        <v>101304</v>
      </c>
      <c r="G90" s="646">
        <v>21471</v>
      </c>
      <c r="H90" s="646">
        <v>3941</v>
      </c>
      <c r="I90" s="646">
        <v>632</v>
      </c>
      <c r="J90" s="647">
        <f t="shared" si="59"/>
        <v>4573</v>
      </c>
      <c r="K90" s="272">
        <v>33150</v>
      </c>
      <c r="L90" s="646">
        <v>25686</v>
      </c>
      <c r="M90" s="646">
        <v>6175</v>
      </c>
      <c r="N90" s="646">
        <v>1121</v>
      </c>
      <c r="O90" s="646">
        <v>168</v>
      </c>
      <c r="P90" s="646">
        <f t="shared" si="60"/>
        <v>1289</v>
      </c>
      <c r="Q90" s="645">
        <v>79371</v>
      </c>
      <c r="R90" s="646">
        <v>62986</v>
      </c>
      <c r="S90" s="646">
        <v>13467</v>
      </c>
      <c r="T90" s="646">
        <v>2494</v>
      </c>
      <c r="U90" s="646">
        <v>424</v>
      </c>
      <c r="V90" s="647">
        <f t="shared" si="61"/>
        <v>2918</v>
      </c>
      <c r="W90" s="645">
        <v>14827</v>
      </c>
      <c r="X90" s="646">
        <v>12632</v>
      </c>
      <c r="Y90" s="646">
        <v>1829</v>
      </c>
      <c r="Z90" s="646">
        <v>326</v>
      </c>
      <c r="AA90" s="646">
        <v>40</v>
      </c>
      <c r="AB90" s="647">
        <f t="shared" si="62"/>
        <v>366</v>
      </c>
      <c r="AC90" s="653">
        <f t="shared" si="63"/>
        <v>0.79548952476678081</v>
      </c>
      <c r="AD90" s="654">
        <f t="shared" si="64"/>
        <v>0.1686009988378302</v>
      </c>
      <c r="AE90" s="654">
        <f t="shared" si="52"/>
        <v>3.0946697239061471E-2</v>
      </c>
      <c r="AF90" s="654">
        <f t="shared" si="53"/>
        <v>4.9627791563275434E-3</v>
      </c>
      <c r="AG90" s="655">
        <f t="shared" si="54"/>
        <v>3.5909476395389016E-2</v>
      </c>
      <c r="AH90" s="653">
        <f t="shared" si="55"/>
        <v>0.26031033074724375</v>
      </c>
      <c r="AI90" s="654">
        <f t="shared" si="56"/>
        <v>0.62326067154568587</v>
      </c>
      <c r="AJ90" s="655">
        <f t="shared" si="57"/>
        <v>0.11642899770707039</v>
      </c>
      <c r="AK90" s="645">
        <v>10529</v>
      </c>
      <c r="AL90" s="646">
        <v>3821</v>
      </c>
      <c r="AM90" s="646">
        <v>6372</v>
      </c>
      <c r="AN90" s="647">
        <v>336</v>
      </c>
      <c r="AO90" s="273">
        <f t="shared" si="58"/>
        <v>8.2678958444577066E-2</v>
      </c>
    </row>
    <row r="91" spans="1:41">
      <c r="A91" s="271" t="s">
        <v>220</v>
      </c>
      <c r="B91" s="271" t="s">
        <v>221</v>
      </c>
      <c r="C91" s="271" t="s">
        <v>267</v>
      </c>
      <c r="D91" s="271">
        <v>2</v>
      </c>
      <c r="E91" s="645">
        <v>136788</v>
      </c>
      <c r="F91" s="646">
        <v>104570</v>
      </c>
      <c r="G91" s="646">
        <v>25832</v>
      </c>
      <c r="H91" s="646">
        <v>5311</v>
      </c>
      <c r="I91" s="646">
        <v>1075</v>
      </c>
      <c r="J91" s="647">
        <f t="shared" si="59"/>
        <v>6386</v>
      </c>
      <c r="K91" s="272">
        <v>37032</v>
      </c>
      <c r="L91" s="646">
        <v>27452</v>
      </c>
      <c r="M91" s="646">
        <v>7775</v>
      </c>
      <c r="N91" s="646">
        <v>1491</v>
      </c>
      <c r="O91" s="646">
        <v>314</v>
      </c>
      <c r="P91" s="646">
        <f t="shared" si="60"/>
        <v>1805</v>
      </c>
      <c r="Q91" s="645">
        <v>87910</v>
      </c>
      <c r="R91" s="646">
        <v>67000</v>
      </c>
      <c r="S91" s="646">
        <v>16764</v>
      </c>
      <c r="T91" s="646">
        <v>3467</v>
      </c>
      <c r="U91" s="646">
        <v>679</v>
      </c>
      <c r="V91" s="647">
        <f t="shared" si="61"/>
        <v>4146</v>
      </c>
      <c r="W91" s="645">
        <v>11846</v>
      </c>
      <c r="X91" s="646">
        <v>10118</v>
      </c>
      <c r="Y91" s="646">
        <v>1293</v>
      </c>
      <c r="Z91" s="646">
        <v>353</v>
      </c>
      <c r="AA91" s="646">
        <v>82</v>
      </c>
      <c r="AB91" s="647">
        <f t="shared" si="62"/>
        <v>435</v>
      </c>
      <c r="AC91" s="653">
        <f t="shared" si="63"/>
        <v>0.76446764336052875</v>
      </c>
      <c r="AD91" s="654">
        <f t="shared" si="64"/>
        <v>0.18884697488083749</v>
      </c>
      <c r="AE91" s="654">
        <f t="shared" si="52"/>
        <v>3.8826505248998451E-2</v>
      </c>
      <c r="AF91" s="654">
        <f t="shared" si="53"/>
        <v>7.8588765096353486E-3</v>
      </c>
      <c r="AG91" s="655">
        <f t="shared" si="54"/>
        <v>4.66853817586338E-2</v>
      </c>
      <c r="AH91" s="653">
        <f t="shared" si="55"/>
        <v>0.27072550223703834</v>
      </c>
      <c r="AI91" s="654">
        <f t="shared" si="56"/>
        <v>0.64267333391817993</v>
      </c>
      <c r="AJ91" s="655">
        <f t="shared" si="57"/>
        <v>8.6601163844781712E-2</v>
      </c>
      <c r="AK91" s="645">
        <v>14327</v>
      </c>
      <c r="AL91" s="646">
        <v>5151</v>
      </c>
      <c r="AM91" s="646">
        <v>8741</v>
      </c>
      <c r="AN91" s="647">
        <v>435</v>
      </c>
      <c r="AO91" s="273">
        <f t="shared" si="58"/>
        <v>0.10473871977074012</v>
      </c>
    </row>
    <row r="92" spans="1:41">
      <c r="A92" s="271" t="s">
        <v>224</v>
      </c>
      <c r="B92" s="271" t="s">
        <v>225</v>
      </c>
      <c r="C92" s="271" t="s">
        <v>264</v>
      </c>
      <c r="D92" s="271">
        <v>2</v>
      </c>
      <c r="E92" s="645">
        <v>6765</v>
      </c>
      <c r="F92" s="646">
        <v>3618</v>
      </c>
      <c r="G92" s="646">
        <v>3084</v>
      </c>
      <c r="H92" s="646">
        <v>30</v>
      </c>
      <c r="I92" s="646">
        <v>33</v>
      </c>
      <c r="J92" s="647">
        <f t="shared" si="59"/>
        <v>63</v>
      </c>
      <c r="K92" s="272">
        <v>1280</v>
      </c>
      <c r="L92" s="646">
        <v>653</v>
      </c>
      <c r="M92" s="646">
        <v>622</v>
      </c>
      <c r="N92" s="646">
        <v>3</v>
      </c>
      <c r="O92" s="646">
        <v>2</v>
      </c>
      <c r="P92" s="646">
        <f t="shared" si="60"/>
        <v>5</v>
      </c>
      <c r="Q92" s="645">
        <v>4239</v>
      </c>
      <c r="R92" s="646">
        <v>2309</v>
      </c>
      <c r="S92" s="646">
        <v>1882</v>
      </c>
      <c r="T92" s="646">
        <v>24</v>
      </c>
      <c r="U92" s="646">
        <v>24</v>
      </c>
      <c r="V92" s="647">
        <f t="shared" si="61"/>
        <v>48</v>
      </c>
      <c r="W92" s="645">
        <v>1246</v>
      </c>
      <c r="X92" s="646">
        <v>656</v>
      </c>
      <c r="Y92" s="646">
        <v>580</v>
      </c>
      <c r="Z92" s="646">
        <v>3</v>
      </c>
      <c r="AA92" s="646">
        <v>7</v>
      </c>
      <c r="AB92" s="647">
        <f t="shared" si="62"/>
        <v>10</v>
      </c>
      <c r="AC92" s="653">
        <f t="shared" si="63"/>
        <v>0.53481152993348113</v>
      </c>
      <c r="AD92" s="654">
        <f t="shared" si="64"/>
        <v>0.45587583148558758</v>
      </c>
      <c r="AE92" s="654">
        <f t="shared" si="52"/>
        <v>4.434589800443459E-3</v>
      </c>
      <c r="AF92" s="654">
        <f t="shared" si="53"/>
        <v>4.8780487804878049E-3</v>
      </c>
      <c r="AG92" s="655">
        <f t="shared" si="54"/>
        <v>9.3126385809312647E-3</v>
      </c>
      <c r="AH92" s="653">
        <f t="shared" si="55"/>
        <v>0.18920916481892092</v>
      </c>
      <c r="AI92" s="654">
        <f t="shared" si="56"/>
        <v>0.62660753880266074</v>
      </c>
      <c r="AJ92" s="655">
        <f t="shared" si="57"/>
        <v>0.18418329637841832</v>
      </c>
      <c r="AK92" s="645">
        <v>115</v>
      </c>
      <c r="AL92" s="646">
        <v>31</v>
      </c>
      <c r="AM92" s="646">
        <v>76</v>
      </c>
      <c r="AN92" s="647">
        <v>8</v>
      </c>
      <c r="AO92" s="273">
        <f t="shared" si="58"/>
        <v>1.6999260901699925E-2</v>
      </c>
    </row>
    <row r="93" spans="1:41">
      <c r="A93" s="271" t="s">
        <v>226</v>
      </c>
      <c r="B93" s="271" t="s">
        <v>227</v>
      </c>
      <c r="C93" s="271" t="s">
        <v>264</v>
      </c>
      <c r="D93" s="271">
        <v>2</v>
      </c>
      <c r="E93" s="645">
        <v>11810</v>
      </c>
      <c r="F93" s="646">
        <v>4828</v>
      </c>
      <c r="G93" s="646">
        <v>6887</v>
      </c>
      <c r="H93" s="646">
        <v>47</v>
      </c>
      <c r="I93" s="646">
        <v>48</v>
      </c>
      <c r="J93" s="647">
        <f t="shared" si="59"/>
        <v>95</v>
      </c>
      <c r="K93" s="272">
        <v>1893</v>
      </c>
      <c r="L93" s="646">
        <v>787</v>
      </c>
      <c r="M93" s="646">
        <v>1088</v>
      </c>
      <c r="N93" s="646">
        <v>9</v>
      </c>
      <c r="O93" s="646">
        <v>9</v>
      </c>
      <c r="P93" s="646">
        <f t="shared" si="60"/>
        <v>18</v>
      </c>
      <c r="Q93" s="645">
        <v>8052</v>
      </c>
      <c r="R93" s="646">
        <v>3125</v>
      </c>
      <c r="S93" s="646">
        <v>4858</v>
      </c>
      <c r="T93" s="646">
        <v>31</v>
      </c>
      <c r="U93" s="646">
        <v>38</v>
      </c>
      <c r="V93" s="647">
        <f t="shared" si="61"/>
        <v>69</v>
      </c>
      <c r="W93" s="645">
        <v>1865</v>
      </c>
      <c r="X93" s="646">
        <v>916</v>
      </c>
      <c r="Y93" s="646">
        <v>941</v>
      </c>
      <c r="Z93" s="646">
        <v>7</v>
      </c>
      <c r="AA93" s="646">
        <v>1</v>
      </c>
      <c r="AB93" s="647">
        <f t="shared" si="62"/>
        <v>8</v>
      </c>
      <c r="AC93" s="653">
        <f t="shared" si="63"/>
        <v>0.4088060965283658</v>
      </c>
      <c r="AD93" s="654">
        <f t="shared" si="64"/>
        <v>0.58314987298899235</v>
      </c>
      <c r="AE93" s="654">
        <f t="shared" si="52"/>
        <v>3.9796782387806944E-3</v>
      </c>
      <c r="AF93" s="654">
        <f t="shared" si="53"/>
        <v>4.0643522438611347E-3</v>
      </c>
      <c r="AG93" s="655">
        <f t="shared" si="54"/>
        <v>8.0440304826418282E-3</v>
      </c>
      <c r="AH93" s="653">
        <f t="shared" si="55"/>
        <v>0.1602878916172735</v>
      </c>
      <c r="AI93" s="654">
        <f t="shared" si="56"/>
        <v>0.68179508890770535</v>
      </c>
      <c r="AJ93" s="655">
        <f t="shared" si="57"/>
        <v>0.15791701947502118</v>
      </c>
      <c r="AK93" s="645">
        <v>277</v>
      </c>
      <c r="AL93" s="646">
        <v>79</v>
      </c>
      <c r="AM93" s="646">
        <v>196</v>
      </c>
      <c r="AN93" s="647">
        <v>2</v>
      </c>
      <c r="AO93" s="273">
        <f t="shared" si="58"/>
        <v>2.3454699407281964E-2</v>
      </c>
    </row>
    <row r="94" spans="1:41">
      <c r="A94" s="271" t="s">
        <v>228</v>
      </c>
      <c r="B94" s="271" t="s">
        <v>229</v>
      </c>
      <c r="C94" s="271" t="s">
        <v>268</v>
      </c>
      <c r="D94" s="271">
        <v>2</v>
      </c>
      <c r="E94" s="645">
        <v>44103</v>
      </c>
      <c r="F94" s="646">
        <v>41991</v>
      </c>
      <c r="G94" s="646">
        <v>1673</v>
      </c>
      <c r="H94" s="646">
        <v>366</v>
      </c>
      <c r="I94" s="646">
        <v>73</v>
      </c>
      <c r="J94" s="647">
        <f t="shared" si="59"/>
        <v>439</v>
      </c>
      <c r="K94" s="272">
        <v>8676</v>
      </c>
      <c r="L94" s="646">
        <v>8256</v>
      </c>
      <c r="M94" s="646">
        <v>321</v>
      </c>
      <c r="N94" s="646">
        <v>83</v>
      </c>
      <c r="O94" s="646">
        <v>16</v>
      </c>
      <c r="P94" s="646">
        <f t="shared" si="60"/>
        <v>99</v>
      </c>
      <c r="Q94" s="645">
        <v>27264</v>
      </c>
      <c r="R94" s="646">
        <v>25819</v>
      </c>
      <c r="S94" s="646">
        <v>1183</v>
      </c>
      <c r="T94" s="646">
        <v>214</v>
      </c>
      <c r="U94" s="646">
        <v>48</v>
      </c>
      <c r="V94" s="647">
        <f t="shared" si="61"/>
        <v>262</v>
      </c>
      <c r="W94" s="645">
        <v>8163</v>
      </c>
      <c r="X94" s="646">
        <v>7916</v>
      </c>
      <c r="Y94" s="646">
        <v>169</v>
      </c>
      <c r="Z94" s="646">
        <v>69</v>
      </c>
      <c r="AA94" s="646">
        <v>9</v>
      </c>
      <c r="AB94" s="647">
        <f t="shared" si="62"/>
        <v>78</v>
      </c>
      <c r="AC94" s="653">
        <f t="shared" si="63"/>
        <v>0.95211210121760426</v>
      </c>
      <c r="AD94" s="654">
        <f t="shared" si="64"/>
        <v>3.7933927397229214E-2</v>
      </c>
      <c r="AE94" s="654">
        <f t="shared" si="52"/>
        <v>8.2987551867219917E-3</v>
      </c>
      <c r="AF94" s="654">
        <f t="shared" si="53"/>
        <v>1.6552161984445502E-3</v>
      </c>
      <c r="AG94" s="655">
        <f t="shared" si="54"/>
        <v>9.9539713851665417E-3</v>
      </c>
      <c r="AH94" s="653">
        <f t="shared" si="55"/>
        <v>0.19672131147540983</v>
      </c>
      <c r="AI94" s="654">
        <f t="shared" si="56"/>
        <v>0.61818923882729071</v>
      </c>
      <c r="AJ94" s="655">
        <f t="shared" si="57"/>
        <v>0.18508944969729951</v>
      </c>
      <c r="AK94" s="645">
        <v>365</v>
      </c>
      <c r="AL94" s="646">
        <v>105</v>
      </c>
      <c r="AM94" s="646">
        <v>232</v>
      </c>
      <c r="AN94" s="647">
        <v>28</v>
      </c>
      <c r="AO94" s="273">
        <f t="shared" si="58"/>
        <v>8.2760809922227518E-3</v>
      </c>
    </row>
    <row r="95" spans="1:41">
      <c r="A95" s="271" t="s">
        <v>232</v>
      </c>
      <c r="B95" s="271" t="s">
        <v>233</v>
      </c>
      <c r="C95" s="271" t="s">
        <v>267</v>
      </c>
      <c r="D95" s="271">
        <v>2</v>
      </c>
      <c r="E95" s="645">
        <v>38699</v>
      </c>
      <c r="F95" s="646">
        <v>35825</v>
      </c>
      <c r="G95" s="646">
        <v>2162</v>
      </c>
      <c r="H95" s="646">
        <v>531</v>
      </c>
      <c r="I95" s="646">
        <v>181</v>
      </c>
      <c r="J95" s="647">
        <f t="shared" si="59"/>
        <v>712</v>
      </c>
      <c r="K95" s="272">
        <v>8876</v>
      </c>
      <c r="L95" s="646">
        <v>8080</v>
      </c>
      <c r="M95" s="646">
        <v>597</v>
      </c>
      <c r="N95" s="646">
        <v>152</v>
      </c>
      <c r="O95" s="646">
        <v>47</v>
      </c>
      <c r="P95" s="646">
        <f t="shared" si="60"/>
        <v>199</v>
      </c>
      <c r="Q95" s="645">
        <v>24354</v>
      </c>
      <c r="R95" s="646">
        <v>22584</v>
      </c>
      <c r="S95" s="646">
        <v>1317</v>
      </c>
      <c r="T95" s="646">
        <v>335</v>
      </c>
      <c r="U95" s="646">
        <v>118</v>
      </c>
      <c r="V95" s="647">
        <f t="shared" si="61"/>
        <v>453</v>
      </c>
      <c r="W95" s="645">
        <v>5469</v>
      </c>
      <c r="X95" s="646">
        <v>5161</v>
      </c>
      <c r="Y95" s="646">
        <v>248</v>
      </c>
      <c r="Z95" s="646">
        <v>44</v>
      </c>
      <c r="AA95" s="646">
        <v>16</v>
      </c>
      <c r="AB95" s="647">
        <f t="shared" si="62"/>
        <v>60</v>
      </c>
      <c r="AC95" s="653">
        <f t="shared" si="63"/>
        <v>0.92573451510374949</v>
      </c>
      <c r="AD95" s="654">
        <f t="shared" si="64"/>
        <v>5.5867076668647771E-2</v>
      </c>
      <c r="AE95" s="654">
        <f t="shared" si="52"/>
        <v>1.3721284787720613E-2</v>
      </c>
      <c r="AF95" s="654">
        <f t="shared" si="53"/>
        <v>4.6771234398821672E-3</v>
      </c>
      <c r="AG95" s="655">
        <f t="shared" si="54"/>
        <v>1.8398408227602782E-2</v>
      </c>
      <c r="AH95" s="653">
        <f t="shared" si="55"/>
        <v>0.22935993178118297</v>
      </c>
      <c r="AI95" s="654">
        <f t="shared" si="56"/>
        <v>0.62931858704359289</v>
      </c>
      <c r="AJ95" s="655">
        <f t="shared" si="57"/>
        <v>0.14132148117522417</v>
      </c>
      <c r="AK95" s="645">
        <v>1545</v>
      </c>
      <c r="AL95" s="646">
        <v>531</v>
      </c>
      <c r="AM95" s="646">
        <v>922</v>
      </c>
      <c r="AN95" s="647">
        <v>92</v>
      </c>
      <c r="AO95" s="273">
        <f t="shared" si="58"/>
        <v>3.9923512235458279E-2</v>
      </c>
    </row>
    <row r="96" spans="1:41">
      <c r="A96" s="271" t="s">
        <v>234</v>
      </c>
      <c r="B96" s="271" t="s">
        <v>235</v>
      </c>
      <c r="C96" s="271" t="s">
        <v>268</v>
      </c>
      <c r="D96" s="271">
        <v>2</v>
      </c>
      <c r="E96" s="645">
        <v>54907</v>
      </c>
      <c r="F96" s="646">
        <v>53575</v>
      </c>
      <c r="G96" s="646">
        <v>929</v>
      </c>
      <c r="H96" s="646">
        <v>293</v>
      </c>
      <c r="I96" s="646">
        <v>110</v>
      </c>
      <c r="J96" s="647">
        <f t="shared" si="59"/>
        <v>403</v>
      </c>
      <c r="K96" s="272">
        <v>10652</v>
      </c>
      <c r="L96" s="646">
        <v>10264</v>
      </c>
      <c r="M96" s="646">
        <v>265</v>
      </c>
      <c r="N96" s="646">
        <v>97</v>
      </c>
      <c r="O96" s="646">
        <v>26</v>
      </c>
      <c r="P96" s="646">
        <f t="shared" si="60"/>
        <v>123</v>
      </c>
      <c r="Q96" s="645">
        <v>33548</v>
      </c>
      <c r="R96" s="646">
        <v>32746</v>
      </c>
      <c r="S96" s="646">
        <v>549</v>
      </c>
      <c r="T96" s="646">
        <v>179</v>
      </c>
      <c r="U96" s="646">
        <v>74</v>
      </c>
      <c r="V96" s="647">
        <f t="shared" si="61"/>
        <v>253</v>
      </c>
      <c r="W96" s="645">
        <v>10707</v>
      </c>
      <c r="X96" s="646">
        <v>10565</v>
      </c>
      <c r="Y96" s="646">
        <v>115</v>
      </c>
      <c r="Z96" s="646">
        <v>17</v>
      </c>
      <c r="AA96" s="646">
        <v>10</v>
      </c>
      <c r="AB96" s="647">
        <f t="shared" si="62"/>
        <v>27</v>
      </c>
      <c r="AC96" s="653">
        <f t="shared" si="63"/>
        <v>0.97574079807674796</v>
      </c>
      <c r="AD96" s="654">
        <f t="shared" si="64"/>
        <v>1.6919518458484346E-2</v>
      </c>
      <c r="AE96" s="654">
        <f t="shared" si="52"/>
        <v>5.3362959185531897E-3</v>
      </c>
      <c r="AF96" s="654">
        <f t="shared" si="53"/>
        <v>2.0033875462145082E-3</v>
      </c>
      <c r="AG96" s="655">
        <f t="shared" si="54"/>
        <v>7.3396834647676979E-3</v>
      </c>
      <c r="AH96" s="653">
        <f t="shared" si="55"/>
        <v>0.19400076492979038</v>
      </c>
      <c r="AI96" s="654">
        <f t="shared" si="56"/>
        <v>0.61099677636731198</v>
      </c>
      <c r="AJ96" s="655">
        <f t="shared" si="57"/>
        <v>0.19500245870289762</v>
      </c>
      <c r="AK96" s="645">
        <v>763</v>
      </c>
      <c r="AL96" s="646">
        <v>250</v>
      </c>
      <c r="AM96" s="646">
        <v>452</v>
      </c>
      <c r="AN96" s="647">
        <v>61</v>
      </c>
      <c r="AO96" s="273">
        <f t="shared" si="58"/>
        <v>1.3896224525106089E-2</v>
      </c>
    </row>
    <row r="97" spans="1:41">
      <c r="A97" s="271" t="s">
        <v>236</v>
      </c>
      <c r="B97" s="271" t="s">
        <v>237</v>
      </c>
      <c r="C97" s="271" t="s">
        <v>266</v>
      </c>
      <c r="D97" s="271">
        <v>2</v>
      </c>
      <c r="E97" s="645">
        <v>17612</v>
      </c>
      <c r="F97" s="646">
        <v>12271</v>
      </c>
      <c r="G97" s="646">
        <v>5034</v>
      </c>
      <c r="H97" s="646">
        <v>166</v>
      </c>
      <c r="I97" s="646">
        <v>141</v>
      </c>
      <c r="J97" s="647">
        <f t="shared" si="59"/>
        <v>307</v>
      </c>
      <c r="K97" s="272">
        <v>3315</v>
      </c>
      <c r="L97" s="646">
        <v>2079</v>
      </c>
      <c r="M97" s="646">
        <v>1161</v>
      </c>
      <c r="N97" s="646">
        <v>44</v>
      </c>
      <c r="O97" s="646">
        <v>31</v>
      </c>
      <c r="P97" s="646">
        <f t="shared" si="60"/>
        <v>75</v>
      </c>
      <c r="Q97" s="645">
        <v>10267</v>
      </c>
      <c r="R97" s="646">
        <v>7112</v>
      </c>
      <c r="S97" s="646">
        <v>2982</v>
      </c>
      <c r="T97" s="646">
        <v>86</v>
      </c>
      <c r="U97" s="646">
        <v>87</v>
      </c>
      <c r="V97" s="647">
        <f t="shared" si="61"/>
        <v>173</v>
      </c>
      <c r="W97" s="645">
        <v>4030</v>
      </c>
      <c r="X97" s="646">
        <v>3080</v>
      </c>
      <c r="Y97" s="646">
        <v>891</v>
      </c>
      <c r="Z97" s="646">
        <v>36</v>
      </c>
      <c r="AA97" s="646">
        <v>23</v>
      </c>
      <c r="AB97" s="647">
        <f t="shared" si="62"/>
        <v>59</v>
      </c>
      <c r="AC97" s="653">
        <f t="shared" si="63"/>
        <v>0.69674085850556444</v>
      </c>
      <c r="AD97" s="654">
        <f t="shared" si="64"/>
        <v>0.28582784465137406</v>
      </c>
      <c r="AE97" s="654">
        <f t="shared" si="52"/>
        <v>9.4253917783329554E-3</v>
      </c>
      <c r="AF97" s="654">
        <f t="shared" si="53"/>
        <v>8.0059050647285947E-3</v>
      </c>
      <c r="AG97" s="655">
        <f t="shared" si="54"/>
        <v>1.743129684306155E-2</v>
      </c>
      <c r="AH97" s="653">
        <f t="shared" si="55"/>
        <v>0.18822393822393824</v>
      </c>
      <c r="AI97" s="654">
        <f t="shared" si="56"/>
        <v>0.58295480354303886</v>
      </c>
      <c r="AJ97" s="655">
        <f t="shared" si="57"/>
        <v>0.22882125823302293</v>
      </c>
      <c r="AK97" s="645">
        <v>1066</v>
      </c>
      <c r="AL97" s="646">
        <v>325</v>
      </c>
      <c r="AM97" s="646">
        <v>695</v>
      </c>
      <c r="AN97" s="647">
        <v>46</v>
      </c>
      <c r="AO97" s="273">
        <f t="shared" si="58"/>
        <v>6.0526913468089936E-2</v>
      </c>
    </row>
    <row r="98" spans="1:41">
      <c r="A98" s="271" t="s">
        <v>242</v>
      </c>
      <c r="B98" s="271" t="s">
        <v>243</v>
      </c>
      <c r="C98" s="271" t="s">
        <v>268</v>
      </c>
      <c r="D98" s="271">
        <v>3</v>
      </c>
      <c r="E98" s="645">
        <v>40589</v>
      </c>
      <c r="F98" s="646">
        <v>38015</v>
      </c>
      <c r="G98" s="646">
        <v>2323</v>
      </c>
      <c r="H98" s="646">
        <v>190</v>
      </c>
      <c r="I98" s="646">
        <v>61</v>
      </c>
      <c r="J98" s="647">
        <f t="shared" si="59"/>
        <v>251</v>
      </c>
      <c r="K98" s="272">
        <v>8173</v>
      </c>
      <c r="L98" s="646">
        <v>7864</v>
      </c>
      <c r="M98" s="646">
        <v>259</v>
      </c>
      <c r="N98" s="646">
        <v>46</v>
      </c>
      <c r="O98" s="646">
        <v>4</v>
      </c>
      <c r="P98" s="646">
        <f t="shared" si="60"/>
        <v>50</v>
      </c>
      <c r="Q98" s="645">
        <v>26231</v>
      </c>
      <c r="R98" s="646">
        <v>24082</v>
      </c>
      <c r="S98" s="646">
        <v>1986</v>
      </c>
      <c r="T98" s="646">
        <v>115</v>
      </c>
      <c r="U98" s="646">
        <v>48</v>
      </c>
      <c r="V98" s="647">
        <f t="shared" si="61"/>
        <v>163</v>
      </c>
      <c r="W98" s="645">
        <v>6185</v>
      </c>
      <c r="X98" s="646">
        <v>6069</v>
      </c>
      <c r="Y98" s="646">
        <v>78</v>
      </c>
      <c r="Z98" s="646">
        <v>29</v>
      </c>
      <c r="AA98" s="646">
        <v>9</v>
      </c>
      <c r="AB98" s="647">
        <f t="shared" si="62"/>
        <v>38</v>
      </c>
      <c r="AC98" s="653">
        <f t="shared" si="63"/>
        <v>0.93658380349355741</v>
      </c>
      <c r="AD98" s="654">
        <f t="shared" si="64"/>
        <v>5.7232255044470173E-2</v>
      </c>
      <c r="AE98" s="654">
        <f t="shared" si="52"/>
        <v>4.6810712261942892E-3</v>
      </c>
      <c r="AF98" s="654">
        <f t="shared" si="53"/>
        <v>1.5028702357781664E-3</v>
      </c>
      <c r="AG98" s="655">
        <f t="shared" si="54"/>
        <v>6.1839414619724552E-3</v>
      </c>
      <c r="AH98" s="653">
        <f t="shared" si="55"/>
        <v>0.20135997437729433</v>
      </c>
      <c r="AI98" s="654">
        <f t="shared" si="56"/>
        <v>0.64625883860159161</v>
      </c>
      <c r="AJ98" s="655">
        <f t="shared" si="57"/>
        <v>0.15238118702111408</v>
      </c>
      <c r="AK98" s="645">
        <v>491</v>
      </c>
      <c r="AL98" s="646">
        <v>144</v>
      </c>
      <c r="AM98" s="646">
        <v>327</v>
      </c>
      <c r="AN98" s="647">
        <v>20</v>
      </c>
      <c r="AO98" s="273">
        <f t="shared" si="58"/>
        <v>1.2096873537165242E-2</v>
      </c>
    </row>
    <row r="99" spans="1:41">
      <c r="A99" s="271" t="s">
        <v>244</v>
      </c>
      <c r="B99" s="271" t="s">
        <v>245</v>
      </c>
      <c r="C99" s="271" t="s">
        <v>268</v>
      </c>
      <c r="D99" s="271">
        <v>2</v>
      </c>
      <c r="E99" s="645">
        <v>29344</v>
      </c>
      <c r="F99" s="646">
        <v>28089</v>
      </c>
      <c r="G99" s="646">
        <v>1025</v>
      </c>
      <c r="H99" s="646">
        <v>182</v>
      </c>
      <c r="I99" s="646">
        <v>48</v>
      </c>
      <c r="J99" s="647">
        <f t="shared" si="59"/>
        <v>230</v>
      </c>
      <c r="K99" s="272">
        <v>5948</v>
      </c>
      <c r="L99" s="646">
        <v>5588</v>
      </c>
      <c r="M99" s="646">
        <v>311</v>
      </c>
      <c r="N99" s="646">
        <v>40</v>
      </c>
      <c r="O99" s="646">
        <v>9</v>
      </c>
      <c r="P99" s="646">
        <f t="shared" si="60"/>
        <v>49</v>
      </c>
      <c r="Q99" s="645">
        <v>17774</v>
      </c>
      <c r="R99" s="646">
        <v>17063</v>
      </c>
      <c r="S99" s="646">
        <v>561</v>
      </c>
      <c r="T99" s="646">
        <v>117</v>
      </c>
      <c r="U99" s="646">
        <v>33</v>
      </c>
      <c r="V99" s="647">
        <f t="shared" si="61"/>
        <v>150</v>
      </c>
      <c r="W99" s="645">
        <v>5622</v>
      </c>
      <c r="X99" s="646">
        <v>5438</v>
      </c>
      <c r="Y99" s="646">
        <v>153</v>
      </c>
      <c r="Z99" s="646">
        <v>25</v>
      </c>
      <c r="AA99" s="646">
        <v>6</v>
      </c>
      <c r="AB99" s="647">
        <f t="shared" si="62"/>
        <v>31</v>
      </c>
      <c r="AC99" s="653">
        <f t="shared" si="63"/>
        <v>0.95723146128680481</v>
      </c>
      <c r="AD99" s="654">
        <f t="shared" si="64"/>
        <v>3.4930479825517995E-2</v>
      </c>
      <c r="AE99" s="654">
        <f t="shared" si="52"/>
        <v>6.2022900763358778E-3</v>
      </c>
      <c r="AF99" s="654">
        <f t="shared" si="53"/>
        <v>1.6357688113413304E-3</v>
      </c>
      <c r="AG99" s="655">
        <f t="shared" si="54"/>
        <v>7.838058887677208E-3</v>
      </c>
      <c r="AH99" s="653">
        <f t="shared" si="55"/>
        <v>0.20269901853871319</v>
      </c>
      <c r="AI99" s="654">
        <f t="shared" si="56"/>
        <v>0.60571155943293353</v>
      </c>
      <c r="AJ99" s="655">
        <f t="shared" si="57"/>
        <v>0.19158942202835333</v>
      </c>
      <c r="AK99" s="645">
        <v>310</v>
      </c>
      <c r="AL99" s="646">
        <v>104</v>
      </c>
      <c r="AM99" s="646">
        <v>181</v>
      </c>
      <c r="AN99" s="647">
        <v>25</v>
      </c>
      <c r="AO99" s="273">
        <f t="shared" si="58"/>
        <v>1.0564340239912758E-2</v>
      </c>
    </row>
    <row r="100" spans="1:41">
      <c r="A100" s="271" t="s">
        <v>246</v>
      </c>
      <c r="B100" s="271" t="s">
        <v>247</v>
      </c>
      <c r="C100" s="271" t="s">
        <v>264</v>
      </c>
      <c r="D100" s="271">
        <v>2</v>
      </c>
      <c r="E100" s="645">
        <v>78373</v>
      </c>
      <c r="F100" s="646">
        <v>63925</v>
      </c>
      <c r="G100" s="646">
        <v>9494</v>
      </c>
      <c r="H100" s="646">
        <v>4536</v>
      </c>
      <c r="I100" s="646">
        <v>418</v>
      </c>
      <c r="J100" s="647">
        <f t="shared" si="59"/>
        <v>4954</v>
      </c>
      <c r="K100" s="272">
        <v>18824</v>
      </c>
      <c r="L100" s="646">
        <v>14936</v>
      </c>
      <c r="M100" s="646">
        <v>2484</v>
      </c>
      <c r="N100" s="646">
        <v>1286</v>
      </c>
      <c r="O100" s="646">
        <v>118</v>
      </c>
      <c r="P100" s="646">
        <f t="shared" si="60"/>
        <v>1404</v>
      </c>
      <c r="Q100" s="645">
        <v>48109</v>
      </c>
      <c r="R100" s="646">
        <v>39129</v>
      </c>
      <c r="S100" s="646">
        <v>5836</v>
      </c>
      <c r="T100" s="646">
        <v>2878</v>
      </c>
      <c r="U100" s="646">
        <v>266</v>
      </c>
      <c r="V100" s="647">
        <f t="shared" si="61"/>
        <v>3144</v>
      </c>
      <c r="W100" s="645">
        <v>11440</v>
      </c>
      <c r="X100" s="646">
        <v>9860</v>
      </c>
      <c r="Y100" s="646">
        <v>1174</v>
      </c>
      <c r="Z100" s="646">
        <v>372</v>
      </c>
      <c r="AA100" s="646">
        <v>34</v>
      </c>
      <c r="AB100" s="647">
        <f t="shared" si="62"/>
        <v>406</v>
      </c>
      <c r="AC100" s="653">
        <f t="shared" si="63"/>
        <v>0.81565079810649077</v>
      </c>
      <c r="AD100" s="654">
        <f t="shared" si="64"/>
        <v>0.12113865744580404</v>
      </c>
      <c r="AE100" s="654">
        <f t="shared" si="52"/>
        <v>5.7877075013078483E-2</v>
      </c>
      <c r="AF100" s="654">
        <f t="shared" si="53"/>
        <v>5.3334694346267213E-3</v>
      </c>
      <c r="AG100" s="655">
        <f t="shared" si="54"/>
        <v>6.32105444477052E-2</v>
      </c>
      <c r="AH100" s="653">
        <f t="shared" si="55"/>
        <v>0.24018475750577367</v>
      </c>
      <c r="AI100" s="654">
        <f t="shared" si="56"/>
        <v>0.61384660533602131</v>
      </c>
      <c r="AJ100" s="655">
        <f t="shared" si="57"/>
        <v>0.14596863715820499</v>
      </c>
      <c r="AK100" s="645">
        <v>3941</v>
      </c>
      <c r="AL100" s="646">
        <v>1366</v>
      </c>
      <c r="AM100" s="646">
        <v>2445</v>
      </c>
      <c r="AN100" s="647">
        <v>130</v>
      </c>
      <c r="AO100" s="273">
        <f t="shared" si="58"/>
        <v>5.0285174741301217E-2</v>
      </c>
    </row>
    <row r="101" spans="1:41">
      <c r="A101" s="271" t="s">
        <v>14</v>
      </c>
      <c r="B101" s="271" t="s">
        <v>15</v>
      </c>
      <c r="C101" s="271" t="s">
        <v>267</v>
      </c>
      <c r="D101" s="271">
        <v>3</v>
      </c>
      <c r="E101" s="645">
        <v>148892</v>
      </c>
      <c r="F101" s="646">
        <v>101606</v>
      </c>
      <c r="G101" s="646">
        <v>34545</v>
      </c>
      <c r="H101" s="646">
        <v>11362</v>
      </c>
      <c r="I101" s="646">
        <v>1379</v>
      </c>
      <c r="J101" s="647">
        <f t="shared" si="59"/>
        <v>12741</v>
      </c>
      <c r="K101" s="272">
        <v>26359</v>
      </c>
      <c r="L101" s="646">
        <v>16839</v>
      </c>
      <c r="M101" s="646">
        <v>7431</v>
      </c>
      <c r="N101" s="646">
        <v>1735</v>
      </c>
      <c r="O101" s="646">
        <v>354</v>
      </c>
      <c r="P101" s="646">
        <f t="shared" si="60"/>
        <v>2089</v>
      </c>
      <c r="Q101" s="645">
        <v>107894</v>
      </c>
      <c r="R101" s="646">
        <v>73518</v>
      </c>
      <c r="S101" s="646">
        <v>24675</v>
      </c>
      <c r="T101" s="646">
        <v>8736</v>
      </c>
      <c r="U101" s="646">
        <v>965</v>
      </c>
      <c r="V101" s="647">
        <f t="shared" si="61"/>
        <v>9701</v>
      </c>
      <c r="W101" s="645">
        <v>14639</v>
      </c>
      <c r="X101" s="646">
        <v>11249</v>
      </c>
      <c r="Y101" s="646">
        <v>2439</v>
      </c>
      <c r="Z101" s="646">
        <v>891</v>
      </c>
      <c r="AA101" s="646">
        <v>60</v>
      </c>
      <c r="AB101" s="647">
        <f t="shared" si="62"/>
        <v>951</v>
      </c>
      <c r="AC101" s="653">
        <f t="shared" si="63"/>
        <v>0.68241409880987558</v>
      </c>
      <c r="AD101" s="654">
        <f t="shared" si="64"/>
        <v>0.23201380866668458</v>
      </c>
      <c r="AE101" s="654">
        <f t="shared" ref="AE101:AE125" si="65">H101/E101</f>
        <v>7.6310345753969319E-2</v>
      </c>
      <c r="AF101" s="654">
        <f t="shared" ref="AF101:AF125" si="66">I101/E101</f>
        <v>9.2617467694704886E-3</v>
      </c>
      <c r="AG101" s="655">
        <f t="shared" ref="AG101:AG125" si="67">J101/E101</f>
        <v>8.5572092523439808E-2</v>
      </c>
      <c r="AH101" s="653">
        <f t="shared" ref="AH101:AH125" si="68">K101/E101</f>
        <v>0.17703436047604976</v>
      </c>
      <c r="AI101" s="654">
        <f t="shared" ref="AI101:AI125" si="69">Q101/E101</f>
        <v>0.72464605217204414</v>
      </c>
      <c r="AJ101" s="655">
        <f t="shared" ref="AJ101:AJ125" si="70">W101/E101</f>
        <v>9.8319587351906074E-2</v>
      </c>
      <c r="AK101" s="645">
        <v>25211</v>
      </c>
      <c r="AL101" s="646">
        <v>6541</v>
      </c>
      <c r="AM101" s="646">
        <v>17660</v>
      </c>
      <c r="AN101" s="647">
        <v>1010</v>
      </c>
      <c r="AO101" s="273">
        <f t="shared" ref="AO101:AO125" si="71">AK101/E101</f>
        <v>0.16932407382532305</v>
      </c>
    </row>
    <row r="102" spans="1:41">
      <c r="A102" s="271" t="s">
        <v>34</v>
      </c>
      <c r="B102" s="271" t="s">
        <v>35</v>
      </c>
      <c r="C102" s="271" t="s">
        <v>268</v>
      </c>
      <c r="D102" s="271">
        <v>2</v>
      </c>
      <c r="E102" s="645">
        <v>17341</v>
      </c>
      <c r="F102" s="646">
        <v>15975</v>
      </c>
      <c r="G102" s="646">
        <v>1132</v>
      </c>
      <c r="H102" s="646">
        <v>174</v>
      </c>
      <c r="I102" s="646">
        <v>60</v>
      </c>
      <c r="J102" s="647">
        <f t="shared" ref="J102:J125" si="72">H102+I102</f>
        <v>234</v>
      </c>
      <c r="K102" s="272">
        <v>3468</v>
      </c>
      <c r="L102" s="646">
        <v>3054</v>
      </c>
      <c r="M102" s="646">
        <v>346</v>
      </c>
      <c r="N102" s="646">
        <v>52</v>
      </c>
      <c r="O102" s="646">
        <v>16</v>
      </c>
      <c r="P102" s="646">
        <f t="shared" ref="P102:P125" si="73">N102+O102</f>
        <v>68</v>
      </c>
      <c r="Q102" s="645">
        <v>10479</v>
      </c>
      <c r="R102" s="646">
        <v>9666</v>
      </c>
      <c r="S102" s="646">
        <v>666</v>
      </c>
      <c r="T102" s="646">
        <v>106</v>
      </c>
      <c r="U102" s="646">
        <v>41</v>
      </c>
      <c r="V102" s="647">
        <f t="shared" ref="V102:V125" si="74">T102+U102</f>
        <v>147</v>
      </c>
      <c r="W102" s="645">
        <v>3394</v>
      </c>
      <c r="X102" s="646">
        <v>3255</v>
      </c>
      <c r="Y102" s="646">
        <v>120</v>
      </c>
      <c r="Z102" s="646">
        <v>16</v>
      </c>
      <c r="AA102" s="646">
        <v>3</v>
      </c>
      <c r="AB102" s="647">
        <f t="shared" ref="AB102:AB125" si="75">Z102+AA102</f>
        <v>19</v>
      </c>
      <c r="AC102" s="653">
        <f t="shared" ref="AC102:AC125" si="76">F102/E102</f>
        <v>0.92122714953001561</v>
      </c>
      <c r="AD102" s="654">
        <f t="shared" ref="AD102:AD125" si="77">G102/E102</f>
        <v>6.5278818983910969E-2</v>
      </c>
      <c r="AE102" s="654">
        <f t="shared" si="65"/>
        <v>1.0034023412721296E-2</v>
      </c>
      <c r="AF102" s="654">
        <f t="shared" si="66"/>
        <v>3.4600080733521712E-3</v>
      </c>
      <c r="AG102" s="655">
        <f t="shared" si="67"/>
        <v>1.3494031486073468E-2</v>
      </c>
      <c r="AH102" s="653">
        <f t="shared" si="68"/>
        <v>0.1999884666397555</v>
      </c>
      <c r="AI102" s="654">
        <f t="shared" si="69"/>
        <v>0.60429041001095674</v>
      </c>
      <c r="AJ102" s="655">
        <f t="shared" si="70"/>
        <v>0.19572112334928782</v>
      </c>
      <c r="AK102" s="645">
        <v>303</v>
      </c>
      <c r="AL102" s="646">
        <v>107</v>
      </c>
      <c r="AM102" s="646">
        <v>181</v>
      </c>
      <c r="AN102" s="647">
        <v>15</v>
      </c>
      <c r="AO102" s="273">
        <f t="shared" si="71"/>
        <v>1.7473040770428463E-2</v>
      </c>
    </row>
    <row r="103" spans="1:41">
      <c r="A103" s="271" t="s">
        <v>52</v>
      </c>
      <c r="B103" s="271" t="s">
        <v>53</v>
      </c>
      <c r="C103" s="271" t="s">
        <v>265</v>
      </c>
      <c r="D103" s="271">
        <v>3</v>
      </c>
      <c r="E103" s="645">
        <v>44349</v>
      </c>
      <c r="F103" s="646">
        <v>31936</v>
      </c>
      <c r="G103" s="646">
        <v>9020</v>
      </c>
      <c r="H103" s="646">
        <v>3224</v>
      </c>
      <c r="I103" s="646">
        <v>169</v>
      </c>
      <c r="J103" s="647">
        <f t="shared" si="72"/>
        <v>3393</v>
      </c>
      <c r="K103" s="272">
        <v>6796</v>
      </c>
      <c r="L103" s="646">
        <v>4162</v>
      </c>
      <c r="M103" s="646">
        <v>2230</v>
      </c>
      <c r="N103" s="646">
        <v>374</v>
      </c>
      <c r="O103" s="646">
        <v>30</v>
      </c>
      <c r="P103" s="646">
        <f t="shared" si="73"/>
        <v>404</v>
      </c>
      <c r="Q103" s="645">
        <v>33365</v>
      </c>
      <c r="R103" s="646">
        <v>24476</v>
      </c>
      <c r="S103" s="646">
        <v>5984</v>
      </c>
      <c r="T103" s="646">
        <v>2776</v>
      </c>
      <c r="U103" s="646">
        <v>129</v>
      </c>
      <c r="V103" s="647">
        <f t="shared" si="74"/>
        <v>2905</v>
      </c>
      <c r="W103" s="645">
        <v>4188</v>
      </c>
      <c r="X103" s="646">
        <v>3298</v>
      </c>
      <c r="Y103" s="646">
        <v>806</v>
      </c>
      <c r="Z103" s="646">
        <v>74</v>
      </c>
      <c r="AA103" s="646">
        <v>10</v>
      </c>
      <c r="AB103" s="647">
        <f t="shared" si="75"/>
        <v>84</v>
      </c>
      <c r="AC103" s="653">
        <f t="shared" si="76"/>
        <v>0.72010642855532259</v>
      </c>
      <c r="AD103" s="654">
        <f t="shared" si="77"/>
        <v>0.20338677309522199</v>
      </c>
      <c r="AE103" s="654">
        <f t="shared" si="65"/>
        <v>7.2696114906762269E-2</v>
      </c>
      <c r="AF103" s="654">
        <f t="shared" si="66"/>
        <v>3.8106834426931838E-3</v>
      </c>
      <c r="AG103" s="655">
        <f t="shared" si="67"/>
        <v>7.6506798349455452E-2</v>
      </c>
      <c r="AH103" s="653">
        <f t="shared" si="68"/>
        <v>0.15323908092628921</v>
      </c>
      <c r="AI103" s="654">
        <f t="shared" si="69"/>
        <v>0.75232812464768084</v>
      </c>
      <c r="AJ103" s="655">
        <f t="shared" si="70"/>
        <v>9.4432794426029892E-2</v>
      </c>
      <c r="AK103" s="645">
        <v>2168</v>
      </c>
      <c r="AL103" s="646">
        <v>537</v>
      </c>
      <c r="AM103" s="646">
        <v>1566</v>
      </c>
      <c r="AN103" s="647">
        <v>65</v>
      </c>
      <c r="AO103" s="273">
        <f t="shared" si="71"/>
        <v>4.8884980495614329E-2</v>
      </c>
    </row>
    <row r="104" spans="1:41">
      <c r="A104" s="271" t="s">
        <v>54</v>
      </c>
      <c r="B104" s="271" t="s">
        <v>55</v>
      </c>
      <c r="C104" s="271" t="s">
        <v>264</v>
      </c>
      <c r="D104" s="271">
        <v>3</v>
      </c>
      <c r="E104" s="645">
        <v>230571</v>
      </c>
      <c r="F104" s="646">
        <v>148852</v>
      </c>
      <c r="G104" s="646">
        <v>71446</v>
      </c>
      <c r="H104" s="646">
        <v>8982</v>
      </c>
      <c r="I104" s="646">
        <v>1291</v>
      </c>
      <c r="J104" s="647">
        <f t="shared" si="72"/>
        <v>10273</v>
      </c>
      <c r="K104" s="272">
        <v>56879</v>
      </c>
      <c r="L104" s="646">
        <v>35106</v>
      </c>
      <c r="M104" s="646">
        <v>19145</v>
      </c>
      <c r="N104" s="646">
        <v>2327</v>
      </c>
      <c r="O104" s="646">
        <v>301</v>
      </c>
      <c r="P104" s="646">
        <f t="shared" si="73"/>
        <v>2628</v>
      </c>
      <c r="Q104" s="645">
        <v>147203</v>
      </c>
      <c r="R104" s="646">
        <v>95349</v>
      </c>
      <c r="S104" s="646">
        <v>45069</v>
      </c>
      <c r="T104" s="646">
        <v>5889</v>
      </c>
      <c r="U104" s="646">
        <v>896</v>
      </c>
      <c r="V104" s="647">
        <f t="shared" si="74"/>
        <v>6785</v>
      </c>
      <c r="W104" s="645">
        <v>26489</v>
      </c>
      <c r="X104" s="646">
        <v>18397</v>
      </c>
      <c r="Y104" s="646">
        <v>7232</v>
      </c>
      <c r="Z104" s="646">
        <v>766</v>
      </c>
      <c r="AA104" s="646">
        <v>94</v>
      </c>
      <c r="AB104" s="647">
        <f t="shared" si="75"/>
        <v>860</v>
      </c>
      <c r="AC104" s="653">
        <f t="shared" si="76"/>
        <v>0.64557988645579889</v>
      </c>
      <c r="AD104" s="654">
        <f t="shared" si="77"/>
        <v>0.30986550780453742</v>
      </c>
      <c r="AE104" s="654">
        <f t="shared" si="65"/>
        <v>3.8955462742495804E-2</v>
      </c>
      <c r="AF104" s="654">
        <f t="shared" si="66"/>
        <v>5.5991429971679009E-3</v>
      </c>
      <c r="AG104" s="655">
        <f t="shared" si="67"/>
        <v>4.4554605739663702E-2</v>
      </c>
      <c r="AH104" s="653">
        <f t="shared" si="68"/>
        <v>0.24668757129040511</v>
      </c>
      <c r="AI104" s="654">
        <f t="shared" si="69"/>
        <v>0.63842807638428078</v>
      </c>
      <c r="AJ104" s="655">
        <f t="shared" si="70"/>
        <v>0.11488435232531412</v>
      </c>
      <c r="AK104" s="645">
        <v>11620</v>
      </c>
      <c r="AL104" s="646">
        <v>4026</v>
      </c>
      <c r="AM104" s="646">
        <v>7186</v>
      </c>
      <c r="AN104" s="647">
        <v>408</v>
      </c>
      <c r="AO104" s="273">
        <f t="shared" si="71"/>
        <v>5.0396624033378003E-2</v>
      </c>
    </row>
    <row r="105" spans="1:41">
      <c r="A105" s="271" t="s">
        <v>66</v>
      </c>
      <c r="B105" s="271" t="s">
        <v>67</v>
      </c>
      <c r="C105" s="271" t="s">
        <v>265</v>
      </c>
      <c r="D105" s="271">
        <v>3</v>
      </c>
      <c r="E105" s="645">
        <v>42907</v>
      </c>
      <c r="F105" s="646">
        <v>20696</v>
      </c>
      <c r="G105" s="646">
        <v>21511</v>
      </c>
      <c r="H105" s="646">
        <v>558</v>
      </c>
      <c r="I105" s="646">
        <v>142</v>
      </c>
      <c r="J105" s="647">
        <f t="shared" si="72"/>
        <v>700</v>
      </c>
      <c r="K105" s="272">
        <v>9461</v>
      </c>
      <c r="L105" s="646">
        <v>3489</v>
      </c>
      <c r="M105" s="646">
        <v>5810</v>
      </c>
      <c r="N105" s="646">
        <v>135</v>
      </c>
      <c r="O105" s="646">
        <v>27</v>
      </c>
      <c r="P105" s="646">
        <f t="shared" si="73"/>
        <v>162</v>
      </c>
      <c r="Q105" s="645">
        <v>25168</v>
      </c>
      <c r="R105" s="646">
        <v>11463</v>
      </c>
      <c r="S105" s="646">
        <v>13223</v>
      </c>
      <c r="T105" s="646">
        <v>385</v>
      </c>
      <c r="U105" s="646">
        <v>97</v>
      </c>
      <c r="V105" s="647">
        <f t="shared" si="74"/>
        <v>482</v>
      </c>
      <c r="W105" s="645">
        <v>8278</v>
      </c>
      <c r="X105" s="646">
        <v>5744</v>
      </c>
      <c r="Y105" s="646">
        <v>2478</v>
      </c>
      <c r="Z105" s="646">
        <v>38</v>
      </c>
      <c r="AA105" s="646">
        <v>18</v>
      </c>
      <c r="AB105" s="647">
        <f t="shared" si="75"/>
        <v>56</v>
      </c>
      <c r="AC105" s="653">
        <f t="shared" si="76"/>
        <v>0.48234553802409863</v>
      </c>
      <c r="AD105" s="654">
        <f t="shared" si="77"/>
        <v>0.50134010767473836</v>
      </c>
      <c r="AE105" s="654">
        <f t="shared" si="65"/>
        <v>1.3004871000069919E-2</v>
      </c>
      <c r="AF105" s="654">
        <f t="shared" si="66"/>
        <v>3.3094833010930617E-3</v>
      </c>
      <c r="AG105" s="655">
        <f t="shared" si="67"/>
        <v>1.631435430116298E-2</v>
      </c>
      <c r="AH105" s="653">
        <f t="shared" si="68"/>
        <v>0.22050015149043278</v>
      </c>
      <c r="AI105" s="654">
        <f t="shared" si="69"/>
        <v>0.58657095578809981</v>
      </c>
      <c r="AJ105" s="655">
        <f t="shared" si="70"/>
        <v>0.19292889272146735</v>
      </c>
      <c r="AK105" s="645">
        <v>1315</v>
      </c>
      <c r="AL105" s="646">
        <v>525</v>
      </c>
      <c r="AM105" s="646">
        <v>744</v>
      </c>
      <c r="AN105" s="647">
        <v>46</v>
      </c>
      <c r="AO105" s="273">
        <f t="shared" si="71"/>
        <v>3.0647679865756169E-2</v>
      </c>
    </row>
    <row r="106" spans="1:41">
      <c r="A106" s="271" t="s">
        <v>82</v>
      </c>
      <c r="B106" s="271" t="s">
        <v>311</v>
      </c>
      <c r="C106" s="271" t="s">
        <v>264</v>
      </c>
      <c r="D106" s="271">
        <v>2</v>
      </c>
      <c r="E106" s="645">
        <v>8638</v>
      </c>
      <c r="F106" s="646">
        <v>3525</v>
      </c>
      <c r="G106" s="646">
        <v>4984</v>
      </c>
      <c r="H106" s="646">
        <v>86</v>
      </c>
      <c r="I106" s="646">
        <v>43</v>
      </c>
      <c r="J106" s="647">
        <f t="shared" si="72"/>
        <v>129</v>
      </c>
      <c r="K106" s="272">
        <v>2199</v>
      </c>
      <c r="L106" s="646">
        <v>697</v>
      </c>
      <c r="M106" s="646">
        <v>1469</v>
      </c>
      <c r="N106" s="646">
        <v>22</v>
      </c>
      <c r="O106" s="646">
        <v>11</v>
      </c>
      <c r="P106" s="646">
        <f t="shared" si="73"/>
        <v>33</v>
      </c>
      <c r="Q106" s="645">
        <v>4940</v>
      </c>
      <c r="R106" s="646">
        <v>1936</v>
      </c>
      <c r="S106" s="646">
        <v>2915</v>
      </c>
      <c r="T106" s="646">
        <v>60</v>
      </c>
      <c r="U106" s="646">
        <v>29</v>
      </c>
      <c r="V106" s="647">
        <f t="shared" si="74"/>
        <v>89</v>
      </c>
      <c r="W106" s="645">
        <v>1499</v>
      </c>
      <c r="X106" s="646">
        <v>892</v>
      </c>
      <c r="Y106" s="646">
        <v>600</v>
      </c>
      <c r="Z106" s="646">
        <v>4</v>
      </c>
      <c r="AA106" s="646">
        <v>3</v>
      </c>
      <c r="AB106" s="647">
        <f t="shared" si="75"/>
        <v>7</v>
      </c>
      <c r="AC106" s="653">
        <f t="shared" si="76"/>
        <v>0.40808057420699234</v>
      </c>
      <c r="AD106" s="654">
        <f t="shared" si="77"/>
        <v>0.57698541329011344</v>
      </c>
      <c r="AE106" s="654">
        <f t="shared" si="65"/>
        <v>9.9560083352627921E-3</v>
      </c>
      <c r="AF106" s="654">
        <f t="shared" si="66"/>
        <v>4.978004167631396E-3</v>
      </c>
      <c r="AG106" s="655">
        <f t="shared" si="67"/>
        <v>1.4934012502894188E-2</v>
      </c>
      <c r="AH106" s="653">
        <f t="shared" si="68"/>
        <v>0.25457281778189395</v>
      </c>
      <c r="AI106" s="654">
        <f t="shared" si="69"/>
        <v>0.57189164158369998</v>
      </c>
      <c r="AJ106" s="655">
        <f t="shared" si="70"/>
        <v>0.1735355406344061</v>
      </c>
      <c r="AK106" s="645">
        <v>188</v>
      </c>
      <c r="AL106" s="646">
        <v>74</v>
      </c>
      <c r="AM106" s="646">
        <v>107</v>
      </c>
      <c r="AN106" s="647">
        <v>7</v>
      </c>
      <c r="AO106" s="273">
        <f t="shared" si="71"/>
        <v>2.1764297291039594E-2</v>
      </c>
    </row>
    <row r="107" spans="1:41">
      <c r="A107" s="271" t="s">
        <v>88</v>
      </c>
      <c r="B107" s="271" t="s">
        <v>89</v>
      </c>
      <c r="C107" s="271" t="s">
        <v>267</v>
      </c>
      <c r="D107" s="271">
        <v>2</v>
      </c>
      <c r="E107" s="645">
        <v>28132</v>
      </c>
      <c r="F107" s="646">
        <v>19675</v>
      </c>
      <c r="G107" s="646">
        <v>7153</v>
      </c>
      <c r="H107" s="646">
        <v>1066</v>
      </c>
      <c r="I107" s="646">
        <v>238</v>
      </c>
      <c r="J107" s="647">
        <f t="shared" si="72"/>
        <v>1304</v>
      </c>
      <c r="K107" s="272">
        <v>5707</v>
      </c>
      <c r="L107" s="646">
        <v>3432</v>
      </c>
      <c r="M107" s="646">
        <v>1969</v>
      </c>
      <c r="N107" s="646">
        <v>255</v>
      </c>
      <c r="O107" s="646">
        <v>51</v>
      </c>
      <c r="P107" s="646">
        <f t="shared" si="73"/>
        <v>306</v>
      </c>
      <c r="Q107" s="645">
        <v>19701</v>
      </c>
      <c r="R107" s="646">
        <v>14084</v>
      </c>
      <c r="S107" s="646">
        <v>4681</v>
      </c>
      <c r="T107" s="646">
        <v>759</v>
      </c>
      <c r="U107" s="646">
        <v>177</v>
      </c>
      <c r="V107" s="647">
        <f t="shared" si="74"/>
        <v>936</v>
      </c>
      <c r="W107" s="645">
        <v>2724</v>
      </c>
      <c r="X107" s="646">
        <v>2159</v>
      </c>
      <c r="Y107" s="646">
        <v>503</v>
      </c>
      <c r="Z107" s="646">
        <v>52</v>
      </c>
      <c r="AA107" s="646">
        <v>10</v>
      </c>
      <c r="AB107" s="647">
        <f t="shared" si="75"/>
        <v>62</v>
      </c>
      <c r="AC107" s="653">
        <f t="shared" si="76"/>
        <v>0.6993814872742784</v>
      </c>
      <c r="AD107" s="654">
        <f t="shared" si="77"/>
        <v>0.25426560500497652</v>
      </c>
      <c r="AE107" s="654">
        <f t="shared" si="65"/>
        <v>3.789279112754159E-2</v>
      </c>
      <c r="AF107" s="654">
        <f t="shared" si="66"/>
        <v>8.4601165932034691E-3</v>
      </c>
      <c r="AG107" s="655">
        <f t="shared" si="67"/>
        <v>4.635290772074506E-2</v>
      </c>
      <c r="AH107" s="653">
        <f t="shared" si="68"/>
        <v>0.20286506469500923</v>
      </c>
      <c r="AI107" s="654">
        <f t="shared" si="69"/>
        <v>0.70030570169202333</v>
      </c>
      <c r="AJ107" s="655">
        <f t="shared" si="70"/>
        <v>9.6829233612967441E-2</v>
      </c>
      <c r="AK107" s="645">
        <v>3125</v>
      </c>
      <c r="AL107" s="646">
        <v>1167</v>
      </c>
      <c r="AM107" s="646">
        <v>1878</v>
      </c>
      <c r="AN107" s="647">
        <v>80</v>
      </c>
      <c r="AO107" s="273">
        <f t="shared" si="71"/>
        <v>0.11108346367126404</v>
      </c>
    </row>
    <row r="108" spans="1:41">
      <c r="A108" s="271" t="s">
        <v>90</v>
      </c>
      <c r="B108" s="271" t="s">
        <v>91</v>
      </c>
      <c r="C108" s="271" t="s">
        <v>268</v>
      </c>
      <c r="D108" s="271">
        <v>1</v>
      </c>
      <c r="E108" s="645">
        <v>7035</v>
      </c>
      <c r="F108" s="646">
        <v>6417</v>
      </c>
      <c r="G108" s="646">
        <v>529</v>
      </c>
      <c r="H108" s="646">
        <v>64</v>
      </c>
      <c r="I108" s="646">
        <v>25</v>
      </c>
      <c r="J108" s="647">
        <f t="shared" si="72"/>
        <v>89</v>
      </c>
      <c r="K108" s="272">
        <v>1661</v>
      </c>
      <c r="L108" s="646">
        <v>1465</v>
      </c>
      <c r="M108" s="646">
        <v>173</v>
      </c>
      <c r="N108" s="646">
        <v>16</v>
      </c>
      <c r="O108" s="646">
        <v>7</v>
      </c>
      <c r="P108" s="646">
        <f t="shared" si="73"/>
        <v>23</v>
      </c>
      <c r="Q108" s="645">
        <v>3969</v>
      </c>
      <c r="R108" s="646">
        <v>3616</v>
      </c>
      <c r="S108" s="646">
        <v>295</v>
      </c>
      <c r="T108" s="646">
        <v>43</v>
      </c>
      <c r="U108" s="646">
        <v>15</v>
      </c>
      <c r="V108" s="647">
        <f t="shared" si="74"/>
        <v>58</v>
      </c>
      <c r="W108" s="645">
        <v>1405</v>
      </c>
      <c r="X108" s="646">
        <v>1336</v>
      </c>
      <c r="Y108" s="646">
        <v>61</v>
      </c>
      <c r="Z108" s="646">
        <v>5</v>
      </c>
      <c r="AA108" s="646">
        <v>3</v>
      </c>
      <c r="AB108" s="647">
        <f t="shared" si="75"/>
        <v>8</v>
      </c>
      <c r="AC108" s="653">
        <f t="shared" si="76"/>
        <v>0.91215351812366741</v>
      </c>
      <c r="AD108" s="654">
        <f t="shared" si="77"/>
        <v>7.5195451314854306E-2</v>
      </c>
      <c r="AE108" s="654">
        <f t="shared" si="65"/>
        <v>9.0973702914001423E-3</v>
      </c>
      <c r="AF108" s="654">
        <f t="shared" si="66"/>
        <v>3.5536602700781805E-3</v>
      </c>
      <c r="AG108" s="655">
        <f t="shared" si="67"/>
        <v>1.2651030561478323E-2</v>
      </c>
      <c r="AH108" s="653">
        <f t="shared" si="68"/>
        <v>0.23610518834399433</v>
      </c>
      <c r="AI108" s="654">
        <f t="shared" si="69"/>
        <v>0.56417910447761199</v>
      </c>
      <c r="AJ108" s="655">
        <f t="shared" si="70"/>
        <v>0.19971570717839374</v>
      </c>
      <c r="AK108" s="645">
        <v>995</v>
      </c>
      <c r="AL108" s="646">
        <v>472</v>
      </c>
      <c r="AM108" s="646">
        <v>503</v>
      </c>
      <c r="AN108" s="647">
        <v>20</v>
      </c>
      <c r="AO108" s="273">
        <f t="shared" si="71"/>
        <v>0.14143567874911159</v>
      </c>
    </row>
    <row r="109" spans="1:41">
      <c r="A109" s="271" t="s">
        <v>106</v>
      </c>
      <c r="B109" s="271" t="s">
        <v>107</v>
      </c>
      <c r="C109" s="271" t="s">
        <v>264</v>
      </c>
      <c r="D109" s="271">
        <v>3</v>
      </c>
      <c r="E109" s="645">
        <v>136699</v>
      </c>
      <c r="F109" s="646">
        <v>61136</v>
      </c>
      <c r="G109" s="646">
        <v>70540</v>
      </c>
      <c r="H109" s="646">
        <v>4061</v>
      </c>
      <c r="I109" s="646">
        <v>962</v>
      </c>
      <c r="J109" s="647">
        <f t="shared" si="72"/>
        <v>5023</v>
      </c>
      <c r="K109" s="272">
        <v>29819</v>
      </c>
      <c r="L109" s="646">
        <v>11376</v>
      </c>
      <c r="M109" s="646">
        <v>17359</v>
      </c>
      <c r="N109" s="646">
        <v>870</v>
      </c>
      <c r="O109" s="646">
        <v>214</v>
      </c>
      <c r="P109" s="646">
        <f t="shared" si="73"/>
        <v>1084</v>
      </c>
      <c r="Q109" s="645">
        <v>88638</v>
      </c>
      <c r="R109" s="646">
        <v>40210</v>
      </c>
      <c r="S109" s="646">
        <v>45034</v>
      </c>
      <c r="T109" s="646">
        <v>2729</v>
      </c>
      <c r="U109" s="646">
        <v>665</v>
      </c>
      <c r="V109" s="647">
        <f t="shared" si="74"/>
        <v>3394</v>
      </c>
      <c r="W109" s="645">
        <v>18242</v>
      </c>
      <c r="X109" s="646">
        <v>9550</v>
      </c>
      <c r="Y109" s="646">
        <v>8147</v>
      </c>
      <c r="Z109" s="646">
        <v>462</v>
      </c>
      <c r="AA109" s="646">
        <v>83</v>
      </c>
      <c r="AB109" s="647">
        <f t="shared" si="75"/>
        <v>545</v>
      </c>
      <c r="AC109" s="653">
        <f t="shared" si="76"/>
        <v>0.44723077710883036</v>
      </c>
      <c r="AD109" s="654">
        <f t="shared" si="77"/>
        <v>0.5160242576756231</v>
      </c>
      <c r="AE109" s="654">
        <f t="shared" si="65"/>
        <v>2.9707605761563727E-2</v>
      </c>
      <c r="AF109" s="654">
        <f t="shared" si="66"/>
        <v>7.0373594539828383E-3</v>
      </c>
      <c r="AG109" s="655">
        <f t="shared" si="67"/>
        <v>3.6744965215546564E-2</v>
      </c>
      <c r="AH109" s="653">
        <f t="shared" si="68"/>
        <v>0.21813619704606471</v>
      </c>
      <c r="AI109" s="654">
        <f t="shared" si="69"/>
        <v>0.64841732565710064</v>
      </c>
      <c r="AJ109" s="655">
        <f t="shared" si="70"/>
        <v>0.13344647729683465</v>
      </c>
      <c r="AK109" s="645">
        <v>7033</v>
      </c>
      <c r="AL109" s="646">
        <v>2118</v>
      </c>
      <c r="AM109" s="646">
        <v>4612</v>
      </c>
      <c r="AN109" s="647">
        <v>303</v>
      </c>
      <c r="AO109" s="273">
        <f t="shared" si="71"/>
        <v>5.1448803575739395E-2</v>
      </c>
    </row>
    <row r="110" spans="1:41">
      <c r="A110" s="271" t="s">
        <v>116</v>
      </c>
      <c r="B110" s="271" t="s">
        <v>117</v>
      </c>
      <c r="C110" s="271" t="s">
        <v>266</v>
      </c>
      <c r="D110" s="271">
        <v>2</v>
      </c>
      <c r="E110" s="645">
        <v>22163</v>
      </c>
      <c r="F110" s="646">
        <v>12727</v>
      </c>
      <c r="G110" s="646">
        <v>9004</v>
      </c>
      <c r="H110" s="646">
        <v>316</v>
      </c>
      <c r="I110" s="646">
        <v>116</v>
      </c>
      <c r="J110" s="647">
        <f t="shared" si="72"/>
        <v>432</v>
      </c>
      <c r="K110" s="272">
        <v>5520</v>
      </c>
      <c r="L110" s="646">
        <v>2564</v>
      </c>
      <c r="M110" s="646">
        <v>2858</v>
      </c>
      <c r="N110" s="646">
        <v>76</v>
      </c>
      <c r="O110" s="646">
        <v>22</v>
      </c>
      <c r="P110" s="646">
        <f t="shared" si="73"/>
        <v>98</v>
      </c>
      <c r="Q110" s="645">
        <v>13207</v>
      </c>
      <c r="R110" s="646">
        <v>7550</v>
      </c>
      <c r="S110" s="646">
        <v>5377</v>
      </c>
      <c r="T110" s="646">
        <v>200</v>
      </c>
      <c r="U110" s="646">
        <v>80</v>
      </c>
      <c r="V110" s="647">
        <f t="shared" si="74"/>
        <v>280</v>
      </c>
      <c r="W110" s="645">
        <v>3436</v>
      </c>
      <c r="X110" s="646">
        <v>2613</v>
      </c>
      <c r="Y110" s="646">
        <v>769</v>
      </c>
      <c r="Z110" s="646">
        <v>40</v>
      </c>
      <c r="AA110" s="646">
        <v>14</v>
      </c>
      <c r="AB110" s="647">
        <f t="shared" si="75"/>
        <v>54</v>
      </c>
      <c r="AC110" s="653">
        <f t="shared" si="76"/>
        <v>0.57424536389477954</v>
      </c>
      <c r="AD110" s="654">
        <f t="shared" si="77"/>
        <v>0.40626269006903398</v>
      </c>
      <c r="AE110" s="654">
        <f t="shared" si="65"/>
        <v>1.4257997563506746E-2</v>
      </c>
      <c r="AF110" s="654">
        <f t="shared" si="66"/>
        <v>5.2339484726796909E-3</v>
      </c>
      <c r="AG110" s="655">
        <f t="shared" si="67"/>
        <v>1.9491946036186435E-2</v>
      </c>
      <c r="AH110" s="653">
        <f t="shared" si="68"/>
        <v>0.2490637549068267</v>
      </c>
      <c r="AI110" s="654">
        <f t="shared" si="69"/>
        <v>0.59590308171276452</v>
      </c>
      <c r="AJ110" s="655">
        <f t="shared" si="70"/>
        <v>0.15503316338040879</v>
      </c>
      <c r="AK110" s="645">
        <v>1506</v>
      </c>
      <c r="AL110" s="646">
        <v>484</v>
      </c>
      <c r="AM110" s="646">
        <v>958</v>
      </c>
      <c r="AN110" s="647">
        <v>64</v>
      </c>
      <c r="AO110" s="273">
        <f t="shared" si="71"/>
        <v>6.7951089653927724E-2</v>
      </c>
    </row>
    <row r="111" spans="1:41">
      <c r="A111" s="271" t="s">
        <v>138</v>
      </c>
      <c r="B111" s="271" t="s">
        <v>139</v>
      </c>
      <c r="C111" s="271" t="s">
        <v>265</v>
      </c>
      <c r="D111" s="271">
        <v>3</v>
      </c>
      <c r="E111" s="645">
        <v>78014</v>
      </c>
      <c r="F111" s="646">
        <v>52051</v>
      </c>
      <c r="G111" s="646">
        <v>23182</v>
      </c>
      <c r="H111" s="646">
        <v>2474</v>
      </c>
      <c r="I111" s="646">
        <v>307</v>
      </c>
      <c r="J111" s="647">
        <f t="shared" si="72"/>
        <v>2781</v>
      </c>
      <c r="K111" s="272">
        <v>15327</v>
      </c>
      <c r="L111" s="646">
        <v>8401</v>
      </c>
      <c r="M111" s="646">
        <v>6306</v>
      </c>
      <c r="N111" s="646">
        <v>570</v>
      </c>
      <c r="O111" s="646">
        <v>50</v>
      </c>
      <c r="P111" s="646">
        <f t="shared" si="73"/>
        <v>620</v>
      </c>
      <c r="Q111" s="645">
        <v>51801</v>
      </c>
      <c r="R111" s="646">
        <v>35286</v>
      </c>
      <c r="S111" s="646">
        <v>14490</v>
      </c>
      <c r="T111" s="646">
        <v>1797</v>
      </c>
      <c r="U111" s="646">
        <v>228</v>
      </c>
      <c r="V111" s="647">
        <f t="shared" si="74"/>
        <v>2025</v>
      </c>
      <c r="W111" s="645">
        <v>10886</v>
      </c>
      <c r="X111" s="646">
        <v>8364</v>
      </c>
      <c r="Y111" s="646">
        <v>2386</v>
      </c>
      <c r="Z111" s="646">
        <v>107</v>
      </c>
      <c r="AA111" s="646">
        <v>29</v>
      </c>
      <c r="AB111" s="647">
        <f t="shared" si="75"/>
        <v>136</v>
      </c>
      <c r="AC111" s="653">
        <f t="shared" si="76"/>
        <v>0.66720075883815722</v>
      </c>
      <c r="AD111" s="654">
        <f t="shared" si="77"/>
        <v>0.297151793267875</v>
      </c>
      <c r="AE111" s="654">
        <f t="shared" si="65"/>
        <v>3.1712256774425102E-2</v>
      </c>
      <c r="AF111" s="654">
        <f t="shared" si="66"/>
        <v>3.935191119542646E-3</v>
      </c>
      <c r="AG111" s="655">
        <f t="shared" si="67"/>
        <v>3.5647447893967753E-2</v>
      </c>
      <c r="AH111" s="653">
        <f t="shared" si="68"/>
        <v>0.19646473709846951</v>
      </c>
      <c r="AI111" s="654">
        <f t="shared" si="69"/>
        <v>0.6639962058092137</v>
      </c>
      <c r="AJ111" s="655">
        <f t="shared" si="70"/>
        <v>0.13953905709231676</v>
      </c>
      <c r="AK111" s="645">
        <v>2609</v>
      </c>
      <c r="AL111" s="646">
        <v>643</v>
      </c>
      <c r="AM111" s="646">
        <v>1877</v>
      </c>
      <c r="AN111" s="647">
        <v>89</v>
      </c>
      <c r="AO111" s="273">
        <f t="shared" si="71"/>
        <v>3.3442715410054606E-2</v>
      </c>
    </row>
    <row r="112" spans="1:41">
      <c r="A112" s="271" t="s">
        <v>142</v>
      </c>
      <c r="B112" s="271" t="s">
        <v>143</v>
      </c>
      <c r="C112" s="271" t="s">
        <v>267</v>
      </c>
      <c r="D112" s="271">
        <v>2</v>
      </c>
      <c r="E112" s="645">
        <v>41705</v>
      </c>
      <c r="F112" s="646">
        <v>31431</v>
      </c>
      <c r="G112" s="646">
        <v>6977</v>
      </c>
      <c r="H112" s="646">
        <v>2711</v>
      </c>
      <c r="I112" s="646">
        <v>586</v>
      </c>
      <c r="J112" s="647">
        <f t="shared" si="72"/>
        <v>3297</v>
      </c>
      <c r="K112" s="272">
        <v>11365</v>
      </c>
      <c r="L112" s="646">
        <v>8372</v>
      </c>
      <c r="M112" s="646">
        <v>2162</v>
      </c>
      <c r="N112" s="646">
        <v>625</v>
      </c>
      <c r="O112" s="646">
        <v>206</v>
      </c>
      <c r="P112" s="646">
        <f t="shared" si="73"/>
        <v>831</v>
      </c>
      <c r="Q112" s="645">
        <v>27192</v>
      </c>
      <c r="R112" s="646">
        <v>20494</v>
      </c>
      <c r="S112" s="646">
        <v>4462</v>
      </c>
      <c r="T112" s="646">
        <v>1863</v>
      </c>
      <c r="U112" s="646">
        <v>373</v>
      </c>
      <c r="V112" s="647">
        <f t="shared" si="74"/>
        <v>2236</v>
      </c>
      <c r="W112" s="645">
        <v>3148</v>
      </c>
      <c r="X112" s="646">
        <v>2565</v>
      </c>
      <c r="Y112" s="646">
        <v>353</v>
      </c>
      <c r="Z112" s="646">
        <v>223</v>
      </c>
      <c r="AA112" s="646">
        <v>7</v>
      </c>
      <c r="AB112" s="647">
        <f t="shared" si="75"/>
        <v>230</v>
      </c>
      <c r="AC112" s="653">
        <f t="shared" si="76"/>
        <v>0.7536506414099029</v>
      </c>
      <c r="AD112" s="654">
        <f t="shared" si="77"/>
        <v>0.16729408943771731</v>
      </c>
      <c r="AE112" s="654">
        <f t="shared" si="65"/>
        <v>6.5004196139551607E-2</v>
      </c>
      <c r="AF112" s="654">
        <f t="shared" si="66"/>
        <v>1.4051073012828198E-2</v>
      </c>
      <c r="AG112" s="655">
        <f t="shared" si="67"/>
        <v>7.9055269152379815E-2</v>
      </c>
      <c r="AH112" s="653">
        <f t="shared" si="68"/>
        <v>0.27250929145186431</v>
      </c>
      <c r="AI112" s="654">
        <f t="shared" si="69"/>
        <v>0.65200815249970023</v>
      </c>
      <c r="AJ112" s="655">
        <f t="shared" si="70"/>
        <v>7.5482556048435442E-2</v>
      </c>
      <c r="AK112" s="645">
        <v>13711</v>
      </c>
      <c r="AL112" s="646">
        <v>4948</v>
      </c>
      <c r="AM112" s="646">
        <v>8487</v>
      </c>
      <c r="AN112" s="647">
        <v>276</v>
      </c>
      <c r="AO112" s="273">
        <f t="shared" si="71"/>
        <v>0.32876153938376695</v>
      </c>
    </row>
    <row r="113" spans="1:41">
      <c r="A113" s="271" t="s">
        <v>144</v>
      </c>
      <c r="B113" s="271" t="s">
        <v>145</v>
      </c>
      <c r="C113" s="271" t="s">
        <v>267</v>
      </c>
      <c r="D113" s="271">
        <v>1</v>
      </c>
      <c r="E113" s="645">
        <v>16149</v>
      </c>
      <c r="F113" s="646">
        <v>11620</v>
      </c>
      <c r="G113" s="646">
        <v>2585</v>
      </c>
      <c r="H113" s="646">
        <v>1727</v>
      </c>
      <c r="I113" s="646">
        <v>217</v>
      </c>
      <c r="J113" s="647">
        <f t="shared" si="72"/>
        <v>1944</v>
      </c>
      <c r="K113" s="272">
        <v>4378</v>
      </c>
      <c r="L113" s="646">
        <v>3204</v>
      </c>
      <c r="M113" s="646">
        <v>714</v>
      </c>
      <c r="N113" s="646">
        <v>403</v>
      </c>
      <c r="O113" s="646">
        <v>57</v>
      </c>
      <c r="P113" s="646">
        <f t="shared" si="73"/>
        <v>460</v>
      </c>
      <c r="Q113" s="645">
        <v>10673</v>
      </c>
      <c r="R113" s="646">
        <v>7615</v>
      </c>
      <c r="S113" s="646">
        <v>1712</v>
      </c>
      <c r="T113" s="646">
        <v>1193</v>
      </c>
      <c r="U113" s="646">
        <v>153</v>
      </c>
      <c r="V113" s="647">
        <f t="shared" si="74"/>
        <v>1346</v>
      </c>
      <c r="W113" s="645">
        <v>1098</v>
      </c>
      <c r="X113" s="646">
        <v>801</v>
      </c>
      <c r="Y113" s="646">
        <v>159</v>
      </c>
      <c r="Z113" s="646">
        <v>131</v>
      </c>
      <c r="AA113" s="646">
        <v>7</v>
      </c>
      <c r="AB113" s="647">
        <f t="shared" si="75"/>
        <v>138</v>
      </c>
      <c r="AC113" s="653">
        <f t="shared" si="76"/>
        <v>0.71954919809276119</v>
      </c>
      <c r="AD113" s="654">
        <f t="shared" si="77"/>
        <v>0.16007183107313147</v>
      </c>
      <c r="AE113" s="654">
        <f t="shared" si="65"/>
        <v>0.10694160629141124</v>
      </c>
      <c r="AF113" s="654">
        <f t="shared" si="66"/>
        <v>1.3437364542696142E-2</v>
      </c>
      <c r="AG113" s="655">
        <f t="shared" si="67"/>
        <v>0.12037897083410737</v>
      </c>
      <c r="AH113" s="653">
        <f t="shared" si="68"/>
        <v>0.27110037773236734</v>
      </c>
      <c r="AI113" s="654">
        <f t="shared" si="69"/>
        <v>0.66090779614836836</v>
      </c>
      <c r="AJ113" s="655">
        <f t="shared" si="70"/>
        <v>6.7991826119264354E-2</v>
      </c>
      <c r="AK113" s="645">
        <v>5597</v>
      </c>
      <c r="AL113" s="646">
        <v>1872</v>
      </c>
      <c r="AM113" s="646">
        <v>3577</v>
      </c>
      <c r="AN113" s="647">
        <v>148</v>
      </c>
      <c r="AO113" s="273">
        <f t="shared" si="71"/>
        <v>0.34658492785931017</v>
      </c>
    </row>
    <row r="114" spans="1:41">
      <c r="A114" s="271" t="s">
        <v>158</v>
      </c>
      <c r="B114" s="271" t="s">
        <v>159</v>
      </c>
      <c r="C114" s="271" t="s">
        <v>264</v>
      </c>
      <c r="D114" s="271">
        <v>3</v>
      </c>
      <c r="E114" s="645">
        <v>182020</v>
      </c>
      <c r="F114" s="646">
        <v>95297</v>
      </c>
      <c r="G114" s="646">
        <v>78462</v>
      </c>
      <c r="H114" s="646">
        <v>6950</v>
      </c>
      <c r="I114" s="646">
        <v>1311</v>
      </c>
      <c r="J114" s="647">
        <f t="shared" si="72"/>
        <v>8261</v>
      </c>
      <c r="K114" s="272">
        <v>43024</v>
      </c>
      <c r="L114" s="646">
        <v>18671</v>
      </c>
      <c r="M114" s="646">
        <v>22572</v>
      </c>
      <c r="N114" s="646">
        <v>1464</v>
      </c>
      <c r="O114" s="646">
        <v>317</v>
      </c>
      <c r="P114" s="646">
        <f t="shared" si="73"/>
        <v>1781</v>
      </c>
      <c r="Q114" s="645">
        <v>118286</v>
      </c>
      <c r="R114" s="646">
        <v>62945</v>
      </c>
      <c r="S114" s="646">
        <v>49677</v>
      </c>
      <c r="T114" s="646">
        <v>4759</v>
      </c>
      <c r="U114" s="646">
        <v>905</v>
      </c>
      <c r="V114" s="647">
        <f t="shared" si="74"/>
        <v>5664</v>
      </c>
      <c r="W114" s="645">
        <v>20710</v>
      </c>
      <c r="X114" s="646">
        <v>13681</v>
      </c>
      <c r="Y114" s="646">
        <v>6213</v>
      </c>
      <c r="Z114" s="646">
        <v>727</v>
      </c>
      <c r="AA114" s="646">
        <v>89</v>
      </c>
      <c r="AB114" s="647">
        <f t="shared" si="75"/>
        <v>816</v>
      </c>
      <c r="AC114" s="653">
        <f t="shared" si="76"/>
        <v>0.52355235688385893</v>
      </c>
      <c r="AD114" s="654">
        <f t="shared" si="77"/>
        <v>0.43106252060213163</v>
      </c>
      <c r="AE114" s="654">
        <f t="shared" si="65"/>
        <v>3.8182617294802768E-2</v>
      </c>
      <c r="AF114" s="654">
        <f t="shared" si="66"/>
        <v>7.2025052192066803E-3</v>
      </c>
      <c r="AG114" s="655">
        <f t="shared" si="67"/>
        <v>4.5385122514009446E-2</v>
      </c>
      <c r="AH114" s="653">
        <f t="shared" si="68"/>
        <v>0.23636962971102077</v>
      </c>
      <c r="AI114" s="654">
        <f t="shared" si="69"/>
        <v>0.64985166465223598</v>
      </c>
      <c r="AJ114" s="655">
        <f t="shared" si="70"/>
        <v>0.11377870563674322</v>
      </c>
      <c r="AK114" s="645">
        <v>15015</v>
      </c>
      <c r="AL114" s="646">
        <v>4900</v>
      </c>
      <c r="AM114" s="646">
        <v>9623</v>
      </c>
      <c r="AN114" s="647">
        <v>492</v>
      </c>
      <c r="AO114" s="273">
        <f t="shared" si="71"/>
        <v>8.2490935062081092E-2</v>
      </c>
    </row>
    <row r="115" spans="1:41">
      <c r="A115" s="271" t="s">
        <v>160</v>
      </c>
      <c r="B115" s="271" t="s">
        <v>161</v>
      </c>
      <c r="C115" s="271" t="s">
        <v>264</v>
      </c>
      <c r="D115" s="271">
        <v>3</v>
      </c>
      <c r="E115" s="645">
        <v>246139</v>
      </c>
      <c r="F115" s="646">
        <v>124339</v>
      </c>
      <c r="G115" s="646">
        <v>109125</v>
      </c>
      <c r="H115" s="646">
        <v>10697</v>
      </c>
      <c r="I115" s="646">
        <v>1978</v>
      </c>
      <c r="J115" s="647">
        <f t="shared" si="72"/>
        <v>12675</v>
      </c>
      <c r="K115" s="272">
        <v>49871</v>
      </c>
      <c r="L115" s="646">
        <v>19982</v>
      </c>
      <c r="M115" s="646">
        <v>27523</v>
      </c>
      <c r="N115" s="646">
        <v>1976</v>
      </c>
      <c r="O115" s="646">
        <v>390</v>
      </c>
      <c r="P115" s="646">
        <f t="shared" si="73"/>
        <v>2366</v>
      </c>
      <c r="Q115" s="645">
        <v>172384</v>
      </c>
      <c r="R115" s="646">
        <v>90438</v>
      </c>
      <c r="S115" s="646">
        <v>72786</v>
      </c>
      <c r="T115" s="646">
        <v>7687</v>
      </c>
      <c r="U115" s="646">
        <v>1473</v>
      </c>
      <c r="V115" s="647">
        <f t="shared" si="74"/>
        <v>9160</v>
      </c>
      <c r="W115" s="645">
        <v>23884</v>
      </c>
      <c r="X115" s="646">
        <v>13919</v>
      </c>
      <c r="Y115" s="646">
        <v>8816</v>
      </c>
      <c r="Z115" s="646">
        <v>1034</v>
      </c>
      <c r="AA115" s="646">
        <v>115</v>
      </c>
      <c r="AB115" s="647">
        <f t="shared" si="75"/>
        <v>1149</v>
      </c>
      <c r="AC115" s="653">
        <f t="shared" si="76"/>
        <v>0.50515765482105635</v>
      </c>
      <c r="AD115" s="654">
        <f t="shared" si="77"/>
        <v>0.44334705186906587</v>
      </c>
      <c r="AE115" s="654">
        <f t="shared" si="65"/>
        <v>4.3459183632012809E-2</v>
      </c>
      <c r="AF115" s="654">
        <f t="shared" si="66"/>
        <v>8.0361096778649461E-3</v>
      </c>
      <c r="AG115" s="655">
        <f t="shared" si="67"/>
        <v>5.1495293309877753E-2</v>
      </c>
      <c r="AH115" s="653">
        <f t="shared" si="68"/>
        <v>0.20261315760606813</v>
      </c>
      <c r="AI115" s="654">
        <f t="shared" si="69"/>
        <v>0.70035223999447471</v>
      </c>
      <c r="AJ115" s="655">
        <f t="shared" si="70"/>
        <v>9.7034602399457215E-2</v>
      </c>
      <c r="AK115" s="645">
        <v>17914</v>
      </c>
      <c r="AL115" s="646">
        <v>4418</v>
      </c>
      <c r="AM115" s="646">
        <v>13022</v>
      </c>
      <c r="AN115" s="647">
        <v>474</v>
      </c>
      <c r="AO115" s="273">
        <f t="shared" si="71"/>
        <v>7.2780014544627222E-2</v>
      </c>
    </row>
    <row r="116" spans="1:41">
      <c r="A116" s="271" t="s">
        <v>166</v>
      </c>
      <c r="B116" s="271" t="s">
        <v>167</v>
      </c>
      <c r="C116" s="271" t="s">
        <v>268</v>
      </c>
      <c r="D116" s="271">
        <v>1</v>
      </c>
      <c r="E116" s="645">
        <v>4017</v>
      </c>
      <c r="F116" s="646">
        <v>3623</v>
      </c>
      <c r="G116" s="646">
        <v>320</v>
      </c>
      <c r="H116" s="646">
        <v>63</v>
      </c>
      <c r="I116" s="646">
        <v>11</v>
      </c>
      <c r="J116" s="647">
        <f t="shared" si="72"/>
        <v>74</v>
      </c>
      <c r="K116" s="272">
        <v>886</v>
      </c>
      <c r="L116" s="646">
        <v>775</v>
      </c>
      <c r="M116" s="646">
        <v>100</v>
      </c>
      <c r="N116" s="646">
        <v>10</v>
      </c>
      <c r="O116" s="646">
        <v>1</v>
      </c>
      <c r="P116" s="646">
        <f t="shared" si="73"/>
        <v>11</v>
      </c>
      <c r="Q116" s="645">
        <v>2559</v>
      </c>
      <c r="R116" s="646">
        <v>2311</v>
      </c>
      <c r="S116" s="646">
        <v>194</v>
      </c>
      <c r="T116" s="646">
        <v>45</v>
      </c>
      <c r="U116" s="646">
        <v>9</v>
      </c>
      <c r="V116" s="647">
        <f t="shared" si="74"/>
        <v>54</v>
      </c>
      <c r="W116" s="645">
        <v>572</v>
      </c>
      <c r="X116" s="646">
        <v>537</v>
      </c>
      <c r="Y116" s="646">
        <v>26</v>
      </c>
      <c r="Z116" s="646">
        <v>8</v>
      </c>
      <c r="AA116" s="646">
        <v>1</v>
      </c>
      <c r="AB116" s="647">
        <f t="shared" si="75"/>
        <v>9</v>
      </c>
      <c r="AC116" s="653">
        <f t="shared" si="76"/>
        <v>0.90191685337316407</v>
      </c>
      <c r="AD116" s="654">
        <f t="shared" si="77"/>
        <v>7.9661438884739852E-2</v>
      </c>
      <c r="AE116" s="654">
        <f t="shared" si="65"/>
        <v>1.568334578043316E-2</v>
      </c>
      <c r="AF116" s="654">
        <f t="shared" si="66"/>
        <v>2.7383619616629324E-3</v>
      </c>
      <c r="AG116" s="655">
        <f t="shared" si="67"/>
        <v>1.8421707742096092E-2</v>
      </c>
      <c r="AH116" s="653">
        <f t="shared" si="68"/>
        <v>0.22056260891212348</v>
      </c>
      <c r="AI116" s="654">
        <f t="shared" si="69"/>
        <v>0.637042569081404</v>
      </c>
      <c r="AJ116" s="655">
        <f t="shared" si="70"/>
        <v>0.14239482200647249</v>
      </c>
      <c r="AK116" s="645">
        <v>100</v>
      </c>
      <c r="AL116" s="646">
        <v>25</v>
      </c>
      <c r="AM116" s="646">
        <v>71</v>
      </c>
      <c r="AN116" s="647">
        <v>4</v>
      </c>
      <c r="AO116" s="273">
        <f t="shared" si="71"/>
        <v>2.4894199651481205E-2</v>
      </c>
    </row>
    <row r="117" spans="1:41">
      <c r="A117" s="271" t="s">
        <v>176</v>
      </c>
      <c r="B117" s="271" t="s">
        <v>177</v>
      </c>
      <c r="C117" s="271" t="s">
        <v>266</v>
      </c>
      <c r="D117" s="271">
        <v>3</v>
      </c>
      <c r="E117" s="645">
        <v>32538</v>
      </c>
      <c r="F117" s="646">
        <v>6207</v>
      </c>
      <c r="G117" s="646">
        <v>25745</v>
      </c>
      <c r="H117" s="646">
        <v>428</v>
      </c>
      <c r="I117" s="646">
        <v>158</v>
      </c>
      <c r="J117" s="647">
        <f t="shared" si="72"/>
        <v>586</v>
      </c>
      <c r="K117" s="272">
        <v>6999</v>
      </c>
      <c r="L117" s="646">
        <v>1105</v>
      </c>
      <c r="M117" s="646">
        <v>5755</v>
      </c>
      <c r="N117" s="646">
        <v>99</v>
      </c>
      <c r="O117" s="646">
        <v>40</v>
      </c>
      <c r="P117" s="646">
        <f t="shared" si="73"/>
        <v>139</v>
      </c>
      <c r="Q117" s="645">
        <v>20632</v>
      </c>
      <c r="R117" s="646">
        <v>3841</v>
      </c>
      <c r="S117" s="646">
        <v>16417</v>
      </c>
      <c r="T117" s="646">
        <v>272</v>
      </c>
      <c r="U117" s="646">
        <v>102</v>
      </c>
      <c r="V117" s="647">
        <f t="shared" si="74"/>
        <v>374</v>
      </c>
      <c r="W117" s="645">
        <v>4907</v>
      </c>
      <c r="X117" s="646">
        <v>1261</v>
      </c>
      <c r="Y117" s="646">
        <v>3573</v>
      </c>
      <c r="Z117" s="646">
        <v>57</v>
      </c>
      <c r="AA117" s="646">
        <v>16</v>
      </c>
      <c r="AB117" s="647">
        <f t="shared" si="75"/>
        <v>73</v>
      </c>
      <c r="AC117" s="653">
        <f t="shared" si="76"/>
        <v>0.19076157108611469</v>
      </c>
      <c r="AD117" s="654">
        <f t="shared" si="77"/>
        <v>0.791228717192206</v>
      </c>
      <c r="AE117" s="654">
        <f t="shared" si="65"/>
        <v>1.3153850882045608E-2</v>
      </c>
      <c r="AF117" s="654">
        <f t="shared" si="66"/>
        <v>4.8558608396336595E-3</v>
      </c>
      <c r="AG117" s="655">
        <f t="shared" si="67"/>
        <v>1.8009711721679266E-2</v>
      </c>
      <c r="AH117" s="653">
        <f t="shared" si="68"/>
        <v>0.21510234187718974</v>
      </c>
      <c r="AI117" s="654">
        <f t="shared" si="69"/>
        <v>0.63408937242608643</v>
      </c>
      <c r="AJ117" s="655">
        <f t="shared" si="70"/>
        <v>0.15080828569672383</v>
      </c>
      <c r="AK117" s="645">
        <v>1387</v>
      </c>
      <c r="AL117" s="646">
        <v>409</v>
      </c>
      <c r="AM117" s="646">
        <v>931</v>
      </c>
      <c r="AN117" s="647">
        <v>47</v>
      </c>
      <c r="AO117" s="273">
        <f t="shared" si="71"/>
        <v>4.2627082180834719E-2</v>
      </c>
    </row>
    <row r="118" spans="1:41">
      <c r="A118" s="271" t="s">
        <v>180</v>
      </c>
      <c r="B118" s="271" t="s">
        <v>181</v>
      </c>
      <c r="C118" s="271" t="s">
        <v>264</v>
      </c>
      <c r="D118" s="271">
        <v>3</v>
      </c>
      <c r="E118" s="645">
        <v>96205</v>
      </c>
      <c r="F118" s="646">
        <v>41127</v>
      </c>
      <c r="G118" s="646">
        <v>52820</v>
      </c>
      <c r="H118" s="646">
        <v>1639</v>
      </c>
      <c r="I118" s="646">
        <v>619</v>
      </c>
      <c r="J118" s="647">
        <f t="shared" si="72"/>
        <v>2258</v>
      </c>
      <c r="K118" s="272">
        <v>22643</v>
      </c>
      <c r="L118" s="646">
        <v>7760</v>
      </c>
      <c r="M118" s="646">
        <v>14336</v>
      </c>
      <c r="N118" s="646">
        <v>388</v>
      </c>
      <c r="O118" s="646">
        <v>159</v>
      </c>
      <c r="P118" s="646">
        <f t="shared" si="73"/>
        <v>547</v>
      </c>
      <c r="Q118" s="645">
        <v>60513</v>
      </c>
      <c r="R118" s="646">
        <v>26393</v>
      </c>
      <c r="S118" s="646">
        <v>32622</v>
      </c>
      <c r="T118" s="646">
        <v>1092</v>
      </c>
      <c r="U118" s="646">
        <v>406</v>
      </c>
      <c r="V118" s="647">
        <f t="shared" si="74"/>
        <v>1498</v>
      </c>
      <c r="W118" s="645">
        <v>13049</v>
      </c>
      <c r="X118" s="646">
        <v>6974</v>
      </c>
      <c r="Y118" s="646">
        <v>5862</v>
      </c>
      <c r="Z118" s="646">
        <v>159</v>
      </c>
      <c r="AA118" s="646">
        <v>54</v>
      </c>
      <c r="AB118" s="647">
        <f t="shared" si="75"/>
        <v>213</v>
      </c>
      <c r="AC118" s="653">
        <f t="shared" si="76"/>
        <v>0.42749337352528455</v>
      </c>
      <c r="AD118" s="654">
        <f t="shared" si="77"/>
        <v>0.54903591289434017</v>
      </c>
      <c r="AE118" s="654">
        <f t="shared" si="65"/>
        <v>1.7036536562548724E-2</v>
      </c>
      <c r="AF118" s="654">
        <f t="shared" si="66"/>
        <v>6.4341770178265164E-3</v>
      </c>
      <c r="AG118" s="655">
        <f t="shared" si="67"/>
        <v>2.3470713580375242E-2</v>
      </c>
      <c r="AH118" s="653">
        <f t="shared" si="68"/>
        <v>0.23536198742269113</v>
      </c>
      <c r="AI118" s="654">
        <f t="shared" si="69"/>
        <v>0.62900057169585777</v>
      </c>
      <c r="AJ118" s="655">
        <f t="shared" si="70"/>
        <v>0.13563744088145108</v>
      </c>
      <c r="AK118" s="645">
        <v>3473</v>
      </c>
      <c r="AL118" s="646">
        <v>1012</v>
      </c>
      <c r="AM118" s="646">
        <v>2348</v>
      </c>
      <c r="AN118" s="647">
        <v>113</v>
      </c>
      <c r="AO118" s="273">
        <f t="shared" si="71"/>
        <v>3.6099994802764927E-2</v>
      </c>
    </row>
    <row r="119" spans="1:41">
      <c r="A119" s="271" t="s">
        <v>192</v>
      </c>
      <c r="B119" s="271" t="s">
        <v>193</v>
      </c>
      <c r="C119" s="271" t="s">
        <v>268</v>
      </c>
      <c r="D119" s="271">
        <v>1</v>
      </c>
      <c r="E119" s="645">
        <v>17184</v>
      </c>
      <c r="F119" s="646">
        <v>15021</v>
      </c>
      <c r="G119" s="646">
        <v>1691</v>
      </c>
      <c r="H119" s="646">
        <v>437</v>
      </c>
      <c r="I119" s="646">
        <v>35</v>
      </c>
      <c r="J119" s="647">
        <f t="shared" si="72"/>
        <v>472</v>
      </c>
      <c r="K119" s="272">
        <v>2263</v>
      </c>
      <c r="L119" s="646">
        <v>1861</v>
      </c>
      <c r="M119" s="646">
        <v>355</v>
      </c>
      <c r="N119" s="646">
        <v>44</v>
      </c>
      <c r="O119" s="646">
        <v>3</v>
      </c>
      <c r="P119" s="646">
        <f t="shared" si="73"/>
        <v>47</v>
      </c>
      <c r="Q119" s="645">
        <v>13547</v>
      </c>
      <c r="R119" s="646">
        <v>11907</v>
      </c>
      <c r="S119" s="646">
        <v>1237</v>
      </c>
      <c r="T119" s="646">
        <v>374</v>
      </c>
      <c r="U119" s="646">
        <v>29</v>
      </c>
      <c r="V119" s="647">
        <f t="shared" si="74"/>
        <v>403</v>
      </c>
      <c r="W119" s="645">
        <v>1374</v>
      </c>
      <c r="X119" s="646">
        <v>1253</v>
      </c>
      <c r="Y119" s="646">
        <v>99</v>
      </c>
      <c r="Z119" s="646">
        <v>19</v>
      </c>
      <c r="AA119" s="646">
        <v>3</v>
      </c>
      <c r="AB119" s="647">
        <f t="shared" si="75"/>
        <v>22</v>
      </c>
      <c r="AC119" s="653">
        <f t="shared" si="76"/>
        <v>0.87412709497206709</v>
      </c>
      <c r="AD119" s="654">
        <f t="shared" si="77"/>
        <v>9.840549348230912E-2</v>
      </c>
      <c r="AE119" s="654">
        <f t="shared" si="65"/>
        <v>2.5430633147113593E-2</v>
      </c>
      <c r="AF119" s="654">
        <f t="shared" si="66"/>
        <v>2.0367783985102421E-3</v>
      </c>
      <c r="AG119" s="655">
        <f t="shared" si="67"/>
        <v>2.7467411545623835E-2</v>
      </c>
      <c r="AH119" s="653">
        <f t="shared" si="68"/>
        <v>0.13169227188081936</v>
      </c>
      <c r="AI119" s="654">
        <f t="shared" si="69"/>
        <v>0.7883496275605214</v>
      </c>
      <c r="AJ119" s="655">
        <f t="shared" si="70"/>
        <v>7.995810055865922E-2</v>
      </c>
      <c r="AK119" s="645">
        <v>510</v>
      </c>
      <c r="AL119" s="646">
        <v>89</v>
      </c>
      <c r="AM119" s="646">
        <v>413</v>
      </c>
      <c r="AN119" s="647">
        <v>8</v>
      </c>
      <c r="AO119" s="273">
        <f t="shared" si="71"/>
        <v>2.967877094972067E-2</v>
      </c>
    </row>
    <row r="120" spans="1:41">
      <c r="A120" s="271" t="s">
        <v>196</v>
      </c>
      <c r="B120" s="271" t="s">
        <v>312</v>
      </c>
      <c r="C120" s="271" t="s">
        <v>266</v>
      </c>
      <c r="D120" s="271">
        <v>3</v>
      </c>
      <c r="E120" s="645">
        <v>214114</v>
      </c>
      <c r="F120" s="646">
        <v>96746</v>
      </c>
      <c r="G120" s="646">
        <v>109740</v>
      </c>
      <c r="H120" s="646">
        <v>6197</v>
      </c>
      <c r="I120" s="646">
        <v>1431</v>
      </c>
      <c r="J120" s="647">
        <f t="shared" si="72"/>
        <v>7628</v>
      </c>
      <c r="K120" s="272">
        <v>39535</v>
      </c>
      <c r="L120" s="646">
        <v>12988</v>
      </c>
      <c r="M120" s="646">
        <v>25355</v>
      </c>
      <c r="N120" s="646">
        <v>851</v>
      </c>
      <c r="O120" s="646">
        <v>341</v>
      </c>
      <c r="P120" s="646">
        <f t="shared" si="73"/>
        <v>1192</v>
      </c>
      <c r="Q120" s="645">
        <v>150283</v>
      </c>
      <c r="R120" s="646">
        <v>72158</v>
      </c>
      <c r="S120" s="646">
        <v>72049</v>
      </c>
      <c r="T120" s="646">
        <v>5101</v>
      </c>
      <c r="U120" s="646">
        <v>975</v>
      </c>
      <c r="V120" s="647">
        <f t="shared" si="74"/>
        <v>6076</v>
      </c>
      <c r="W120" s="645">
        <v>24296</v>
      </c>
      <c r="X120" s="646">
        <v>11600</v>
      </c>
      <c r="Y120" s="646">
        <v>12336</v>
      </c>
      <c r="Z120" s="646">
        <v>245</v>
      </c>
      <c r="AA120" s="646">
        <v>115</v>
      </c>
      <c r="AB120" s="647">
        <f t="shared" si="75"/>
        <v>360</v>
      </c>
      <c r="AC120" s="653">
        <f t="shared" si="76"/>
        <v>0.45184341051962973</v>
      </c>
      <c r="AD120" s="654">
        <f t="shared" si="77"/>
        <v>0.51253070794062972</v>
      </c>
      <c r="AE120" s="654">
        <f t="shared" si="65"/>
        <v>2.8942525944123224E-2</v>
      </c>
      <c r="AF120" s="654">
        <f t="shared" si="66"/>
        <v>6.6833555956172883E-3</v>
      </c>
      <c r="AG120" s="655">
        <f t="shared" si="67"/>
        <v>3.5625881539740514E-2</v>
      </c>
      <c r="AH120" s="653">
        <f t="shared" si="68"/>
        <v>0.18464462856235464</v>
      </c>
      <c r="AI120" s="654">
        <f t="shared" si="69"/>
        <v>0.70188310899801043</v>
      </c>
      <c r="AJ120" s="655">
        <f t="shared" si="70"/>
        <v>0.11347226243963496</v>
      </c>
      <c r="AK120" s="645">
        <v>13599</v>
      </c>
      <c r="AL120" s="646">
        <v>3999</v>
      </c>
      <c r="AM120" s="646">
        <v>9243</v>
      </c>
      <c r="AN120" s="647">
        <v>357</v>
      </c>
      <c r="AO120" s="273">
        <f t="shared" si="71"/>
        <v>6.351289499985989E-2</v>
      </c>
    </row>
    <row r="121" spans="1:41">
      <c r="A121" s="271" t="s">
        <v>200</v>
      </c>
      <c r="B121" s="271" t="s">
        <v>313</v>
      </c>
      <c r="C121" s="271" t="s">
        <v>265</v>
      </c>
      <c r="D121" s="271">
        <v>3</v>
      </c>
      <c r="E121" s="645">
        <v>98465</v>
      </c>
      <c r="F121" s="646">
        <v>66033</v>
      </c>
      <c r="G121" s="646">
        <v>29721</v>
      </c>
      <c r="H121" s="646">
        <v>2317</v>
      </c>
      <c r="I121" s="646">
        <v>394</v>
      </c>
      <c r="J121" s="647">
        <f t="shared" si="72"/>
        <v>2711</v>
      </c>
      <c r="K121" s="272">
        <v>21571</v>
      </c>
      <c r="L121" s="646">
        <v>12445</v>
      </c>
      <c r="M121" s="646">
        <v>8451</v>
      </c>
      <c r="N121" s="646">
        <v>593</v>
      </c>
      <c r="O121" s="646">
        <v>82</v>
      </c>
      <c r="P121" s="646">
        <f t="shared" si="73"/>
        <v>675</v>
      </c>
      <c r="Q121" s="645">
        <v>62482</v>
      </c>
      <c r="R121" s="646">
        <v>42457</v>
      </c>
      <c r="S121" s="646">
        <v>18186</v>
      </c>
      <c r="T121" s="646">
        <v>1556</v>
      </c>
      <c r="U121" s="646">
        <v>283</v>
      </c>
      <c r="V121" s="647">
        <f t="shared" si="74"/>
        <v>1839</v>
      </c>
      <c r="W121" s="645">
        <v>14412</v>
      </c>
      <c r="X121" s="646">
        <v>11131</v>
      </c>
      <c r="Y121" s="646">
        <v>3084</v>
      </c>
      <c r="Z121" s="646">
        <v>168</v>
      </c>
      <c r="AA121" s="646">
        <v>29</v>
      </c>
      <c r="AB121" s="647">
        <f t="shared" si="75"/>
        <v>197</v>
      </c>
      <c r="AC121" s="653">
        <f t="shared" si="76"/>
        <v>0.67062407962220083</v>
      </c>
      <c r="AD121" s="654">
        <f t="shared" si="77"/>
        <v>0.30184329457167519</v>
      </c>
      <c r="AE121" s="654">
        <f t="shared" si="65"/>
        <v>2.3531203981110037E-2</v>
      </c>
      <c r="AF121" s="654">
        <f t="shared" si="66"/>
        <v>4.0014218250139641E-3</v>
      </c>
      <c r="AG121" s="655">
        <f t="shared" si="67"/>
        <v>2.7532625806124002E-2</v>
      </c>
      <c r="AH121" s="653">
        <f t="shared" si="68"/>
        <v>0.2190727669730361</v>
      </c>
      <c r="AI121" s="654">
        <f t="shared" si="69"/>
        <v>0.63456050373229067</v>
      </c>
      <c r="AJ121" s="655">
        <f t="shared" si="70"/>
        <v>0.14636672929467323</v>
      </c>
      <c r="AK121" s="645">
        <v>5720</v>
      </c>
      <c r="AL121" s="646">
        <v>1932</v>
      </c>
      <c r="AM121" s="646">
        <v>3624</v>
      </c>
      <c r="AN121" s="647">
        <v>164</v>
      </c>
      <c r="AO121" s="273">
        <f t="shared" si="71"/>
        <v>5.8091707713400699E-2</v>
      </c>
    </row>
    <row r="122" spans="1:41">
      <c r="A122" s="271" t="s">
        <v>222</v>
      </c>
      <c r="B122" s="271" t="s">
        <v>223</v>
      </c>
      <c r="C122" s="271" t="s">
        <v>264</v>
      </c>
      <c r="D122" s="271">
        <v>3</v>
      </c>
      <c r="E122" s="645">
        <v>85728</v>
      </c>
      <c r="F122" s="646">
        <v>45699</v>
      </c>
      <c r="G122" s="646">
        <v>37767</v>
      </c>
      <c r="H122" s="646">
        <v>1863</v>
      </c>
      <c r="I122" s="646">
        <v>399</v>
      </c>
      <c r="J122" s="647">
        <f t="shared" si="72"/>
        <v>2262</v>
      </c>
      <c r="K122" s="272">
        <v>21616</v>
      </c>
      <c r="L122" s="646">
        <v>10224</v>
      </c>
      <c r="M122" s="646">
        <v>10768</v>
      </c>
      <c r="N122" s="646">
        <v>519</v>
      </c>
      <c r="O122" s="646">
        <v>105</v>
      </c>
      <c r="P122" s="646">
        <f t="shared" si="73"/>
        <v>624</v>
      </c>
      <c r="Q122" s="645">
        <v>53326</v>
      </c>
      <c r="R122" s="646">
        <v>28615</v>
      </c>
      <c r="S122" s="646">
        <v>23268</v>
      </c>
      <c r="T122" s="646">
        <v>1183</v>
      </c>
      <c r="U122" s="646">
        <v>260</v>
      </c>
      <c r="V122" s="647">
        <f t="shared" si="74"/>
        <v>1443</v>
      </c>
      <c r="W122" s="645">
        <v>10786</v>
      </c>
      <c r="X122" s="646">
        <v>6860</v>
      </c>
      <c r="Y122" s="646">
        <v>3731</v>
      </c>
      <c r="Z122" s="646">
        <v>161</v>
      </c>
      <c r="AA122" s="646">
        <v>34</v>
      </c>
      <c r="AB122" s="647">
        <f t="shared" si="75"/>
        <v>195</v>
      </c>
      <c r="AC122" s="653">
        <f t="shared" si="76"/>
        <v>0.53306970884658456</v>
      </c>
      <c r="AD122" s="654">
        <f t="shared" si="77"/>
        <v>0.44054451287793955</v>
      </c>
      <c r="AE122" s="654">
        <f t="shared" si="65"/>
        <v>2.1731522956326986E-2</v>
      </c>
      <c r="AF122" s="654">
        <f t="shared" si="66"/>
        <v>4.6542553191489359E-3</v>
      </c>
      <c r="AG122" s="655">
        <f t="shared" si="67"/>
        <v>2.6385778275475925E-2</v>
      </c>
      <c r="AH122" s="653">
        <f t="shared" si="68"/>
        <v>0.25214632325494585</v>
      </c>
      <c r="AI122" s="654">
        <f t="shared" si="69"/>
        <v>0.62203714072415084</v>
      </c>
      <c r="AJ122" s="655">
        <f t="shared" si="70"/>
        <v>0.12581653602090331</v>
      </c>
      <c r="AK122" s="645">
        <v>3031</v>
      </c>
      <c r="AL122" s="646">
        <v>1079</v>
      </c>
      <c r="AM122" s="646">
        <v>1842</v>
      </c>
      <c r="AN122" s="647">
        <v>110</v>
      </c>
      <c r="AO122" s="273">
        <f t="shared" si="71"/>
        <v>3.535600970511385E-2</v>
      </c>
    </row>
    <row r="123" spans="1:41">
      <c r="A123" s="271" t="s">
        <v>230</v>
      </c>
      <c r="B123" s="271" t="s">
        <v>231</v>
      </c>
      <c r="C123" s="271" t="s">
        <v>264</v>
      </c>
      <c r="D123" s="271">
        <v>3</v>
      </c>
      <c r="E123" s="645">
        <v>448479</v>
      </c>
      <c r="F123" s="646">
        <v>317230</v>
      </c>
      <c r="G123" s="646">
        <v>94850</v>
      </c>
      <c r="H123" s="646">
        <v>33821</v>
      </c>
      <c r="I123" s="646">
        <v>2578</v>
      </c>
      <c r="J123" s="647">
        <f t="shared" si="72"/>
        <v>36399</v>
      </c>
      <c r="K123" s="272">
        <v>103578</v>
      </c>
      <c r="L123" s="646">
        <v>68670</v>
      </c>
      <c r="M123" s="646">
        <v>26733</v>
      </c>
      <c r="N123" s="646">
        <v>7587</v>
      </c>
      <c r="O123" s="646">
        <v>588</v>
      </c>
      <c r="P123" s="646">
        <f t="shared" si="73"/>
        <v>8175</v>
      </c>
      <c r="Q123" s="645">
        <v>291769</v>
      </c>
      <c r="R123" s="646">
        <v>206533</v>
      </c>
      <c r="S123" s="646">
        <v>61332</v>
      </c>
      <c r="T123" s="646">
        <v>22082</v>
      </c>
      <c r="U123" s="646">
        <v>1822</v>
      </c>
      <c r="V123" s="647">
        <f t="shared" si="74"/>
        <v>23904</v>
      </c>
      <c r="W123" s="645">
        <v>53132</v>
      </c>
      <c r="X123" s="646">
        <v>42027</v>
      </c>
      <c r="Y123" s="646">
        <v>6785</v>
      </c>
      <c r="Z123" s="646">
        <v>4152</v>
      </c>
      <c r="AA123" s="646">
        <v>168</v>
      </c>
      <c r="AB123" s="647">
        <f t="shared" si="75"/>
        <v>4320</v>
      </c>
      <c r="AC123" s="653">
        <f t="shared" si="76"/>
        <v>0.70734638634138947</v>
      </c>
      <c r="AD123" s="654">
        <f t="shared" si="77"/>
        <v>0.21149262284298706</v>
      </c>
      <c r="AE123" s="654">
        <f t="shared" si="65"/>
        <v>7.5412672611203643E-2</v>
      </c>
      <c r="AF123" s="654">
        <f t="shared" si="66"/>
        <v>5.7483182044198279E-3</v>
      </c>
      <c r="AG123" s="655">
        <f t="shared" si="67"/>
        <v>8.1160990815623474E-2</v>
      </c>
      <c r="AH123" s="653">
        <f t="shared" si="68"/>
        <v>0.23095395771039445</v>
      </c>
      <c r="AI123" s="654">
        <f t="shared" si="69"/>
        <v>0.65057449735662098</v>
      </c>
      <c r="AJ123" s="655">
        <f t="shared" si="70"/>
        <v>0.1184715449329846</v>
      </c>
      <c r="AK123" s="645">
        <v>33458</v>
      </c>
      <c r="AL123" s="646">
        <v>10753</v>
      </c>
      <c r="AM123" s="646">
        <v>21380</v>
      </c>
      <c r="AN123" s="647">
        <v>1325</v>
      </c>
      <c r="AO123" s="273">
        <f t="shared" si="71"/>
        <v>7.4603270164266336E-2</v>
      </c>
    </row>
    <row r="124" spans="1:41">
      <c r="A124" s="271" t="s">
        <v>238</v>
      </c>
      <c r="B124" s="271" t="s">
        <v>239</v>
      </c>
      <c r="C124" s="271" t="s">
        <v>264</v>
      </c>
      <c r="D124" s="271">
        <v>1</v>
      </c>
      <c r="E124" s="645">
        <v>15206</v>
      </c>
      <c r="F124" s="646">
        <v>11806</v>
      </c>
      <c r="G124" s="646">
        <v>2423</v>
      </c>
      <c r="H124" s="646">
        <v>923</v>
      </c>
      <c r="I124" s="646">
        <v>54</v>
      </c>
      <c r="J124" s="647">
        <f t="shared" si="72"/>
        <v>977</v>
      </c>
      <c r="K124" s="272">
        <v>1616</v>
      </c>
      <c r="L124" s="646">
        <v>1054</v>
      </c>
      <c r="M124" s="646">
        <v>471</v>
      </c>
      <c r="N124" s="646">
        <v>82</v>
      </c>
      <c r="O124" s="646">
        <v>9</v>
      </c>
      <c r="P124" s="646">
        <f t="shared" si="73"/>
        <v>91</v>
      </c>
      <c r="Q124" s="645">
        <v>11288</v>
      </c>
      <c r="R124" s="646">
        <v>8762</v>
      </c>
      <c r="S124" s="646">
        <v>1684</v>
      </c>
      <c r="T124" s="646">
        <v>800</v>
      </c>
      <c r="U124" s="646">
        <v>42</v>
      </c>
      <c r="V124" s="647">
        <f t="shared" si="74"/>
        <v>842</v>
      </c>
      <c r="W124" s="645">
        <v>2302</v>
      </c>
      <c r="X124" s="646">
        <v>1990</v>
      </c>
      <c r="Y124" s="646">
        <v>268</v>
      </c>
      <c r="Z124" s="646">
        <v>41</v>
      </c>
      <c r="AA124" s="646">
        <v>3</v>
      </c>
      <c r="AB124" s="647">
        <f t="shared" si="75"/>
        <v>44</v>
      </c>
      <c r="AC124" s="653">
        <f t="shared" si="76"/>
        <v>0.77640405103248722</v>
      </c>
      <c r="AD124" s="654">
        <f t="shared" si="77"/>
        <v>0.159344995396554</v>
      </c>
      <c r="AE124" s="654">
        <f t="shared" si="65"/>
        <v>6.0699723793239513E-2</v>
      </c>
      <c r="AF124" s="654">
        <f t="shared" si="66"/>
        <v>3.5512297777193212E-3</v>
      </c>
      <c r="AG124" s="655">
        <f t="shared" si="67"/>
        <v>6.4250953570958835E-2</v>
      </c>
      <c r="AH124" s="653">
        <f t="shared" si="68"/>
        <v>0.1062738392739708</v>
      </c>
      <c r="AI124" s="654">
        <f t="shared" si="69"/>
        <v>0.7423385505721426</v>
      </c>
      <c r="AJ124" s="655">
        <f t="shared" si="70"/>
        <v>0.15138761015388663</v>
      </c>
      <c r="AK124" s="645">
        <v>1095</v>
      </c>
      <c r="AL124" s="646">
        <v>220</v>
      </c>
      <c r="AM124" s="646">
        <v>849</v>
      </c>
      <c r="AN124" s="647">
        <v>26</v>
      </c>
      <c r="AO124" s="273">
        <f t="shared" si="71"/>
        <v>7.201104827041957E-2</v>
      </c>
    </row>
    <row r="125" spans="1:41">
      <c r="A125" s="271" t="s">
        <v>240</v>
      </c>
      <c r="B125" s="271" t="s">
        <v>241</v>
      </c>
      <c r="C125" s="271" t="s">
        <v>267</v>
      </c>
      <c r="D125" s="271">
        <v>2</v>
      </c>
      <c r="E125" s="645">
        <v>27216</v>
      </c>
      <c r="F125" s="646">
        <v>22745</v>
      </c>
      <c r="G125" s="646">
        <v>3466</v>
      </c>
      <c r="H125" s="646">
        <v>786</v>
      </c>
      <c r="I125" s="646">
        <v>219</v>
      </c>
      <c r="J125" s="647">
        <f t="shared" si="72"/>
        <v>1005</v>
      </c>
      <c r="K125" s="272">
        <v>6269</v>
      </c>
      <c r="L125" s="646">
        <v>4952</v>
      </c>
      <c r="M125" s="646">
        <v>1037</v>
      </c>
      <c r="N125" s="646">
        <v>209</v>
      </c>
      <c r="O125" s="646">
        <v>71</v>
      </c>
      <c r="P125" s="646">
        <f t="shared" si="73"/>
        <v>280</v>
      </c>
      <c r="Q125" s="645">
        <v>17015</v>
      </c>
      <c r="R125" s="646">
        <v>14233</v>
      </c>
      <c r="S125" s="646">
        <v>2116</v>
      </c>
      <c r="T125" s="646">
        <v>523</v>
      </c>
      <c r="U125" s="646">
        <v>143</v>
      </c>
      <c r="V125" s="647">
        <f t="shared" si="74"/>
        <v>666</v>
      </c>
      <c r="W125" s="645">
        <v>3932</v>
      </c>
      <c r="X125" s="646">
        <v>3560</v>
      </c>
      <c r="Y125" s="646">
        <v>313</v>
      </c>
      <c r="Z125" s="646">
        <v>54</v>
      </c>
      <c r="AA125" s="646">
        <v>5</v>
      </c>
      <c r="AB125" s="647">
        <f t="shared" si="75"/>
        <v>59</v>
      </c>
      <c r="AC125" s="653">
        <f t="shared" si="76"/>
        <v>0.83572163433274549</v>
      </c>
      <c r="AD125" s="654">
        <f t="shared" si="77"/>
        <v>0.12735155790711347</v>
      </c>
      <c r="AE125" s="654">
        <f t="shared" si="65"/>
        <v>2.8880070546737212E-2</v>
      </c>
      <c r="AF125" s="654">
        <f t="shared" si="66"/>
        <v>8.0467372134038796E-3</v>
      </c>
      <c r="AG125" s="655">
        <f t="shared" si="67"/>
        <v>3.6926807760141095E-2</v>
      </c>
      <c r="AH125" s="653">
        <f t="shared" si="68"/>
        <v>0.23034244562022341</v>
      </c>
      <c r="AI125" s="654">
        <f t="shared" si="69"/>
        <v>0.62518371546149321</v>
      </c>
      <c r="AJ125" s="655">
        <f t="shared" si="70"/>
        <v>0.14447383891828336</v>
      </c>
      <c r="AK125" s="645">
        <v>4336</v>
      </c>
      <c r="AL125" s="646">
        <v>1787</v>
      </c>
      <c r="AM125" s="646">
        <v>2461</v>
      </c>
      <c r="AN125" s="647">
        <v>88</v>
      </c>
      <c r="AO125" s="273">
        <f t="shared" si="71"/>
        <v>0.1593180482069371</v>
      </c>
    </row>
    <row r="126" spans="1:41">
      <c r="E126" s="272"/>
      <c r="F126" s="272"/>
      <c r="G126" s="272"/>
      <c r="H126" s="272"/>
      <c r="I126" s="272"/>
      <c r="J126" s="272"/>
      <c r="K126" s="272"/>
      <c r="L126" s="272"/>
      <c r="M126" s="272"/>
      <c r="N126" s="272"/>
      <c r="O126" s="272"/>
      <c r="P126" s="272"/>
      <c r="Q126" s="272"/>
      <c r="R126" s="272"/>
      <c r="S126" s="272"/>
      <c r="T126" s="272"/>
      <c r="U126" s="272"/>
      <c r="V126" s="272"/>
      <c r="W126" s="272"/>
      <c r="X126" s="272"/>
      <c r="Y126" s="272"/>
      <c r="Z126" s="272"/>
      <c r="AA126" s="272"/>
      <c r="AB126" s="272"/>
      <c r="AC126" s="646"/>
      <c r="AD126" s="646"/>
      <c r="AE126" s="646"/>
      <c r="AF126" s="646"/>
      <c r="AG126" s="646"/>
      <c r="AH126" s="646"/>
      <c r="AI126" s="646"/>
      <c r="AJ126" s="647"/>
      <c r="AK126" s="272"/>
      <c r="AL126" s="272"/>
      <c r="AM126" s="272"/>
    </row>
    <row r="127" spans="1:41">
      <c r="A127" s="271" t="s">
        <v>266</v>
      </c>
      <c r="E127" s="1280">
        <f>F127+G127+J127</f>
        <v>1351887</v>
      </c>
      <c r="F127" s="1280">
        <f t="shared" ref="F127:I128" si="78">L127+R127+X127</f>
        <v>875492</v>
      </c>
      <c r="G127" s="1280">
        <f t="shared" si="78"/>
        <v>417881</v>
      </c>
      <c r="H127" s="1280">
        <f t="shared" si="78"/>
        <v>50303</v>
      </c>
      <c r="I127" s="1280">
        <f t="shared" si="78"/>
        <v>8211</v>
      </c>
      <c r="J127" s="1280">
        <f>H127+I127</f>
        <v>58514</v>
      </c>
      <c r="K127" s="1280">
        <f>L127+M127+P127</f>
        <v>298206</v>
      </c>
      <c r="L127" s="272">
        <v>180619</v>
      </c>
      <c r="M127" s="272">
        <v>103045</v>
      </c>
      <c r="N127" s="272">
        <v>12528</v>
      </c>
      <c r="O127" s="272">
        <v>2014</v>
      </c>
      <c r="P127" s="1280">
        <f>N127+O127</f>
        <v>14542</v>
      </c>
      <c r="Q127" s="1280">
        <f>R127+S127+V127</f>
        <v>859968</v>
      </c>
      <c r="R127" s="272">
        <v>551996</v>
      </c>
      <c r="S127" s="272">
        <v>268323</v>
      </c>
      <c r="T127" s="272">
        <v>34288</v>
      </c>
      <c r="U127" s="272">
        <v>5361</v>
      </c>
      <c r="V127" s="1280">
        <f>T127+U127</f>
        <v>39649</v>
      </c>
      <c r="W127" s="1280">
        <f>X127+Y127+AB127</f>
        <v>193713</v>
      </c>
      <c r="X127" s="272">
        <v>142877</v>
      </c>
      <c r="Y127" s="272">
        <v>46513</v>
      </c>
      <c r="Z127" s="272">
        <v>3487</v>
      </c>
      <c r="AA127" s="272">
        <v>836</v>
      </c>
      <c r="AB127" s="1280">
        <f>Z127+AA127</f>
        <v>4323</v>
      </c>
      <c r="AC127" s="1281">
        <f t="shared" ref="AC127" si="79">F127/E127</f>
        <v>0.64760738138616614</v>
      </c>
      <c r="AD127" s="1282">
        <f t="shared" ref="AD127" si="80">G127/E127</f>
        <v>0.30910941520999907</v>
      </c>
      <c r="AE127" s="1282">
        <f t="shared" ref="AE127" si="81">H127/E127</f>
        <v>3.7209470909920724E-2</v>
      </c>
      <c r="AF127" s="1282">
        <f t="shared" ref="AF127" si="82">I127/E127</f>
        <v>6.0737324939140625E-3</v>
      </c>
      <c r="AG127" s="1283">
        <f t="shared" ref="AG127" si="83">J127/E127</f>
        <v>4.3283203403834791E-2</v>
      </c>
      <c r="AH127" s="1281">
        <f t="shared" ref="AH127" si="84">K127/E127</f>
        <v>0.22058500451590998</v>
      </c>
      <c r="AI127" s="1282">
        <f t="shared" ref="AI127" si="85">Q127/E127</f>
        <v>0.63612417310026648</v>
      </c>
      <c r="AJ127" s="1283">
        <f t="shared" ref="AJ127" si="86">W127/E127</f>
        <v>0.14329082238382351</v>
      </c>
      <c r="AK127" s="1280">
        <f>AL127+AM127+AN127</f>
        <v>71840</v>
      </c>
      <c r="AL127" s="272">
        <v>23801</v>
      </c>
      <c r="AM127" s="272">
        <v>45538</v>
      </c>
      <c r="AN127" s="272">
        <v>2501</v>
      </c>
      <c r="AO127" s="1284">
        <f t="shared" ref="AO127:AO131" si="87">AK127/E127</f>
        <v>5.3140536154279168E-2</v>
      </c>
    </row>
    <row r="128" spans="1:41">
      <c r="A128" s="271" t="s">
        <v>264</v>
      </c>
      <c r="E128" s="1280">
        <f t="shared" ref="E128:E131" si="88">F128+G128+J128</f>
        <v>1861541</v>
      </c>
      <c r="F128" s="1280">
        <f t="shared" si="78"/>
        <v>1143738</v>
      </c>
      <c r="G128" s="1280">
        <f t="shared" si="78"/>
        <v>627904</v>
      </c>
      <c r="H128" s="1280">
        <f t="shared" si="78"/>
        <v>78657</v>
      </c>
      <c r="I128" s="1280">
        <f t="shared" si="78"/>
        <v>11242</v>
      </c>
      <c r="J128" s="1280">
        <f>H128+I128</f>
        <v>89899</v>
      </c>
      <c r="K128" s="1280">
        <f>L128+M128+P128</f>
        <v>417660</v>
      </c>
      <c r="L128" s="272">
        <v>233548</v>
      </c>
      <c r="M128" s="272">
        <v>163721</v>
      </c>
      <c r="N128" s="272">
        <v>17827</v>
      </c>
      <c r="O128" s="272">
        <v>2564</v>
      </c>
      <c r="P128" s="1280">
        <f>N128+O128</f>
        <v>20391</v>
      </c>
      <c r="Q128" s="1280">
        <f>R128+S128+V128</f>
        <v>1201271</v>
      </c>
      <c r="R128" s="272">
        <v>739019</v>
      </c>
      <c r="S128" s="272">
        <v>401987</v>
      </c>
      <c r="T128" s="272">
        <v>52434</v>
      </c>
      <c r="U128" s="272">
        <v>7831</v>
      </c>
      <c r="V128" s="1280">
        <f>T128+U128</f>
        <v>60265</v>
      </c>
      <c r="W128" s="1280">
        <f t="shared" ref="W128:W131" si="89">X128+Y128+AB128</f>
        <v>242610</v>
      </c>
      <c r="X128" s="272">
        <v>171171</v>
      </c>
      <c r="Y128" s="272">
        <v>62196</v>
      </c>
      <c r="Z128" s="272">
        <v>8396</v>
      </c>
      <c r="AA128" s="272">
        <v>847</v>
      </c>
      <c r="AB128" s="1280">
        <f t="shared" ref="AB128:AB131" si="90">Z128+AA128</f>
        <v>9243</v>
      </c>
      <c r="AC128" s="1281">
        <f t="shared" ref="AC128:AC131" si="91">F128/E128</f>
        <v>0.6144038729203386</v>
      </c>
      <c r="AD128" s="1282">
        <f t="shared" ref="AD128:AD131" si="92">G128/E128</f>
        <v>0.33730334169379023</v>
      </c>
      <c r="AE128" s="1282">
        <f t="shared" ref="AE128:AE131" si="93">H128/E128</f>
        <v>4.2253702711892993E-2</v>
      </c>
      <c r="AF128" s="1282">
        <f t="shared" ref="AF128:AF131" si="94">I128/E128</f>
        <v>6.0390826739781722E-3</v>
      </c>
      <c r="AG128" s="1283">
        <f t="shared" ref="AG128:AG131" si="95">J128/E128</f>
        <v>4.8292785385871166E-2</v>
      </c>
      <c r="AH128" s="1281">
        <f t="shared" ref="AH128:AH131" si="96">K128/E128</f>
        <v>0.22436250396848634</v>
      </c>
      <c r="AI128" s="1282">
        <f t="shared" ref="AI128:AI131" si="97">Q128/E128</f>
        <v>0.64530998780042981</v>
      </c>
      <c r="AJ128" s="1283">
        <f t="shared" ref="AJ128:AJ131" si="98">W128/E128</f>
        <v>0.13032750823108383</v>
      </c>
      <c r="AK128" s="1280">
        <f t="shared" ref="AK128:AK131" si="99">AL128+AM128+AN128</f>
        <v>111594</v>
      </c>
      <c r="AL128" s="272">
        <v>35201</v>
      </c>
      <c r="AM128" s="272">
        <v>72435</v>
      </c>
      <c r="AN128" s="272">
        <v>3958</v>
      </c>
      <c r="AO128" s="1284">
        <f t="shared" si="87"/>
        <v>5.9947108336587805E-2</v>
      </c>
    </row>
    <row r="129" spans="1:41">
      <c r="A129" s="271" t="s">
        <v>267</v>
      </c>
      <c r="E129" s="1280">
        <f t="shared" si="88"/>
        <v>3286562</v>
      </c>
      <c r="F129" s="1280">
        <f t="shared" ref="F129:F131" si="100">L129+R129+X129</f>
        <v>2447791</v>
      </c>
      <c r="G129" s="1280">
        <f t="shared" ref="G129:G131" si="101">M129+S129+Y129</f>
        <v>420121</v>
      </c>
      <c r="H129" s="1280">
        <f t="shared" ref="H129:H131" si="102">N129+T129+Z129</f>
        <v>393573</v>
      </c>
      <c r="I129" s="1280">
        <f t="shared" ref="I129:I131" si="103">O129+U129+AA129</f>
        <v>25077</v>
      </c>
      <c r="J129" s="1280">
        <f t="shared" ref="J129:J131" si="104">H129+I129</f>
        <v>418650</v>
      </c>
      <c r="K129" s="1280">
        <f t="shared" ref="K129:K131" si="105">L129+M129+P129</f>
        <v>800269</v>
      </c>
      <c r="L129" s="272">
        <v>575930</v>
      </c>
      <c r="M129" s="272">
        <v>116919</v>
      </c>
      <c r="N129" s="272">
        <v>100139</v>
      </c>
      <c r="O129" s="272">
        <v>7281</v>
      </c>
      <c r="P129" s="1280">
        <f t="shared" ref="P129:P131" si="106">N129+O129</f>
        <v>107420</v>
      </c>
      <c r="Q129" s="1280">
        <f t="shared" ref="Q129:Q131" si="107">R129+S129+V129</f>
        <v>2132579</v>
      </c>
      <c r="R129" s="272">
        <v>1580021</v>
      </c>
      <c r="S129" s="272">
        <v>274030</v>
      </c>
      <c r="T129" s="272">
        <v>261897</v>
      </c>
      <c r="U129" s="272">
        <v>16631</v>
      </c>
      <c r="V129" s="1280">
        <f t="shared" ref="V129:V131" si="108">T129+U129</f>
        <v>278528</v>
      </c>
      <c r="W129" s="1280">
        <f t="shared" si="89"/>
        <v>353714</v>
      </c>
      <c r="X129" s="272">
        <v>291840</v>
      </c>
      <c r="Y129" s="272">
        <v>29172</v>
      </c>
      <c r="Z129" s="272">
        <v>31537</v>
      </c>
      <c r="AA129" s="272">
        <v>1165</v>
      </c>
      <c r="AB129" s="1280">
        <f t="shared" si="90"/>
        <v>32702</v>
      </c>
      <c r="AC129" s="1281">
        <f t="shared" si="91"/>
        <v>0.74478771433491897</v>
      </c>
      <c r="AD129" s="1282">
        <f t="shared" si="92"/>
        <v>0.12782993292078471</v>
      </c>
      <c r="AE129" s="1282">
        <f t="shared" si="93"/>
        <v>0.11975219089127179</v>
      </c>
      <c r="AF129" s="1282">
        <f t="shared" si="94"/>
        <v>7.6301618530245285E-3</v>
      </c>
      <c r="AG129" s="1283">
        <f t="shared" si="95"/>
        <v>0.12738235274429632</v>
      </c>
      <c r="AH129" s="1281">
        <f t="shared" si="96"/>
        <v>0.24349730812928524</v>
      </c>
      <c r="AI129" s="1282">
        <f t="shared" si="97"/>
        <v>0.64887837198872256</v>
      </c>
      <c r="AJ129" s="1283">
        <f t="shared" si="98"/>
        <v>0.10762431988199218</v>
      </c>
      <c r="AK129" s="1280">
        <f t="shared" si="99"/>
        <v>479316</v>
      </c>
      <c r="AL129" s="272">
        <v>153103</v>
      </c>
      <c r="AM129" s="272">
        <v>308177</v>
      </c>
      <c r="AN129" s="272">
        <v>18036</v>
      </c>
      <c r="AO129" s="1284">
        <f t="shared" si="87"/>
        <v>0.1458411555905533</v>
      </c>
    </row>
    <row r="130" spans="1:41">
      <c r="A130" s="271" t="s">
        <v>265</v>
      </c>
      <c r="E130" s="1280">
        <f t="shared" si="88"/>
        <v>1165757</v>
      </c>
      <c r="F130" s="1280">
        <f t="shared" si="100"/>
        <v>931592</v>
      </c>
      <c r="G130" s="1280">
        <f t="shared" si="101"/>
        <v>207130</v>
      </c>
      <c r="H130" s="1280">
        <f t="shared" si="102"/>
        <v>22858</v>
      </c>
      <c r="I130" s="1280">
        <f t="shared" si="103"/>
        <v>4177</v>
      </c>
      <c r="J130" s="1280">
        <f t="shared" si="104"/>
        <v>27035</v>
      </c>
      <c r="K130" s="1280">
        <f t="shared" si="105"/>
        <v>236700</v>
      </c>
      <c r="L130" s="272">
        <v>178813</v>
      </c>
      <c r="M130" s="272">
        <v>51671</v>
      </c>
      <c r="N130" s="272">
        <v>5240</v>
      </c>
      <c r="O130" s="272">
        <v>976</v>
      </c>
      <c r="P130" s="1280">
        <f t="shared" si="106"/>
        <v>6216</v>
      </c>
      <c r="Q130" s="1280">
        <f t="shared" si="107"/>
        <v>718014</v>
      </c>
      <c r="R130" s="272">
        <v>571212</v>
      </c>
      <c r="S130" s="272">
        <v>127809</v>
      </c>
      <c r="T130" s="272">
        <v>16231</v>
      </c>
      <c r="U130" s="272">
        <v>2762</v>
      </c>
      <c r="V130" s="1280">
        <f t="shared" si="108"/>
        <v>18993</v>
      </c>
      <c r="W130" s="1280">
        <f t="shared" si="89"/>
        <v>211043</v>
      </c>
      <c r="X130" s="272">
        <v>181567</v>
      </c>
      <c r="Y130" s="272">
        <v>27650</v>
      </c>
      <c r="Z130" s="272">
        <v>1387</v>
      </c>
      <c r="AA130" s="272">
        <v>439</v>
      </c>
      <c r="AB130" s="1280">
        <f t="shared" si="90"/>
        <v>1826</v>
      </c>
      <c r="AC130" s="1281">
        <f t="shared" si="91"/>
        <v>0.79913052205562563</v>
      </c>
      <c r="AD130" s="1282">
        <f t="shared" si="92"/>
        <v>0.17767853849472917</v>
      </c>
      <c r="AE130" s="1282">
        <f t="shared" si="93"/>
        <v>1.9607859957092258E-2</v>
      </c>
      <c r="AF130" s="1282">
        <f t="shared" si="94"/>
        <v>3.5830794925529076E-3</v>
      </c>
      <c r="AG130" s="1283">
        <f t="shared" si="95"/>
        <v>2.3190939449645166E-2</v>
      </c>
      <c r="AH130" s="1281">
        <f t="shared" si="96"/>
        <v>0.20304403061701537</v>
      </c>
      <c r="AI130" s="1282">
        <f t="shared" si="97"/>
        <v>0.61592081368587104</v>
      </c>
      <c r="AJ130" s="1283">
        <f t="shared" si="98"/>
        <v>0.18103515569711354</v>
      </c>
      <c r="AK130" s="1280">
        <f t="shared" si="99"/>
        <v>38538</v>
      </c>
      <c r="AL130" s="272">
        <v>13330</v>
      </c>
      <c r="AM130" s="272">
        <v>23629</v>
      </c>
      <c r="AN130" s="272">
        <v>1579</v>
      </c>
      <c r="AO130" s="1284">
        <f t="shared" si="87"/>
        <v>3.3058347494374897E-2</v>
      </c>
    </row>
    <row r="131" spans="1:41">
      <c r="A131" s="271" t="s">
        <v>268</v>
      </c>
      <c r="E131" s="1280">
        <f t="shared" si="88"/>
        <v>594658</v>
      </c>
      <c r="F131" s="1280">
        <f t="shared" si="100"/>
        <v>562448</v>
      </c>
      <c r="G131" s="1280">
        <f t="shared" si="101"/>
        <v>22059</v>
      </c>
      <c r="H131" s="1280">
        <f t="shared" si="102"/>
        <v>8726</v>
      </c>
      <c r="I131" s="1280">
        <f t="shared" si="103"/>
        <v>1425</v>
      </c>
      <c r="J131" s="1280">
        <f t="shared" si="104"/>
        <v>10151</v>
      </c>
      <c r="K131" s="1280">
        <f t="shared" si="105"/>
        <v>111700</v>
      </c>
      <c r="L131" s="272">
        <v>105365</v>
      </c>
      <c r="M131" s="272">
        <v>4650</v>
      </c>
      <c r="N131" s="272">
        <v>1420</v>
      </c>
      <c r="O131" s="272">
        <v>265</v>
      </c>
      <c r="P131" s="1280">
        <f t="shared" si="106"/>
        <v>1685</v>
      </c>
      <c r="Q131" s="1280">
        <f t="shared" si="107"/>
        <v>378657</v>
      </c>
      <c r="R131" s="272">
        <v>355449</v>
      </c>
      <c r="S131" s="272">
        <v>15354</v>
      </c>
      <c r="T131" s="272">
        <v>6849</v>
      </c>
      <c r="U131" s="272">
        <v>1005</v>
      </c>
      <c r="V131" s="1280">
        <f t="shared" si="108"/>
        <v>7854</v>
      </c>
      <c r="W131" s="1280">
        <f t="shared" si="89"/>
        <v>104301</v>
      </c>
      <c r="X131" s="272">
        <v>101634</v>
      </c>
      <c r="Y131" s="272">
        <v>2055</v>
      </c>
      <c r="Z131" s="272">
        <v>457</v>
      </c>
      <c r="AA131" s="272">
        <v>155</v>
      </c>
      <c r="AB131" s="1280">
        <f t="shared" si="90"/>
        <v>612</v>
      </c>
      <c r="AC131" s="1281">
        <f t="shared" si="91"/>
        <v>0.94583441238493382</v>
      </c>
      <c r="AD131" s="1282">
        <f t="shared" si="92"/>
        <v>3.7095271567859175E-2</v>
      </c>
      <c r="AE131" s="1282">
        <f t="shared" si="93"/>
        <v>1.4673980674606244E-2</v>
      </c>
      <c r="AF131" s="1282">
        <f t="shared" si="94"/>
        <v>2.3963353726007218E-3</v>
      </c>
      <c r="AG131" s="1283">
        <f t="shared" si="95"/>
        <v>1.7070316047206966E-2</v>
      </c>
      <c r="AH131" s="1281">
        <f t="shared" si="96"/>
        <v>0.18783906043473728</v>
      </c>
      <c r="AI131" s="1282">
        <f t="shared" si="97"/>
        <v>0.63676432504061153</v>
      </c>
      <c r="AJ131" s="1283">
        <f t="shared" si="98"/>
        <v>0.17539661452465113</v>
      </c>
      <c r="AK131" s="1280">
        <f t="shared" si="99"/>
        <v>11502</v>
      </c>
      <c r="AL131" s="272">
        <v>3597</v>
      </c>
      <c r="AM131" s="272">
        <v>7386</v>
      </c>
      <c r="AN131" s="272">
        <v>519</v>
      </c>
      <c r="AO131" s="1284">
        <f t="shared" si="87"/>
        <v>1.9342210144318247E-2</v>
      </c>
    </row>
    <row r="134" spans="1:41">
      <c r="A134" s="1279" t="s">
        <v>898</v>
      </c>
    </row>
    <row r="136" spans="1:41">
      <c r="A136" s="428" t="s">
        <v>248</v>
      </c>
      <c r="B136" s="428"/>
    </row>
    <row r="137" spans="1:41">
      <c r="A137" s="429" t="s">
        <v>249</v>
      </c>
      <c r="B137" s="430" t="s">
        <v>250</v>
      </c>
    </row>
  </sheetData>
  <autoFilter ref="A4:D125"/>
  <sortState ref="A6:AO125">
    <sortCondition ref="A6:A125"/>
  </sortState>
  <mergeCells count="7">
    <mergeCell ref="AK3:AN3"/>
    <mergeCell ref="E3:J3"/>
    <mergeCell ref="AC3:AG3"/>
    <mergeCell ref="AH3:AJ3"/>
    <mergeCell ref="K3:P3"/>
    <mergeCell ref="Q3:V3"/>
    <mergeCell ref="W3:AB3"/>
  </mergeCells>
  <hyperlinks>
    <hyperlink ref="B137" r:id="rId1"/>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dimension ref="A1:L134"/>
  <sheetViews>
    <sheetView workbookViewId="0">
      <pane xSplit="3" ySplit="5" topLeftCell="D6" activePane="bottomRight" state="frozen"/>
      <selection pane="topRight" activeCell="E1" sqref="E1"/>
      <selection pane="bottomLeft" activeCell="A6" sqref="A6"/>
      <selection pane="bottomRight" activeCell="B15" sqref="B15"/>
    </sheetView>
  </sheetViews>
  <sheetFormatPr defaultRowHeight="12.75"/>
  <cols>
    <col min="1" max="1" width="9" style="222"/>
    <col min="2" max="2" width="26.75" style="222" customWidth="1"/>
    <col min="3" max="12" width="12.125" style="222" customWidth="1"/>
    <col min="13" max="16384" width="9" style="222"/>
  </cols>
  <sheetData>
    <row r="1" spans="1:12" ht="15">
      <c r="A1" s="1515" t="s">
        <v>1000</v>
      </c>
    </row>
    <row r="3" spans="1:12">
      <c r="D3" s="1890" t="s">
        <v>1001</v>
      </c>
      <c r="E3" s="1890"/>
      <c r="F3" s="1890"/>
      <c r="G3" s="1890" t="s">
        <v>1002</v>
      </c>
      <c r="H3" s="1890"/>
      <c r="I3" s="1890"/>
      <c r="J3" s="1890" t="s">
        <v>1003</v>
      </c>
      <c r="K3" s="1890"/>
      <c r="L3" s="1890"/>
    </row>
    <row r="4" spans="1:12" ht="25.5">
      <c r="A4" s="65" t="s">
        <v>4</v>
      </c>
      <c r="B4" s="65" t="s">
        <v>612</v>
      </c>
      <c r="C4" s="65" t="s">
        <v>251</v>
      </c>
      <c r="D4" s="1040" t="s">
        <v>1004</v>
      </c>
      <c r="E4" s="1040" t="s">
        <v>1005</v>
      </c>
      <c r="F4" s="1040" t="s">
        <v>1006</v>
      </c>
      <c r="G4" s="1040" t="s">
        <v>1004</v>
      </c>
      <c r="H4" s="1040" t="s">
        <v>1005</v>
      </c>
      <c r="I4" s="1040" t="s">
        <v>1006</v>
      </c>
      <c r="J4" s="1040" t="s">
        <v>1004</v>
      </c>
      <c r="K4" s="1040" t="s">
        <v>1005</v>
      </c>
      <c r="L4" s="1040" t="s">
        <v>1006</v>
      </c>
    </row>
    <row r="5" spans="1:12">
      <c r="A5" s="1517">
        <v>999</v>
      </c>
      <c r="B5" s="1516" t="s">
        <v>849</v>
      </c>
      <c r="C5" s="1516"/>
      <c r="D5" s="1518">
        <v>8010546</v>
      </c>
      <c r="E5" s="1518">
        <v>941059</v>
      </c>
      <c r="F5" s="1519">
        <f t="shared" ref="F5:F36" si="0">E5/D5</f>
        <v>0.11747751027208382</v>
      </c>
      <c r="G5" s="1518">
        <v>1835642</v>
      </c>
      <c r="H5" s="1518">
        <v>289032</v>
      </c>
      <c r="I5" s="1519">
        <f t="shared" ref="I5:I36" si="1">H5/G5</f>
        <v>0.15745553871615489</v>
      </c>
      <c r="J5" s="1518">
        <v>1325151</v>
      </c>
      <c r="K5" s="1518">
        <v>190734</v>
      </c>
      <c r="L5" s="1519">
        <f t="shared" ref="L5:L36" si="2">K5/J5</f>
        <v>0.14393378565914375</v>
      </c>
    </row>
    <row r="6" spans="1:12">
      <c r="A6" s="222" t="s">
        <v>10</v>
      </c>
      <c r="B6" s="222" t="s">
        <v>11</v>
      </c>
      <c r="C6" s="237" t="s">
        <v>264</v>
      </c>
      <c r="D6" s="1041">
        <v>32733</v>
      </c>
      <c r="E6" s="1041">
        <v>6302</v>
      </c>
      <c r="F6" s="244">
        <f t="shared" si="0"/>
        <v>0.19252741881281887</v>
      </c>
      <c r="G6" s="1041">
        <v>6892</v>
      </c>
      <c r="H6" s="1041">
        <v>2029</v>
      </c>
      <c r="I6" s="244">
        <f t="shared" si="1"/>
        <v>0.29439930354033661</v>
      </c>
      <c r="J6" s="1041">
        <v>4853</v>
      </c>
      <c r="K6" s="1041">
        <v>1406</v>
      </c>
      <c r="L6" s="244">
        <f t="shared" si="2"/>
        <v>0.2897177003915104</v>
      </c>
    </row>
    <row r="7" spans="1:12">
      <c r="A7" s="222" t="s">
        <v>12</v>
      </c>
      <c r="B7" s="222" t="s">
        <v>13</v>
      </c>
      <c r="C7" s="237" t="s">
        <v>265</v>
      </c>
      <c r="D7" s="1041">
        <v>96915</v>
      </c>
      <c r="E7" s="1041">
        <v>9223</v>
      </c>
      <c r="F7" s="244">
        <f t="shared" si="0"/>
        <v>9.5165866996852908E-2</v>
      </c>
      <c r="G7" s="1041">
        <v>21545</v>
      </c>
      <c r="H7" s="1041">
        <v>2491</v>
      </c>
      <c r="I7" s="244">
        <f t="shared" si="1"/>
        <v>0.11561847296356463</v>
      </c>
      <c r="J7" s="1041">
        <v>15839</v>
      </c>
      <c r="K7" s="1041">
        <v>1613</v>
      </c>
      <c r="L7" s="244">
        <f t="shared" si="2"/>
        <v>0.10183723719931814</v>
      </c>
    </row>
    <row r="8" spans="1:12">
      <c r="A8" s="222" t="s">
        <v>16</v>
      </c>
      <c r="B8" s="222" t="s">
        <v>297</v>
      </c>
      <c r="C8" s="237" t="s">
        <v>265</v>
      </c>
      <c r="D8" s="1041">
        <v>21597</v>
      </c>
      <c r="E8" s="1041">
        <v>3134</v>
      </c>
      <c r="F8" s="244">
        <f t="shared" si="0"/>
        <v>0.1451127471408066</v>
      </c>
      <c r="G8" s="1041">
        <v>4363</v>
      </c>
      <c r="H8" s="222">
        <v>961</v>
      </c>
      <c r="I8" s="244">
        <f t="shared" si="1"/>
        <v>0.22026128810451523</v>
      </c>
      <c r="J8" s="1041">
        <v>3259</v>
      </c>
      <c r="K8" s="222">
        <v>649</v>
      </c>
      <c r="L8" s="244">
        <f t="shared" si="2"/>
        <v>0.19914084074869592</v>
      </c>
    </row>
    <row r="9" spans="1:12">
      <c r="A9" s="222" t="s">
        <v>18</v>
      </c>
      <c r="B9" s="222" t="s">
        <v>19</v>
      </c>
      <c r="C9" s="237" t="s">
        <v>266</v>
      </c>
      <c r="D9" s="1041">
        <v>12603</v>
      </c>
      <c r="E9" s="1041">
        <v>1531</v>
      </c>
      <c r="F9" s="244">
        <f t="shared" si="0"/>
        <v>0.12147901293342855</v>
      </c>
      <c r="G9" s="1041">
        <v>2642</v>
      </c>
      <c r="H9" s="222">
        <v>481</v>
      </c>
      <c r="I9" s="244">
        <f t="shared" si="1"/>
        <v>0.18205904617713853</v>
      </c>
      <c r="J9" s="1041">
        <v>1968</v>
      </c>
      <c r="K9" s="222">
        <v>338</v>
      </c>
      <c r="L9" s="244">
        <f t="shared" si="2"/>
        <v>0.1717479674796748</v>
      </c>
    </row>
    <row r="10" spans="1:12">
      <c r="A10" s="222" t="s">
        <v>20</v>
      </c>
      <c r="B10" s="222" t="s">
        <v>21</v>
      </c>
      <c r="C10" s="237" t="s">
        <v>265</v>
      </c>
      <c r="D10" s="1041">
        <v>30650</v>
      </c>
      <c r="E10" s="1041">
        <v>4352</v>
      </c>
      <c r="F10" s="244">
        <f t="shared" si="0"/>
        <v>0.14199021207177814</v>
      </c>
      <c r="G10" s="1041">
        <v>6373</v>
      </c>
      <c r="H10" s="1041">
        <v>1323</v>
      </c>
      <c r="I10" s="244">
        <f t="shared" si="1"/>
        <v>0.20759453946336107</v>
      </c>
      <c r="J10" s="1041">
        <v>4706</v>
      </c>
      <c r="K10" s="222">
        <v>881</v>
      </c>
      <c r="L10" s="244">
        <f t="shared" si="2"/>
        <v>0.18720781980450488</v>
      </c>
    </row>
    <row r="11" spans="1:12">
      <c r="A11" s="222" t="s">
        <v>22</v>
      </c>
      <c r="B11" s="222" t="s">
        <v>23</v>
      </c>
      <c r="C11" s="237" t="s">
        <v>265</v>
      </c>
      <c r="D11" s="1041">
        <v>15141</v>
      </c>
      <c r="E11" s="1041">
        <v>2447</v>
      </c>
      <c r="F11" s="244">
        <f t="shared" si="0"/>
        <v>0.16161416022719768</v>
      </c>
      <c r="G11" s="1041">
        <v>3281</v>
      </c>
      <c r="H11" s="222">
        <v>789</v>
      </c>
      <c r="I11" s="244">
        <f t="shared" si="1"/>
        <v>0.24047546479731788</v>
      </c>
      <c r="J11" s="1041">
        <v>2363</v>
      </c>
      <c r="K11" s="222">
        <v>542</v>
      </c>
      <c r="L11" s="244">
        <f t="shared" si="2"/>
        <v>0.2293694456199746</v>
      </c>
    </row>
    <row r="12" spans="1:12">
      <c r="A12" s="222" t="s">
        <v>24</v>
      </c>
      <c r="B12" s="222" t="s">
        <v>25</v>
      </c>
      <c r="C12" s="237" t="s">
        <v>267</v>
      </c>
      <c r="D12" s="1041">
        <v>222087</v>
      </c>
      <c r="E12" s="1041">
        <v>18767</v>
      </c>
      <c r="F12" s="244">
        <f t="shared" si="0"/>
        <v>8.4502920026836334E-2</v>
      </c>
      <c r="G12" s="1041">
        <v>37103</v>
      </c>
      <c r="H12" s="1041">
        <v>4137</v>
      </c>
      <c r="I12" s="244">
        <f t="shared" si="1"/>
        <v>0.11150041775597661</v>
      </c>
      <c r="J12" s="1041">
        <v>23634</v>
      </c>
      <c r="K12" s="1041">
        <v>2671</v>
      </c>
      <c r="L12" s="244">
        <f t="shared" si="2"/>
        <v>0.11301514766861301</v>
      </c>
    </row>
    <row r="13" spans="1:12">
      <c r="A13" s="222" t="s">
        <v>26</v>
      </c>
      <c r="B13" s="222" t="s">
        <v>298</v>
      </c>
      <c r="C13" s="237" t="s">
        <v>265</v>
      </c>
      <c r="D13" s="1041">
        <v>115167</v>
      </c>
      <c r="E13" s="1041">
        <v>13459</v>
      </c>
      <c r="F13" s="244">
        <f t="shared" si="0"/>
        <v>0.11686507419660146</v>
      </c>
      <c r="G13" s="1041">
        <v>23921</v>
      </c>
      <c r="H13" s="1041">
        <v>4249</v>
      </c>
      <c r="I13" s="244">
        <f t="shared" si="1"/>
        <v>0.17762635341331884</v>
      </c>
      <c r="J13" s="1041">
        <v>17685</v>
      </c>
      <c r="K13" s="1041">
        <v>2873</v>
      </c>
      <c r="L13" s="244">
        <f t="shared" si="2"/>
        <v>0.16245405711054567</v>
      </c>
    </row>
    <row r="14" spans="1:12">
      <c r="A14" s="222" t="s">
        <v>27</v>
      </c>
      <c r="B14" s="222" t="s">
        <v>28</v>
      </c>
      <c r="C14" s="237" t="s">
        <v>265</v>
      </c>
      <c r="D14" s="1041">
        <v>4551</v>
      </c>
      <c r="E14" s="222">
        <v>534</v>
      </c>
      <c r="F14" s="244">
        <f t="shared" si="0"/>
        <v>0.11733684904416612</v>
      </c>
      <c r="G14" s="222">
        <v>738</v>
      </c>
      <c r="H14" s="222">
        <v>132</v>
      </c>
      <c r="I14" s="244">
        <f t="shared" si="1"/>
        <v>0.17886178861788618</v>
      </c>
      <c r="J14" s="222">
        <v>571</v>
      </c>
      <c r="K14" s="222">
        <v>91</v>
      </c>
      <c r="L14" s="244">
        <f t="shared" si="2"/>
        <v>0.15936952714535901</v>
      </c>
    </row>
    <row r="15" spans="1:12">
      <c r="A15" s="222" t="s">
        <v>29</v>
      </c>
      <c r="B15" s="237" t="s">
        <v>1012</v>
      </c>
      <c r="C15" s="237" t="s">
        <v>265</v>
      </c>
      <c r="D15" s="1041">
        <v>75236</v>
      </c>
      <c r="E15" s="1041">
        <v>7341</v>
      </c>
      <c r="F15" s="244">
        <f t="shared" si="0"/>
        <v>9.7572970386517091E-2</v>
      </c>
      <c r="G15" s="1041">
        <v>15524</v>
      </c>
      <c r="H15" s="1041">
        <v>2123</v>
      </c>
      <c r="I15" s="244">
        <f t="shared" si="1"/>
        <v>0.13675599072404018</v>
      </c>
      <c r="J15" s="1041">
        <v>12109</v>
      </c>
      <c r="K15" s="1041">
        <v>1424</v>
      </c>
      <c r="L15" s="244">
        <f t="shared" si="2"/>
        <v>0.11759848046907259</v>
      </c>
    </row>
    <row r="16" spans="1:12">
      <c r="A16" s="222" t="s">
        <v>30</v>
      </c>
      <c r="B16" s="222" t="s">
        <v>31</v>
      </c>
      <c r="C16" s="237" t="s">
        <v>268</v>
      </c>
      <c r="D16" s="1041">
        <v>6024</v>
      </c>
      <c r="E16" s="222">
        <v>904</v>
      </c>
      <c r="F16" s="244">
        <f t="shared" si="0"/>
        <v>0.150066401062417</v>
      </c>
      <c r="G16" s="1041">
        <v>1145</v>
      </c>
      <c r="H16" s="222">
        <v>231</v>
      </c>
      <c r="I16" s="244">
        <f t="shared" si="1"/>
        <v>0.2017467248908297</v>
      </c>
      <c r="J16" s="222">
        <v>871</v>
      </c>
      <c r="K16" s="222">
        <v>151</v>
      </c>
      <c r="L16" s="244">
        <f t="shared" si="2"/>
        <v>0.17336394948335246</v>
      </c>
    </row>
    <row r="17" spans="1:12">
      <c r="A17" s="222" t="s">
        <v>32</v>
      </c>
      <c r="B17" s="222" t="s">
        <v>33</v>
      </c>
      <c r="C17" s="237" t="s">
        <v>265</v>
      </c>
      <c r="D17" s="1041">
        <v>32667</v>
      </c>
      <c r="E17" s="1041">
        <v>2420</v>
      </c>
      <c r="F17" s="244">
        <f t="shared" si="0"/>
        <v>7.4080876725747702E-2</v>
      </c>
      <c r="G17" s="1041">
        <v>6658</v>
      </c>
      <c r="H17" s="222">
        <v>666</v>
      </c>
      <c r="I17" s="244">
        <f t="shared" si="1"/>
        <v>0.10003003905076599</v>
      </c>
      <c r="J17" s="1041">
        <v>5313</v>
      </c>
      <c r="K17" s="222">
        <v>455</v>
      </c>
      <c r="L17" s="244">
        <f t="shared" si="2"/>
        <v>8.5638998682476944E-2</v>
      </c>
    </row>
    <row r="18" spans="1:12">
      <c r="A18" s="222" t="s">
        <v>36</v>
      </c>
      <c r="B18" s="222" t="s">
        <v>37</v>
      </c>
      <c r="C18" s="237" t="s">
        <v>264</v>
      </c>
      <c r="D18" s="1041">
        <v>14810</v>
      </c>
      <c r="E18" s="1041">
        <v>3209</v>
      </c>
      <c r="F18" s="244">
        <f t="shared" si="0"/>
        <v>0.21667792032410532</v>
      </c>
      <c r="G18" s="1041">
        <v>3018</v>
      </c>
      <c r="H18" s="222">
        <v>871</v>
      </c>
      <c r="I18" s="244">
        <f t="shared" si="1"/>
        <v>0.28860172299536119</v>
      </c>
      <c r="J18" s="1041">
        <v>2284</v>
      </c>
      <c r="K18" s="222">
        <v>588</v>
      </c>
      <c r="L18" s="244">
        <f t="shared" si="2"/>
        <v>0.2574430823117338</v>
      </c>
    </row>
    <row r="19" spans="1:12">
      <c r="A19" s="222" t="s">
        <v>38</v>
      </c>
      <c r="B19" s="222" t="s">
        <v>39</v>
      </c>
      <c r="C19" s="237" t="s">
        <v>268</v>
      </c>
      <c r="D19" s="1041">
        <v>22415</v>
      </c>
      <c r="E19" s="1041">
        <v>5478</v>
      </c>
      <c r="F19" s="244">
        <f t="shared" si="0"/>
        <v>0.2443899174659826</v>
      </c>
      <c r="G19" s="1041">
        <v>4024</v>
      </c>
      <c r="H19" s="1041">
        <v>1320</v>
      </c>
      <c r="I19" s="244">
        <f t="shared" si="1"/>
        <v>0.32803180914512925</v>
      </c>
      <c r="J19" s="1041">
        <v>2964</v>
      </c>
      <c r="K19" s="222">
        <v>870</v>
      </c>
      <c r="L19" s="244">
        <f t="shared" si="2"/>
        <v>0.29352226720647773</v>
      </c>
    </row>
    <row r="20" spans="1:12">
      <c r="A20" s="222" t="s">
        <v>40</v>
      </c>
      <c r="B20" s="222" t="s">
        <v>41</v>
      </c>
      <c r="C20" s="237" t="s">
        <v>266</v>
      </c>
      <c r="D20" s="1041">
        <v>14931</v>
      </c>
      <c r="E20" s="1041">
        <v>3400</v>
      </c>
      <c r="F20" s="244">
        <f t="shared" si="0"/>
        <v>0.22771415176478468</v>
      </c>
      <c r="G20" s="1041">
        <v>3173</v>
      </c>
      <c r="H20" s="222">
        <v>902</v>
      </c>
      <c r="I20" s="244">
        <f t="shared" si="1"/>
        <v>0.28427355814686417</v>
      </c>
      <c r="J20" s="1041">
        <v>2268</v>
      </c>
      <c r="K20" s="222">
        <v>597</v>
      </c>
      <c r="L20" s="244">
        <f t="shared" si="2"/>
        <v>0.26322751322751325</v>
      </c>
    </row>
    <row r="21" spans="1:12">
      <c r="A21" s="222" t="s">
        <v>42</v>
      </c>
      <c r="B21" s="222" t="s">
        <v>43</v>
      </c>
      <c r="C21" s="237" t="s">
        <v>265</v>
      </c>
      <c r="D21" s="1041">
        <v>54665</v>
      </c>
      <c r="E21" s="1041">
        <v>7250</v>
      </c>
      <c r="F21" s="244">
        <f t="shared" si="0"/>
        <v>0.13262599469496023</v>
      </c>
      <c r="G21" s="1041">
        <v>11159</v>
      </c>
      <c r="H21" s="1041">
        <v>2087</v>
      </c>
      <c r="I21" s="244">
        <f t="shared" si="1"/>
        <v>0.18702392687516803</v>
      </c>
      <c r="J21" s="1041">
        <v>8417</v>
      </c>
      <c r="K21" s="1041">
        <v>1438</v>
      </c>
      <c r="L21" s="244">
        <f t="shared" si="2"/>
        <v>0.17084471902102888</v>
      </c>
    </row>
    <row r="22" spans="1:12">
      <c r="A22" s="222" t="s">
        <v>44</v>
      </c>
      <c r="B22" s="222" t="s">
        <v>45</v>
      </c>
      <c r="C22" s="237" t="s">
        <v>266</v>
      </c>
      <c r="D22" s="1041">
        <v>28671</v>
      </c>
      <c r="E22" s="1041">
        <v>4151</v>
      </c>
      <c r="F22" s="244">
        <f t="shared" si="0"/>
        <v>0.14478044016602143</v>
      </c>
      <c r="G22" s="1041">
        <v>6721</v>
      </c>
      <c r="H22" s="1041">
        <v>1412</v>
      </c>
      <c r="I22" s="244">
        <f t="shared" si="1"/>
        <v>0.21008778455586966</v>
      </c>
      <c r="J22" s="1041">
        <v>4776</v>
      </c>
      <c r="K22" s="222">
        <v>934</v>
      </c>
      <c r="L22" s="244">
        <f t="shared" si="2"/>
        <v>0.19556113902847572</v>
      </c>
    </row>
    <row r="23" spans="1:12">
      <c r="A23" s="222" t="s">
        <v>46</v>
      </c>
      <c r="B23" s="222" t="s">
        <v>47</v>
      </c>
      <c r="C23" s="237" t="s">
        <v>268</v>
      </c>
      <c r="D23" s="1041">
        <v>29657</v>
      </c>
      <c r="E23" s="1041">
        <v>4897</v>
      </c>
      <c r="F23" s="244">
        <f t="shared" si="0"/>
        <v>0.16512121927369591</v>
      </c>
      <c r="G23" s="1041">
        <v>5749</v>
      </c>
      <c r="H23" s="1041">
        <v>1474</v>
      </c>
      <c r="I23" s="244">
        <f t="shared" si="1"/>
        <v>0.25639241607236041</v>
      </c>
      <c r="J23" s="1041">
        <v>4380</v>
      </c>
      <c r="K23" s="222">
        <v>948</v>
      </c>
      <c r="L23" s="244">
        <f t="shared" si="2"/>
        <v>0.21643835616438356</v>
      </c>
    </row>
    <row r="24" spans="1:12">
      <c r="A24" s="222" t="s">
        <v>48</v>
      </c>
      <c r="B24" s="222" t="s">
        <v>269</v>
      </c>
      <c r="C24" s="237" t="s">
        <v>266</v>
      </c>
      <c r="D24" s="1041">
        <v>7108</v>
      </c>
      <c r="E24" s="222">
        <v>865</v>
      </c>
      <c r="F24" s="244">
        <f t="shared" si="0"/>
        <v>0.12169386606640405</v>
      </c>
      <c r="G24" s="1041">
        <v>1150</v>
      </c>
      <c r="H24" s="222">
        <v>225</v>
      </c>
      <c r="I24" s="244">
        <f t="shared" si="1"/>
        <v>0.19565217391304349</v>
      </c>
      <c r="J24" s="222">
        <v>914</v>
      </c>
      <c r="K24" s="222">
        <v>156</v>
      </c>
      <c r="L24" s="244">
        <f t="shared" si="2"/>
        <v>0.17067833698030635</v>
      </c>
    </row>
    <row r="25" spans="1:12">
      <c r="A25" s="222" t="s">
        <v>50</v>
      </c>
      <c r="B25" s="222" t="s">
        <v>51</v>
      </c>
      <c r="C25" s="237" t="s">
        <v>265</v>
      </c>
      <c r="D25" s="1041">
        <v>12114</v>
      </c>
      <c r="E25" s="1041">
        <v>2382</v>
      </c>
      <c r="F25" s="244">
        <f t="shared" si="0"/>
        <v>0.19663199603764239</v>
      </c>
      <c r="G25" s="1041">
        <v>2662</v>
      </c>
      <c r="H25" s="222">
        <v>734</v>
      </c>
      <c r="I25" s="244">
        <f t="shared" si="1"/>
        <v>0.27573253193087904</v>
      </c>
      <c r="J25" s="1041">
        <v>1975</v>
      </c>
      <c r="K25" s="222">
        <v>516</v>
      </c>
      <c r="L25" s="244">
        <f t="shared" si="2"/>
        <v>0.26126582278481014</v>
      </c>
    </row>
    <row r="26" spans="1:12">
      <c r="A26" s="222" t="s">
        <v>56</v>
      </c>
      <c r="B26" s="222" t="s">
        <v>295</v>
      </c>
      <c r="C26" s="237" t="s">
        <v>266</v>
      </c>
      <c r="D26" s="1041">
        <v>339468</v>
      </c>
      <c r="E26" s="1041">
        <v>27589</v>
      </c>
      <c r="F26" s="244">
        <f t="shared" si="0"/>
        <v>8.1271283302108005E-2</v>
      </c>
      <c r="G26" s="1041">
        <v>83691</v>
      </c>
      <c r="H26" s="1041">
        <v>9293</v>
      </c>
      <c r="I26" s="244">
        <f t="shared" si="1"/>
        <v>0.11103941881444838</v>
      </c>
      <c r="J26" s="1041">
        <v>63165</v>
      </c>
      <c r="K26" s="1041">
        <v>6284</v>
      </c>
      <c r="L26" s="244">
        <f t="shared" si="2"/>
        <v>9.9485474550779704E-2</v>
      </c>
    </row>
    <row r="27" spans="1:12">
      <c r="A27" s="222" t="s">
        <v>58</v>
      </c>
      <c r="B27" s="222" t="s">
        <v>59</v>
      </c>
      <c r="C27" s="237" t="s">
        <v>267</v>
      </c>
      <c r="D27" s="1041">
        <v>14080</v>
      </c>
      <c r="E27" s="1041">
        <v>1113</v>
      </c>
      <c r="F27" s="244">
        <f t="shared" si="0"/>
        <v>7.9048295454545461E-2</v>
      </c>
      <c r="G27" s="1041">
        <v>2990</v>
      </c>
      <c r="H27" s="222">
        <v>295</v>
      </c>
      <c r="I27" s="244">
        <f t="shared" si="1"/>
        <v>9.8662207357859535E-2</v>
      </c>
      <c r="J27" s="1041">
        <v>2259</v>
      </c>
      <c r="K27" s="222">
        <v>199</v>
      </c>
      <c r="L27" s="244">
        <f t="shared" si="2"/>
        <v>8.8092076139884901E-2</v>
      </c>
    </row>
    <row r="28" spans="1:12">
      <c r="A28" s="222" t="s">
        <v>60</v>
      </c>
      <c r="B28" s="222" t="s">
        <v>61</v>
      </c>
      <c r="C28" s="237" t="s">
        <v>265</v>
      </c>
      <c r="D28" s="1041">
        <v>5185</v>
      </c>
      <c r="E28" s="222">
        <v>668</v>
      </c>
      <c r="F28" s="244">
        <f t="shared" si="0"/>
        <v>0.12883317261330762</v>
      </c>
      <c r="G28" s="1041">
        <v>985</v>
      </c>
      <c r="H28" s="222">
        <v>214</v>
      </c>
      <c r="I28" s="244">
        <f t="shared" si="1"/>
        <v>0.21725888324873097</v>
      </c>
      <c r="J28" s="222">
        <v>762</v>
      </c>
      <c r="K28" s="222">
        <v>148</v>
      </c>
      <c r="L28" s="244">
        <f t="shared" si="2"/>
        <v>0.1942257217847769</v>
      </c>
    </row>
    <row r="29" spans="1:12">
      <c r="A29" s="222" t="s">
        <v>62</v>
      </c>
      <c r="B29" s="222" t="s">
        <v>63</v>
      </c>
      <c r="C29" s="237" t="s">
        <v>267</v>
      </c>
      <c r="D29" s="1041">
        <v>46723</v>
      </c>
      <c r="E29" s="1041">
        <v>4741</v>
      </c>
      <c r="F29" s="244">
        <f t="shared" si="0"/>
        <v>0.10147036791301928</v>
      </c>
      <c r="G29" s="1041">
        <v>11965</v>
      </c>
      <c r="H29" s="1041">
        <v>1815</v>
      </c>
      <c r="I29" s="244">
        <f t="shared" si="1"/>
        <v>0.15169243627246135</v>
      </c>
      <c r="J29" s="1041">
        <v>8815</v>
      </c>
      <c r="K29" s="1041">
        <v>1209</v>
      </c>
      <c r="L29" s="244">
        <f t="shared" si="2"/>
        <v>0.13715258082813386</v>
      </c>
    </row>
    <row r="30" spans="1:12">
      <c r="A30" s="222" t="s">
        <v>64</v>
      </c>
      <c r="B30" s="222" t="s">
        <v>65</v>
      </c>
      <c r="C30" s="237" t="s">
        <v>266</v>
      </c>
      <c r="D30" s="1041">
        <v>9813</v>
      </c>
      <c r="E30" s="1041">
        <v>1789</v>
      </c>
      <c r="F30" s="244">
        <f t="shared" si="0"/>
        <v>0.18230918169774787</v>
      </c>
      <c r="G30" s="1041">
        <v>2034</v>
      </c>
      <c r="H30" s="222">
        <v>566</v>
      </c>
      <c r="I30" s="244">
        <f t="shared" si="1"/>
        <v>0.27826941986234022</v>
      </c>
      <c r="J30" s="1041">
        <v>1481</v>
      </c>
      <c r="K30" s="222">
        <v>383</v>
      </c>
      <c r="L30" s="244">
        <f t="shared" si="2"/>
        <v>0.25860904794058071</v>
      </c>
    </row>
    <row r="31" spans="1:12">
      <c r="A31" s="222" t="s">
        <v>68</v>
      </c>
      <c r="B31" s="222" t="s">
        <v>69</v>
      </c>
      <c r="C31" s="237" t="s">
        <v>268</v>
      </c>
      <c r="D31" s="1041">
        <v>15013</v>
      </c>
      <c r="E31" s="1041">
        <v>3271</v>
      </c>
      <c r="F31" s="244">
        <f t="shared" si="0"/>
        <v>0.21787783920602144</v>
      </c>
      <c r="G31" s="1041">
        <v>3170</v>
      </c>
      <c r="H31" s="222">
        <v>871</v>
      </c>
      <c r="I31" s="244">
        <f t="shared" si="1"/>
        <v>0.27476340694006307</v>
      </c>
      <c r="J31" s="1041">
        <v>2356</v>
      </c>
      <c r="K31" s="222">
        <v>577</v>
      </c>
      <c r="L31" s="244">
        <f t="shared" si="2"/>
        <v>0.24490662139219016</v>
      </c>
    </row>
    <row r="32" spans="1:12">
      <c r="A32" s="222" t="s">
        <v>70</v>
      </c>
      <c r="B32" s="222" t="s">
        <v>71</v>
      </c>
      <c r="C32" s="237" t="s">
        <v>264</v>
      </c>
      <c r="D32" s="1041">
        <v>27342</v>
      </c>
      <c r="E32" s="1041">
        <v>3970</v>
      </c>
      <c r="F32" s="244">
        <f t="shared" si="0"/>
        <v>0.1451978640918733</v>
      </c>
      <c r="G32" s="1041">
        <v>5633</v>
      </c>
      <c r="H32" s="222">
        <v>1138</v>
      </c>
      <c r="I32" s="244">
        <f t="shared" si="1"/>
        <v>0.20202378838984555</v>
      </c>
      <c r="J32" s="1041">
        <v>4324</v>
      </c>
      <c r="K32" s="222">
        <v>849</v>
      </c>
      <c r="L32" s="244">
        <f t="shared" si="2"/>
        <v>0.19634597594819611</v>
      </c>
    </row>
    <row r="33" spans="1:12">
      <c r="A33" s="222" t="s">
        <v>72</v>
      </c>
      <c r="B33" s="222" t="s">
        <v>73</v>
      </c>
      <c r="C33" s="237" t="s">
        <v>266</v>
      </c>
      <c r="D33" s="1041">
        <v>11078</v>
      </c>
      <c r="E33" s="1041">
        <v>1721</v>
      </c>
      <c r="F33" s="244">
        <f t="shared" si="0"/>
        <v>0.15535295179635314</v>
      </c>
      <c r="G33" s="1041">
        <v>2245</v>
      </c>
      <c r="H33" s="222">
        <v>585</v>
      </c>
      <c r="I33" s="244">
        <f t="shared" si="1"/>
        <v>0.26057906458797325</v>
      </c>
      <c r="J33" s="1041">
        <v>1570</v>
      </c>
      <c r="K33" s="222">
        <v>409</v>
      </c>
      <c r="L33" s="244">
        <f t="shared" si="2"/>
        <v>0.26050955414012739</v>
      </c>
    </row>
    <row r="34" spans="1:12">
      <c r="A34" s="222" t="s">
        <v>74</v>
      </c>
      <c r="B34" s="222" t="s">
        <v>296</v>
      </c>
      <c r="C34" s="237" t="s">
        <v>267</v>
      </c>
      <c r="D34" s="1041">
        <v>1156139</v>
      </c>
      <c r="E34" s="1041">
        <v>68953</v>
      </c>
      <c r="F34" s="244">
        <f t="shared" si="0"/>
        <v>5.96407525392708E-2</v>
      </c>
      <c r="G34" s="1041">
        <v>276941</v>
      </c>
      <c r="H34" s="1041">
        <v>21131</v>
      </c>
      <c r="I34" s="244">
        <f t="shared" si="1"/>
        <v>7.6301450489454428E-2</v>
      </c>
      <c r="J34" s="1041">
        <v>198819</v>
      </c>
      <c r="K34" s="1041">
        <v>14007</v>
      </c>
      <c r="L34" s="244">
        <f t="shared" si="2"/>
        <v>7.0451013233141707E-2</v>
      </c>
    </row>
    <row r="35" spans="1:12">
      <c r="A35" s="222" t="s">
        <v>76</v>
      </c>
      <c r="B35" s="222" t="s">
        <v>77</v>
      </c>
      <c r="C35" s="237" t="s">
        <v>267</v>
      </c>
      <c r="D35" s="1041">
        <v>66632</v>
      </c>
      <c r="E35" s="1041">
        <v>4693</v>
      </c>
      <c r="F35" s="244">
        <f t="shared" si="0"/>
        <v>7.0431624444711252E-2</v>
      </c>
      <c r="G35" s="1041">
        <v>15990</v>
      </c>
      <c r="H35" s="1041">
        <v>1409</v>
      </c>
      <c r="I35" s="244">
        <f t="shared" si="1"/>
        <v>8.8117573483427136E-2</v>
      </c>
      <c r="J35" s="1041">
        <v>12180</v>
      </c>
      <c r="K35" s="222">
        <v>912</v>
      </c>
      <c r="L35" s="244">
        <f t="shared" si="2"/>
        <v>7.4876847290640397E-2</v>
      </c>
    </row>
    <row r="36" spans="1:12">
      <c r="A36" s="222" t="s">
        <v>78</v>
      </c>
      <c r="B36" s="222" t="s">
        <v>79</v>
      </c>
      <c r="C36" s="237" t="s">
        <v>268</v>
      </c>
      <c r="D36" s="1041">
        <v>15397</v>
      </c>
      <c r="E36" s="1041">
        <v>2189</v>
      </c>
      <c r="F36" s="244">
        <f t="shared" si="0"/>
        <v>0.14217055270507242</v>
      </c>
      <c r="G36" s="1041">
        <v>3168</v>
      </c>
      <c r="H36" s="222">
        <v>670</v>
      </c>
      <c r="I36" s="244">
        <f t="shared" si="1"/>
        <v>0.21148989898989898</v>
      </c>
      <c r="J36" s="1041">
        <v>2376</v>
      </c>
      <c r="K36" s="222">
        <v>461</v>
      </c>
      <c r="L36" s="244">
        <f t="shared" si="2"/>
        <v>0.19402356902356901</v>
      </c>
    </row>
    <row r="37" spans="1:12">
      <c r="A37" s="222" t="s">
        <v>80</v>
      </c>
      <c r="B37" s="222" t="s">
        <v>81</v>
      </c>
      <c r="C37" s="237" t="s">
        <v>266</v>
      </c>
      <c r="D37" s="1041">
        <v>24614</v>
      </c>
      <c r="E37" s="1041">
        <v>2024</v>
      </c>
      <c r="F37" s="244">
        <f t="shared" ref="F37:F68" si="3">E37/D37</f>
        <v>8.2229625416429669E-2</v>
      </c>
      <c r="G37" s="1041">
        <v>5558</v>
      </c>
      <c r="H37" s="222">
        <v>582</v>
      </c>
      <c r="I37" s="244">
        <f t="shared" ref="I37:I68" si="4">H37/G37</f>
        <v>0.10471392587261605</v>
      </c>
      <c r="J37" s="1041">
        <v>4159</v>
      </c>
      <c r="K37" s="222">
        <v>385</v>
      </c>
      <c r="L37" s="244">
        <f t="shared" ref="L37:L68" si="5">K37/J37</f>
        <v>9.2570329406107238E-2</v>
      </c>
    </row>
    <row r="38" spans="1:12">
      <c r="A38" s="222" t="s">
        <v>84</v>
      </c>
      <c r="B38" s="222" t="s">
        <v>85</v>
      </c>
      <c r="C38" s="237" t="s">
        <v>265</v>
      </c>
      <c r="D38" s="1041">
        <v>54779</v>
      </c>
      <c r="E38" s="1041">
        <v>7891</v>
      </c>
      <c r="F38" s="244">
        <f t="shared" si="3"/>
        <v>0.14405155260227459</v>
      </c>
      <c r="G38" s="1041">
        <v>10937</v>
      </c>
      <c r="H38" s="1041">
        <v>2476</v>
      </c>
      <c r="I38" s="244">
        <f t="shared" si="4"/>
        <v>0.22638749199963426</v>
      </c>
      <c r="J38" s="1041">
        <v>8158</v>
      </c>
      <c r="K38" s="1041">
        <v>1709</v>
      </c>
      <c r="L38" s="244">
        <f t="shared" si="5"/>
        <v>0.20948761951458691</v>
      </c>
    </row>
    <row r="39" spans="1:12">
      <c r="A39" s="222" t="s">
        <v>86</v>
      </c>
      <c r="B39" s="222" t="s">
        <v>87</v>
      </c>
      <c r="C39" s="237" t="s">
        <v>267</v>
      </c>
      <c r="D39" s="1041">
        <v>80171</v>
      </c>
      <c r="E39" s="1041">
        <v>6311</v>
      </c>
      <c r="F39" s="244">
        <f t="shared" si="3"/>
        <v>7.8719237629566799E-2</v>
      </c>
      <c r="G39" s="1041">
        <v>19015</v>
      </c>
      <c r="H39" s="1041">
        <v>2211</v>
      </c>
      <c r="I39" s="244">
        <f t="shared" si="4"/>
        <v>0.11627662371811727</v>
      </c>
      <c r="J39" s="1041">
        <v>14265</v>
      </c>
      <c r="K39" s="1041">
        <v>1492</v>
      </c>
      <c r="L39" s="244">
        <f t="shared" si="5"/>
        <v>0.10459165790396074</v>
      </c>
    </row>
    <row r="40" spans="1:12">
      <c r="A40" s="222" t="s">
        <v>92</v>
      </c>
      <c r="B40" s="222" t="s">
        <v>93</v>
      </c>
      <c r="C40" s="237" t="s">
        <v>268</v>
      </c>
      <c r="D40" s="1041">
        <v>16740</v>
      </c>
      <c r="E40" s="1041">
        <v>2222</v>
      </c>
      <c r="F40" s="244">
        <f t="shared" si="3"/>
        <v>0.13273596176821983</v>
      </c>
      <c r="G40" s="1041">
        <v>3486</v>
      </c>
      <c r="H40" s="222">
        <v>622</v>
      </c>
      <c r="I40" s="244">
        <f t="shared" si="4"/>
        <v>0.17842799770510614</v>
      </c>
      <c r="J40" s="1041">
        <v>2614</v>
      </c>
      <c r="K40" s="222">
        <v>413</v>
      </c>
      <c r="L40" s="244">
        <f t="shared" si="5"/>
        <v>0.15799540933435349</v>
      </c>
    </row>
    <row r="41" spans="1:12">
      <c r="A41" s="222" t="s">
        <v>94</v>
      </c>
      <c r="B41" s="222" t="s">
        <v>95</v>
      </c>
      <c r="C41" s="237" t="s">
        <v>264</v>
      </c>
      <c r="D41" s="1041">
        <v>36332</v>
      </c>
      <c r="E41" s="1041">
        <v>3842</v>
      </c>
      <c r="F41" s="244">
        <f t="shared" si="3"/>
        <v>0.10574699988990421</v>
      </c>
      <c r="G41" s="1041">
        <v>7412</v>
      </c>
      <c r="H41" s="1041">
        <v>1187</v>
      </c>
      <c r="I41" s="244">
        <f t="shared" si="4"/>
        <v>0.16014570966001079</v>
      </c>
      <c r="J41" s="1041">
        <v>5512</v>
      </c>
      <c r="K41" s="222">
        <v>798</v>
      </c>
      <c r="L41" s="244">
        <f t="shared" si="5"/>
        <v>0.14477503628447025</v>
      </c>
    </row>
    <row r="42" spans="1:12">
      <c r="A42" s="222" t="s">
        <v>96</v>
      </c>
      <c r="B42" s="222" t="s">
        <v>869</v>
      </c>
      <c r="C42" s="237" t="s">
        <v>266</v>
      </c>
      <c r="D42" s="1041">
        <v>20618</v>
      </c>
      <c r="E42" s="1041">
        <v>1538</v>
      </c>
      <c r="F42" s="244">
        <f t="shared" si="3"/>
        <v>7.4595014065379772E-2</v>
      </c>
      <c r="G42" s="1041">
        <v>4072</v>
      </c>
      <c r="H42" s="222">
        <v>385</v>
      </c>
      <c r="I42" s="244">
        <f t="shared" si="4"/>
        <v>9.4548133595284869E-2</v>
      </c>
      <c r="J42" s="1041">
        <v>3193</v>
      </c>
      <c r="K42" s="222">
        <v>266</v>
      </c>
      <c r="L42" s="244">
        <f t="shared" si="5"/>
        <v>8.3307234575634201E-2</v>
      </c>
    </row>
    <row r="43" spans="1:12">
      <c r="A43" s="222" t="s">
        <v>98</v>
      </c>
      <c r="B43" s="222" t="s">
        <v>99</v>
      </c>
      <c r="C43" s="237" t="s">
        <v>268</v>
      </c>
      <c r="D43" s="1041">
        <v>15000</v>
      </c>
      <c r="E43" s="1041">
        <v>2752</v>
      </c>
      <c r="F43" s="244">
        <f t="shared" si="3"/>
        <v>0.18346666666666667</v>
      </c>
      <c r="G43" s="1041">
        <v>2666</v>
      </c>
      <c r="H43" s="222">
        <v>775</v>
      </c>
      <c r="I43" s="244">
        <f t="shared" si="4"/>
        <v>0.29069767441860467</v>
      </c>
      <c r="J43" s="1041">
        <v>2009</v>
      </c>
      <c r="K43" s="222">
        <v>526</v>
      </c>
      <c r="L43" s="244">
        <f t="shared" si="5"/>
        <v>0.26182180189148829</v>
      </c>
    </row>
    <row r="44" spans="1:12">
      <c r="A44" s="222" t="s">
        <v>100</v>
      </c>
      <c r="B44" s="222" t="s">
        <v>101</v>
      </c>
      <c r="C44" s="237" t="s">
        <v>267</v>
      </c>
      <c r="D44" s="1041">
        <v>18617</v>
      </c>
      <c r="E44" s="1041">
        <v>2149</v>
      </c>
      <c r="F44" s="244">
        <f t="shared" si="3"/>
        <v>0.11543213192243648</v>
      </c>
      <c r="G44" s="1041">
        <v>4504</v>
      </c>
      <c r="H44" s="222">
        <v>748</v>
      </c>
      <c r="I44" s="244">
        <f t="shared" si="4"/>
        <v>0.1660746003552398</v>
      </c>
      <c r="J44" s="1041">
        <v>3291</v>
      </c>
      <c r="K44" s="222">
        <v>469</v>
      </c>
      <c r="L44" s="244">
        <f t="shared" si="5"/>
        <v>0.14250987541780613</v>
      </c>
    </row>
    <row r="45" spans="1:12">
      <c r="A45" s="222" t="s">
        <v>102</v>
      </c>
      <c r="B45" s="222" t="s">
        <v>282</v>
      </c>
      <c r="C45" s="237" t="s">
        <v>264</v>
      </c>
      <c r="D45" s="1041">
        <v>14029</v>
      </c>
      <c r="E45" s="1041">
        <v>3675</v>
      </c>
      <c r="F45" s="244">
        <f t="shared" si="3"/>
        <v>0.26195737401097724</v>
      </c>
      <c r="G45" s="1041">
        <v>3303</v>
      </c>
      <c r="H45" s="222">
        <v>1119</v>
      </c>
      <c r="I45" s="244">
        <f t="shared" si="4"/>
        <v>0.33878292461398729</v>
      </c>
      <c r="J45" s="1041">
        <v>2429</v>
      </c>
      <c r="K45" s="222">
        <v>790</v>
      </c>
      <c r="L45" s="244">
        <f t="shared" si="5"/>
        <v>0.32523672293124745</v>
      </c>
    </row>
    <row r="46" spans="1:12">
      <c r="A46" s="222" t="s">
        <v>104</v>
      </c>
      <c r="B46" s="222" t="s">
        <v>105</v>
      </c>
      <c r="C46" s="237" t="s">
        <v>265</v>
      </c>
      <c r="D46" s="1041">
        <v>34573</v>
      </c>
      <c r="E46" s="1041">
        <v>7690</v>
      </c>
      <c r="F46" s="244">
        <f t="shared" si="3"/>
        <v>0.22242790616955427</v>
      </c>
      <c r="G46" s="1041">
        <v>7309</v>
      </c>
      <c r="H46" s="1041">
        <v>2110</v>
      </c>
      <c r="I46" s="244">
        <f t="shared" si="4"/>
        <v>0.28868518265152554</v>
      </c>
      <c r="J46" s="1041">
        <v>5573</v>
      </c>
      <c r="K46" s="1041">
        <v>1376</v>
      </c>
      <c r="L46" s="244">
        <f t="shared" si="5"/>
        <v>0.24690471918176923</v>
      </c>
    </row>
    <row r="47" spans="1:12">
      <c r="A47" s="222" t="s">
        <v>108</v>
      </c>
      <c r="B47" s="222" t="s">
        <v>109</v>
      </c>
      <c r="C47" s="237" t="s">
        <v>266</v>
      </c>
      <c r="D47" s="1041">
        <v>99289</v>
      </c>
      <c r="E47" s="1041">
        <v>5598</v>
      </c>
      <c r="F47" s="244">
        <f t="shared" si="3"/>
        <v>5.6380867971275769E-2</v>
      </c>
      <c r="G47" s="1041">
        <v>23251</v>
      </c>
      <c r="H47" s="1041">
        <v>1581</v>
      </c>
      <c r="I47" s="244">
        <f t="shared" si="4"/>
        <v>6.7997075394606685E-2</v>
      </c>
      <c r="J47" s="1041">
        <v>18443</v>
      </c>
      <c r="K47" s="1041">
        <v>1096</v>
      </c>
      <c r="L47" s="244">
        <f t="shared" si="5"/>
        <v>5.9426340617036277E-2</v>
      </c>
    </row>
    <row r="48" spans="1:12">
      <c r="A48" s="222" t="s">
        <v>110</v>
      </c>
      <c r="B48" s="222" t="s">
        <v>111</v>
      </c>
      <c r="C48" s="237" t="s">
        <v>266</v>
      </c>
      <c r="D48" s="1041">
        <v>315641</v>
      </c>
      <c r="E48" s="1041">
        <v>35788</v>
      </c>
      <c r="F48" s="244">
        <f t="shared" si="3"/>
        <v>0.11338197509195573</v>
      </c>
      <c r="G48" s="1041">
        <v>74252</v>
      </c>
      <c r="H48" s="1041">
        <v>10843</v>
      </c>
      <c r="I48" s="244">
        <f t="shared" si="4"/>
        <v>0.14602973657275226</v>
      </c>
      <c r="J48" s="1041">
        <v>54102</v>
      </c>
      <c r="K48" s="1041">
        <v>6700</v>
      </c>
      <c r="L48" s="244">
        <f t="shared" si="5"/>
        <v>0.12384015378359395</v>
      </c>
    </row>
    <row r="49" spans="1:12">
      <c r="A49" s="222" t="s">
        <v>112</v>
      </c>
      <c r="B49" s="222" t="s">
        <v>300</v>
      </c>
      <c r="C49" s="237" t="s">
        <v>265</v>
      </c>
      <c r="D49" s="1041">
        <v>65358</v>
      </c>
      <c r="E49" s="1041">
        <v>13098</v>
      </c>
      <c r="F49" s="244">
        <f t="shared" si="3"/>
        <v>0.20040392912879831</v>
      </c>
      <c r="G49" s="1041">
        <v>13449</v>
      </c>
      <c r="H49" s="1041">
        <v>4233</v>
      </c>
      <c r="I49" s="244">
        <f t="shared" si="4"/>
        <v>0.31474459067588667</v>
      </c>
      <c r="J49" s="1041">
        <v>9726</v>
      </c>
      <c r="K49" s="1041">
        <v>2909</v>
      </c>
      <c r="L49" s="244">
        <f t="shared" si="5"/>
        <v>0.29909520871889778</v>
      </c>
    </row>
    <row r="50" spans="1:12">
      <c r="A50" s="222" t="s">
        <v>114</v>
      </c>
      <c r="B50" s="222" t="s">
        <v>115</v>
      </c>
      <c r="C50" s="237" t="s">
        <v>265</v>
      </c>
      <c r="D50" s="1041">
        <v>2208</v>
      </c>
      <c r="E50" s="222">
        <v>323</v>
      </c>
      <c r="F50" s="244">
        <f t="shared" si="3"/>
        <v>0.14628623188405798</v>
      </c>
      <c r="G50" s="222">
        <v>276</v>
      </c>
      <c r="H50" s="222">
        <v>67</v>
      </c>
      <c r="I50" s="244">
        <f t="shared" si="4"/>
        <v>0.24275362318840579</v>
      </c>
      <c r="J50" s="222">
        <v>210</v>
      </c>
      <c r="K50" s="222">
        <v>46</v>
      </c>
      <c r="L50" s="244">
        <f t="shared" si="5"/>
        <v>0.21904761904761905</v>
      </c>
    </row>
    <row r="51" spans="1:12">
      <c r="A51" s="222" t="s">
        <v>118</v>
      </c>
      <c r="B51" s="222" t="s">
        <v>270</v>
      </c>
      <c r="C51" s="237" t="s">
        <v>264</v>
      </c>
      <c r="D51" s="1041">
        <v>35351</v>
      </c>
      <c r="E51" s="1041">
        <v>3731</v>
      </c>
      <c r="F51" s="244">
        <f t="shared" si="3"/>
        <v>0.1055415688382224</v>
      </c>
      <c r="G51" s="1041">
        <v>7443</v>
      </c>
      <c r="H51" s="1041">
        <v>1040</v>
      </c>
      <c r="I51" s="244">
        <f t="shared" si="4"/>
        <v>0.1397286040575037</v>
      </c>
      <c r="J51" s="1041">
        <v>5724</v>
      </c>
      <c r="K51" s="222">
        <v>723</v>
      </c>
      <c r="L51" s="244">
        <f t="shared" si="5"/>
        <v>0.12631027253668764</v>
      </c>
    </row>
    <row r="52" spans="1:12">
      <c r="A52" s="222" t="s">
        <v>120</v>
      </c>
      <c r="B52" s="222" t="s">
        <v>121</v>
      </c>
      <c r="C52" s="237" t="s">
        <v>264</v>
      </c>
      <c r="D52" s="1041">
        <v>69458</v>
      </c>
      <c r="E52" s="1041">
        <v>5240</v>
      </c>
      <c r="F52" s="244">
        <f t="shared" si="3"/>
        <v>7.5441273863341873E-2</v>
      </c>
      <c r="G52" s="1041">
        <v>14690</v>
      </c>
      <c r="H52" s="1041">
        <v>1650</v>
      </c>
      <c r="I52" s="244">
        <f t="shared" si="4"/>
        <v>0.1123213070115725</v>
      </c>
      <c r="J52" s="1041">
        <v>11107</v>
      </c>
      <c r="K52" s="1041">
        <v>1096</v>
      </c>
      <c r="L52" s="244">
        <f t="shared" si="5"/>
        <v>9.8676510308814261E-2</v>
      </c>
    </row>
    <row r="53" spans="1:12">
      <c r="A53" s="222" t="s">
        <v>122</v>
      </c>
      <c r="B53" s="222" t="s">
        <v>287</v>
      </c>
      <c r="C53" s="237" t="s">
        <v>266</v>
      </c>
      <c r="D53" s="1041">
        <v>7111</v>
      </c>
      <c r="E53" s="222">
        <v>954</v>
      </c>
      <c r="F53" s="244">
        <f t="shared" si="3"/>
        <v>0.13415834622415976</v>
      </c>
      <c r="G53" s="1041">
        <v>1329</v>
      </c>
      <c r="H53" s="222">
        <v>281</v>
      </c>
      <c r="I53" s="244">
        <f t="shared" si="4"/>
        <v>0.21143717080511662</v>
      </c>
      <c r="J53" s="1041">
        <v>1033</v>
      </c>
      <c r="K53" s="222">
        <v>190</v>
      </c>
      <c r="L53" s="244">
        <f t="shared" si="5"/>
        <v>0.18393030009680542</v>
      </c>
    </row>
    <row r="54" spans="1:12">
      <c r="A54" s="222" t="s">
        <v>124</v>
      </c>
      <c r="B54" s="222" t="s">
        <v>125</v>
      </c>
      <c r="C54" s="237" t="s">
        <v>267</v>
      </c>
      <c r="D54" s="1041">
        <v>24532</v>
      </c>
      <c r="E54" s="1041">
        <v>1950</v>
      </c>
      <c r="F54" s="244">
        <f t="shared" si="3"/>
        <v>7.9488015653024616E-2</v>
      </c>
      <c r="G54" s="1041">
        <v>6519</v>
      </c>
      <c r="H54" s="222">
        <v>702</v>
      </c>
      <c r="I54" s="244">
        <f t="shared" si="4"/>
        <v>0.10768522779567419</v>
      </c>
      <c r="J54" s="1041">
        <v>4778</v>
      </c>
      <c r="K54" s="222">
        <v>464</v>
      </c>
      <c r="L54" s="244">
        <f t="shared" si="5"/>
        <v>9.7111762243616576E-2</v>
      </c>
    </row>
    <row r="55" spans="1:12">
      <c r="A55" s="222" t="s">
        <v>126</v>
      </c>
      <c r="B55" s="222" t="s">
        <v>127</v>
      </c>
      <c r="C55" s="237" t="s">
        <v>266</v>
      </c>
      <c r="D55" s="1041">
        <v>15980</v>
      </c>
      <c r="E55" s="1041">
        <v>1454</v>
      </c>
      <c r="F55" s="244">
        <f t="shared" si="3"/>
        <v>9.098873591989988E-2</v>
      </c>
      <c r="G55" s="1041">
        <v>3778</v>
      </c>
      <c r="H55" s="222">
        <v>503</v>
      </c>
      <c r="I55" s="244">
        <f t="shared" si="4"/>
        <v>0.13313922710428799</v>
      </c>
      <c r="J55" s="1041">
        <v>2807</v>
      </c>
      <c r="K55" s="222">
        <v>340</v>
      </c>
      <c r="L55" s="244">
        <f t="shared" si="5"/>
        <v>0.12112575703598147</v>
      </c>
    </row>
    <row r="56" spans="1:12">
      <c r="A56" s="222" t="s">
        <v>128</v>
      </c>
      <c r="B56" s="222" t="s">
        <v>129</v>
      </c>
      <c r="C56" s="237" t="s">
        <v>266</v>
      </c>
      <c r="D56" s="1041">
        <v>10954</v>
      </c>
      <c r="E56" s="1041">
        <v>1663</v>
      </c>
      <c r="F56" s="244">
        <f t="shared" si="3"/>
        <v>0.15181668796786563</v>
      </c>
      <c r="G56" s="1041">
        <v>1700</v>
      </c>
      <c r="H56" s="222">
        <v>482</v>
      </c>
      <c r="I56" s="244">
        <f t="shared" si="4"/>
        <v>0.28352941176470586</v>
      </c>
      <c r="J56" s="1041">
        <v>1267</v>
      </c>
      <c r="K56" s="222">
        <v>336</v>
      </c>
      <c r="L56" s="244">
        <f t="shared" si="5"/>
        <v>0.26519337016574585</v>
      </c>
    </row>
    <row r="57" spans="1:12">
      <c r="A57" s="222" t="s">
        <v>130</v>
      </c>
      <c r="B57" s="222" t="s">
        <v>131</v>
      </c>
      <c r="C57" s="237" t="s">
        <v>268</v>
      </c>
      <c r="D57" s="1041">
        <v>23447</v>
      </c>
      <c r="E57" s="1041">
        <v>6805</v>
      </c>
      <c r="F57" s="244">
        <f t="shared" si="3"/>
        <v>0.2902290271676547</v>
      </c>
      <c r="G57" s="1041">
        <v>4841</v>
      </c>
      <c r="H57" s="1041">
        <v>1870</v>
      </c>
      <c r="I57" s="244">
        <f t="shared" si="4"/>
        <v>0.38628382565585623</v>
      </c>
      <c r="J57" s="1041">
        <v>3524</v>
      </c>
      <c r="K57" s="1041">
        <v>1254</v>
      </c>
      <c r="L57" s="244">
        <f t="shared" si="5"/>
        <v>0.35584562996594776</v>
      </c>
    </row>
    <row r="58" spans="1:12">
      <c r="A58" s="222" t="s">
        <v>132</v>
      </c>
      <c r="B58" s="222" t="s">
        <v>133</v>
      </c>
      <c r="C58" s="237" t="s">
        <v>267</v>
      </c>
      <c r="D58" s="1041">
        <v>347895</v>
      </c>
      <c r="E58" s="1041">
        <v>13343</v>
      </c>
      <c r="F58" s="244">
        <f t="shared" si="3"/>
        <v>3.8353526207620114E-2</v>
      </c>
      <c r="G58" s="1041">
        <v>103121</v>
      </c>
      <c r="H58" s="1041">
        <v>4231</v>
      </c>
      <c r="I58" s="244">
        <f t="shared" si="4"/>
        <v>4.1029470233996952E-2</v>
      </c>
      <c r="J58" s="1041">
        <v>75509</v>
      </c>
      <c r="K58" s="1041">
        <v>2780</v>
      </c>
      <c r="L58" s="244">
        <f t="shared" si="5"/>
        <v>3.6816803294971459E-2</v>
      </c>
    </row>
    <row r="59" spans="1:12">
      <c r="A59" s="222" t="s">
        <v>134</v>
      </c>
      <c r="B59" s="222" t="s">
        <v>135</v>
      </c>
      <c r="C59" s="237" t="s">
        <v>267</v>
      </c>
      <c r="D59" s="1041">
        <v>33728</v>
      </c>
      <c r="E59" s="1041">
        <v>3959</v>
      </c>
      <c r="F59" s="244">
        <f t="shared" si="3"/>
        <v>0.11738021821631879</v>
      </c>
      <c r="G59" s="1041">
        <v>6949</v>
      </c>
      <c r="H59" s="1041">
        <v>1228</v>
      </c>
      <c r="I59" s="244">
        <f t="shared" si="4"/>
        <v>0.17671607425528854</v>
      </c>
      <c r="J59" s="1041">
        <v>5040</v>
      </c>
      <c r="K59" s="222">
        <v>805</v>
      </c>
      <c r="L59" s="244">
        <f t="shared" si="5"/>
        <v>0.15972222222222221</v>
      </c>
    </row>
    <row r="60" spans="1:12">
      <c r="A60" s="222" t="s">
        <v>136</v>
      </c>
      <c r="B60" s="222" t="s">
        <v>137</v>
      </c>
      <c r="C60" s="237" t="s">
        <v>266</v>
      </c>
      <c r="D60" s="1041">
        <v>11422</v>
      </c>
      <c r="E60" s="1041">
        <v>2439</v>
      </c>
      <c r="F60" s="244">
        <f t="shared" si="3"/>
        <v>0.21353528278760286</v>
      </c>
      <c r="G60" s="1041">
        <v>2285</v>
      </c>
      <c r="H60" s="222">
        <v>675</v>
      </c>
      <c r="I60" s="244">
        <f t="shared" si="4"/>
        <v>0.29540481400437635</v>
      </c>
      <c r="J60" s="1041">
        <v>1708</v>
      </c>
      <c r="K60" s="222">
        <v>455</v>
      </c>
      <c r="L60" s="244">
        <f t="shared" si="5"/>
        <v>0.26639344262295084</v>
      </c>
    </row>
    <row r="61" spans="1:12">
      <c r="A61" s="222" t="s">
        <v>140</v>
      </c>
      <c r="B61" s="222" t="s">
        <v>141</v>
      </c>
      <c r="C61" s="237" t="s">
        <v>267</v>
      </c>
      <c r="D61" s="1041">
        <v>13047</v>
      </c>
      <c r="E61" s="1041">
        <v>1652</v>
      </c>
      <c r="F61" s="244">
        <f t="shared" si="3"/>
        <v>0.1266191461638691</v>
      </c>
      <c r="G61" s="1041">
        <v>2765</v>
      </c>
      <c r="H61" s="222">
        <v>511</v>
      </c>
      <c r="I61" s="244">
        <f t="shared" si="4"/>
        <v>0.18481012658227849</v>
      </c>
      <c r="J61" s="1041">
        <v>2098</v>
      </c>
      <c r="K61" s="222">
        <v>344</v>
      </c>
      <c r="L61" s="244">
        <f t="shared" si="5"/>
        <v>0.16396568160152525</v>
      </c>
    </row>
    <row r="62" spans="1:12">
      <c r="A62" s="222" t="s">
        <v>146</v>
      </c>
      <c r="B62" s="222" t="s">
        <v>147</v>
      </c>
      <c r="C62" s="237" t="s">
        <v>264</v>
      </c>
      <c r="D62" s="1041">
        <v>8808</v>
      </c>
      <c r="E62" s="222">
        <v>929</v>
      </c>
      <c r="F62" s="244">
        <f t="shared" si="3"/>
        <v>0.10547229791099001</v>
      </c>
      <c r="G62" s="1041">
        <v>1500</v>
      </c>
      <c r="H62" s="222">
        <v>273</v>
      </c>
      <c r="I62" s="244">
        <f t="shared" si="4"/>
        <v>0.182</v>
      </c>
      <c r="J62" s="1041">
        <v>1167</v>
      </c>
      <c r="K62" s="222">
        <v>193</v>
      </c>
      <c r="L62" s="244">
        <f t="shared" si="5"/>
        <v>0.16538131962296487</v>
      </c>
    </row>
    <row r="63" spans="1:12">
      <c r="A63" s="222" t="s">
        <v>148</v>
      </c>
      <c r="B63" s="222" t="s">
        <v>149</v>
      </c>
      <c r="C63" s="237" t="s">
        <v>265</v>
      </c>
      <c r="D63" s="1041">
        <v>30482</v>
      </c>
      <c r="E63" s="1041">
        <v>5210</v>
      </c>
      <c r="F63" s="244">
        <f t="shared" si="3"/>
        <v>0.17092054327143888</v>
      </c>
      <c r="G63" s="1041">
        <v>6007</v>
      </c>
      <c r="H63" s="1041">
        <v>1708</v>
      </c>
      <c r="I63" s="244">
        <f t="shared" si="4"/>
        <v>0.28433494256700514</v>
      </c>
      <c r="J63" s="1041">
        <v>4494</v>
      </c>
      <c r="K63" s="1041">
        <v>1153</v>
      </c>
      <c r="L63" s="244">
        <f t="shared" si="5"/>
        <v>0.25656430796617713</v>
      </c>
    </row>
    <row r="64" spans="1:12">
      <c r="A64" s="222" t="s">
        <v>150</v>
      </c>
      <c r="B64" s="222" t="s">
        <v>151</v>
      </c>
      <c r="C64" s="237" t="s">
        <v>266</v>
      </c>
      <c r="D64" s="1041">
        <v>10389</v>
      </c>
      <c r="E64" s="1041">
        <v>1610</v>
      </c>
      <c r="F64" s="244">
        <f t="shared" si="3"/>
        <v>0.15497160458176917</v>
      </c>
      <c r="G64" s="1041">
        <v>1648</v>
      </c>
      <c r="H64" s="222">
        <v>439</v>
      </c>
      <c r="I64" s="244">
        <f t="shared" si="4"/>
        <v>0.26638349514563109</v>
      </c>
      <c r="J64" s="1041">
        <v>1197</v>
      </c>
      <c r="K64" s="222">
        <v>299</v>
      </c>
      <c r="L64" s="244">
        <f t="shared" si="5"/>
        <v>0.24979114452798662</v>
      </c>
    </row>
    <row r="65" spans="1:12">
      <c r="A65" s="222" t="s">
        <v>152</v>
      </c>
      <c r="B65" s="222" t="s">
        <v>153</v>
      </c>
      <c r="C65" s="237" t="s">
        <v>268</v>
      </c>
      <c r="D65" s="1041">
        <v>86499</v>
      </c>
      <c r="E65" s="1041">
        <v>20243</v>
      </c>
      <c r="F65" s="244">
        <f t="shared" si="3"/>
        <v>0.23402582688817211</v>
      </c>
      <c r="G65" s="1041">
        <v>14909</v>
      </c>
      <c r="H65" s="1041">
        <v>2732</v>
      </c>
      <c r="I65" s="244">
        <f t="shared" si="4"/>
        <v>0.18324501978670601</v>
      </c>
      <c r="J65" s="1041">
        <v>10617</v>
      </c>
      <c r="K65" s="1041">
        <v>1710</v>
      </c>
      <c r="L65" s="244">
        <f t="shared" si="5"/>
        <v>0.16106244701893191</v>
      </c>
    </row>
    <row r="66" spans="1:12">
      <c r="A66" s="222" t="s">
        <v>154</v>
      </c>
      <c r="B66" s="222" t="s">
        <v>155</v>
      </c>
      <c r="C66" s="237" t="s">
        <v>265</v>
      </c>
      <c r="D66" s="1041">
        <v>14686</v>
      </c>
      <c r="E66" s="1041">
        <v>2321</v>
      </c>
      <c r="F66" s="244">
        <f t="shared" si="3"/>
        <v>0.15804167234100505</v>
      </c>
      <c r="G66" s="1041">
        <v>2739</v>
      </c>
      <c r="H66" s="222">
        <v>632</v>
      </c>
      <c r="I66" s="244">
        <f t="shared" si="4"/>
        <v>0.230741146403797</v>
      </c>
      <c r="J66" s="1041">
        <v>2060</v>
      </c>
      <c r="K66" s="222">
        <v>436</v>
      </c>
      <c r="L66" s="244">
        <f t="shared" si="5"/>
        <v>0.21165048543689322</v>
      </c>
    </row>
    <row r="67" spans="1:12">
      <c r="A67" s="222" t="s">
        <v>156</v>
      </c>
      <c r="B67" s="222" t="s">
        <v>157</v>
      </c>
      <c r="C67" s="237" t="s">
        <v>266</v>
      </c>
      <c r="D67" s="1041">
        <v>18916</v>
      </c>
      <c r="E67" s="1041">
        <v>1261</v>
      </c>
      <c r="F67" s="244">
        <f t="shared" si="3"/>
        <v>6.6663142313385493E-2</v>
      </c>
      <c r="G67" s="1041">
        <v>4041</v>
      </c>
      <c r="H67" s="222">
        <v>400</v>
      </c>
      <c r="I67" s="244">
        <f t="shared" si="4"/>
        <v>9.8985399653551104E-2</v>
      </c>
      <c r="J67" s="1041">
        <v>3055</v>
      </c>
      <c r="K67" s="222">
        <v>273</v>
      </c>
      <c r="L67" s="244">
        <f t="shared" si="5"/>
        <v>8.9361702127659579E-2</v>
      </c>
    </row>
    <row r="68" spans="1:12">
      <c r="A68" s="222" t="s">
        <v>162</v>
      </c>
      <c r="B68" s="222" t="s">
        <v>163</v>
      </c>
      <c r="C68" s="237" t="s">
        <v>264</v>
      </c>
      <c r="D68" s="1041">
        <v>11894</v>
      </c>
      <c r="E68" s="1041">
        <v>2661</v>
      </c>
      <c r="F68" s="244">
        <f t="shared" si="3"/>
        <v>0.22372624852866993</v>
      </c>
      <c r="G68" s="1041">
        <v>2349</v>
      </c>
      <c r="H68" s="222">
        <v>805</v>
      </c>
      <c r="I68" s="244">
        <f t="shared" si="4"/>
        <v>0.34269902085994042</v>
      </c>
      <c r="J68" s="1041">
        <v>1651</v>
      </c>
      <c r="K68" s="222">
        <v>544</v>
      </c>
      <c r="L68" s="244">
        <f t="shared" si="5"/>
        <v>0.32949727437916415</v>
      </c>
    </row>
    <row r="69" spans="1:12">
      <c r="A69" s="222" t="s">
        <v>164</v>
      </c>
      <c r="B69" s="222" t="s">
        <v>165</v>
      </c>
      <c r="C69" s="237" t="s">
        <v>266</v>
      </c>
      <c r="D69" s="1041">
        <v>12164</v>
      </c>
      <c r="E69" s="1041">
        <v>1954</v>
      </c>
      <c r="F69" s="244">
        <f t="shared" ref="F69:F100" si="6">E69/D69</f>
        <v>0.16063794804340678</v>
      </c>
      <c r="G69" s="1041">
        <v>1874</v>
      </c>
      <c r="H69" s="222">
        <v>581</v>
      </c>
      <c r="I69" s="244">
        <f t="shared" ref="I69:I100" si="7">H69/G69</f>
        <v>0.31003201707577377</v>
      </c>
      <c r="J69" s="1041">
        <v>1418</v>
      </c>
      <c r="K69" s="222">
        <v>402</v>
      </c>
      <c r="L69" s="244">
        <f t="shared" ref="L69:L100" si="8">K69/J69</f>
        <v>0.28349788434414669</v>
      </c>
    </row>
    <row r="70" spans="1:12">
      <c r="A70" s="222" t="s">
        <v>168</v>
      </c>
      <c r="B70" s="222" t="s">
        <v>169</v>
      </c>
      <c r="C70" s="237" t="s">
        <v>266</v>
      </c>
      <c r="D70" s="1041">
        <v>13767</v>
      </c>
      <c r="E70" s="1041">
        <v>3240</v>
      </c>
      <c r="F70" s="244">
        <f t="shared" si="6"/>
        <v>0.2353453911527566</v>
      </c>
      <c r="G70" s="1041">
        <v>3076</v>
      </c>
      <c r="H70" s="222">
        <v>902</v>
      </c>
      <c r="I70" s="244">
        <f t="shared" si="7"/>
        <v>0.29323797139141744</v>
      </c>
      <c r="J70" s="1041">
        <v>2153</v>
      </c>
      <c r="K70" s="222">
        <v>627</v>
      </c>
      <c r="L70" s="244">
        <f t="shared" si="8"/>
        <v>0.29122155132373434</v>
      </c>
    </row>
    <row r="71" spans="1:12">
      <c r="A71" s="222" t="s">
        <v>170</v>
      </c>
      <c r="B71" s="222" t="s">
        <v>171</v>
      </c>
      <c r="C71" s="237" t="s">
        <v>267</v>
      </c>
      <c r="D71" s="1041">
        <v>34021</v>
      </c>
      <c r="E71" s="1041">
        <v>3540</v>
      </c>
      <c r="F71" s="244">
        <f t="shared" si="6"/>
        <v>0.10405337879544987</v>
      </c>
      <c r="G71" s="1041">
        <v>7590</v>
      </c>
      <c r="H71" s="1041">
        <v>1174</v>
      </c>
      <c r="I71" s="244">
        <f t="shared" si="7"/>
        <v>0.15467720685111991</v>
      </c>
      <c r="J71" s="1041">
        <v>5569</v>
      </c>
      <c r="K71" s="222">
        <v>812</v>
      </c>
      <c r="L71" s="244">
        <f t="shared" si="8"/>
        <v>0.14580714670497397</v>
      </c>
    </row>
    <row r="72" spans="1:12">
      <c r="A72" s="222" t="s">
        <v>172</v>
      </c>
      <c r="B72" s="222" t="s">
        <v>173</v>
      </c>
      <c r="C72" s="237" t="s">
        <v>267</v>
      </c>
      <c r="D72" s="1041">
        <v>23565</v>
      </c>
      <c r="E72" s="1041">
        <v>3595</v>
      </c>
      <c r="F72" s="244">
        <f t="shared" si="6"/>
        <v>0.15255675790367071</v>
      </c>
      <c r="G72" s="1041">
        <v>4771</v>
      </c>
      <c r="H72" s="1041">
        <v>1065</v>
      </c>
      <c r="I72" s="244">
        <f t="shared" si="7"/>
        <v>0.22322364284217144</v>
      </c>
      <c r="J72" s="1041">
        <v>3583</v>
      </c>
      <c r="K72" s="222">
        <v>711</v>
      </c>
      <c r="L72" s="244">
        <f t="shared" si="8"/>
        <v>0.19843706391292212</v>
      </c>
    </row>
    <row r="73" spans="1:12">
      <c r="A73" s="222" t="s">
        <v>174</v>
      </c>
      <c r="B73" s="222" t="s">
        <v>175</v>
      </c>
      <c r="C73" s="237" t="s">
        <v>268</v>
      </c>
      <c r="D73" s="1041">
        <v>18057</v>
      </c>
      <c r="E73" s="1041">
        <v>3511</v>
      </c>
      <c r="F73" s="244">
        <f t="shared" si="6"/>
        <v>0.19443982942903029</v>
      </c>
      <c r="G73" s="1041">
        <v>3308</v>
      </c>
      <c r="H73" s="222">
        <v>932</v>
      </c>
      <c r="I73" s="244">
        <f t="shared" si="7"/>
        <v>0.28174123337363965</v>
      </c>
      <c r="J73" s="1041">
        <v>2530</v>
      </c>
      <c r="K73" s="222">
        <v>619</v>
      </c>
      <c r="L73" s="244">
        <f t="shared" si="8"/>
        <v>0.24466403162055336</v>
      </c>
    </row>
    <row r="74" spans="1:12">
      <c r="A74" s="222" t="s">
        <v>178</v>
      </c>
      <c r="B74" s="222" t="s">
        <v>179</v>
      </c>
      <c r="C74" s="237" t="s">
        <v>265</v>
      </c>
      <c r="D74" s="1041">
        <v>61308</v>
      </c>
      <c r="E74" s="1041">
        <v>9330</v>
      </c>
      <c r="F74" s="244">
        <f t="shared" si="6"/>
        <v>0.15218242317478958</v>
      </c>
      <c r="G74" s="1041">
        <v>12273</v>
      </c>
      <c r="H74" s="1041">
        <v>2613</v>
      </c>
      <c r="I74" s="244">
        <f t="shared" si="7"/>
        <v>0.21290637985822539</v>
      </c>
      <c r="J74" s="1041">
        <v>9530</v>
      </c>
      <c r="K74" s="1041">
        <v>1712</v>
      </c>
      <c r="L74" s="244">
        <f t="shared" si="8"/>
        <v>0.17964323189926548</v>
      </c>
    </row>
    <row r="75" spans="1:12">
      <c r="A75" s="222" t="s">
        <v>182</v>
      </c>
      <c r="B75" s="222" t="s">
        <v>183</v>
      </c>
      <c r="C75" s="237" t="s">
        <v>266</v>
      </c>
      <c r="D75" s="1041">
        <v>25963</v>
      </c>
      <c r="E75" s="1041">
        <v>2000</v>
      </c>
      <c r="F75" s="244">
        <f t="shared" si="6"/>
        <v>7.7032700381311867E-2</v>
      </c>
      <c r="G75" s="1041">
        <v>5349</v>
      </c>
      <c r="H75" s="222">
        <v>491</v>
      </c>
      <c r="I75" s="244">
        <f t="shared" si="7"/>
        <v>9.1792858478220232E-2</v>
      </c>
      <c r="J75" s="1041">
        <v>4213</v>
      </c>
      <c r="K75" s="222">
        <v>342</v>
      </c>
      <c r="L75" s="244">
        <f t="shared" si="8"/>
        <v>8.1177308331355336E-2</v>
      </c>
    </row>
    <row r="76" spans="1:12">
      <c r="A76" s="222" t="s">
        <v>184</v>
      </c>
      <c r="B76" s="222" t="s">
        <v>185</v>
      </c>
      <c r="C76" s="237" t="s">
        <v>266</v>
      </c>
      <c r="D76" s="1041">
        <v>18694</v>
      </c>
      <c r="E76" s="1041">
        <v>4397</v>
      </c>
      <c r="F76" s="244">
        <f t="shared" si="6"/>
        <v>0.23520915801861561</v>
      </c>
      <c r="G76" s="1041">
        <v>3708</v>
      </c>
      <c r="H76" s="1041">
        <v>1086</v>
      </c>
      <c r="I76" s="244">
        <f t="shared" si="7"/>
        <v>0.29288025889967639</v>
      </c>
      <c r="J76" s="1041">
        <v>2735</v>
      </c>
      <c r="K76" s="222">
        <v>743</v>
      </c>
      <c r="L76" s="244">
        <f t="shared" si="8"/>
        <v>0.2716636197440585</v>
      </c>
    </row>
    <row r="77" spans="1:12">
      <c r="A77" s="222" t="s">
        <v>186</v>
      </c>
      <c r="B77" s="222" t="s">
        <v>187</v>
      </c>
      <c r="C77" s="237" t="s">
        <v>264</v>
      </c>
      <c r="D77" s="1041">
        <v>32356</v>
      </c>
      <c r="E77" s="1041">
        <v>4174</v>
      </c>
      <c r="F77" s="244">
        <f t="shared" si="6"/>
        <v>0.12900234886883422</v>
      </c>
      <c r="G77" s="1041">
        <v>7809</v>
      </c>
      <c r="H77" s="1041">
        <v>1157</v>
      </c>
      <c r="I77" s="244">
        <f t="shared" si="7"/>
        <v>0.14816237674478167</v>
      </c>
      <c r="J77" s="1041">
        <v>5882</v>
      </c>
      <c r="K77" s="222">
        <v>871</v>
      </c>
      <c r="L77" s="244">
        <f t="shared" si="8"/>
        <v>0.14807888473308398</v>
      </c>
    </row>
    <row r="78" spans="1:12">
      <c r="A78" s="222" t="s">
        <v>188</v>
      </c>
      <c r="B78" s="222" t="s">
        <v>189</v>
      </c>
      <c r="C78" s="237" t="s">
        <v>267</v>
      </c>
      <c r="D78" s="1041">
        <v>434416</v>
      </c>
      <c r="E78" s="1041">
        <v>30243</v>
      </c>
      <c r="F78" s="244">
        <f t="shared" si="6"/>
        <v>6.9617601561636766E-2</v>
      </c>
      <c r="G78" s="1041">
        <v>122246</v>
      </c>
      <c r="H78" s="1041">
        <v>12226</v>
      </c>
      <c r="I78" s="244">
        <f t="shared" si="7"/>
        <v>0.10001145231745824</v>
      </c>
      <c r="J78" s="1041">
        <v>87587</v>
      </c>
      <c r="K78" s="1041">
        <v>7675</v>
      </c>
      <c r="L78" s="244">
        <f t="shared" si="8"/>
        <v>8.762715928162855E-2</v>
      </c>
    </row>
    <row r="79" spans="1:12">
      <c r="A79" s="222" t="s">
        <v>190</v>
      </c>
      <c r="B79" s="222" t="s">
        <v>191</v>
      </c>
      <c r="C79" s="237" t="s">
        <v>268</v>
      </c>
      <c r="D79" s="1041">
        <v>33289</v>
      </c>
      <c r="E79" s="1041">
        <v>5234</v>
      </c>
      <c r="F79" s="244">
        <f t="shared" si="6"/>
        <v>0.15722911472258103</v>
      </c>
      <c r="G79" s="1041">
        <v>6231</v>
      </c>
      <c r="H79" s="1041">
        <v>1387</v>
      </c>
      <c r="I79" s="244">
        <f t="shared" si="7"/>
        <v>0.22259669394960679</v>
      </c>
      <c r="J79" s="1041">
        <v>4594</v>
      </c>
      <c r="K79" s="222">
        <v>896</v>
      </c>
      <c r="L79" s="244">
        <f t="shared" si="8"/>
        <v>0.19503700478885502</v>
      </c>
    </row>
    <row r="80" spans="1:12">
      <c r="A80" s="222" t="s">
        <v>194</v>
      </c>
      <c r="B80" s="222" t="s">
        <v>195</v>
      </c>
      <c r="C80" s="237" t="s">
        <v>267</v>
      </c>
      <c r="D80" s="1041">
        <v>7430</v>
      </c>
      <c r="E80" s="222">
        <v>768</v>
      </c>
      <c r="F80" s="244">
        <f t="shared" si="6"/>
        <v>0.10336473755047107</v>
      </c>
      <c r="G80" s="1041">
        <v>1382</v>
      </c>
      <c r="H80" s="222">
        <v>244</v>
      </c>
      <c r="I80" s="244">
        <f t="shared" si="7"/>
        <v>0.17655571635311143</v>
      </c>
      <c r="J80" s="1041">
        <v>1081</v>
      </c>
      <c r="K80" s="222">
        <v>171</v>
      </c>
      <c r="L80" s="244">
        <f t="shared" si="8"/>
        <v>0.15818686401480112</v>
      </c>
    </row>
    <row r="81" spans="1:12">
      <c r="A81" s="222" t="s">
        <v>198</v>
      </c>
      <c r="B81" s="222" t="s">
        <v>272</v>
      </c>
      <c r="C81" s="237" t="s">
        <v>266</v>
      </c>
      <c r="D81" s="1041">
        <v>7281</v>
      </c>
      <c r="E81" s="1041">
        <v>1479</v>
      </c>
      <c r="F81" s="244">
        <f t="shared" si="6"/>
        <v>0.20313143798928718</v>
      </c>
      <c r="G81" s="1041">
        <v>1480</v>
      </c>
      <c r="H81" s="222">
        <v>382</v>
      </c>
      <c r="I81" s="244">
        <f t="shared" si="7"/>
        <v>0.25810810810810808</v>
      </c>
      <c r="J81" s="1041">
        <v>1128</v>
      </c>
      <c r="K81" s="222">
        <v>263</v>
      </c>
      <c r="L81" s="244">
        <f t="shared" si="8"/>
        <v>0.23315602836879432</v>
      </c>
    </row>
    <row r="82" spans="1:12">
      <c r="A82" s="222" t="s">
        <v>202</v>
      </c>
      <c r="B82" s="222" t="s">
        <v>301</v>
      </c>
      <c r="C82" s="237" t="s">
        <v>265</v>
      </c>
      <c r="D82" s="1041">
        <v>114603</v>
      </c>
      <c r="E82" s="1041">
        <v>9430</v>
      </c>
      <c r="F82" s="244">
        <f t="shared" si="6"/>
        <v>8.2284058881530148E-2</v>
      </c>
      <c r="G82" s="1041">
        <v>24424</v>
      </c>
      <c r="H82" s="1041">
        <v>2613</v>
      </c>
      <c r="I82" s="244">
        <f t="shared" si="7"/>
        <v>0.10698493285293155</v>
      </c>
      <c r="J82" s="1041">
        <v>18612</v>
      </c>
      <c r="K82" s="1041">
        <v>1846</v>
      </c>
      <c r="L82" s="244">
        <f t="shared" si="8"/>
        <v>9.9183322587577907E-2</v>
      </c>
    </row>
    <row r="83" spans="1:12">
      <c r="A83" s="222" t="s">
        <v>204</v>
      </c>
      <c r="B83" s="222" t="s">
        <v>293</v>
      </c>
      <c r="C83" s="237" t="s">
        <v>265</v>
      </c>
      <c r="D83" s="1041">
        <v>32745</v>
      </c>
      <c r="E83" s="1041">
        <v>5144</v>
      </c>
      <c r="F83" s="244">
        <f t="shared" si="6"/>
        <v>0.15709268590624523</v>
      </c>
      <c r="G83" s="1041">
        <v>6095</v>
      </c>
      <c r="H83" s="222">
        <v>1170</v>
      </c>
      <c r="I83" s="244">
        <f t="shared" si="7"/>
        <v>0.19196062346185397</v>
      </c>
      <c r="J83" s="1041">
        <v>4572</v>
      </c>
      <c r="K83" s="222">
        <v>765</v>
      </c>
      <c r="L83" s="244">
        <f t="shared" si="8"/>
        <v>0.1673228346456693</v>
      </c>
    </row>
    <row r="84" spans="1:12">
      <c r="A84" s="222" t="s">
        <v>206</v>
      </c>
      <c r="B84" s="222" t="s">
        <v>294</v>
      </c>
      <c r="C84" s="237" t="s">
        <v>267</v>
      </c>
      <c r="D84" s="1041">
        <v>119820</v>
      </c>
      <c r="E84" s="1041">
        <v>20191</v>
      </c>
      <c r="F84" s="244">
        <f t="shared" si="6"/>
        <v>0.16851109998330829</v>
      </c>
      <c r="G84" s="1041">
        <v>25440</v>
      </c>
      <c r="H84" s="1041">
        <v>4392</v>
      </c>
      <c r="I84" s="244">
        <f t="shared" si="7"/>
        <v>0.17264150943396225</v>
      </c>
      <c r="J84" s="1041">
        <v>18480</v>
      </c>
      <c r="K84" s="1041">
        <v>2834</v>
      </c>
      <c r="L84" s="244">
        <f t="shared" si="8"/>
        <v>0.15335497835497836</v>
      </c>
    </row>
    <row r="85" spans="1:12">
      <c r="A85" s="222" t="s">
        <v>208</v>
      </c>
      <c r="B85" s="222" t="s">
        <v>209</v>
      </c>
      <c r="C85" s="237" t="s">
        <v>268</v>
      </c>
      <c r="D85" s="1041">
        <v>27981</v>
      </c>
      <c r="E85" s="1041">
        <v>5261</v>
      </c>
      <c r="F85" s="244">
        <f t="shared" si="6"/>
        <v>0.18802044244308638</v>
      </c>
      <c r="G85" s="1041">
        <v>5481</v>
      </c>
      <c r="H85" s="1041">
        <v>1437</v>
      </c>
      <c r="I85" s="244">
        <f t="shared" si="7"/>
        <v>0.26217843459222767</v>
      </c>
      <c r="J85" s="1041">
        <v>4032</v>
      </c>
      <c r="K85" s="222">
        <v>960</v>
      </c>
      <c r="L85" s="244">
        <f t="shared" si="8"/>
        <v>0.23809523809523808</v>
      </c>
    </row>
    <row r="86" spans="1:12">
      <c r="A86" s="222" t="s">
        <v>210</v>
      </c>
      <c r="B86" s="222" t="s">
        <v>211</v>
      </c>
      <c r="C86" s="237" t="s">
        <v>268</v>
      </c>
      <c r="D86" s="1041">
        <v>21876</v>
      </c>
      <c r="E86" s="1041">
        <v>4025</v>
      </c>
      <c r="F86" s="244">
        <f t="shared" si="6"/>
        <v>0.18399158895593345</v>
      </c>
      <c r="G86" s="1041">
        <v>4206</v>
      </c>
      <c r="H86" s="1041">
        <v>1114</v>
      </c>
      <c r="I86" s="244">
        <f t="shared" si="7"/>
        <v>0.26485972420351878</v>
      </c>
      <c r="J86" s="1041">
        <v>3102</v>
      </c>
      <c r="K86" s="222">
        <v>741</v>
      </c>
      <c r="L86" s="244">
        <f t="shared" si="8"/>
        <v>0.23887814313346228</v>
      </c>
    </row>
    <row r="87" spans="1:12">
      <c r="A87" s="222" t="s">
        <v>212</v>
      </c>
      <c r="B87" s="222" t="s">
        <v>213</v>
      </c>
      <c r="C87" s="237" t="s">
        <v>267</v>
      </c>
      <c r="D87" s="1041">
        <v>42173</v>
      </c>
      <c r="E87" s="1041">
        <v>4887</v>
      </c>
      <c r="F87" s="244">
        <f t="shared" si="6"/>
        <v>0.11587982832618025</v>
      </c>
      <c r="G87" s="1041">
        <v>8987</v>
      </c>
      <c r="H87" s="1041">
        <v>1618</v>
      </c>
      <c r="I87" s="244">
        <f t="shared" si="7"/>
        <v>0.18003783242461333</v>
      </c>
      <c r="J87" s="1041">
        <v>6609</v>
      </c>
      <c r="K87" s="1041">
        <v>1107</v>
      </c>
      <c r="L87" s="244">
        <f t="shared" si="8"/>
        <v>0.16749886518384022</v>
      </c>
    </row>
    <row r="88" spans="1:12">
      <c r="A88" s="222" t="s">
        <v>214</v>
      </c>
      <c r="B88" s="222" t="s">
        <v>215</v>
      </c>
      <c r="C88" s="237" t="s">
        <v>268</v>
      </c>
      <c r="D88" s="1041">
        <v>30933</v>
      </c>
      <c r="E88" s="1041">
        <v>5337</v>
      </c>
      <c r="F88" s="244">
        <f t="shared" si="6"/>
        <v>0.17253418679080593</v>
      </c>
      <c r="G88" s="1041">
        <v>6241</v>
      </c>
      <c r="H88" s="1041">
        <v>1618</v>
      </c>
      <c r="I88" s="244">
        <f t="shared" si="7"/>
        <v>0.25925332478769431</v>
      </c>
      <c r="J88" s="1041">
        <v>4678</v>
      </c>
      <c r="K88" s="1041">
        <v>1042</v>
      </c>
      <c r="L88" s="244">
        <f t="shared" si="8"/>
        <v>0.22274476271911073</v>
      </c>
    </row>
    <row r="89" spans="1:12">
      <c r="A89" s="222" t="s">
        <v>216</v>
      </c>
      <c r="B89" s="222" t="s">
        <v>217</v>
      </c>
      <c r="C89" s="237" t="s">
        <v>264</v>
      </c>
      <c r="D89" s="1041">
        <v>16516</v>
      </c>
      <c r="E89" s="1041">
        <v>2756</v>
      </c>
      <c r="F89" s="244">
        <f t="shared" si="6"/>
        <v>0.1668684911600872</v>
      </c>
      <c r="G89" s="1041">
        <v>3491</v>
      </c>
      <c r="H89" s="222">
        <v>785</v>
      </c>
      <c r="I89" s="244">
        <f t="shared" si="7"/>
        <v>0.2248639358350043</v>
      </c>
      <c r="J89" s="1041">
        <v>2676</v>
      </c>
      <c r="K89" s="222">
        <v>540</v>
      </c>
      <c r="L89" s="244">
        <f t="shared" si="8"/>
        <v>0.20179372197309417</v>
      </c>
    </row>
    <row r="90" spans="1:12">
      <c r="A90" s="222" t="s">
        <v>218</v>
      </c>
      <c r="B90" s="222" t="s">
        <v>219</v>
      </c>
      <c r="C90" s="237" t="s">
        <v>267</v>
      </c>
      <c r="D90" s="1041">
        <v>126428</v>
      </c>
      <c r="E90" s="1041">
        <v>9733</v>
      </c>
      <c r="F90" s="244">
        <f t="shared" si="6"/>
        <v>7.6984528743632735E-2</v>
      </c>
      <c r="G90" s="1041">
        <v>32635</v>
      </c>
      <c r="H90" s="1041">
        <v>3385</v>
      </c>
      <c r="I90" s="244">
        <f t="shared" si="7"/>
        <v>0.10372299678259538</v>
      </c>
      <c r="J90" s="1041">
        <v>24770</v>
      </c>
      <c r="K90" s="1041">
        <v>2252</v>
      </c>
      <c r="L90" s="244">
        <f t="shared" si="8"/>
        <v>9.0916431166733952E-2</v>
      </c>
    </row>
    <row r="91" spans="1:12">
      <c r="A91" s="222" t="s">
        <v>220</v>
      </c>
      <c r="B91" s="222" t="s">
        <v>221</v>
      </c>
      <c r="C91" s="237" t="s">
        <v>267</v>
      </c>
      <c r="D91" s="1041">
        <v>132670</v>
      </c>
      <c r="E91" s="1041">
        <v>8436</v>
      </c>
      <c r="F91" s="244">
        <f t="shared" si="6"/>
        <v>6.358634205170724E-2</v>
      </c>
      <c r="G91" s="1041">
        <v>36573</v>
      </c>
      <c r="H91" s="1041">
        <v>2952</v>
      </c>
      <c r="I91" s="244">
        <f t="shared" si="7"/>
        <v>8.0715281765236652E-2</v>
      </c>
      <c r="J91" s="1041">
        <v>27779</v>
      </c>
      <c r="K91" s="1041">
        <v>1983</v>
      </c>
      <c r="L91" s="244">
        <f t="shared" si="8"/>
        <v>7.1384859066201081E-2</v>
      </c>
    </row>
    <row r="92" spans="1:12">
      <c r="A92" s="222" t="s">
        <v>224</v>
      </c>
      <c r="B92" s="222" t="s">
        <v>225</v>
      </c>
      <c r="C92" s="237" t="s">
        <v>264</v>
      </c>
      <c r="D92" s="1041">
        <v>6754</v>
      </c>
      <c r="E92" s="222">
        <v>921</v>
      </c>
      <c r="F92" s="244">
        <f t="shared" si="6"/>
        <v>0.13636363636363635</v>
      </c>
      <c r="G92" s="1041">
        <v>1269</v>
      </c>
      <c r="H92" s="222">
        <v>256</v>
      </c>
      <c r="I92" s="244">
        <f t="shared" si="7"/>
        <v>0.20173364854215919</v>
      </c>
      <c r="J92" s="1041">
        <v>956</v>
      </c>
      <c r="K92" s="222">
        <v>180</v>
      </c>
      <c r="L92" s="244">
        <f t="shared" si="8"/>
        <v>0.18828451882845187</v>
      </c>
    </row>
    <row r="93" spans="1:12">
      <c r="A93" s="222" t="s">
        <v>226</v>
      </c>
      <c r="B93" s="222" t="s">
        <v>227</v>
      </c>
      <c r="C93" s="237" t="s">
        <v>264</v>
      </c>
      <c r="D93" s="1041">
        <v>9187</v>
      </c>
      <c r="E93" s="1041">
        <v>2206</v>
      </c>
      <c r="F93" s="244">
        <f t="shared" si="6"/>
        <v>0.2401219113965386</v>
      </c>
      <c r="G93" s="1041">
        <v>1868</v>
      </c>
      <c r="H93" s="222">
        <v>567</v>
      </c>
      <c r="I93" s="244">
        <f t="shared" si="7"/>
        <v>0.30353319057815847</v>
      </c>
      <c r="J93" s="1041">
        <v>1334</v>
      </c>
      <c r="K93" s="222">
        <v>384</v>
      </c>
      <c r="L93" s="244">
        <f t="shared" si="8"/>
        <v>0.28785607196401797</v>
      </c>
    </row>
    <row r="94" spans="1:12">
      <c r="A94" s="222" t="s">
        <v>228</v>
      </c>
      <c r="B94" s="222" t="s">
        <v>229</v>
      </c>
      <c r="C94" s="237" t="s">
        <v>268</v>
      </c>
      <c r="D94" s="1041">
        <v>42306</v>
      </c>
      <c r="E94" s="1041">
        <v>7407</v>
      </c>
      <c r="F94" s="244">
        <f t="shared" si="6"/>
        <v>0.17508154871649412</v>
      </c>
      <c r="G94" s="1041">
        <v>8559</v>
      </c>
      <c r="H94" s="1041">
        <v>1960</v>
      </c>
      <c r="I94" s="244">
        <f t="shared" si="7"/>
        <v>0.22899871480313122</v>
      </c>
      <c r="J94" s="1041">
        <v>6420</v>
      </c>
      <c r="K94" s="1041">
        <v>1368</v>
      </c>
      <c r="L94" s="244">
        <f t="shared" si="8"/>
        <v>0.21308411214953271</v>
      </c>
    </row>
    <row r="95" spans="1:12">
      <c r="A95" s="222" t="s">
        <v>232</v>
      </c>
      <c r="B95" s="222" t="s">
        <v>233</v>
      </c>
      <c r="C95" s="237" t="s">
        <v>267</v>
      </c>
      <c r="D95" s="1041">
        <v>37849</v>
      </c>
      <c r="E95" s="1041">
        <v>4538</v>
      </c>
      <c r="F95" s="244">
        <f t="shared" si="6"/>
        <v>0.11989748738407884</v>
      </c>
      <c r="G95" s="1041">
        <v>8729</v>
      </c>
      <c r="H95" s="1041">
        <v>1485</v>
      </c>
      <c r="I95" s="244">
        <f t="shared" si="7"/>
        <v>0.17012257990606025</v>
      </c>
      <c r="J95" s="1041">
        <v>6501</v>
      </c>
      <c r="K95" s="222">
        <v>1015</v>
      </c>
      <c r="L95" s="244">
        <f t="shared" si="8"/>
        <v>0.1561298261805876</v>
      </c>
    </row>
    <row r="96" spans="1:12">
      <c r="A96" s="222" t="s">
        <v>234</v>
      </c>
      <c r="B96" s="222" t="s">
        <v>235</v>
      </c>
      <c r="C96" s="237" t="s">
        <v>268</v>
      </c>
      <c r="D96" s="1041">
        <v>53349</v>
      </c>
      <c r="E96" s="1041">
        <v>7933</v>
      </c>
      <c r="F96" s="244">
        <f t="shared" si="6"/>
        <v>0.14870006935462707</v>
      </c>
      <c r="G96" s="1041">
        <v>10471</v>
      </c>
      <c r="H96" s="1041">
        <v>2222</v>
      </c>
      <c r="I96" s="244">
        <f t="shared" si="7"/>
        <v>0.212205138000191</v>
      </c>
      <c r="J96" s="1041">
        <v>7735</v>
      </c>
      <c r="K96" s="1041">
        <v>1443</v>
      </c>
      <c r="L96" s="244">
        <f t="shared" si="8"/>
        <v>0.1865546218487395</v>
      </c>
    </row>
    <row r="97" spans="1:12">
      <c r="A97" s="222" t="s">
        <v>236</v>
      </c>
      <c r="B97" s="222" t="s">
        <v>237</v>
      </c>
      <c r="C97" s="237" t="s">
        <v>266</v>
      </c>
      <c r="D97" s="1041">
        <v>17499</v>
      </c>
      <c r="E97" s="1041">
        <v>2679</v>
      </c>
      <c r="F97" s="244">
        <f t="shared" si="6"/>
        <v>0.15309446254071662</v>
      </c>
      <c r="G97" s="1041">
        <v>3262</v>
      </c>
      <c r="H97" s="222">
        <v>931</v>
      </c>
      <c r="I97" s="244">
        <f t="shared" si="7"/>
        <v>0.28540772532188841</v>
      </c>
      <c r="J97" s="1041">
        <v>2338</v>
      </c>
      <c r="K97" s="222">
        <v>631</v>
      </c>
      <c r="L97" s="244">
        <f t="shared" si="8"/>
        <v>0.26988879384088965</v>
      </c>
    </row>
    <row r="98" spans="1:12">
      <c r="A98" s="222" t="s">
        <v>242</v>
      </c>
      <c r="B98" s="222" t="s">
        <v>243</v>
      </c>
      <c r="C98" s="237" t="s">
        <v>268</v>
      </c>
      <c r="D98" s="1041">
        <v>37664</v>
      </c>
      <c r="E98" s="1041">
        <v>7277</v>
      </c>
      <c r="F98" s="244">
        <f t="shared" si="6"/>
        <v>0.19320836873406966</v>
      </c>
      <c r="G98" s="1041">
        <v>8032</v>
      </c>
      <c r="H98" s="1041">
        <v>2233</v>
      </c>
      <c r="I98" s="244">
        <f t="shared" si="7"/>
        <v>0.27801294820717132</v>
      </c>
      <c r="J98" s="1041">
        <v>5873</v>
      </c>
      <c r="K98" s="1041">
        <v>1509</v>
      </c>
      <c r="L98" s="244">
        <f t="shared" si="8"/>
        <v>0.25693853226630342</v>
      </c>
    </row>
    <row r="99" spans="1:12">
      <c r="A99" s="222" t="s">
        <v>244</v>
      </c>
      <c r="B99" s="222" t="s">
        <v>245</v>
      </c>
      <c r="C99" s="237" t="s">
        <v>268</v>
      </c>
      <c r="D99" s="1041">
        <v>29042</v>
      </c>
      <c r="E99" s="1041">
        <v>4391</v>
      </c>
      <c r="F99" s="244">
        <f t="shared" si="6"/>
        <v>0.15119482129329936</v>
      </c>
      <c r="G99" s="1041">
        <v>5830</v>
      </c>
      <c r="H99" s="1041">
        <v>1260</v>
      </c>
      <c r="I99" s="244">
        <f t="shared" si="7"/>
        <v>0.21612349914236706</v>
      </c>
      <c r="J99" s="1041">
        <v>4337</v>
      </c>
      <c r="K99" s="222">
        <v>882</v>
      </c>
      <c r="L99" s="244">
        <f t="shared" si="8"/>
        <v>0.20336638229190684</v>
      </c>
    </row>
    <row r="100" spans="1:12">
      <c r="A100" s="222" t="s">
        <v>246</v>
      </c>
      <c r="B100" s="222" t="s">
        <v>247</v>
      </c>
      <c r="C100" s="237" t="s">
        <v>264</v>
      </c>
      <c r="D100" s="1041">
        <v>77570</v>
      </c>
      <c r="E100" s="1041">
        <v>4598</v>
      </c>
      <c r="F100" s="244">
        <f t="shared" si="6"/>
        <v>5.9275493103003736E-2</v>
      </c>
      <c r="G100" s="1041">
        <v>18696</v>
      </c>
      <c r="H100" s="1041">
        <v>1352</v>
      </c>
      <c r="I100" s="244">
        <f t="shared" si="7"/>
        <v>7.2314933675652546E-2</v>
      </c>
      <c r="J100" s="1041">
        <v>14632</v>
      </c>
      <c r="K100" s="222">
        <v>930</v>
      </c>
      <c r="L100" s="244">
        <f t="shared" si="8"/>
        <v>6.3559322033898302E-2</v>
      </c>
    </row>
    <row r="101" spans="1:12">
      <c r="A101" s="222" t="s">
        <v>14</v>
      </c>
      <c r="B101" s="222" t="s">
        <v>15</v>
      </c>
      <c r="C101" s="237" t="s">
        <v>267</v>
      </c>
      <c r="D101" s="1041">
        <v>147057</v>
      </c>
      <c r="E101" s="1041">
        <v>12916</v>
      </c>
      <c r="F101" s="244">
        <f t="shared" ref="F101:F125" si="9">E101/D101</f>
        <v>8.7829889090624724E-2</v>
      </c>
      <c r="G101" s="1041">
        <v>25592</v>
      </c>
      <c r="H101" s="1041">
        <v>3921</v>
      </c>
      <c r="I101" s="244">
        <f t="shared" ref="I101:I125" si="10">H101/G101</f>
        <v>0.1532119412316349</v>
      </c>
      <c r="J101" s="1041">
        <v>14588</v>
      </c>
      <c r="K101" s="1041">
        <v>2644</v>
      </c>
      <c r="L101" s="244">
        <f t="shared" ref="L101:L125" si="11">K101/J101</f>
        <v>0.18124485878804497</v>
      </c>
    </row>
    <row r="102" spans="1:12">
      <c r="A102" s="222" t="s">
        <v>34</v>
      </c>
      <c r="B102" s="222" t="s">
        <v>35</v>
      </c>
      <c r="C102" s="237" t="s">
        <v>268</v>
      </c>
      <c r="D102" s="1041">
        <v>17092</v>
      </c>
      <c r="E102" s="1041">
        <v>3696</v>
      </c>
      <c r="F102" s="244">
        <f t="shared" si="9"/>
        <v>0.21624151649894688</v>
      </c>
      <c r="G102" s="1041">
        <v>3387</v>
      </c>
      <c r="H102" s="1041">
        <v>1233</v>
      </c>
      <c r="I102" s="244">
        <f t="shared" si="10"/>
        <v>0.36403897254207263</v>
      </c>
      <c r="J102" s="1041">
        <v>2623</v>
      </c>
      <c r="K102" s="222">
        <v>822</v>
      </c>
      <c r="L102" s="244">
        <f t="shared" si="11"/>
        <v>0.31338162409454823</v>
      </c>
    </row>
    <row r="103" spans="1:12">
      <c r="A103" s="222" t="s">
        <v>52</v>
      </c>
      <c r="B103" s="222" t="s">
        <v>53</v>
      </c>
      <c r="C103" s="237" t="s">
        <v>265</v>
      </c>
      <c r="D103" s="1041">
        <v>42263</v>
      </c>
      <c r="E103" s="1041">
        <v>9677</v>
      </c>
      <c r="F103" s="244">
        <f t="shared" si="9"/>
        <v>0.22897096751295459</v>
      </c>
      <c r="G103" s="1041">
        <v>6670</v>
      </c>
      <c r="H103" s="1041">
        <v>1584</v>
      </c>
      <c r="I103" s="244">
        <f t="shared" si="10"/>
        <v>0.23748125937031483</v>
      </c>
      <c r="J103" s="1041">
        <v>4189</v>
      </c>
      <c r="K103" s="1041">
        <v>1060</v>
      </c>
      <c r="L103" s="244">
        <f t="shared" si="11"/>
        <v>0.25304368584387682</v>
      </c>
    </row>
    <row r="104" spans="1:12">
      <c r="A104" s="222" t="s">
        <v>54</v>
      </c>
      <c r="B104" s="222" t="s">
        <v>55</v>
      </c>
      <c r="C104" s="237" t="s">
        <v>264</v>
      </c>
      <c r="D104" s="1041">
        <v>225658</v>
      </c>
      <c r="E104" s="1041">
        <v>21593</v>
      </c>
      <c r="F104" s="244">
        <f t="shared" si="9"/>
        <v>9.568905157362026E-2</v>
      </c>
      <c r="G104" s="1041">
        <v>56117</v>
      </c>
      <c r="H104" s="1041">
        <v>7060</v>
      </c>
      <c r="I104" s="244">
        <f t="shared" si="10"/>
        <v>0.12580857850562219</v>
      </c>
      <c r="J104" s="1041">
        <v>41657</v>
      </c>
      <c r="K104" s="1041">
        <v>4757</v>
      </c>
      <c r="L104" s="244">
        <f t="shared" si="11"/>
        <v>0.1141944931224044</v>
      </c>
    </row>
    <row r="105" spans="1:12">
      <c r="A105" s="222" t="s">
        <v>66</v>
      </c>
      <c r="B105" s="222" t="s">
        <v>67</v>
      </c>
      <c r="C105" s="237" t="s">
        <v>265</v>
      </c>
      <c r="D105" s="1041">
        <v>41337</v>
      </c>
      <c r="E105" s="1041">
        <v>10344</v>
      </c>
      <c r="F105" s="244">
        <f t="shared" si="9"/>
        <v>0.25023586617316207</v>
      </c>
      <c r="G105" s="1041">
        <v>9321</v>
      </c>
      <c r="H105" s="1041">
        <v>3643</v>
      </c>
      <c r="I105" s="244">
        <f t="shared" si="10"/>
        <v>0.39083789292994314</v>
      </c>
      <c r="J105" s="1041">
        <v>6407</v>
      </c>
      <c r="K105" s="1041">
        <v>2400</v>
      </c>
      <c r="L105" s="244">
        <f t="shared" si="11"/>
        <v>0.37459029186826909</v>
      </c>
    </row>
    <row r="106" spans="1:12">
      <c r="A106" s="222" t="s">
        <v>82</v>
      </c>
      <c r="B106" s="222" t="s">
        <v>83</v>
      </c>
      <c r="C106" s="237" t="s">
        <v>264</v>
      </c>
      <c r="D106" s="1041">
        <v>8504</v>
      </c>
      <c r="E106" s="1041">
        <v>1859</v>
      </c>
      <c r="F106" s="244">
        <f t="shared" si="9"/>
        <v>0.2186030103480715</v>
      </c>
      <c r="G106" s="1041">
        <v>2183</v>
      </c>
      <c r="H106" s="222">
        <v>798</v>
      </c>
      <c r="I106" s="244">
        <f t="shared" si="10"/>
        <v>0.36555199267063676</v>
      </c>
      <c r="J106" s="1041">
        <v>1474</v>
      </c>
      <c r="K106" s="222">
        <v>542</v>
      </c>
      <c r="L106" s="244">
        <f t="shared" si="11"/>
        <v>0.36770691994572591</v>
      </c>
    </row>
    <row r="107" spans="1:12">
      <c r="A107" s="222" t="s">
        <v>88</v>
      </c>
      <c r="B107" s="222" t="s">
        <v>89</v>
      </c>
      <c r="C107" s="237" t="s">
        <v>267</v>
      </c>
      <c r="D107" s="1041">
        <v>25302</v>
      </c>
      <c r="E107" s="1041">
        <v>4434</v>
      </c>
      <c r="F107" s="244">
        <f t="shared" si="9"/>
        <v>0.17524306378942375</v>
      </c>
      <c r="G107" s="1041">
        <v>5541</v>
      </c>
      <c r="H107" s="1041">
        <v>1276</v>
      </c>
      <c r="I107" s="244">
        <f t="shared" si="10"/>
        <v>0.23028334235697528</v>
      </c>
      <c r="J107" s="1041">
        <v>3558</v>
      </c>
      <c r="K107" s="222">
        <v>772</v>
      </c>
      <c r="L107" s="244">
        <f t="shared" si="11"/>
        <v>0.21697582911748173</v>
      </c>
    </row>
    <row r="108" spans="1:12">
      <c r="A108" s="222" t="s">
        <v>90</v>
      </c>
      <c r="B108" s="222" t="s">
        <v>91</v>
      </c>
      <c r="C108" s="237" t="s">
        <v>268</v>
      </c>
      <c r="D108" s="1041">
        <v>6730</v>
      </c>
      <c r="E108" s="1041">
        <v>1532</v>
      </c>
      <c r="F108" s="244">
        <f t="shared" si="9"/>
        <v>0.22763744427934621</v>
      </c>
      <c r="G108" s="1041">
        <v>1633</v>
      </c>
      <c r="H108" s="222">
        <v>600</v>
      </c>
      <c r="I108" s="244">
        <f t="shared" si="10"/>
        <v>0.36742192284139619</v>
      </c>
      <c r="J108" s="1041">
        <v>1134</v>
      </c>
      <c r="K108" s="222">
        <v>399</v>
      </c>
      <c r="L108" s="244">
        <f t="shared" si="11"/>
        <v>0.35185185185185186</v>
      </c>
    </row>
    <row r="109" spans="1:12">
      <c r="A109" s="222" t="s">
        <v>106</v>
      </c>
      <c r="B109" s="222" t="s">
        <v>107</v>
      </c>
      <c r="C109" s="237" t="s">
        <v>264</v>
      </c>
      <c r="D109" s="1041">
        <v>132541</v>
      </c>
      <c r="E109" s="1041">
        <v>20671</v>
      </c>
      <c r="F109" s="244">
        <f t="shared" si="9"/>
        <v>0.15595928806935214</v>
      </c>
      <c r="G109" s="1041">
        <v>29288</v>
      </c>
      <c r="H109" s="1041">
        <v>6544</v>
      </c>
      <c r="I109" s="244">
        <f t="shared" si="10"/>
        <v>0.22343621961212784</v>
      </c>
      <c r="J109" s="1041">
        <v>20862</v>
      </c>
      <c r="K109" s="1041">
        <v>4385</v>
      </c>
      <c r="L109" s="244">
        <f t="shared" si="11"/>
        <v>0.21019077749017351</v>
      </c>
    </row>
    <row r="110" spans="1:12">
      <c r="A110" s="222" t="s">
        <v>116</v>
      </c>
      <c r="B110" s="222" t="s">
        <v>117</v>
      </c>
      <c r="C110" s="237" t="s">
        <v>266</v>
      </c>
      <c r="D110" s="1041">
        <v>21814</v>
      </c>
      <c r="E110" s="1041">
        <v>4927</v>
      </c>
      <c r="F110" s="244">
        <f t="shared" si="9"/>
        <v>0.22586412395709177</v>
      </c>
      <c r="G110" s="1041">
        <v>5408</v>
      </c>
      <c r="H110" s="1041">
        <v>1854</v>
      </c>
      <c r="I110" s="244">
        <f t="shared" si="10"/>
        <v>0.34282544378698226</v>
      </c>
      <c r="J110" s="1041">
        <v>3798</v>
      </c>
      <c r="K110" s="1041">
        <v>1191</v>
      </c>
      <c r="L110" s="244">
        <f t="shared" si="11"/>
        <v>0.3135860979462875</v>
      </c>
    </row>
    <row r="111" spans="1:12">
      <c r="A111" s="222" t="s">
        <v>138</v>
      </c>
      <c r="B111" s="222" t="s">
        <v>139</v>
      </c>
      <c r="C111" s="237" t="s">
        <v>265</v>
      </c>
      <c r="D111" s="1041">
        <v>67700</v>
      </c>
      <c r="E111" s="1041">
        <v>15332</v>
      </c>
      <c r="F111" s="244">
        <f t="shared" si="9"/>
        <v>0.22646971935007384</v>
      </c>
      <c r="G111" s="1041">
        <v>14948</v>
      </c>
      <c r="H111" s="1041">
        <v>4483</v>
      </c>
      <c r="I111" s="244">
        <f t="shared" si="10"/>
        <v>0.29990634198554988</v>
      </c>
      <c r="J111" s="1041">
        <v>10071</v>
      </c>
      <c r="K111" s="1041">
        <v>2819</v>
      </c>
      <c r="L111" s="244">
        <f t="shared" si="11"/>
        <v>0.2799126203951941</v>
      </c>
    </row>
    <row r="112" spans="1:12">
      <c r="A112" s="222" t="s">
        <v>142</v>
      </c>
      <c r="B112" s="222" t="s">
        <v>143</v>
      </c>
      <c r="C112" s="237" t="s">
        <v>267</v>
      </c>
      <c r="D112" s="1041">
        <v>41295</v>
      </c>
      <c r="E112" s="1041">
        <v>4179</v>
      </c>
      <c r="F112" s="244">
        <f t="shared" si="9"/>
        <v>0.10119869233563386</v>
      </c>
      <c r="G112" s="1041">
        <v>11050</v>
      </c>
      <c r="H112" s="1041">
        <v>1850</v>
      </c>
      <c r="I112" s="244">
        <f t="shared" si="10"/>
        <v>0.167420814479638</v>
      </c>
      <c r="J112" s="1041">
        <v>7619</v>
      </c>
      <c r="K112" s="1041">
        <v>1214</v>
      </c>
      <c r="L112" s="244">
        <f t="shared" si="11"/>
        <v>0.15933849586559917</v>
      </c>
    </row>
    <row r="113" spans="1:12">
      <c r="A113" s="222" t="s">
        <v>144</v>
      </c>
      <c r="B113" s="222" t="s">
        <v>145</v>
      </c>
      <c r="C113" s="237" t="s">
        <v>267</v>
      </c>
      <c r="D113" s="1041">
        <v>16050</v>
      </c>
      <c r="E113" s="1041">
        <v>1353</v>
      </c>
      <c r="F113" s="244">
        <f t="shared" si="9"/>
        <v>8.4299065420560745E-2</v>
      </c>
      <c r="G113" s="1041">
        <v>4277</v>
      </c>
      <c r="H113" s="222">
        <v>588</v>
      </c>
      <c r="I113" s="244">
        <f t="shared" si="10"/>
        <v>0.13747954173486088</v>
      </c>
      <c r="J113" s="1041">
        <v>3058</v>
      </c>
      <c r="K113" s="222">
        <v>378</v>
      </c>
      <c r="L113" s="244">
        <f t="shared" si="11"/>
        <v>0.1236102027468934</v>
      </c>
    </row>
    <row r="114" spans="1:12">
      <c r="A114" s="222" t="s">
        <v>158</v>
      </c>
      <c r="B114" s="222" t="s">
        <v>159</v>
      </c>
      <c r="C114" s="237" t="s">
        <v>264</v>
      </c>
      <c r="D114" s="1041">
        <v>173780</v>
      </c>
      <c r="E114" s="1041">
        <v>30480</v>
      </c>
      <c r="F114" s="244">
        <f t="shared" si="9"/>
        <v>0.17539417654505696</v>
      </c>
      <c r="G114" s="1041">
        <v>42260</v>
      </c>
      <c r="H114" s="1041">
        <v>11435</v>
      </c>
      <c r="I114" s="244">
        <f t="shared" si="10"/>
        <v>0.27058684335068622</v>
      </c>
      <c r="J114" s="1041">
        <v>28843</v>
      </c>
      <c r="K114" s="1041">
        <v>7702</v>
      </c>
      <c r="L114" s="244">
        <f t="shared" si="11"/>
        <v>0.26703186215026176</v>
      </c>
    </row>
    <row r="115" spans="1:12">
      <c r="A115" s="222" t="s">
        <v>160</v>
      </c>
      <c r="B115" s="222" t="s">
        <v>161</v>
      </c>
      <c r="C115" s="237" t="s">
        <v>264</v>
      </c>
      <c r="D115" s="1041">
        <v>212588</v>
      </c>
      <c r="E115" s="1041">
        <v>49457</v>
      </c>
      <c r="F115" s="244">
        <f t="shared" si="9"/>
        <v>0.23264248217208874</v>
      </c>
      <c r="G115" s="1041">
        <v>48923</v>
      </c>
      <c r="H115" s="1041">
        <v>16150</v>
      </c>
      <c r="I115" s="244">
        <f t="shared" si="10"/>
        <v>0.33011058193487725</v>
      </c>
      <c r="J115" s="1041">
        <v>32210</v>
      </c>
      <c r="K115" s="1041">
        <v>10650</v>
      </c>
      <c r="L115" s="244">
        <f t="shared" si="11"/>
        <v>0.33064265755976407</v>
      </c>
    </row>
    <row r="116" spans="1:12">
      <c r="A116" s="222" t="s">
        <v>166</v>
      </c>
      <c r="B116" s="222" t="s">
        <v>167</v>
      </c>
      <c r="C116" s="237" t="s">
        <v>268</v>
      </c>
      <c r="D116" s="1041">
        <v>3954</v>
      </c>
      <c r="E116" s="222">
        <v>871</v>
      </c>
      <c r="F116" s="244">
        <f t="shared" si="9"/>
        <v>0.22028325746079919</v>
      </c>
      <c r="G116" s="222">
        <v>863</v>
      </c>
      <c r="H116" s="222">
        <v>315</v>
      </c>
      <c r="I116" s="244">
        <f t="shared" si="10"/>
        <v>0.36500579374275782</v>
      </c>
      <c r="J116" s="222">
        <v>634</v>
      </c>
      <c r="K116" s="222">
        <v>207</v>
      </c>
      <c r="L116" s="244">
        <f t="shared" si="11"/>
        <v>0.32649842271293378</v>
      </c>
    </row>
    <row r="117" spans="1:12">
      <c r="A117" s="222" t="s">
        <v>176</v>
      </c>
      <c r="B117" s="222" t="s">
        <v>177</v>
      </c>
      <c r="C117" s="237" t="s">
        <v>266</v>
      </c>
      <c r="D117" s="1041">
        <v>31829</v>
      </c>
      <c r="E117" s="1041">
        <v>8953</v>
      </c>
      <c r="F117" s="244">
        <f t="shared" si="9"/>
        <v>0.28128436331647239</v>
      </c>
      <c r="G117" s="1041">
        <v>6772</v>
      </c>
      <c r="H117" s="1041">
        <v>3179</v>
      </c>
      <c r="I117" s="244">
        <f t="shared" si="10"/>
        <v>0.46943295924394568</v>
      </c>
      <c r="J117" s="1041">
        <v>4239</v>
      </c>
      <c r="K117" s="1041">
        <v>2197</v>
      </c>
      <c r="L117" s="244">
        <f t="shared" si="11"/>
        <v>0.51828261382401508</v>
      </c>
    </row>
    <row r="118" spans="1:12">
      <c r="A118" s="222" t="s">
        <v>180</v>
      </c>
      <c r="B118" s="222" t="s">
        <v>181</v>
      </c>
      <c r="C118" s="237" t="s">
        <v>264</v>
      </c>
      <c r="D118" s="1041">
        <v>93047</v>
      </c>
      <c r="E118" s="1041">
        <v>19427</v>
      </c>
      <c r="F118" s="244">
        <f t="shared" si="9"/>
        <v>0.20878695712919276</v>
      </c>
      <c r="G118" s="1041">
        <v>22038</v>
      </c>
      <c r="H118" s="1041">
        <v>7318</v>
      </c>
      <c r="I118" s="244">
        <f t="shared" si="10"/>
        <v>0.33206280061711591</v>
      </c>
      <c r="J118" s="1041">
        <v>14823</v>
      </c>
      <c r="K118" s="1041">
        <v>4992</v>
      </c>
      <c r="L118" s="244">
        <f t="shared" si="11"/>
        <v>0.33677393240234771</v>
      </c>
    </row>
    <row r="119" spans="1:12">
      <c r="A119" s="222" t="s">
        <v>192</v>
      </c>
      <c r="B119" s="222" t="s">
        <v>193</v>
      </c>
      <c r="C119" s="237" t="s">
        <v>268</v>
      </c>
      <c r="D119" s="1041">
        <v>14079</v>
      </c>
      <c r="E119" s="1041">
        <v>4404</v>
      </c>
      <c r="F119" s="244">
        <f t="shared" si="9"/>
        <v>0.31280630726614106</v>
      </c>
      <c r="G119" s="1041">
        <v>2219</v>
      </c>
      <c r="H119" s="222">
        <v>455</v>
      </c>
      <c r="I119" s="244">
        <f t="shared" si="10"/>
        <v>0.20504731861198738</v>
      </c>
      <c r="J119" s="1041">
        <v>1590</v>
      </c>
      <c r="K119" s="222">
        <v>299</v>
      </c>
      <c r="L119" s="244">
        <f t="shared" si="11"/>
        <v>0.18805031446540882</v>
      </c>
    </row>
    <row r="120" spans="1:12">
      <c r="A120" s="222" t="s">
        <v>196</v>
      </c>
      <c r="B120" s="222" t="s">
        <v>197</v>
      </c>
      <c r="C120" s="237" t="s">
        <v>266</v>
      </c>
      <c r="D120" s="1041">
        <v>202146</v>
      </c>
      <c r="E120" s="1041">
        <v>51290</v>
      </c>
      <c r="F120" s="244">
        <f t="shared" si="9"/>
        <v>0.25372750388333187</v>
      </c>
      <c r="G120" s="1041">
        <v>38763</v>
      </c>
      <c r="H120" s="1041">
        <v>14649</v>
      </c>
      <c r="I120" s="244">
        <f t="shared" si="10"/>
        <v>0.37791192632149212</v>
      </c>
      <c r="J120" s="1041">
        <v>25197</v>
      </c>
      <c r="K120" s="1041">
        <v>9216</v>
      </c>
      <c r="L120" s="244">
        <f t="shared" si="11"/>
        <v>0.36575782831289438</v>
      </c>
    </row>
    <row r="121" spans="1:12">
      <c r="A121" s="222" t="s">
        <v>200</v>
      </c>
      <c r="B121" s="222" t="s">
        <v>201</v>
      </c>
      <c r="C121" s="237" t="s">
        <v>265</v>
      </c>
      <c r="D121" s="1041">
        <v>96874</v>
      </c>
      <c r="E121" s="1041">
        <v>22615</v>
      </c>
      <c r="F121" s="244">
        <f t="shared" si="9"/>
        <v>0.23344757107170139</v>
      </c>
      <c r="G121" s="1041">
        <v>21123</v>
      </c>
      <c r="H121" s="1041">
        <v>7719</v>
      </c>
      <c r="I121" s="244">
        <f t="shared" si="10"/>
        <v>0.36543104672631727</v>
      </c>
      <c r="J121" s="1041">
        <v>14038</v>
      </c>
      <c r="K121" s="1041">
        <v>5003</v>
      </c>
      <c r="L121" s="244">
        <f t="shared" si="11"/>
        <v>0.35638979911668328</v>
      </c>
    </row>
    <row r="122" spans="1:12">
      <c r="A122" s="222" t="s">
        <v>222</v>
      </c>
      <c r="B122" s="222" t="s">
        <v>223</v>
      </c>
      <c r="C122" s="237" t="s">
        <v>264</v>
      </c>
      <c r="D122" s="1041">
        <v>84408</v>
      </c>
      <c r="E122" s="1041">
        <v>9691</v>
      </c>
      <c r="F122" s="244">
        <f t="shared" si="9"/>
        <v>0.11481139228509146</v>
      </c>
      <c r="G122" s="1041">
        <v>21291</v>
      </c>
      <c r="H122" s="1041">
        <v>3689</v>
      </c>
      <c r="I122" s="244">
        <f t="shared" si="10"/>
        <v>0.17326569912169462</v>
      </c>
      <c r="J122" s="1041">
        <v>15696</v>
      </c>
      <c r="K122" s="1041">
        <v>2397</v>
      </c>
      <c r="L122" s="244">
        <f t="shared" si="11"/>
        <v>0.15271406727828746</v>
      </c>
    </row>
    <row r="123" spans="1:12">
      <c r="A123" s="222" t="s">
        <v>230</v>
      </c>
      <c r="B123" s="222" t="s">
        <v>231</v>
      </c>
      <c r="C123" s="237" t="s">
        <v>264</v>
      </c>
      <c r="D123" s="1041">
        <v>438804</v>
      </c>
      <c r="E123" s="1041">
        <v>39666</v>
      </c>
      <c r="F123" s="244">
        <f t="shared" si="9"/>
        <v>9.0395711980747667E-2</v>
      </c>
      <c r="G123" s="1041">
        <v>102154</v>
      </c>
      <c r="H123" s="1041">
        <v>13510</v>
      </c>
      <c r="I123" s="244">
        <f t="shared" si="10"/>
        <v>0.13225130685044148</v>
      </c>
      <c r="J123" s="1041">
        <v>72254</v>
      </c>
      <c r="K123" s="1041">
        <v>8265</v>
      </c>
      <c r="L123" s="244">
        <f t="shared" si="11"/>
        <v>0.11438813076092673</v>
      </c>
    </row>
    <row r="124" spans="1:12">
      <c r="A124" s="222" t="s">
        <v>238</v>
      </c>
      <c r="B124" s="222" t="s">
        <v>239</v>
      </c>
      <c r="C124" s="237" t="s">
        <v>264</v>
      </c>
      <c r="D124" s="1041">
        <v>10931</v>
      </c>
      <c r="E124" s="1041">
        <v>2305</v>
      </c>
      <c r="F124" s="244">
        <f t="shared" si="9"/>
        <v>0.21086817308571951</v>
      </c>
      <c r="G124" s="1041">
        <v>1590</v>
      </c>
      <c r="H124" s="222">
        <v>408</v>
      </c>
      <c r="I124" s="244">
        <f t="shared" si="10"/>
        <v>0.25660377358490566</v>
      </c>
      <c r="J124" s="1041">
        <v>1108</v>
      </c>
      <c r="K124" s="222">
        <v>271</v>
      </c>
      <c r="L124" s="244">
        <f t="shared" si="11"/>
        <v>0.24458483754512636</v>
      </c>
    </row>
    <row r="125" spans="1:12">
      <c r="A125" s="222" t="s">
        <v>240</v>
      </c>
      <c r="B125" s="222" t="s">
        <v>241</v>
      </c>
      <c r="C125" s="237" t="s">
        <v>267</v>
      </c>
      <c r="D125" s="1041">
        <v>26309</v>
      </c>
      <c r="E125" s="1041">
        <v>3704</v>
      </c>
      <c r="F125" s="244">
        <f t="shared" si="9"/>
        <v>0.14078832338743397</v>
      </c>
      <c r="G125" s="1041">
        <v>6092</v>
      </c>
      <c r="H125" s="1041">
        <v>1454</v>
      </c>
      <c r="I125" s="244">
        <f t="shared" si="10"/>
        <v>0.23867367038739332</v>
      </c>
      <c r="J125" s="1041">
        <v>4263</v>
      </c>
      <c r="K125" s="222">
        <v>947</v>
      </c>
      <c r="L125" s="244">
        <f t="shared" si="11"/>
        <v>0.22214403002580344</v>
      </c>
    </row>
    <row r="127" spans="1:12">
      <c r="A127" s="222" t="s">
        <v>266</v>
      </c>
      <c r="D127" s="243">
        <v>1309763</v>
      </c>
      <c r="E127" s="243">
        <v>176294</v>
      </c>
      <c r="F127" s="244">
        <f t="shared" ref="F127:F131" si="12">E127/D127</f>
        <v>0.13459992380300864</v>
      </c>
      <c r="G127" s="1520">
        <v>293262</v>
      </c>
      <c r="H127" s="243">
        <v>53690</v>
      </c>
      <c r="I127" s="244">
        <f t="shared" ref="I127:I131" si="13">H127/G127</f>
        <v>0.18307861229889996</v>
      </c>
      <c r="J127" s="1520">
        <v>214325</v>
      </c>
      <c r="K127" s="243">
        <v>35053</v>
      </c>
      <c r="L127" s="244">
        <f t="shared" ref="L127:L131" si="14">K127/J127</f>
        <v>0.16355068237489795</v>
      </c>
    </row>
    <row r="128" spans="1:12">
      <c r="A128" s="222" t="s">
        <v>264</v>
      </c>
      <c r="D128" s="243">
        <v>1773401</v>
      </c>
      <c r="E128" s="243">
        <v>243363</v>
      </c>
      <c r="F128" s="244">
        <f t="shared" si="12"/>
        <v>0.13722953804582269</v>
      </c>
      <c r="G128" s="1520">
        <v>411217</v>
      </c>
      <c r="H128" s="243">
        <v>81141</v>
      </c>
      <c r="I128" s="244">
        <f t="shared" si="13"/>
        <v>0.19731917697955095</v>
      </c>
      <c r="J128" s="1520">
        <v>293458</v>
      </c>
      <c r="K128" s="243">
        <v>53853</v>
      </c>
      <c r="L128" s="244">
        <f t="shared" si="14"/>
        <v>0.18351178022067893</v>
      </c>
    </row>
    <row r="129" spans="1:12">
      <c r="A129" s="222" t="s">
        <v>267</v>
      </c>
      <c r="D129" s="243">
        <v>3238036</v>
      </c>
      <c r="E129" s="243">
        <v>240148</v>
      </c>
      <c r="F129" s="244">
        <f t="shared" si="12"/>
        <v>7.4164709719101329E-2</v>
      </c>
      <c r="G129" s="1520">
        <v>788767</v>
      </c>
      <c r="H129" s="243">
        <v>76048</v>
      </c>
      <c r="I129" s="244">
        <f t="shared" si="13"/>
        <v>9.6413769845848013E-2</v>
      </c>
      <c r="J129" s="1520">
        <v>565733</v>
      </c>
      <c r="K129" s="243">
        <v>49867</v>
      </c>
      <c r="L129" s="244">
        <f t="shared" si="14"/>
        <v>8.8145821438735228E-2</v>
      </c>
    </row>
    <row r="130" spans="1:12">
      <c r="A130" s="222" t="s">
        <v>265</v>
      </c>
      <c r="D130" s="243">
        <v>1122804</v>
      </c>
      <c r="E130" s="243">
        <v>171615</v>
      </c>
      <c r="F130" s="244">
        <f t="shared" si="12"/>
        <v>0.15284502014599163</v>
      </c>
      <c r="G130" s="1520">
        <v>232780</v>
      </c>
      <c r="H130" s="243">
        <v>50820</v>
      </c>
      <c r="I130" s="244">
        <f t="shared" si="13"/>
        <v>0.21831772489045451</v>
      </c>
      <c r="J130" s="1520">
        <v>170639</v>
      </c>
      <c r="K130" s="243">
        <v>33864</v>
      </c>
      <c r="L130" s="244">
        <f t="shared" si="14"/>
        <v>0.19845404626140567</v>
      </c>
    </row>
    <row r="131" spans="1:12">
      <c r="A131" s="222" t="s">
        <v>268</v>
      </c>
      <c r="D131" s="243">
        <v>566544</v>
      </c>
      <c r="E131" s="243">
        <v>109640</v>
      </c>
      <c r="F131" s="244">
        <f t="shared" si="12"/>
        <v>0.19352424524838319</v>
      </c>
      <c r="G131" s="1520">
        <v>109619</v>
      </c>
      <c r="H131" s="243">
        <v>27331</v>
      </c>
      <c r="I131" s="244">
        <f t="shared" si="13"/>
        <v>0.24932721517255221</v>
      </c>
      <c r="J131" s="1520">
        <v>80993</v>
      </c>
      <c r="K131" s="243">
        <v>18097</v>
      </c>
      <c r="L131" s="244">
        <f t="shared" si="14"/>
        <v>0.22343906263504254</v>
      </c>
    </row>
    <row r="134" spans="1:12">
      <c r="B134" s="222" t="s">
        <v>1007</v>
      </c>
    </row>
  </sheetData>
  <autoFilter ref="A4:C125"/>
  <sortState ref="A6:P125">
    <sortCondition ref="A6:A125"/>
  </sortState>
  <mergeCells count="3">
    <mergeCell ref="D3:F3"/>
    <mergeCell ref="G3:I3"/>
    <mergeCell ref="J3:L3"/>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dimension ref="A1:AE135"/>
  <sheetViews>
    <sheetView workbookViewId="0">
      <pane ySplit="4" topLeftCell="A5" activePane="bottomLeft" state="frozen"/>
      <selection pane="bottomLeft" activeCell="B15" sqref="B15"/>
    </sheetView>
  </sheetViews>
  <sheetFormatPr defaultRowHeight="15.75"/>
  <cols>
    <col min="1" max="1" width="8.75" style="403" customWidth="1"/>
    <col min="2" max="2" width="34.625" style="403" customWidth="1"/>
    <col min="3" max="3" width="5.875" style="403" customWidth="1"/>
    <col min="4" max="13" width="6" style="403" bestFit="1" customWidth="1"/>
    <col min="14" max="16" width="7.5" style="403" customWidth="1"/>
    <col min="17" max="17" width="3.625" style="403" customWidth="1"/>
    <col min="18" max="25" width="7.375" style="403" bestFit="1" customWidth="1"/>
    <col min="26" max="28" width="7.875" style="403" bestFit="1" customWidth="1"/>
    <col min="29" max="29" width="7.875" style="403" customWidth="1"/>
    <col min="30" max="30" width="9.375" style="403" customWidth="1"/>
    <col min="31" max="16384" width="9" style="403"/>
  </cols>
  <sheetData>
    <row r="1" spans="1:31">
      <c r="A1" s="193" t="s">
        <v>1008</v>
      </c>
    </row>
    <row r="2" spans="1:31">
      <c r="C2" s="1891"/>
      <c r="D2" s="1891"/>
      <c r="E2" s="1891"/>
      <c r="F2" s="1891"/>
      <c r="G2" s="1891"/>
      <c r="H2" s="1891"/>
      <c r="I2" s="1891"/>
      <c r="J2" s="1891"/>
      <c r="K2" s="1891"/>
      <c r="L2" s="1891"/>
      <c r="M2" s="1891"/>
      <c r="N2" s="316"/>
      <c r="O2" s="316"/>
      <c r="P2" s="316"/>
      <c r="R2" s="1891"/>
      <c r="S2" s="1891"/>
      <c r="T2" s="1891"/>
      <c r="U2" s="1891"/>
      <c r="V2" s="1891"/>
      <c r="W2" s="1891"/>
      <c r="X2" s="1891"/>
      <c r="Y2" s="1891"/>
      <c r="Z2" s="1891"/>
      <c r="AA2" s="1891"/>
      <c r="AB2" s="1891"/>
      <c r="AC2" s="316"/>
    </row>
    <row r="3" spans="1:31" ht="33" customHeight="1">
      <c r="A3" s="533" t="s">
        <v>4</v>
      </c>
      <c r="B3" s="534" t="s">
        <v>5</v>
      </c>
      <c r="C3" s="491">
        <v>2000</v>
      </c>
      <c r="D3" s="491">
        <v>2001</v>
      </c>
      <c r="E3" s="491">
        <v>2002</v>
      </c>
      <c r="F3" s="491">
        <v>2003</v>
      </c>
      <c r="G3" s="491">
        <v>2004</v>
      </c>
      <c r="H3" s="491">
        <v>2005</v>
      </c>
      <c r="I3" s="491">
        <v>2006</v>
      </c>
      <c r="J3" s="491">
        <v>2007</v>
      </c>
      <c r="K3" s="492">
        <v>2008</v>
      </c>
      <c r="L3" s="492">
        <v>2009</v>
      </c>
      <c r="M3" s="493">
        <v>2010</v>
      </c>
      <c r="N3" s="1034">
        <v>2011</v>
      </c>
      <c r="O3" s="1035">
        <v>2012</v>
      </c>
      <c r="P3" s="1521">
        <v>2013</v>
      </c>
      <c r="Q3" s="487"/>
      <c r="R3" s="491">
        <v>2000</v>
      </c>
      <c r="S3" s="491">
        <v>2001</v>
      </c>
      <c r="T3" s="491">
        <v>2002</v>
      </c>
      <c r="U3" s="491">
        <v>2003</v>
      </c>
      <c r="V3" s="491">
        <v>2004</v>
      </c>
      <c r="W3" s="491">
        <v>2005</v>
      </c>
      <c r="X3" s="491">
        <v>2006</v>
      </c>
      <c r="Y3" s="491">
        <v>2007</v>
      </c>
      <c r="Z3" s="494">
        <v>2008</v>
      </c>
      <c r="AA3" s="494">
        <v>2009</v>
      </c>
      <c r="AB3" s="495">
        <v>2010</v>
      </c>
      <c r="AC3" s="1042">
        <v>2011</v>
      </c>
      <c r="AD3" s="1523">
        <v>2012</v>
      </c>
      <c r="AE3" s="1528">
        <v>2013</v>
      </c>
    </row>
    <row r="4" spans="1:31">
      <c r="A4" s="408" t="s">
        <v>8</v>
      </c>
      <c r="B4" s="409" t="s">
        <v>9</v>
      </c>
      <c r="C4" s="488">
        <v>8.8499999999999995E-2</v>
      </c>
      <c r="D4" s="488">
        <v>8.77E-2</v>
      </c>
      <c r="E4" s="488">
        <v>9.5899999999999999E-2</v>
      </c>
      <c r="F4" s="488">
        <v>9.9399999999999988E-2</v>
      </c>
      <c r="G4" s="488">
        <v>9.5199999999999993E-2</v>
      </c>
      <c r="H4" s="488">
        <v>9.9600000000000008E-2</v>
      </c>
      <c r="I4" s="488">
        <v>9.6199999999999994E-2</v>
      </c>
      <c r="J4" s="488">
        <v>9.9000000000000005E-2</v>
      </c>
      <c r="K4" s="496">
        <v>0.10210000000000001</v>
      </c>
      <c r="L4" s="496">
        <v>0.1057</v>
      </c>
      <c r="M4" s="497">
        <v>0.11118840014389482</v>
      </c>
      <c r="N4" s="1036">
        <v>0.11600000000000001</v>
      </c>
      <c r="O4" s="1039">
        <v>0.11799999999999999</v>
      </c>
      <c r="P4" s="1039">
        <v>0.11747751027208382</v>
      </c>
      <c r="Q4" s="489"/>
      <c r="R4" s="490">
        <v>620936</v>
      </c>
      <c r="S4" s="490">
        <v>620238</v>
      </c>
      <c r="T4" s="490">
        <v>692133</v>
      </c>
      <c r="U4" s="490">
        <v>724326</v>
      </c>
      <c r="V4" s="490">
        <v>705038</v>
      </c>
      <c r="W4" s="490">
        <v>728860</v>
      </c>
      <c r="X4" s="490">
        <v>713179</v>
      </c>
      <c r="Y4" s="490">
        <v>739139</v>
      </c>
      <c r="Z4" s="498">
        <v>766854</v>
      </c>
      <c r="AA4" s="498">
        <v>805553</v>
      </c>
      <c r="AB4" s="499">
        <f>SUM(AB5:AB124)</f>
        <v>865746</v>
      </c>
      <c r="AC4" s="1043">
        <v>912779</v>
      </c>
      <c r="AD4" s="1524">
        <v>936384</v>
      </c>
      <c r="AE4" s="1531">
        <v>941059</v>
      </c>
    </row>
    <row r="5" spans="1:31" ht="16.5" customHeight="1">
      <c r="A5" s="416" t="s">
        <v>10</v>
      </c>
      <c r="B5" s="417" t="s">
        <v>455</v>
      </c>
      <c r="C5" s="500">
        <v>0.17100000000000001</v>
      </c>
      <c r="D5" s="500">
        <v>0.16300000000000001</v>
      </c>
      <c r="E5" s="500">
        <v>0.17699999999999999</v>
      </c>
      <c r="F5" s="500">
        <v>0.156</v>
      </c>
      <c r="G5" s="500">
        <v>0.14899999999999999</v>
      </c>
      <c r="H5" s="500">
        <v>0.183</v>
      </c>
      <c r="I5" s="500">
        <v>0.154</v>
      </c>
      <c r="J5" s="500">
        <v>0.16800000000000001</v>
      </c>
      <c r="K5" s="500">
        <v>0.20600000000000002</v>
      </c>
      <c r="L5" s="500">
        <v>0.183</v>
      </c>
      <c r="M5" s="501">
        <v>0.20499999999999999</v>
      </c>
      <c r="N5" s="1037">
        <v>0.193</v>
      </c>
      <c r="O5" s="1037">
        <v>0.19900000000000001</v>
      </c>
      <c r="P5" s="1037">
        <v>0.19252741881281887</v>
      </c>
      <c r="Q5" s="502"/>
      <c r="R5" s="503">
        <v>6549</v>
      </c>
      <c r="S5" s="503">
        <v>6239</v>
      </c>
      <c r="T5" s="503">
        <v>6871</v>
      </c>
      <c r="U5" s="503">
        <v>6072</v>
      </c>
      <c r="V5" s="503">
        <v>5820</v>
      </c>
      <c r="W5" s="503">
        <v>7044</v>
      </c>
      <c r="X5" s="503">
        <v>5956</v>
      </c>
      <c r="Y5" s="503">
        <v>6349</v>
      </c>
      <c r="Z5" s="503">
        <v>7733</v>
      </c>
      <c r="AA5" s="503">
        <v>6906</v>
      </c>
      <c r="AB5" s="504">
        <v>6722</v>
      </c>
      <c r="AC5" s="1044">
        <v>6359</v>
      </c>
      <c r="AD5" s="1525">
        <v>6541</v>
      </c>
      <c r="AE5" s="1529">
        <v>6302</v>
      </c>
    </row>
    <row r="6" spans="1:31" ht="16.5" customHeight="1">
      <c r="A6" s="416" t="s">
        <v>12</v>
      </c>
      <c r="B6" s="417" t="s">
        <v>456</v>
      </c>
      <c r="C6" s="500">
        <v>6.0999999999999999E-2</v>
      </c>
      <c r="D6" s="500">
        <v>6.5000000000000002E-2</v>
      </c>
      <c r="E6" s="500">
        <v>7.2000000000000008E-2</v>
      </c>
      <c r="F6" s="500">
        <v>7.5999999999999998E-2</v>
      </c>
      <c r="G6" s="500">
        <v>7.2999999999999995E-2</v>
      </c>
      <c r="H6" s="500">
        <v>7.0000000000000007E-2</v>
      </c>
      <c r="I6" s="500">
        <v>7.0999999999999994E-2</v>
      </c>
      <c r="J6" s="500">
        <v>8.5000000000000006E-2</v>
      </c>
      <c r="K6" s="500">
        <v>6.8000000000000005E-2</v>
      </c>
      <c r="L6" s="500">
        <v>8.8000000000000009E-2</v>
      </c>
      <c r="M6" s="501">
        <v>9.0999999999999998E-2</v>
      </c>
      <c r="N6" s="1037">
        <v>9.6999999999999989E-2</v>
      </c>
      <c r="O6" s="1037">
        <v>9.4E-2</v>
      </c>
      <c r="P6" s="1037">
        <v>9.5165866996852908E-2</v>
      </c>
      <c r="Q6" s="502"/>
      <c r="R6" s="503">
        <v>4843</v>
      </c>
      <c r="S6" s="503">
        <v>5277</v>
      </c>
      <c r="T6" s="503">
        <v>5901</v>
      </c>
      <c r="U6" s="503">
        <v>6312</v>
      </c>
      <c r="V6" s="503">
        <v>6205</v>
      </c>
      <c r="W6" s="503">
        <v>5872</v>
      </c>
      <c r="X6" s="503">
        <v>6107</v>
      </c>
      <c r="Y6" s="503">
        <v>7396</v>
      </c>
      <c r="Z6" s="503">
        <v>6008</v>
      </c>
      <c r="AA6" s="503">
        <v>7774</v>
      </c>
      <c r="AB6" s="504">
        <v>8419</v>
      </c>
      <c r="AC6" s="1044">
        <v>9139</v>
      </c>
      <c r="AD6" s="1525">
        <v>9026</v>
      </c>
      <c r="AE6" s="1529">
        <v>9223</v>
      </c>
    </row>
    <row r="7" spans="1:31" ht="16.5" customHeight="1">
      <c r="A7" s="416" t="s">
        <v>16</v>
      </c>
      <c r="B7" s="417" t="s">
        <v>769</v>
      </c>
      <c r="C7" s="500">
        <v>0.1075</v>
      </c>
      <c r="D7" s="500">
        <v>0.10050000000000001</v>
      </c>
      <c r="E7" s="500">
        <v>0.10589999999999999</v>
      </c>
      <c r="F7" s="500">
        <v>0.11539999999999999</v>
      </c>
      <c r="G7" s="500">
        <v>0.1137</v>
      </c>
      <c r="H7" s="500">
        <v>0.12089999999999999</v>
      </c>
      <c r="I7" s="500">
        <v>0.12770000000000001</v>
      </c>
      <c r="J7" s="500">
        <v>0.12619999999999998</v>
      </c>
      <c r="K7" s="500">
        <v>0.13320000000000001</v>
      </c>
      <c r="L7" s="500">
        <v>0.13639999999999999</v>
      </c>
      <c r="M7" s="501">
        <v>0.13851337359792926</v>
      </c>
      <c r="N7" s="1037">
        <v>0.14251596013411105</v>
      </c>
      <c r="O7" s="1037">
        <v>0.14000000000000001</v>
      </c>
      <c r="P7" s="1037">
        <v>0.1451127471408066</v>
      </c>
      <c r="Q7" s="502"/>
      <c r="R7" s="503">
        <v>2473</v>
      </c>
      <c r="S7" s="503">
        <v>2308</v>
      </c>
      <c r="T7" s="503">
        <v>2422</v>
      </c>
      <c r="U7" s="503">
        <v>2618</v>
      </c>
      <c r="V7" s="503">
        <v>2574</v>
      </c>
      <c r="W7" s="503">
        <v>2695</v>
      </c>
      <c r="X7" s="503">
        <v>2836</v>
      </c>
      <c r="Y7" s="503">
        <v>2783</v>
      </c>
      <c r="Z7" s="503">
        <v>2902</v>
      </c>
      <c r="AA7" s="503">
        <v>2985</v>
      </c>
      <c r="AB7" s="504">
        <v>3029</v>
      </c>
      <c r="AC7" s="1044">
        <v>3103</v>
      </c>
      <c r="AD7" s="1525">
        <v>3032</v>
      </c>
      <c r="AE7" s="1529">
        <v>3134</v>
      </c>
    </row>
    <row r="8" spans="1:31" ht="16.5" customHeight="1">
      <c r="A8" s="416" t="s">
        <v>18</v>
      </c>
      <c r="B8" s="417" t="s">
        <v>457</v>
      </c>
      <c r="C8" s="500">
        <v>9.3000000000000013E-2</v>
      </c>
      <c r="D8" s="500">
        <v>8.8000000000000009E-2</v>
      </c>
      <c r="E8" s="500">
        <v>9.0999999999999998E-2</v>
      </c>
      <c r="F8" s="500">
        <v>9.6999999999999989E-2</v>
      </c>
      <c r="G8" s="500">
        <v>9.0999999999999998E-2</v>
      </c>
      <c r="H8" s="500">
        <v>9.9000000000000005E-2</v>
      </c>
      <c r="I8" s="500">
        <v>9.1999999999999998E-2</v>
      </c>
      <c r="J8" s="500">
        <v>9.0999999999999998E-2</v>
      </c>
      <c r="K8" s="500">
        <v>9.6000000000000002E-2</v>
      </c>
      <c r="L8" s="500">
        <v>0.113</v>
      </c>
      <c r="M8" s="501">
        <v>0.114</v>
      </c>
      <c r="N8" s="1037">
        <v>0.11900000000000001</v>
      </c>
      <c r="O8" s="1037">
        <v>0.125</v>
      </c>
      <c r="P8" s="1037">
        <v>0.12147901293342855</v>
      </c>
      <c r="Q8" s="502"/>
      <c r="R8" s="503">
        <v>1072</v>
      </c>
      <c r="S8" s="503">
        <v>1027</v>
      </c>
      <c r="T8" s="503">
        <v>1068</v>
      </c>
      <c r="U8" s="503">
        <v>1151</v>
      </c>
      <c r="V8" s="503">
        <v>1110</v>
      </c>
      <c r="W8" s="503">
        <v>1198</v>
      </c>
      <c r="X8" s="503">
        <v>1140</v>
      </c>
      <c r="Y8" s="503">
        <v>1145</v>
      </c>
      <c r="Z8" s="503">
        <v>1215</v>
      </c>
      <c r="AA8" s="503">
        <v>1433</v>
      </c>
      <c r="AB8" s="504">
        <v>1432</v>
      </c>
      <c r="AC8" s="1044">
        <v>1503</v>
      </c>
      <c r="AD8" s="1525">
        <v>1578</v>
      </c>
      <c r="AE8" s="1529">
        <v>1531</v>
      </c>
    </row>
    <row r="9" spans="1:31" ht="16.5" customHeight="1">
      <c r="A9" s="416" t="s">
        <v>20</v>
      </c>
      <c r="B9" s="417" t="s">
        <v>458</v>
      </c>
      <c r="C9" s="500">
        <v>0.105</v>
      </c>
      <c r="D9" s="500">
        <v>0.10400000000000001</v>
      </c>
      <c r="E9" s="500">
        <v>0.11599999999999999</v>
      </c>
      <c r="F9" s="500">
        <v>0.111</v>
      </c>
      <c r="G9" s="500">
        <v>0.11199999999999999</v>
      </c>
      <c r="H9" s="500">
        <v>0.12</v>
      </c>
      <c r="I9" s="500">
        <v>0.11800000000000001</v>
      </c>
      <c r="J9" s="500">
        <v>0.122</v>
      </c>
      <c r="K9" s="500">
        <v>0.125</v>
      </c>
      <c r="L9" s="500">
        <v>0.13900000000000001</v>
      </c>
      <c r="M9" s="501">
        <v>0.13600000000000001</v>
      </c>
      <c r="N9" s="1037">
        <v>0.13400000000000001</v>
      </c>
      <c r="O9" s="1037">
        <v>0.14499999999999999</v>
      </c>
      <c r="P9" s="1037">
        <v>0.14199021207177814</v>
      </c>
      <c r="Q9" s="502"/>
      <c r="R9" s="503">
        <v>3204</v>
      </c>
      <c r="S9" s="503">
        <v>3146</v>
      </c>
      <c r="T9" s="503">
        <v>3542</v>
      </c>
      <c r="U9" s="503">
        <v>3391</v>
      </c>
      <c r="V9" s="503">
        <v>3447</v>
      </c>
      <c r="W9" s="503">
        <v>3615</v>
      </c>
      <c r="X9" s="503">
        <v>3631</v>
      </c>
      <c r="Y9" s="503">
        <v>3726</v>
      </c>
      <c r="Z9" s="503">
        <v>3868</v>
      </c>
      <c r="AA9" s="503">
        <v>4269</v>
      </c>
      <c r="AB9" s="504">
        <v>4221</v>
      </c>
      <c r="AC9" s="1044">
        <v>4136</v>
      </c>
      <c r="AD9" s="1525">
        <v>4449</v>
      </c>
      <c r="AE9" s="1529">
        <v>4352</v>
      </c>
    </row>
    <row r="10" spans="1:31" ht="16.5" customHeight="1">
      <c r="A10" s="416" t="s">
        <v>22</v>
      </c>
      <c r="B10" s="417" t="s">
        <v>459</v>
      </c>
      <c r="C10" s="500">
        <v>0.111</v>
      </c>
      <c r="D10" s="500">
        <v>0.111</v>
      </c>
      <c r="E10" s="500">
        <v>0.122</v>
      </c>
      <c r="F10" s="500">
        <v>0.124</v>
      </c>
      <c r="G10" s="500">
        <v>0.11800000000000001</v>
      </c>
      <c r="H10" s="500">
        <v>0.121</v>
      </c>
      <c r="I10" s="500">
        <v>0.13300000000000001</v>
      </c>
      <c r="J10" s="500">
        <v>0.126</v>
      </c>
      <c r="K10" s="500">
        <v>0.13</v>
      </c>
      <c r="L10" s="500">
        <v>0.14300000000000002</v>
      </c>
      <c r="M10" s="501">
        <v>0.14100000000000001</v>
      </c>
      <c r="N10" s="1037">
        <v>0.14800000000000002</v>
      </c>
      <c r="O10" s="1037">
        <v>0.16500000000000001</v>
      </c>
      <c r="P10" s="1037">
        <v>0.16161416022719768</v>
      </c>
      <c r="Q10" s="502"/>
      <c r="R10" s="503">
        <v>1526</v>
      </c>
      <c r="S10" s="503">
        <v>1522</v>
      </c>
      <c r="T10" s="503">
        <v>1668</v>
      </c>
      <c r="U10" s="503">
        <v>1716</v>
      </c>
      <c r="V10" s="503">
        <v>1649</v>
      </c>
      <c r="W10" s="503">
        <v>1660</v>
      </c>
      <c r="X10" s="503">
        <v>1859</v>
      </c>
      <c r="Y10" s="503">
        <v>1772</v>
      </c>
      <c r="Z10" s="503">
        <v>1863</v>
      </c>
      <c r="AA10" s="503">
        <v>2055</v>
      </c>
      <c r="AB10" s="504">
        <v>2099</v>
      </c>
      <c r="AC10" s="1044">
        <v>2209</v>
      </c>
      <c r="AD10" s="1525">
        <v>2483</v>
      </c>
      <c r="AE10" s="1529">
        <v>2447</v>
      </c>
    </row>
    <row r="11" spans="1:31" ht="16.5" customHeight="1">
      <c r="A11" s="416" t="s">
        <v>24</v>
      </c>
      <c r="B11" s="417" t="s">
        <v>460</v>
      </c>
      <c r="C11" s="500">
        <v>5.7999999999999996E-2</v>
      </c>
      <c r="D11" s="500">
        <v>5.7999999999999996E-2</v>
      </c>
      <c r="E11" s="500">
        <v>6.3E-2</v>
      </c>
      <c r="F11" s="500">
        <v>7.400000000000001E-2</v>
      </c>
      <c r="G11" s="500">
        <v>7.0999999999999994E-2</v>
      </c>
      <c r="H11" s="500">
        <v>7.6999999999999999E-2</v>
      </c>
      <c r="I11" s="500">
        <v>7.0000000000000007E-2</v>
      </c>
      <c r="J11" s="500">
        <v>6.5000000000000002E-2</v>
      </c>
      <c r="K11" s="500">
        <v>6.7000000000000004E-2</v>
      </c>
      <c r="L11" s="500">
        <v>6.6000000000000003E-2</v>
      </c>
      <c r="M11" s="501">
        <v>7.2000000000000008E-2</v>
      </c>
      <c r="N11" s="1037">
        <v>7.400000000000001E-2</v>
      </c>
      <c r="O11" s="1037">
        <v>0.08</v>
      </c>
      <c r="P11" s="1037">
        <v>8.4502920026836334E-2</v>
      </c>
      <c r="Q11" s="502"/>
      <c r="R11" s="503">
        <v>10907</v>
      </c>
      <c r="S11" s="503">
        <v>10867</v>
      </c>
      <c r="T11" s="503">
        <v>11773</v>
      </c>
      <c r="U11" s="503">
        <v>13587</v>
      </c>
      <c r="V11" s="503">
        <v>13740</v>
      </c>
      <c r="W11" s="503">
        <v>14781</v>
      </c>
      <c r="X11" s="503">
        <v>13726</v>
      </c>
      <c r="Y11" s="503">
        <v>13005</v>
      </c>
      <c r="Z11" s="503">
        <v>13735</v>
      </c>
      <c r="AA11" s="503">
        <v>13988</v>
      </c>
      <c r="AB11" s="504">
        <v>14903</v>
      </c>
      <c r="AC11" s="1044">
        <v>15894</v>
      </c>
      <c r="AD11" s="1525">
        <v>17555</v>
      </c>
      <c r="AE11" s="1529">
        <v>18767</v>
      </c>
    </row>
    <row r="12" spans="1:31" ht="16.5" customHeight="1">
      <c r="A12" s="416" t="s">
        <v>26</v>
      </c>
      <c r="B12" s="505" t="s">
        <v>770</v>
      </c>
      <c r="C12" s="500">
        <v>9.0800000000000006E-2</v>
      </c>
      <c r="D12" s="500">
        <v>9.1799999999999993E-2</v>
      </c>
      <c r="E12" s="500">
        <v>9.9299999999999999E-2</v>
      </c>
      <c r="F12" s="500">
        <v>9.7299999999999998E-2</v>
      </c>
      <c r="G12" s="500">
        <v>9.2200000000000004E-2</v>
      </c>
      <c r="H12" s="500">
        <v>9.7699999999999995E-2</v>
      </c>
      <c r="I12" s="500">
        <v>0.1012</v>
      </c>
      <c r="J12" s="500">
        <v>0.1026</v>
      </c>
      <c r="K12" s="500">
        <v>0.1016</v>
      </c>
      <c r="L12" s="500">
        <v>0.10949999999999999</v>
      </c>
      <c r="M12" s="501">
        <v>0.12085412542078605</v>
      </c>
      <c r="N12" s="1037">
        <v>0.12665573799233823</v>
      </c>
      <c r="O12" s="1037">
        <v>0.122</v>
      </c>
      <c r="P12" s="1037">
        <v>0.11686507419660146</v>
      </c>
      <c r="Q12" s="502"/>
      <c r="R12" s="503">
        <v>9607</v>
      </c>
      <c r="S12" s="503">
        <v>9789</v>
      </c>
      <c r="T12" s="503">
        <v>10717</v>
      </c>
      <c r="U12" s="503">
        <v>10642</v>
      </c>
      <c r="V12" s="503">
        <v>10291</v>
      </c>
      <c r="W12" s="503">
        <v>10737</v>
      </c>
      <c r="X12" s="503">
        <v>11283</v>
      </c>
      <c r="Y12" s="503">
        <v>11545</v>
      </c>
      <c r="Z12" s="503">
        <v>11523</v>
      </c>
      <c r="AA12" s="503">
        <v>12447</v>
      </c>
      <c r="AB12" s="504">
        <v>13822</v>
      </c>
      <c r="AC12" s="1044">
        <v>14448</v>
      </c>
      <c r="AD12" s="1525">
        <v>14004</v>
      </c>
      <c r="AE12" s="1529">
        <v>13459</v>
      </c>
    </row>
    <row r="13" spans="1:31" ht="16.5" customHeight="1">
      <c r="A13" s="416" t="s">
        <v>27</v>
      </c>
      <c r="B13" s="417" t="s">
        <v>461</v>
      </c>
      <c r="C13" s="500">
        <v>7.4999999999999997E-2</v>
      </c>
      <c r="D13" s="500">
        <v>7.5999999999999998E-2</v>
      </c>
      <c r="E13" s="500">
        <v>7.6999999999999999E-2</v>
      </c>
      <c r="F13" s="500">
        <v>7.9000000000000001E-2</v>
      </c>
      <c r="G13" s="500">
        <v>7.2999999999999995E-2</v>
      </c>
      <c r="H13" s="500">
        <v>7.6999999999999999E-2</v>
      </c>
      <c r="I13" s="500">
        <v>8.4000000000000005E-2</v>
      </c>
      <c r="J13" s="500">
        <v>8.5000000000000006E-2</v>
      </c>
      <c r="K13" s="500">
        <v>9.6000000000000002E-2</v>
      </c>
      <c r="L13" s="500">
        <v>0.11800000000000001</v>
      </c>
      <c r="M13" s="501">
        <v>0.11199999999999999</v>
      </c>
      <c r="N13" s="1037">
        <v>0.10800000000000001</v>
      </c>
      <c r="O13" s="1037">
        <v>0.115</v>
      </c>
      <c r="P13" s="1037">
        <v>0.11733684904416612</v>
      </c>
      <c r="Q13" s="502"/>
      <c r="R13" s="506">
        <v>374</v>
      </c>
      <c r="S13" s="506">
        <v>381</v>
      </c>
      <c r="T13" s="506">
        <v>385</v>
      </c>
      <c r="U13" s="506">
        <v>392</v>
      </c>
      <c r="V13" s="506">
        <v>361</v>
      </c>
      <c r="W13" s="506">
        <v>362</v>
      </c>
      <c r="X13" s="506">
        <v>397</v>
      </c>
      <c r="Y13" s="506">
        <v>390</v>
      </c>
      <c r="Z13" s="503">
        <v>430</v>
      </c>
      <c r="AA13" s="503">
        <v>522</v>
      </c>
      <c r="AB13" s="504">
        <v>520</v>
      </c>
      <c r="AC13" s="1044">
        <v>498</v>
      </c>
      <c r="AD13" s="1525">
        <v>526</v>
      </c>
      <c r="AE13" s="1529">
        <v>534</v>
      </c>
    </row>
    <row r="14" spans="1:31" ht="16.5" customHeight="1">
      <c r="A14" s="416" t="s">
        <v>29</v>
      </c>
      <c r="B14" s="417" t="s">
        <v>1012</v>
      </c>
      <c r="C14" s="500">
        <v>7.4299999999999991E-2</v>
      </c>
      <c r="D14" s="500">
        <v>7.4499999999999997E-2</v>
      </c>
      <c r="E14" s="500">
        <v>0.08</v>
      </c>
      <c r="F14" s="500">
        <v>8.6699999999999999E-2</v>
      </c>
      <c r="G14" s="500">
        <v>8.3000000000000004E-2</v>
      </c>
      <c r="H14" s="500">
        <v>8.7899999999999992E-2</v>
      </c>
      <c r="I14" s="500">
        <v>8.6699999999999999E-2</v>
      </c>
      <c r="J14" s="500">
        <v>9.5600000000000004E-2</v>
      </c>
      <c r="K14" s="500">
        <v>8.5299999999999987E-2</v>
      </c>
      <c r="L14" s="500">
        <v>8.5999999999999993E-2</v>
      </c>
      <c r="M14" s="501">
        <v>0.10419212990455738</v>
      </c>
      <c r="N14" s="1037">
        <v>0.10033904639863314</v>
      </c>
      <c r="O14" s="1037">
        <v>0.106</v>
      </c>
      <c r="P14" s="1037">
        <v>9.7572970386517091E-2</v>
      </c>
      <c r="Q14" s="502"/>
      <c r="R14" s="503">
        <v>4969</v>
      </c>
      <c r="S14" s="503">
        <v>5012</v>
      </c>
      <c r="T14" s="503">
        <v>5501</v>
      </c>
      <c r="U14" s="503">
        <v>6078</v>
      </c>
      <c r="V14" s="503">
        <v>5949</v>
      </c>
      <c r="W14" s="503">
        <v>6174</v>
      </c>
      <c r="X14" s="503">
        <v>6218</v>
      </c>
      <c r="Y14" s="503">
        <v>6907</v>
      </c>
      <c r="Z14" s="503">
        <v>6202</v>
      </c>
      <c r="AA14" s="503">
        <v>6252</v>
      </c>
      <c r="AB14" s="504">
        <v>7717</v>
      </c>
      <c r="AC14" s="1044">
        <v>7517</v>
      </c>
      <c r="AD14" s="1525">
        <v>7938</v>
      </c>
      <c r="AE14" s="1529">
        <v>7341</v>
      </c>
    </row>
    <row r="15" spans="1:31" ht="16.5" customHeight="1">
      <c r="A15" s="416" t="s">
        <v>30</v>
      </c>
      <c r="B15" s="417" t="s">
        <v>462</v>
      </c>
      <c r="C15" s="500">
        <v>0.113</v>
      </c>
      <c r="D15" s="500">
        <v>0.12</v>
      </c>
      <c r="E15" s="500">
        <v>0.125</v>
      </c>
      <c r="F15" s="500">
        <v>0.12300000000000001</v>
      </c>
      <c r="G15" s="500">
        <v>0.11900000000000001</v>
      </c>
      <c r="H15" s="500">
        <v>0.13500000000000001</v>
      </c>
      <c r="I15" s="500">
        <v>0.13</v>
      </c>
      <c r="J15" s="500">
        <v>0.13500000000000001</v>
      </c>
      <c r="K15" s="500">
        <v>0.14599999999999999</v>
      </c>
      <c r="L15" s="500">
        <v>0.15</v>
      </c>
      <c r="M15" s="501">
        <v>0.15</v>
      </c>
      <c r="N15" s="1037">
        <v>0.14400000000000002</v>
      </c>
      <c r="O15" s="1037">
        <v>0.154</v>
      </c>
      <c r="P15" s="1037">
        <v>0.150066401062417</v>
      </c>
      <c r="Q15" s="502"/>
      <c r="R15" s="506">
        <v>711</v>
      </c>
      <c r="S15" s="506">
        <v>751</v>
      </c>
      <c r="T15" s="506">
        <v>794</v>
      </c>
      <c r="U15" s="506">
        <v>783</v>
      </c>
      <c r="V15" s="506">
        <v>751</v>
      </c>
      <c r="W15" s="506">
        <v>846</v>
      </c>
      <c r="X15" s="506">
        <v>807</v>
      </c>
      <c r="Y15" s="506">
        <v>842</v>
      </c>
      <c r="Z15" s="503">
        <v>908</v>
      </c>
      <c r="AA15" s="503">
        <v>921</v>
      </c>
      <c r="AB15" s="504">
        <v>917</v>
      </c>
      <c r="AC15" s="1044">
        <v>879</v>
      </c>
      <c r="AD15" s="1525">
        <v>928</v>
      </c>
      <c r="AE15" s="1529">
        <v>904</v>
      </c>
    </row>
    <row r="16" spans="1:31" ht="16.5" customHeight="1">
      <c r="A16" s="416" t="s">
        <v>32</v>
      </c>
      <c r="B16" s="417" t="s">
        <v>463</v>
      </c>
      <c r="C16" s="500">
        <v>5.2000000000000005E-2</v>
      </c>
      <c r="D16" s="500">
        <v>5.2999999999999999E-2</v>
      </c>
      <c r="E16" s="500">
        <v>5.7999999999999996E-2</v>
      </c>
      <c r="F16" s="500">
        <v>6.3E-2</v>
      </c>
      <c r="G16" s="500">
        <v>0.06</v>
      </c>
      <c r="H16" s="500">
        <v>6.0999999999999999E-2</v>
      </c>
      <c r="I16" s="500">
        <v>0.06</v>
      </c>
      <c r="J16" s="500">
        <v>6.2E-2</v>
      </c>
      <c r="K16" s="500">
        <v>6.4000000000000001E-2</v>
      </c>
      <c r="L16" s="500">
        <v>7.5999999999999998E-2</v>
      </c>
      <c r="M16" s="501">
        <v>6.5000000000000002E-2</v>
      </c>
      <c r="N16" s="1037">
        <v>7.4999999999999997E-2</v>
      </c>
      <c r="O16" s="1037">
        <v>7.5999999999999998E-2</v>
      </c>
      <c r="P16" s="1037">
        <v>7.4080876725747702E-2</v>
      </c>
      <c r="Q16" s="502"/>
      <c r="R16" s="503">
        <v>1586</v>
      </c>
      <c r="S16" s="503">
        <v>1615</v>
      </c>
      <c r="T16" s="503">
        <v>1803</v>
      </c>
      <c r="U16" s="503">
        <v>1986</v>
      </c>
      <c r="V16" s="503">
        <v>1900</v>
      </c>
      <c r="W16" s="503">
        <v>1925</v>
      </c>
      <c r="X16" s="503">
        <v>1901</v>
      </c>
      <c r="Y16" s="503">
        <v>1949</v>
      </c>
      <c r="Z16" s="503">
        <v>2018</v>
      </c>
      <c r="AA16" s="503">
        <v>2441</v>
      </c>
      <c r="AB16" s="504">
        <v>2131</v>
      </c>
      <c r="AC16" s="1044">
        <v>2432</v>
      </c>
      <c r="AD16" s="1525">
        <v>2503</v>
      </c>
      <c r="AE16" s="1529">
        <v>2420</v>
      </c>
    </row>
    <row r="17" spans="1:31" ht="16.5" customHeight="1">
      <c r="A17" s="416" t="s">
        <v>36</v>
      </c>
      <c r="B17" s="417" t="s">
        <v>464</v>
      </c>
      <c r="C17" s="500">
        <v>0.16899999999999998</v>
      </c>
      <c r="D17" s="500">
        <v>0.17300000000000001</v>
      </c>
      <c r="E17" s="500">
        <v>0.19500000000000001</v>
      </c>
      <c r="F17" s="500">
        <v>0.18</v>
      </c>
      <c r="G17" s="500">
        <v>0.18100000000000002</v>
      </c>
      <c r="H17" s="500">
        <v>0.20100000000000001</v>
      </c>
      <c r="I17" s="500">
        <v>0.19</v>
      </c>
      <c r="J17" s="500">
        <v>0.21299999999999999</v>
      </c>
      <c r="K17" s="500">
        <v>0.222</v>
      </c>
      <c r="L17" s="500">
        <v>0.22</v>
      </c>
      <c r="M17" s="501">
        <v>0.20499999999999999</v>
      </c>
      <c r="N17" s="1037">
        <v>0.25600000000000001</v>
      </c>
      <c r="O17" s="1037">
        <v>0.248</v>
      </c>
      <c r="P17" s="1037">
        <v>0.21667792032410532</v>
      </c>
      <c r="Q17" s="502"/>
      <c r="R17" s="503">
        <v>2619</v>
      </c>
      <c r="S17" s="503">
        <v>2661</v>
      </c>
      <c r="T17" s="503">
        <v>2973</v>
      </c>
      <c r="U17" s="503">
        <v>2737</v>
      </c>
      <c r="V17" s="503">
        <v>2729</v>
      </c>
      <c r="W17" s="503">
        <v>3001</v>
      </c>
      <c r="X17" s="503">
        <v>2837</v>
      </c>
      <c r="Y17" s="503">
        <v>3125</v>
      </c>
      <c r="Z17" s="503">
        <v>3234</v>
      </c>
      <c r="AA17" s="503">
        <v>3155</v>
      </c>
      <c r="AB17" s="504">
        <v>3120</v>
      </c>
      <c r="AC17" s="1044">
        <v>3840</v>
      </c>
      <c r="AD17" s="1525">
        <v>3688</v>
      </c>
      <c r="AE17" s="1529">
        <v>3209</v>
      </c>
    </row>
    <row r="18" spans="1:31" ht="16.5" customHeight="1">
      <c r="A18" s="416" t="s">
        <v>38</v>
      </c>
      <c r="B18" s="417" t="s">
        <v>465</v>
      </c>
      <c r="C18" s="500">
        <v>0.215</v>
      </c>
      <c r="D18" s="500">
        <v>0.20600000000000002</v>
      </c>
      <c r="E18" s="500">
        <v>0.22899999999999998</v>
      </c>
      <c r="F18" s="500">
        <v>0.217</v>
      </c>
      <c r="G18" s="500">
        <v>0.21100000000000002</v>
      </c>
      <c r="H18" s="500">
        <v>0.26600000000000001</v>
      </c>
      <c r="I18" s="500">
        <v>0.22899999999999998</v>
      </c>
      <c r="J18" s="500">
        <v>0.217</v>
      </c>
      <c r="K18" s="500">
        <v>0.23</v>
      </c>
      <c r="L18" s="500">
        <v>0.26500000000000001</v>
      </c>
      <c r="M18" s="501">
        <v>0.248</v>
      </c>
      <c r="N18" s="1037">
        <v>0.24299999999999999</v>
      </c>
      <c r="O18" s="1037">
        <v>0.23</v>
      </c>
      <c r="P18" s="1037">
        <v>0.2443899174659826</v>
      </c>
      <c r="Q18" s="502"/>
      <c r="R18" s="503">
        <v>5434</v>
      </c>
      <c r="S18" s="503">
        <v>5116</v>
      </c>
      <c r="T18" s="503">
        <v>5610</v>
      </c>
      <c r="U18" s="503">
        <v>5208</v>
      </c>
      <c r="V18" s="503">
        <v>4990</v>
      </c>
      <c r="W18" s="503">
        <v>6221</v>
      </c>
      <c r="X18" s="503">
        <v>5282</v>
      </c>
      <c r="Y18" s="503">
        <v>4913</v>
      </c>
      <c r="Z18" s="503">
        <v>5127</v>
      </c>
      <c r="AA18" s="503">
        <v>5737</v>
      </c>
      <c r="AB18" s="504">
        <v>5676</v>
      </c>
      <c r="AC18" s="1044">
        <v>5459</v>
      </c>
      <c r="AD18" s="1525">
        <v>5223</v>
      </c>
      <c r="AE18" s="1529">
        <v>5478</v>
      </c>
    </row>
    <row r="19" spans="1:31" ht="16.5" customHeight="1">
      <c r="A19" s="416" t="s">
        <v>40</v>
      </c>
      <c r="B19" s="417" t="s">
        <v>466</v>
      </c>
      <c r="C19" s="500">
        <v>0.16899999999999998</v>
      </c>
      <c r="D19" s="500">
        <v>0.16600000000000001</v>
      </c>
      <c r="E19" s="500">
        <v>0.18</v>
      </c>
      <c r="F19" s="500">
        <v>0.17300000000000001</v>
      </c>
      <c r="G19" s="500">
        <v>0.17300000000000001</v>
      </c>
      <c r="H19" s="500">
        <v>0.20800000000000002</v>
      </c>
      <c r="I19" s="500">
        <v>0.17600000000000002</v>
      </c>
      <c r="J19" s="500">
        <v>0.193</v>
      </c>
      <c r="K19" s="500">
        <v>0.19399999999999998</v>
      </c>
      <c r="L19" s="500">
        <v>0.21600000000000003</v>
      </c>
      <c r="M19" s="501">
        <v>0.20499999999999999</v>
      </c>
      <c r="N19" s="1037">
        <v>0.21299999999999999</v>
      </c>
      <c r="O19" s="1037">
        <v>0.23</v>
      </c>
      <c r="P19" s="1037">
        <v>0.22771415176478468</v>
      </c>
      <c r="Q19" s="502"/>
      <c r="R19" s="503">
        <v>2304</v>
      </c>
      <c r="S19" s="503">
        <v>2261</v>
      </c>
      <c r="T19" s="503">
        <v>2471</v>
      </c>
      <c r="U19" s="503">
        <v>2376</v>
      </c>
      <c r="V19" s="503">
        <v>2401</v>
      </c>
      <c r="W19" s="503">
        <v>2859</v>
      </c>
      <c r="X19" s="503">
        <v>2429</v>
      </c>
      <c r="Y19" s="503">
        <v>2631</v>
      </c>
      <c r="Z19" s="503">
        <v>2640</v>
      </c>
      <c r="AA19" s="503">
        <v>2964</v>
      </c>
      <c r="AB19" s="504">
        <v>3042</v>
      </c>
      <c r="AC19" s="1044">
        <v>3190</v>
      </c>
      <c r="AD19" s="1525">
        <v>3414</v>
      </c>
      <c r="AE19" s="1529">
        <v>3400</v>
      </c>
    </row>
    <row r="20" spans="1:31" ht="16.5" customHeight="1">
      <c r="A20" s="416" t="s">
        <v>42</v>
      </c>
      <c r="B20" s="417" t="s">
        <v>467</v>
      </c>
      <c r="C20" s="500">
        <v>9.6000000000000002E-2</v>
      </c>
      <c r="D20" s="500">
        <v>9.6000000000000002E-2</v>
      </c>
      <c r="E20" s="500">
        <v>0.10800000000000001</v>
      </c>
      <c r="F20" s="500">
        <v>0.115</v>
      </c>
      <c r="G20" s="500">
        <v>0.111</v>
      </c>
      <c r="H20" s="500">
        <v>0.11199999999999999</v>
      </c>
      <c r="I20" s="500">
        <v>0.11800000000000001</v>
      </c>
      <c r="J20" s="500">
        <v>0.11599999999999999</v>
      </c>
      <c r="K20" s="500">
        <v>0.121</v>
      </c>
      <c r="L20" s="500">
        <v>0.13100000000000001</v>
      </c>
      <c r="M20" s="501">
        <v>0.14300000000000002</v>
      </c>
      <c r="N20" s="1037">
        <v>0.152</v>
      </c>
      <c r="O20" s="1037">
        <v>0.14399999999999999</v>
      </c>
      <c r="P20" s="1037">
        <v>0.13262599469496023</v>
      </c>
      <c r="Q20" s="502"/>
      <c r="R20" s="503">
        <v>4861</v>
      </c>
      <c r="S20" s="503">
        <v>4873</v>
      </c>
      <c r="T20" s="503">
        <v>5502</v>
      </c>
      <c r="U20" s="503">
        <v>5936</v>
      </c>
      <c r="V20" s="503">
        <v>5792</v>
      </c>
      <c r="W20" s="503">
        <v>5770</v>
      </c>
      <c r="X20" s="503">
        <v>6152</v>
      </c>
      <c r="Y20" s="503">
        <v>6028</v>
      </c>
      <c r="Z20" s="503">
        <v>6334</v>
      </c>
      <c r="AA20" s="503">
        <v>6859</v>
      </c>
      <c r="AB20" s="504">
        <v>7770</v>
      </c>
      <c r="AC20" s="1044">
        <v>8303</v>
      </c>
      <c r="AD20" s="1525">
        <v>7899</v>
      </c>
      <c r="AE20" s="1529">
        <v>7250</v>
      </c>
    </row>
    <row r="21" spans="1:31" ht="16.5" customHeight="1">
      <c r="A21" s="416" t="s">
        <v>44</v>
      </c>
      <c r="B21" s="417" t="s">
        <v>468</v>
      </c>
      <c r="C21" s="500">
        <v>0.10400000000000001</v>
      </c>
      <c r="D21" s="500">
        <v>0.1</v>
      </c>
      <c r="E21" s="500">
        <v>0.109</v>
      </c>
      <c r="F21" s="500">
        <v>0.1</v>
      </c>
      <c r="G21" s="500">
        <v>9.5000000000000001E-2</v>
      </c>
      <c r="H21" s="500">
        <v>9.9000000000000005E-2</v>
      </c>
      <c r="I21" s="500">
        <v>9.4E-2</v>
      </c>
      <c r="J21" s="500">
        <v>9.1999999999999998E-2</v>
      </c>
      <c r="K21" s="500">
        <v>9.3000000000000013E-2</v>
      </c>
      <c r="L21" s="500">
        <v>0.105</v>
      </c>
      <c r="M21" s="501">
        <v>0.112</v>
      </c>
      <c r="N21" s="1037">
        <v>0.122</v>
      </c>
      <c r="O21" s="1037">
        <v>0.121</v>
      </c>
      <c r="P21" s="1037">
        <v>0.14478044016602143</v>
      </c>
      <c r="Q21" s="502"/>
      <c r="R21" s="503">
        <v>2265</v>
      </c>
      <c r="S21" s="503">
        <v>2197</v>
      </c>
      <c r="T21" s="503">
        <v>2470</v>
      </c>
      <c r="U21" s="503">
        <v>2352</v>
      </c>
      <c r="V21" s="503">
        <v>2396</v>
      </c>
      <c r="W21" s="503">
        <v>2472</v>
      </c>
      <c r="X21" s="503">
        <v>2449</v>
      </c>
      <c r="Y21" s="503">
        <v>2446</v>
      </c>
      <c r="Z21" s="503">
        <v>2518</v>
      </c>
      <c r="AA21" s="503">
        <v>2845</v>
      </c>
      <c r="AB21" s="504">
        <v>3150</v>
      </c>
      <c r="AC21" s="1044">
        <v>3422</v>
      </c>
      <c r="AD21" s="1525">
        <v>3433</v>
      </c>
      <c r="AE21" s="1529">
        <v>4151</v>
      </c>
    </row>
    <row r="22" spans="1:31" ht="16.5" customHeight="1">
      <c r="A22" s="416" t="s">
        <v>46</v>
      </c>
      <c r="B22" s="417" t="s">
        <v>469</v>
      </c>
      <c r="C22" s="500">
        <v>0.12300000000000001</v>
      </c>
      <c r="D22" s="500">
        <v>0.128</v>
      </c>
      <c r="E22" s="500">
        <v>0.13600000000000001</v>
      </c>
      <c r="F22" s="500">
        <v>0.13900000000000001</v>
      </c>
      <c r="G22" s="500">
        <v>0.13300000000000001</v>
      </c>
      <c r="H22" s="500">
        <v>0.16399999999999998</v>
      </c>
      <c r="I22" s="500">
        <v>0.13900000000000001</v>
      </c>
      <c r="J22" s="500">
        <v>0.13900000000000001</v>
      </c>
      <c r="K22" s="500">
        <v>0.157</v>
      </c>
      <c r="L22" s="500">
        <v>0.16899999999999998</v>
      </c>
      <c r="M22" s="501">
        <v>0.17600000000000002</v>
      </c>
      <c r="N22" s="1037">
        <v>0.19899999999999998</v>
      </c>
      <c r="O22" s="1037">
        <v>0.19600000000000001</v>
      </c>
      <c r="P22" s="1037">
        <v>0.16512121927369591</v>
      </c>
      <c r="Q22" s="502"/>
      <c r="R22" s="503">
        <v>3612</v>
      </c>
      <c r="S22" s="503">
        <v>3725</v>
      </c>
      <c r="T22" s="503">
        <v>4004</v>
      </c>
      <c r="U22" s="503">
        <v>4090</v>
      </c>
      <c r="V22" s="503">
        <v>3931</v>
      </c>
      <c r="W22" s="503">
        <v>4720</v>
      </c>
      <c r="X22" s="503">
        <v>4070</v>
      </c>
      <c r="Y22" s="503">
        <v>4033</v>
      </c>
      <c r="Z22" s="503">
        <v>4549</v>
      </c>
      <c r="AA22" s="503">
        <v>4886</v>
      </c>
      <c r="AB22" s="504">
        <v>5248</v>
      </c>
      <c r="AC22" s="1044">
        <v>5929</v>
      </c>
      <c r="AD22" s="1525">
        <v>5794</v>
      </c>
      <c r="AE22" s="1529">
        <v>4897</v>
      </c>
    </row>
    <row r="23" spans="1:31" ht="16.5" customHeight="1">
      <c r="A23" s="416" t="s">
        <v>48</v>
      </c>
      <c r="B23" s="417" t="s">
        <v>470</v>
      </c>
      <c r="C23" s="500">
        <v>9.5000000000000001E-2</v>
      </c>
      <c r="D23" s="500">
        <v>8.5999999999999993E-2</v>
      </c>
      <c r="E23" s="500">
        <v>9.6000000000000002E-2</v>
      </c>
      <c r="F23" s="500">
        <v>0.10400000000000001</v>
      </c>
      <c r="G23" s="500">
        <v>9.9000000000000005E-2</v>
      </c>
      <c r="H23" s="500">
        <v>0.109</v>
      </c>
      <c r="I23" s="500">
        <v>0.105</v>
      </c>
      <c r="J23" s="500">
        <v>0.106</v>
      </c>
      <c r="K23" s="500">
        <v>0.11199999999999999</v>
      </c>
      <c r="L23" s="500">
        <v>0.10199999999999999</v>
      </c>
      <c r="M23" s="501">
        <v>0.11900000000000001</v>
      </c>
      <c r="N23" s="1037">
        <v>0.11699999999999999</v>
      </c>
      <c r="O23" s="1037">
        <v>0.13300000000000001</v>
      </c>
      <c r="P23" s="1037">
        <v>0.12169386606640405</v>
      </c>
      <c r="Q23" s="502"/>
      <c r="R23" s="506">
        <v>672</v>
      </c>
      <c r="S23" s="506">
        <v>611</v>
      </c>
      <c r="T23" s="506">
        <v>686</v>
      </c>
      <c r="U23" s="506">
        <v>744</v>
      </c>
      <c r="V23" s="506">
        <v>712</v>
      </c>
      <c r="W23" s="506">
        <v>772</v>
      </c>
      <c r="X23" s="506">
        <v>753</v>
      </c>
      <c r="Y23" s="506">
        <v>755</v>
      </c>
      <c r="Z23" s="503">
        <v>809</v>
      </c>
      <c r="AA23" s="503">
        <v>735</v>
      </c>
      <c r="AB23" s="504">
        <v>864</v>
      </c>
      <c r="AC23" s="1044">
        <v>843</v>
      </c>
      <c r="AD23" s="1525">
        <v>946</v>
      </c>
      <c r="AE23" s="1529">
        <v>865</v>
      </c>
    </row>
    <row r="24" spans="1:31" ht="16.5" customHeight="1">
      <c r="A24" s="416" t="s">
        <v>50</v>
      </c>
      <c r="B24" s="417" t="s">
        <v>471</v>
      </c>
      <c r="C24" s="500">
        <v>0.14699999999999999</v>
      </c>
      <c r="D24" s="500">
        <v>0.14400000000000002</v>
      </c>
      <c r="E24" s="500">
        <v>0.157</v>
      </c>
      <c r="F24" s="500">
        <v>0.161</v>
      </c>
      <c r="G24" s="500">
        <v>0.152</v>
      </c>
      <c r="H24" s="500">
        <v>0.17399999999999999</v>
      </c>
      <c r="I24" s="500">
        <v>0.17300000000000001</v>
      </c>
      <c r="J24" s="500">
        <v>0.18100000000000002</v>
      </c>
      <c r="K24" s="500">
        <v>0.17199999999999999</v>
      </c>
      <c r="L24" s="500">
        <v>0.18899999999999997</v>
      </c>
      <c r="M24" s="501">
        <v>0.18600000000000003</v>
      </c>
      <c r="N24" s="1037">
        <v>0.20899999999999999</v>
      </c>
      <c r="O24" s="1037">
        <v>0.185</v>
      </c>
      <c r="P24" s="1037">
        <v>0.19663199603764239</v>
      </c>
      <c r="Q24" s="502"/>
      <c r="R24" s="503">
        <v>1779</v>
      </c>
      <c r="S24" s="503">
        <v>1781</v>
      </c>
      <c r="T24" s="503">
        <v>1935</v>
      </c>
      <c r="U24" s="503">
        <v>1974</v>
      </c>
      <c r="V24" s="503">
        <v>1871</v>
      </c>
      <c r="W24" s="503">
        <v>2097</v>
      </c>
      <c r="X24" s="503">
        <v>2118</v>
      </c>
      <c r="Y24" s="503">
        <v>2187</v>
      </c>
      <c r="Z24" s="503">
        <v>2071</v>
      </c>
      <c r="AA24" s="503">
        <v>2237</v>
      </c>
      <c r="AB24" s="504">
        <v>2309</v>
      </c>
      <c r="AC24" s="1044">
        <v>2572</v>
      </c>
      <c r="AD24" s="1525">
        <v>2262</v>
      </c>
      <c r="AE24" s="1529">
        <v>2382</v>
      </c>
    </row>
    <row r="25" spans="1:31" ht="16.5" customHeight="1">
      <c r="A25" s="416" t="s">
        <v>56</v>
      </c>
      <c r="B25" s="417" t="s">
        <v>771</v>
      </c>
      <c r="C25" s="500">
        <v>4.8799999999999996E-2</v>
      </c>
      <c r="D25" s="500">
        <v>5.0799999999999998E-2</v>
      </c>
      <c r="E25" s="500">
        <v>5.9500000000000004E-2</v>
      </c>
      <c r="F25" s="500">
        <v>6.7400000000000002E-2</v>
      </c>
      <c r="G25" s="500">
        <v>6.5500000000000003E-2</v>
      </c>
      <c r="H25" s="500">
        <v>6.4500000000000002E-2</v>
      </c>
      <c r="I25" s="500">
        <v>5.5999999999999994E-2</v>
      </c>
      <c r="J25" s="500">
        <v>5.8899999999999994E-2</v>
      </c>
      <c r="K25" s="500">
        <v>5.8799999999999998E-2</v>
      </c>
      <c r="L25" s="500">
        <v>6.2300000000000001E-2</v>
      </c>
      <c r="M25" s="501">
        <v>7.0308637779240374E-2</v>
      </c>
      <c r="N25" s="1037">
        <v>7.3295784531991093E-2</v>
      </c>
      <c r="O25" s="1037">
        <v>7.4999999999999997E-2</v>
      </c>
      <c r="P25" s="1037">
        <v>8.1271283302108005E-2</v>
      </c>
      <c r="Q25" s="502"/>
      <c r="R25" s="503">
        <v>13693</v>
      </c>
      <c r="S25" s="503">
        <v>14416</v>
      </c>
      <c r="T25" s="503">
        <v>17303</v>
      </c>
      <c r="U25" s="503">
        <v>19974</v>
      </c>
      <c r="V25" s="503">
        <v>20050</v>
      </c>
      <c r="W25" s="503">
        <v>19397</v>
      </c>
      <c r="X25" s="503">
        <v>17221</v>
      </c>
      <c r="Y25" s="503">
        <v>18421</v>
      </c>
      <c r="Z25" s="503">
        <v>18608</v>
      </c>
      <c r="AA25" s="503">
        <v>19992</v>
      </c>
      <c r="AB25" s="504">
        <v>23091</v>
      </c>
      <c r="AC25" s="1044">
        <v>24231</v>
      </c>
      <c r="AD25" s="1525">
        <v>25129</v>
      </c>
      <c r="AE25" s="1529">
        <v>27589</v>
      </c>
    </row>
    <row r="26" spans="1:31" ht="16.5" customHeight="1">
      <c r="A26" s="416" t="s">
        <v>58</v>
      </c>
      <c r="B26" s="417" t="s">
        <v>472</v>
      </c>
      <c r="C26" s="500">
        <v>6.5000000000000002E-2</v>
      </c>
      <c r="D26" s="500">
        <v>6.4000000000000001E-2</v>
      </c>
      <c r="E26" s="500">
        <v>6.7000000000000004E-2</v>
      </c>
      <c r="F26" s="500">
        <v>6.7000000000000004E-2</v>
      </c>
      <c r="G26" s="500">
        <v>6.0999999999999999E-2</v>
      </c>
      <c r="H26" s="500">
        <v>6.6000000000000003E-2</v>
      </c>
      <c r="I26" s="500">
        <v>6.4000000000000001E-2</v>
      </c>
      <c r="J26" s="500">
        <v>6.3E-2</v>
      </c>
      <c r="K26" s="500">
        <v>7.5999999999999998E-2</v>
      </c>
      <c r="L26" s="500">
        <v>7.5999999999999998E-2</v>
      </c>
      <c r="M26" s="501">
        <v>8.3000000000000004E-2</v>
      </c>
      <c r="N26" s="1037">
        <v>8.199999999999999E-2</v>
      </c>
      <c r="O26" s="1037">
        <v>8.5999999999999993E-2</v>
      </c>
      <c r="P26" s="1037">
        <v>7.9048295454545461E-2</v>
      </c>
      <c r="Q26" s="502"/>
      <c r="R26" s="506">
        <v>831</v>
      </c>
      <c r="S26" s="506">
        <v>833</v>
      </c>
      <c r="T26" s="506">
        <v>878</v>
      </c>
      <c r="U26" s="506">
        <v>914</v>
      </c>
      <c r="V26" s="506">
        <v>857</v>
      </c>
      <c r="W26" s="506">
        <v>917</v>
      </c>
      <c r="X26" s="506">
        <v>917</v>
      </c>
      <c r="Y26" s="506">
        <v>892</v>
      </c>
      <c r="Z26" s="503">
        <v>1085</v>
      </c>
      <c r="AA26" s="503">
        <v>1091</v>
      </c>
      <c r="AB26" s="504">
        <v>1147</v>
      </c>
      <c r="AC26" s="1044">
        <v>1145</v>
      </c>
      <c r="AD26" s="1525">
        <v>1207</v>
      </c>
      <c r="AE26" s="1529">
        <v>1113</v>
      </c>
    </row>
    <row r="27" spans="1:31" ht="16.5" customHeight="1">
      <c r="A27" s="416" t="s">
        <v>60</v>
      </c>
      <c r="B27" s="417" t="s">
        <v>473</v>
      </c>
      <c r="C27" s="500">
        <v>8.4000000000000005E-2</v>
      </c>
      <c r="D27" s="500">
        <v>0.08</v>
      </c>
      <c r="E27" s="500">
        <v>8.8000000000000009E-2</v>
      </c>
      <c r="F27" s="500">
        <v>9.6000000000000002E-2</v>
      </c>
      <c r="G27" s="500">
        <v>9.0999999999999998E-2</v>
      </c>
      <c r="H27" s="500">
        <v>0.10400000000000001</v>
      </c>
      <c r="I27" s="500">
        <v>0.106</v>
      </c>
      <c r="J27" s="500">
        <v>0.10300000000000001</v>
      </c>
      <c r="K27" s="500">
        <v>0.11199999999999999</v>
      </c>
      <c r="L27" s="500">
        <v>9.8000000000000004E-2</v>
      </c>
      <c r="M27" s="501">
        <v>0.11599999999999999</v>
      </c>
      <c r="N27" s="1037">
        <v>0.122</v>
      </c>
      <c r="O27" s="1037">
        <v>0.13500000000000001</v>
      </c>
      <c r="P27" s="1037">
        <v>0.12883317261330762</v>
      </c>
      <c r="Q27" s="502"/>
      <c r="R27" s="506">
        <v>428</v>
      </c>
      <c r="S27" s="506">
        <v>407</v>
      </c>
      <c r="T27" s="506">
        <v>457</v>
      </c>
      <c r="U27" s="506">
        <v>493</v>
      </c>
      <c r="V27" s="506">
        <v>471</v>
      </c>
      <c r="W27" s="506">
        <v>531</v>
      </c>
      <c r="X27" s="506">
        <v>544</v>
      </c>
      <c r="Y27" s="506">
        <v>528</v>
      </c>
      <c r="Z27" s="503">
        <v>565</v>
      </c>
      <c r="AA27" s="503">
        <v>486</v>
      </c>
      <c r="AB27" s="504">
        <v>599</v>
      </c>
      <c r="AC27" s="1044">
        <v>619</v>
      </c>
      <c r="AD27" s="1525">
        <v>699</v>
      </c>
      <c r="AE27" s="1529">
        <v>668</v>
      </c>
    </row>
    <row r="28" spans="1:31" ht="16.5" customHeight="1">
      <c r="A28" s="416" t="s">
        <v>62</v>
      </c>
      <c r="B28" s="417" t="s">
        <v>474</v>
      </c>
      <c r="C28" s="500">
        <v>0.09</v>
      </c>
      <c r="D28" s="500">
        <v>8.5999999999999993E-2</v>
      </c>
      <c r="E28" s="500">
        <v>8.8000000000000009E-2</v>
      </c>
      <c r="F28" s="500">
        <v>9.1999999999999998E-2</v>
      </c>
      <c r="G28" s="500">
        <v>8.8000000000000009E-2</v>
      </c>
      <c r="H28" s="500">
        <v>9.0999999999999998E-2</v>
      </c>
      <c r="I28" s="500">
        <v>8.4000000000000005E-2</v>
      </c>
      <c r="J28" s="500">
        <v>8.3000000000000004E-2</v>
      </c>
      <c r="K28" s="500">
        <v>8.1000000000000003E-2</v>
      </c>
      <c r="L28" s="500">
        <v>9.6000000000000002E-2</v>
      </c>
      <c r="M28" s="501">
        <v>0.105</v>
      </c>
      <c r="N28" s="1037">
        <v>0.11699999999999999</v>
      </c>
      <c r="O28" s="1037">
        <v>0.109</v>
      </c>
      <c r="P28" s="1037">
        <v>0.10147036791301928</v>
      </c>
      <c r="Q28" s="502"/>
      <c r="R28" s="503">
        <v>3050</v>
      </c>
      <c r="S28" s="503">
        <v>3019</v>
      </c>
      <c r="T28" s="503">
        <v>3271</v>
      </c>
      <c r="U28" s="503">
        <v>3571</v>
      </c>
      <c r="V28" s="503">
        <v>3613</v>
      </c>
      <c r="W28" s="503">
        <v>3722</v>
      </c>
      <c r="X28" s="503">
        <v>3620</v>
      </c>
      <c r="Y28" s="503">
        <v>3621</v>
      </c>
      <c r="Z28" s="503">
        <v>3612</v>
      </c>
      <c r="AA28" s="503">
        <v>4296</v>
      </c>
      <c r="AB28" s="504">
        <v>4720</v>
      </c>
      <c r="AC28" s="1044">
        <v>5335</v>
      </c>
      <c r="AD28" s="1525">
        <v>5034</v>
      </c>
      <c r="AE28" s="1529">
        <v>4741</v>
      </c>
    </row>
    <row r="29" spans="1:31" ht="16.5" customHeight="1">
      <c r="A29" s="416" t="s">
        <v>64</v>
      </c>
      <c r="B29" s="417" t="s">
        <v>475</v>
      </c>
      <c r="C29" s="500">
        <v>0.13500000000000001</v>
      </c>
      <c r="D29" s="500">
        <v>0.13100000000000001</v>
      </c>
      <c r="E29" s="500">
        <v>0.13699999999999998</v>
      </c>
      <c r="F29" s="500">
        <v>0.14099999999999999</v>
      </c>
      <c r="G29" s="500">
        <v>0.13900000000000001</v>
      </c>
      <c r="H29" s="500">
        <v>0.161</v>
      </c>
      <c r="I29" s="500">
        <v>0.15</v>
      </c>
      <c r="J29" s="500">
        <v>0.14899999999999999</v>
      </c>
      <c r="K29" s="500">
        <v>0.158</v>
      </c>
      <c r="L29" s="500">
        <v>0.155</v>
      </c>
      <c r="M29" s="501">
        <v>0.17199999999999999</v>
      </c>
      <c r="N29" s="1037">
        <v>0.17899999999999999</v>
      </c>
      <c r="O29" s="1037">
        <v>0.17299999999999999</v>
      </c>
      <c r="P29" s="1037">
        <v>0.18230918169774787</v>
      </c>
      <c r="Q29" s="502"/>
      <c r="R29" s="503">
        <v>1205</v>
      </c>
      <c r="S29" s="503">
        <v>1185</v>
      </c>
      <c r="T29" s="503">
        <v>1261</v>
      </c>
      <c r="U29" s="503">
        <v>1301</v>
      </c>
      <c r="V29" s="503">
        <v>1306</v>
      </c>
      <c r="W29" s="503">
        <v>1502</v>
      </c>
      <c r="X29" s="503">
        <v>1411</v>
      </c>
      <c r="Y29" s="503">
        <v>1432</v>
      </c>
      <c r="Z29" s="503">
        <v>1520</v>
      </c>
      <c r="AA29" s="503">
        <v>1503</v>
      </c>
      <c r="AB29" s="504">
        <v>1721</v>
      </c>
      <c r="AC29" s="1044">
        <v>1782</v>
      </c>
      <c r="AD29" s="1525">
        <v>1695</v>
      </c>
      <c r="AE29" s="1529">
        <v>1789</v>
      </c>
    </row>
    <row r="30" spans="1:31" ht="16.5" customHeight="1">
      <c r="A30" s="416" t="s">
        <v>68</v>
      </c>
      <c r="B30" s="417" t="s">
        <v>476</v>
      </c>
      <c r="C30" s="500">
        <v>0.193</v>
      </c>
      <c r="D30" s="500">
        <v>0.183</v>
      </c>
      <c r="E30" s="500">
        <v>0.18899999999999997</v>
      </c>
      <c r="F30" s="500">
        <v>0.185</v>
      </c>
      <c r="G30" s="500">
        <v>0.183</v>
      </c>
      <c r="H30" s="500">
        <v>0.22800000000000001</v>
      </c>
      <c r="I30" s="500">
        <v>0.192</v>
      </c>
      <c r="J30" s="500">
        <v>0.21299999999999999</v>
      </c>
      <c r="K30" s="500">
        <v>0.218</v>
      </c>
      <c r="L30" s="500">
        <v>0.20499999999999999</v>
      </c>
      <c r="M30" s="501">
        <v>0.22999999999999998</v>
      </c>
      <c r="N30" s="1037">
        <v>0.218</v>
      </c>
      <c r="O30" s="1037">
        <v>0.21299999999999999</v>
      </c>
      <c r="P30" s="1037">
        <v>0.21787783920602144</v>
      </c>
      <c r="Q30" s="502"/>
      <c r="R30" s="503">
        <v>3126</v>
      </c>
      <c r="S30" s="503">
        <v>2945</v>
      </c>
      <c r="T30" s="503">
        <v>3038</v>
      </c>
      <c r="U30" s="503">
        <v>2988</v>
      </c>
      <c r="V30" s="503">
        <v>2972</v>
      </c>
      <c r="W30" s="503">
        <v>3664</v>
      </c>
      <c r="X30" s="503">
        <v>3078</v>
      </c>
      <c r="Y30" s="503">
        <v>3382</v>
      </c>
      <c r="Z30" s="503">
        <v>3508</v>
      </c>
      <c r="AA30" s="503">
        <v>3240</v>
      </c>
      <c r="AB30" s="504">
        <v>3567</v>
      </c>
      <c r="AC30" s="1044">
        <v>3357</v>
      </c>
      <c r="AD30" s="1525">
        <v>3243</v>
      </c>
      <c r="AE30" s="1529">
        <v>3271</v>
      </c>
    </row>
    <row r="31" spans="1:31" ht="16.5" customHeight="1">
      <c r="A31" s="416" t="s">
        <v>70</v>
      </c>
      <c r="B31" s="417" t="s">
        <v>477</v>
      </c>
      <c r="C31" s="500">
        <v>9.4E-2</v>
      </c>
      <c r="D31" s="500">
        <v>8.8000000000000009E-2</v>
      </c>
      <c r="E31" s="500">
        <v>9.1999999999999998E-2</v>
      </c>
      <c r="F31" s="500">
        <v>0.10400000000000001</v>
      </c>
      <c r="G31" s="500">
        <v>0.10099999999999999</v>
      </c>
      <c r="H31" s="500">
        <v>0.10199999999999999</v>
      </c>
      <c r="I31" s="500">
        <v>0.111</v>
      </c>
      <c r="J31" s="500">
        <v>0.11</v>
      </c>
      <c r="K31" s="500">
        <v>0.113</v>
      </c>
      <c r="L31" s="500">
        <v>0.11199999999999999</v>
      </c>
      <c r="M31" s="501">
        <v>0.11900000000000001</v>
      </c>
      <c r="N31" s="1037">
        <v>0.13300000000000001</v>
      </c>
      <c r="O31" s="1037">
        <v>0.13100000000000001</v>
      </c>
      <c r="P31" s="1037">
        <v>0.1451978640918733</v>
      </c>
      <c r="Q31" s="502"/>
      <c r="R31" s="503">
        <v>2223</v>
      </c>
      <c r="S31" s="503">
        <v>2095</v>
      </c>
      <c r="T31" s="503">
        <v>2229</v>
      </c>
      <c r="U31" s="503">
        <v>2547</v>
      </c>
      <c r="V31" s="503">
        <v>2508</v>
      </c>
      <c r="W31" s="503">
        <v>2499</v>
      </c>
      <c r="X31" s="503">
        <v>2768</v>
      </c>
      <c r="Y31" s="503">
        <v>2748</v>
      </c>
      <c r="Z31" s="503">
        <v>2850</v>
      </c>
      <c r="AA31" s="503">
        <v>2839</v>
      </c>
      <c r="AB31" s="504">
        <v>3249</v>
      </c>
      <c r="AC31" s="1044">
        <v>3625</v>
      </c>
      <c r="AD31" s="1525">
        <v>3596</v>
      </c>
      <c r="AE31" s="1529">
        <v>3970</v>
      </c>
    </row>
    <row r="32" spans="1:31" ht="16.5" customHeight="1">
      <c r="A32" s="416" t="s">
        <v>72</v>
      </c>
      <c r="B32" s="417" t="s">
        <v>478</v>
      </c>
      <c r="C32" s="500">
        <v>0.122</v>
      </c>
      <c r="D32" s="500">
        <v>0.113</v>
      </c>
      <c r="E32" s="500">
        <v>0.124</v>
      </c>
      <c r="F32" s="500">
        <v>0.126</v>
      </c>
      <c r="G32" s="500">
        <v>0.11699999999999999</v>
      </c>
      <c r="H32" s="500">
        <v>0.126</v>
      </c>
      <c r="I32" s="500">
        <v>0.124</v>
      </c>
      <c r="J32" s="500">
        <v>0.121</v>
      </c>
      <c r="K32" s="500">
        <v>0.13</v>
      </c>
      <c r="L32" s="500">
        <v>0.13300000000000001</v>
      </c>
      <c r="M32" s="501">
        <v>0.14099999999999999</v>
      </c>
      <c r="N32" s="1037">
        <v>0.14899999999999999</v>
      </c>
      <c r="O32" s="1037">
        <v>0.157</v>
      </c>
      <c r="P32" s="1037">
        <v>0.15535295179635314</v>
      </c>
      <c r="Q32" s="502"/>
      <c r="R32" s="503">
        <v>1195</v>
      </c>
      <c r="S32" s="503">
        <v>1121</v>
      </c>
      <c r="T32" s="503">
        <v>1264</v>
      </c>
      <c r="U32" s="503">
        <v>1286</v>
      </c>
      <c r="V32" s="503">
        <v>1211</v>
      </c>
      <c r="W32" s="503">
        <v>1291</v>
      </c>
      <c r="X32" s="503">
        <v>1294</v>
      </c>
      <c r="Y32" s="503">
        <v>1295</v>
      </c>
      <c r="Z32" s="503">
        <v>1412</v>
      </c>
      <c r="AA32" s="503">
        <v>1459</v>
      </c>
      <c r="AB32" s="504">
        <v>1553</v>
      </c>
      <c r="AC32" s="1044">
        <v>1646</v>
      </c>
      <c r="AD32" s="1525">
        <v>1741</v>
      </c>
      <c r="AE32" s="1529">
        <v>1721</v>
      </c>
    </row>
    <row r="33" spans="1:31" ht="16.5" customHeight="1">
      <c r="A33" s="416" t="s">
        <v>74</v>
      </c>
      <c r="B33" s="417" t="s">
        <v>618</v>
      </c>
      <c r="C33" s="500">
        <v>4.0999999999999995E-2</v>
      </c>
      <c r="D33" s="500">
        <v>4.3899999999999995E-2</v>
      </c>
      <c r="E33" s="500">
        <v>0.05</v>
      </c>
      <c r="F33" s="500">
        <v>5.7599999999999998E-2</v>
      </c>
      <c r="G33" s="500">
        <v>5.2699999999999997E-2</v>
      </c>
      <c r="H33" s="500">
        <v>5.0799999999999998E-2</v>
      </c>
      <c r="I33" s="500">
        <v>5.1799999999999999E-2</v>
      </c>
      <c r="J33" s="500">
        <v>4.8899999999999999E-2</v>
      </c>
      <c r="K33" s="500">
        <v>4.8899999999999999E-2</v>
      </c>
      <c r="L33" s="500">
        <v>5.5999999999999994E-2</v>
      </c>
      <c r="M33" s="501">
        <v>5.8925506050903943E-2</v>
      </c>
      <c r="N33" s="1037">
        <v>6.7652399342249744E-2</v>
      </c>
      <c r="O33" s="1037">
        <v>0.06</v>
      </c>
      <c r="P33" s="1037">
        <v>5.96407525392708E-2</v>
      </c>
      <c r="Q33" s="502"/>
      <c r="R33" s="503">
        <v>42235</v>
      </c>
      <c r="S33" s="503">
        <v>44521</v>
      </c>
      <c r="T33" s="503">
        <v>51470</v>
      </c>
      <c r="U33" s="503">
        <v>59756</v>
      </c>
      <c r="V33" s="503">
        <v>54921</v>
      </c>
      <c r="W33" s="503">
        <v>52050</v>
      </c>
      <c r="X33" s="503">
        <v>53870</v>
      </c>
      <c r="Y33" s="503">
        <v>50909</v>
      </c>
      <c r="Z33" s="503">
        <v>50622</v>
      </c>
      <c r="AA33" s="503">
        <v>59537</v>
      </c>
      <c r="AB33" s="504">
        <v>65890</v>
      </c>
      <c r="AC33" s="1044">
        <v>75783</v>
      </c>
      <c r="AD33" s="1525">
        <v>68906</v>
      </c>
      <c r="AE33" s="1529">
        <v>68953</v>
      </c>
    </row>
    <row r="34" spans="1:31" ht="16.5" customHeight="1">
      <c r="A34" s="416" t="s">
        <v>76</v>
      </c>
      <c r="B34" s="417" t="s">
        <v>479</v>
      </c>
      <c r="C34" s="500">
        <v>5.4000000000000006E-2</v>
      </c>
      <c r="D34" s="500">
        <v>0.05</v>
      </c>
      <c r="E34" s="500">
        <v>5.2999999999999999E-2</v>
      </c>
      <c r="F34" s="500">
        <v>5.7999999999999996E-2</v>
      </c>
      <c r="G34" s="500">
        <v>5.7999999999999996E-2</v>
      </c>
      <c r="H34" s="500">
        <v>5.2000000000000005E-2</v>
      </c>
      <c r="I34" s="500">
        <v>5.2999999999999999E-2</v>
      </c>
      <c r="J34" s="500">
        <v>5.7000000000000002E-2</v>
      </c>
      <c r="K34" s="500">
        <v>6.0999999999999999E-2</v>
      </c>
      <c r="L34" s="500">
        <v>5.9000000000000004E-2</v>
      </c>
      <c r="M34" s="501">
        <v>7.4999999999999997E-2</v>
      </c>
      <c r="N34" s="1037">
        <v>6.3E-2</v>
      </c>
      <c r="O34" s="1037">
        <v>6.9000000000000006E-2</v>
      </c>
      <c r="P34" s="1037">
        <v>7.0431624444711252E-2</v>
      </c>
      <c r="Q34" s="502"/>
      <c r="R34" s="503">
        <v>3072</v>
      </c>
      <c r="S34" s="503">
        <v>2928</v>
      </c>
      <c r="T34" s="503">
        <v>3249</v>
      </c>
      <c r="U34" s="503">
        <v>3642</v>
      </c>
      <c r="V34" s="503">
        <v>3741</v>
      </c>
      <c r="W34" s="503">
        <v>3360</v>
      </c>
      <c r="X34" s="503">
        <v>3484</v>
      </c>
      <c r="Y34" s="503">
        <v>3736</v>
      </c>
      <c r="Z34" s="503">
        <v>4048</v>
      </c>
      <c r="AA34" s="503">
        <v>4003</v>
      </c>
      <c r="AB34" s="504">
        <v>4839</v>
      </c>
      <c r="AC34" s="1044">
        <v>4148</v>
      </c>
      <c r="AD34" s="1525">
        <v>4523</v>
      </c>
      <c r="AE34" s="1529">
        <v>4693</v>
      </c>
    </row>
    <row r="35" spans="1:31" ht="16.5" customHeight="1">
      <c r="A35" s="416" t="s">
        <v>78</v>
      </c>
      <c r="B35" s="417" t="s">
        <v>480</v>
      </c>
      <c r="C35" s="500">
        <v>0.106</v>
      </c>
      <c r="D35" s="500">
        <v>0.105</v>
      </c>
      <c r="E35" s="500">
        <v>0.111</v>
      </c>
      <c r="F35" s="500">
        <v>0.114</v>
      </c>
      <c r="G35" s="500">
        <v>0.109</v>
      </c>
      <c r="H35" s="500">
        <v>0.12300000000000001</v>
      </c>
      <c r="I35" s="500">
        <v>0.13400000000000001</v>
      </c>
      <c r="J35" s="500">
        <v>0.129</v>
      </c>
      <c r="K35" s="500">
        <v>0.11900000000000001</v>
      </c>
      <c r="L35" s="500">
        <v>0.15</v>
      </c>
      <c r="M35" s="501">
        <v>0.13599999999999998</v>
      </c>
      <c r="N35" s="1037">
        <v>0.13500000000000001</v>
      </c>
      <c r="O35" s="1037">
        <v>0.14099999999999999</v>
      </c>
      <c r="P35" s="1037">
        <v>0.14217055270507242</v>
      </c>
      <c r="Q35" s="502"/>
      <c r="R35" s="503">
        <v>1491</v>
      </c>
      <c r="S35" s="503">
        <v>1499</v>
      </c>
      <c r="T35" s="503">
        <v>1593</v>
      </c>
      <c r="U35" s="503">
        <v>1649</v>
      </c>
      <c r="V35" s="503">
        <v>1598</v>
      </c>
      <c r="W35" s="503">
        <v>1788</v>
      </c>
      <c r="X35" s="503">
        <v>1975</v>
      </c>
      <c r="Y35" s="503">
        <v>1883</v>
      </c>
      <c r="Z35" s="503">
        <v>1751</v>
      </c>
      <c r="AA35" s="503">
        <v>2236</v>
      </c>
      <c r="AB35" s="504">
        <v>2066</v>
      </c>
      <c r="AC35" s="1044">
        <v>2056</v>
      </c>
      <c r="AD35" s="1525">
        <v>2156</v>
      </c>
      <c r="AE35" s="1529">
        <v>2189</v>
      </c>
    </row>
    <row r="36" spans="1:31" ht="16.5" customHeight="1">
      <c r="A36" s="416" t="s">
        <v>80</v>
      </c>
      <c r="B36" s="417" t="s">
        <v>481</v>
      </c>
      <c r="C36" s="500">
        <v>6.5000000000000002E-2</v>
      </c>
      <c r="D36" s="500">
        <v>6.0999999999999999E-2</v>
      </c>
      <c r="E36" s="500">
        <v>6.8000000000000005E-2</v>
      </c>
      <c r="F36" s="500">
        <v>6.6000000000000003E-2</v>
      </c>
      <c r="G36" s="500">
        <v>6.2E-2</v>
      </c>
      <c r="H36" s="500">
        <v>7.8E-2</v>
      </c>
      <c r="I36" s="500">
        <v>6.7000000000000004E-2</v>
      </c>
      <c r="J36" s="500">
        <v>7.0000000000000007E-2</v>
      </c>
      <c r="K36" s="500">
        <v>6.7000000000000004E-2</v>
      </c>
      <c r="L36" s="500">
        <v>7.2000000000000008E-2</v>
      </c>
      <c r="M36" s="501">
        <v>7.2999999999999995E-2</v>
      </c>
      <c r="N36" s="1037">
        <v>7.5999999999999998E-2</v>
      </c>
      <c r="O36" s="1037">
        <v>8.7999999999999995E-2</v>
      </c>
      <c r="P36" s="1037">
        <v>8.2229625416429669E-2</v>
      </c>
      <c r="Q36" s="502"/>
      <c r="R36" s="503">
        <v>1307</v>
      </c>
      <c r="S36" s="503">
        <v>1287</v>
      </c>
      <c r="T36" s="503">
        <v>1498</v>
      </c>
      <c r="U36" s="503">
        <v>1499</v>
      </c>
      <c r="V36" s="503">
        <v>1477</v>
      </c>
      <c r="W36" s="503">
        <v>1834</v>
      </c>
      <c r="X36" s="503">
        <v>1597</v>
      </c>
      <c r="Y36" s="503">
        <v>1674</v>
      </c>
      <c r="Z36" s="503">
        <v>1624</v>
      </c>
      <c r="AA36" s="503">
        <v>1747</v>
      </c>
      <c r="AB36" s="504">
        <v>1784</v>
      </c>
      <c r="AC36" s="1044">
        <v>1876</v>
      </c>
      <c r="AD36" s="1525">
        <v>2155</v>
      </c>
      <c r="AE36" s="1529">
        <v>2024</v>
      </c>
    </row>
    <row r="37" spans="1:31" ht="16.5" customHeight="1">
      <c r="A37" s="416" t="s">
        <v>84</v>
      </c>
      <c r="B37" s="417" t="s">
        <v>85</v>
      </c>
      <c r="C37" s="500">
        <v>0.1</v>
      </c>
      <c r="D37" s="500">
        <v>0.10099999999999999</v>
      </c>
      <c r="E37" s="500">
        <v>0.113</v>
      </c>
      <c r="F37" s="500">
        <v>0.115</v>
      </c>
      <c r="G37" s="500">
        <v>0.109</v>
      </c>
      <c r="H37" s="500">
        <v>0.105</v>
      </c>
      <c r="I37" s="500">
        <v>0.106</v>
      </c>
      <c r="J37" s="500">
        <v>0.115</v>
      </c>
      <c r="K37" s="500">
        <v>0.13200000000000001</v>
      </c>
      <c r="L37" s="500">
        <v>0.14000000000000001</v>
      </c>
      <c r="M37" s="501">
        <v>0.14400000000000002</v>
      </c>
      <c r="N37" s="1037">
        <v>0.13100000000000001</v>
      </c>
      <c r="O37" s="1037">
        <v>0.14099999999999999</v>
      </c>
      <c r="P37" s="1037">
        <v>0.14405155260227459</v>
      </c>
      <c r="Q37" s="502"/>
      <c r="R37" s="503">
        <v>4701</v>
      </c>
      <c r="S37" s="503">
        <v>4813</v>
      </c>
      <c r="T37" s="503">
        <v>5464</v>
      </c>
      <c r="U37" s="503">
        <v>5618</v>
      </c>
      <c r="V37" s="503">
        <v>5402</v>
      </c>
      <c r="W37" s="503">
        <v>5187</v>
      </c>
      <c r="X37" s="503">
        <v>5254</v>
      </c>
      <c r="Y37" s="503">
        <v>5704</v>
      </c>
      <c r="Z37" s="503">
        <v>6610</v>
      </c>
      <c r="AA37" s="503">
        <v>7043</v>
      </c>
      <c r="AB37" s="504">
        <v>7844</v>
      </c>
      <c r="AC37" s="1044">
        <v>7171</v>
      </c>
      <c r="AD37" s="1525">
        <v>7751</v>
      </c>
      <c r="AE37" s="1529">
        <v>7891</v>
      </c>
    </row>
    <row r="38" spans="1:31" ht="16.5" customHeight="1">
      <c r="A38" s="416" t="s">
        <v>86</v>
      </c>
      <c r="B38" s="417" t="s">
        <v>482</v>
      </c>
      <c r="C38" s="500">
        <v>6.0999999999999999E-2</v>
      </c>
      <c r="D38" s="500">
        <v>0.06</v>
      </c>
      <c r="E38" s="500">
        <v>6.4000000000000001E-2</v>
      </c>
      <c r="F38" s="500">
        <v>6.7000000000000004E-2</v>
      </c>
      <c r="G38" s="500">
        <v>5.7999999999999996E-2</v>
      </c>
      <c r="H38" s="500">
        <v>6.5000000000000002E-2</v>
      </c>
      <c r="I38" s="500">
        <v>7.0999999999999994E-2</v>
      </c>
      <c r="J38" s="500">
        <v>6.6000000000000003E-2</v>
      </c>
      <c r="K38" s="500">
        <v>7.2999999999999995E-2</v>
      </c>
      <c r="L38" s="500">
        <v>9.1999999999999998E-2</v>
      </c>
      <c r="M38" s="501">
        <v>7.3999999999999996E-2</v>
      </c>
      <c r="N38" s="1037">
        <v>8.900000000000001E-2</v>
      </c>
      <c r="O38" s="1037">
        <v>8.7999999999999995E-2</v>
      </c>
      <c r="P38" s="1037">
        <v>7.8719237629566799E-2</v>
      </c>
      <c r="Q38" s="502"/>
      <c r="R38" s="503">
        <v>3719</v>
      </c>
      <c r="S38" s="503">
        <v>3714</v>
      </c>
      <c r="T38" s="503">
        <v>4114</v>
      </c>
      <c r="U38" s="503">
        <v>4446</v>
      </c>
      <c r="V38" s="503">
        <v>3989</v>
      </c>
      <c r="W38" s="503">
        <v>4429</v>
      </c>
      <c r="X38" s="503">
        <v>5012</v>
      </c>
      <c r="Y38" s="503">
        <v>4736</v>
      </c>
      <c r="Z38" s="503">
        <v>5310</v>
      </c>
      <c r="AA38" s="503">
        <v>6796</v>
      </c>
      <c r="AB38" s="504">
        <v>5756</v>
      </c>
      <c r="AC38" s="1044">
        <v>7026</v>
      </c>
      <c r="AD38" s="1525">
        <v>6968</v>
      </c>
      <c r="AE38" s="1529">
        <v>6311</v>
      </c>
    </row>
    <row r="39" spans="1:31" ht="16.5" customHeight="1">
      <c r="A39" s="416" t="s">
        <v>92</v>
      </c>
      <c r="B39" s="417" t="s">
        <v>483</v>
      </c>
      <c r="C39" s="500">
        <v>9.5000000000000001E-2</v>
      </c>
      <c r="D39" s="500">
        <v>9.6000000000000002E-2</v>
      </c>
      <c r="E39" s="500">
        <v>0.10400000000000001</v>
      </c>
      <c r="F39" s="500">
        <v>0.10800000000000001</v>
      </c>
      <c r="G39" s="500">
        <v>0.10300000000000001</v>
      </c>
      <c r="H39" s="500">
        <v>0.122</v>
      </c>
      <c r="I39" s="500">
        <v>0.11</v>
      </c>
      <c r="J39" s="500">
        <v>0.114</v>
      </c>
      <c r="K39" s="500">
        <v>0.125</v>
      </c>
      <c r="L39" s="500">
        <v>0.13100000000000001</v>
      </c>
      <c r="M39" s="501">
        <v>0.13399999999999998</v>
      </c>
      <c r="N39" s="1037">
        <v>0.126</v>
      </c>
      <c r="O39" s="1037">
        <v>0.127</v>
      </c>
      <c r="P39" s="1037">
        <v>0.13273596176821983</v>
      </c>
      <c r="Q39" s="502"/>
      <c r="R39" s="503">
        <v>1611</v>
      </c>
      <c r="S39" s="503">
        <v>1612</v>
      </c>
      <c r="T39" s="503">
        <v>1771</v>
      </c>
      <c r="U39" s="503">
        <v>1837</v>
      </c>
      <c r="V39" s="503">
        <v>1770</v>
      </c>
      <c r="W39" s="503">
        <v>2068</v>
      </c>
      <c r="X39" s="503">
        <v>1896</v>
      </c>
      <c r="Y39" s="503">
        <v>1953</v>
      </c>
      <c r="Z39" s="503">
        <v>2149</v>
      </c>
      <c r="AA39" s="503">
        <v>2255</v>
      </c>
      <c r="AB39" s="504">
        <v>2292</v>
      </c>
      <c r="AC39" s="1044">
        <v>2136</v>
      </c>
      <c r="AD39" s="1525">
        <v>2126</v>
      </c>
      <c r="AE39" s="1529">
        <v>2222</v>
      </c>
    </row>
    <row r="40" spans="1:31" ht="16.5" customHeight="1">
      <c r="A40" s="416" t="s">
        <v>94</v>
      </c>
      <c r="B40" s="417" t="s">
        <v>484</v>
      </c>
      <c r="C40" s="500">
        <v>8.3000000000000004E-2</v>
      </c>
      <c r="D40" s="500">
        <v>7.8E-2</v>
      </c>
      <c r="E40" s="500">
        <v>8.5999999999999993E-2</v>
      </c>
      <c r="F40" s="500">
        <v>0.09</v>
      </c>
      <c r="G40" s="500">
        <v>8.6999999999999994E-2</v>
      </c>
      <c r="H40" s="500">
        <v>8.8000000000000009E-2</v>
      </c>
      <c r="I40" s="500">
        <v>9.6000000000000002E-2</v>
      </c>
      <c r="J40" s="500">
        <v>8.4000000000000005E-2</v>
      </c>
      <c r="K40" s="500">
        <v>9.0999999999999998E-2</v>
      </c>
      <c r="L40" s="500">
        <v>9.5000000000000001E-2</v>
      </c>
      <c r="M40" s="501">
        <v>9.9000000000000005E-2</v>
      </c>
      <c r="N40" s="1037">
        <v>0.10199999999999999</v>
      </c>
      <c r="O40" s="1037">
        <v>9.7000000000000003E-2</v>
      </c>
      <c r="P40" s="1037">
        <v>0.10574699988990421</v>
      </c>
      <c r="Q40" s="502"/>
      <c r="R40" s="503">
        <v>2911</v>
      </c>
      <c r="S40" s="503">
        <v>2787</v>
      </c>
      <c r="T40" s="503">
        <v>3150</v>
      </c>
      <c r="U40" s="503">
        <v>3349</v>
      </c>
      <c r="V40" s="503">
        <v>3285</v>
      </c>
      <c r="W40" s="503">
        <v>3292</v>
      </c>
      <c r="X40" s="503">
        <v>3621</v>
      </c>
      <c r="Y40" s="503">
        <v>3179</v>
      </c>
      <c r="Z40" s="503">
        <v>3487</v>
      </c>
      <c r="AA40" s="503">
        <v>3704</v>
      </c>
      <c r="AB40" s="504">
        <v>3603</v>
      </c>
      <c r="AC40" s="1044">
        <v>3721</v>
      </c>
      <c r="AD40" s="1525">
        <v>3540</v>
      </c>
      <c r="AE40" s="1529">
        <v>3842</v>
      </c>
    </row>
    <row r="41" spans="1:31" ht="16.5" customHeight="1">
      <c r="A41" s="416" t="s">
        <v>96</v>
      </c>
      <c r="B41" s="417" t="s">
        <v>485</v>
      </c>
      <c r="C41" s="500">
        <v>6.7000000000000004E-2</v>
      </c>
      <c r="D41" s="500">
        <v>5.7000000000000002E-2</v>
      </c>
      <c r="E41" s="500">
        <v>6.5000000000000002E-2</v>
      </c>
      <c r="F41" s="500">
        <v>7.2000000000000008E-2</v>
      </c>
      <c r="G41" s="500">
        <v>6.9000000000000006E-2</v>
      </c>
      <c r="H41" s="500">
        <v>6.7000000000000004E-2</v>
      </c>
      <c r="I41" s="500">
        <v>6.3E-2</v>
      </c>
      <c r="J41" s="500">
        <v>8.5000000000000006E-2</v>
      </c>
      <c r="K41" s="500">
        <v>6.4000000000000001E-2</v>
      </c>
      <c r="L41" s="500">
        <v>6.6000000000000003E-2</v>
      </c>
      <c r="M41" s="501">
        <v>7.7000000000000013E-2</v>
      </c>
      <c r="N41" s="1037">
        <v>8.1000000000000003E-2</v>
      </c>
      <c r="O41" s="1037">
        <v>7.3999999999999996E-2</v>
      </c>
      <c r="P41" s="1037">
        <v>7.4595014065379772E-2</v>
      </c>
      <c r="Q41" s="502"/>
      <c r="R41" s="503">
        <v>1071</v>
      </c>
      <c r="S41" s="506">
        <v>925</v>
      </c>
      <c r="T41" s="503">
        <v>1098</v>
      </c>
      <c r="U41" s="503">
        <v>1263</v>
      </c>
      <c r="V41" s="503">
        <v>1252</v>
      </c>
      <c r="W41" s="503">
        <v>1192</v>
      </c>
      <c r="X41" s="503">
        <v>1176</v>
      </c>
      <c r="Y41" s="503">
        <v>1620</v>
      </c>
      <c r="Z41" s="503">
        <v>1240</v>
      </c>
      <c r="AA41" s="503">
        <v>1298</v>
      </c>
      <c r="AB41" s="504">
        <v>1566</v>
      </c>
      <c r="AC41" s="1044">
        <v>1661</v>
      </c>
      <c r="AD41" s="1525">
        <v>1515</v>
      </c>
      <c r="AE41" s="1529">
        <v>1538</v>
      </c>
    </row>
    <row r="42" spans="1:31" ht="16.5" customHeight="1">
      <c r="A42" s="416" t="s">
        <v>98</v>
      </c>
      <c r="B42" s="417" t="s">
        <v>486</v>
      </c>
      <c r="C42" s="500">
        <v>0.13500000000000001</v>
      </c>
      <c r="D42" s="500">
        <v>0.13900000000000001</v>
      </c>
      <c r="E42" s="500">
        <v>0.15</v>
      </c>
      <c r="F42" s="500">
        <v>0.14899999999999999</v>
      </c>
      <c r="G42" s="500">
        <v>0.14300000000000002</v>
      </c>
      <c r="H42" s="500">
        <v>0.16699999999999998</v>
      </c>
      <c r="I42" s="500">
        <v>0.159</v>
      </c>
      <c r="J42" s="500">
        <v>0.17600000000000002</v>
      </c>
      <c r="K42" s="500">
        <v>0.17699999999999999</v>
      </c>
      <c r="L42" s="500">
        <v>0.16500000000000001</v>
      </c>
      <c r="M42" s="501">
        <v>0.17100000000000001</v>
      </c>
      <c r="N42" s="1037">
        <v>0.18600000000000003</v>
      </c>
      <c r="O42" s="1037">
        <v>0.19400000000000001</v>
      </c>
      <c r="P42" s="1037">
        <v>0.18346666666666667</v>
      </c>
      <c r="Q42" s="502"/>
      <c r="R42" s="503">
        <v>2230</v>
      </c>
      <c r="S42" s="503">
        <v>2302</v>
      </c>
      <c r="T42" s="503">
        <v>2478</v>
      </c>
      <c r="U42" s="503">
        <v>2448</v>
      </c>
      <c r="V42" s="503">
        <v>2339</v>
      </c>
      <c r="W42" s="503">
        <v>2710</v>
      </c>
      <c r="X42" s="503">
        <v>2546</v>
      </c>
      <c r="Y42" s="503">
        <v>2801</v>
      </c>
      <c r="Z42" s="503">
        <v>2790</v>
      </c>
      <c r="AA42" s="503">
        <v>2574</v>
      </c>
      <c r="AB42" s="504">
        <v>2617</v>
      </c>
      <c r="AC42" s="1044">
        <v>2817</v>
      </c>
      <c r="AD42" s="1525">
        <v>2916</v>
      </c>
      <c r="AE42" s="1529">
        <v>2752</v>
      </c>
    </row>
    <row r="43" spans="1:31" ht="16.5" customHeight="1">
      <c r="A43" s="416" t="s">
        <v>100</v>
      </c>
      <c r="B43" s="417" t="s">
        <v>487</v>
      </c>
      <c r="C43" s="500">
        <v>7.0999999999999994E-2</v>
      </c>
      <c r="D43" s="500">
        <v>6.9000000000000006E-2</v>
      </c>
      <c r="E43" s="500">
        <v>7.400000000000001E-2</v>
      </c>
      <c r="F43" s="500">
        <v>7.9000000000000001E-2</v>
      </c>
      <c r="G43" s="500">
        <v>7.8E-2</v>
      </c>
      <c r="H43" s="500">
        <v>0.08</v>
      </c>
      <c r="I43" s="500">
        <v>7.6999999999999999E-2</v>
      </c>
      <c r="J43" s="500">
        <v>7.400000000000001E-2</v>
      </c>
      <c r="K43" s="500">
        <v>7.2999999999999995E-2</v>
      </c>
      <c r="L43" s="500">
        <v>8.5999999999999993E-2</v>
      </c>
      <c r="M43" s="501">
        <v>9.7000000000000003E-2</v>
      </c>
      <c r="N43" s="1037">
        <v>9.1999999999999998E-2</v>
      </c>
      <c r="O43" s="1037">
        <v>9.5000000000000001E-2</v>
      </c>
      <c r="P43" s="1037">
        <v>0.11543213192243648</v>
      </c>
      <c r="Q43" s="502"/>
      <c r="R43" s="503">
        <v>1121</v>
      </c>
      <c r="S43" s="503">
        <v>1124</v>
      </c>
      <c r="T43" s="503">
        <v>1244</v>
      </c>
      <c r="U43" s="503">
        <v>1342</v>
      </c>
      <c r="V43" s="503">
        <v>1355</v>
      </c>
      <c r="W43" s="503">
        <v>1369</v>
      </c>
      <c r="X43" s="503">
        <v>1343</v>
      </c>
      <c r="Y43" s="503">
        <v>1309</v>
      </c>
      <c r="Z43" s="503">
        <v>1294</v>
      </c>
      <c r="AA43" s="503">
        <v>1568</v>
      </c>
      <c r="AB43" s="504">
        <v>1774</v>
      </c>
      <c r="AC43" s="1044">
        <v>1693</v>
      </c>
      <c r="AD43" s="1525">
        <v>1773</v>
      </c>
      <c r="AE43" s="1529">
        <v>2149</v>
      </c>
    </row>
    <row r="44" spans="1:31" ht="16.5" customHeight="1">
      <c r="A44" s="416" t="s">
        <v>102</v>
      </c>
      <c r="B44" s="417" t="s">
        <v>772</v>
      </c>
      <c r="C44" s="500">
        <v>0.17</v>
      </c>
      <c r="D44" s="500">
        <v>0.18280000000000002</v>
      </c>
      <c r="E44" s="500">
        <v>0.19070000000000001</v>
      </c>
      <c r="F44" s="500">
        <v>0.16339999999999999</v>
      </c>
      <c r="G44" s="500">
        <v>0.16500000000000001</v>
      </c>
      <c r="H44" s="500">
        <v>0.18809999999999999</v>
      </c>
      <c r="I44" s="500">
        <v>0.18760000000000002</v>
      </c>
      <c r="J44" s="500">
        <v>0.1948</v>
      </c>
      <c r="K44" s="500">
        <v>0.22699999999999998</v>
      </c>
      <c r="L44" s="500">
        <v>0.23089999999999999</v>
      </c>
      <c r="M44" s="501">
        <v>0.23464616256133752</v>
      </c>
      <c r="N44" s="1037">
        <v>0.23945846848117333</v>
      </c>
      <c r="O44" s="1037">
        <v>0.255</v>
      </c>
      <c r="P44" s="1037">
        <v>0.26195737401097724</v>
      </c>
      <c r="Q44" s="502"/>
      <c r="R44" s="503">
        <v>2389</v>
      </c>
      <c r="S44" s="503">
        <v>2561</v>
      </c>
      <c r="T44" s="503">
        <v>2682</v>
      </c>
      <c r="U44" s="503">
        <v>2277</v>
      </c>
      <c r="V44" s="503">
        <v>2312</v>
      </c>
      <c r="W44" s="503">
        <v>2595</v>
      </c>
      <c r="X44" s="503">
        <v>2602</v>
      </c>
      <c r="Y44" s="503">
        <v>2716</v>
      </c>
      <c r="Z44" s="503">
        <v>3193</v>
      </c>
      <c r="AA44" s="503">
        <v>3240</v>
      </c>
      <c r="AB44" s="504">
        <v>3375</v>
      </c>
      <c r="AC44" s="1044">
        <v>3396</v>
      </c>
      <c r="AD44" s="1525">
        <v>3608</v>
      </c>
      <c r="AE44" s="1529">
        <v>3675</v>
      </c>
    </row>
    <row r="45" spans="1:31" ht="16.5" customHeight="1">
      <c r="A45" s="416" t="s">
        <v>104</v>
      </c>
      <c r="B45" s="417" t="s">
        <v>773</v>
      </c>
      <c r="C45" s="500">
        <v>0.14599999999999999</v>
      </c>
      <c r="D45" s="500">
        <v>0.14800000000000002</v>
      </c>
      <c r="E45" s="500">
        <v>0.16699999999999998</v>
      </c>
      <c r="F45" s="500">
        <v>0.16399999999999998</v>
      </c>
      <c r="G45" s="500">
        <v>0.16</v>
      </c>
      <c r="H45" s="500">
        <v>0.156</v>
      </c>
      <c r="I45" s="500">
        <v>0.184</v>
      </c>
      <c r="J45" s="500">
        <v>0.18600000000000003</v>
      </c>
      <c r="K45" s="500">
        <v>0.19500000000000001</v>
      </c>
      <c r="L45" s="500">
        <v>0.19800000000000001</v>
      </c>
      <c r="M45" s="501">
        <v>0.193</v>
      </c>
      <c r="N45" s="1037">
        <v>0.193</v>
      </c>
      <c r="O45" s="1037">
        <v>0.20100000000000001</v>
      </c>
      <c r="P45" s="1037">
        <v>0.22242790616955427</v>
      </c>
      <c r="Q45" s="502"/>
      <c r="R45" s="503">
        <v>5297</v>
      </c>
      <c r="S45" s="503">
        <v>5345</v>
      </c>
      <c r="T45" s="503">
        <v>6015</v>
      </c>
      <c r="U45" s="503">
        <v>5875</v>
      </c>
      <c r="V45" s="503">
        <v>5715</v>
      </c>
      <c r="W45" s="503">
        <v>5506</v>
      </c>
      <c r="X45" s="503">
        <v>6507</v>
      </c>
      <c r="Y45" s="503">
        <v>6462</v>
      </c>
      <c r="Z45" s="503">
        <v>6732</v>
      </c>
      <c r="AA45" s="503">
        <v>6819</v>
      </c>
      <c r="AB45" s="504">
        <v>6833</v>
      </c>
      <c r="AC45" s="1044">
        <v>6795</v>
      </c>
      <c r="AD45" s="1525">
        <v>7054</v>
      </c>
      <c r="AE45" s="1529">
        <v>7690</v>
      </c>
    </row>
    <row r="46" spans="1:31" ht="16.5" customHeight="1">
      <c r="A46" s="416" t="s">
        <v>108</v>
      </c>
      <c r="B46" s="417" t="s">
        <v>488</v>
      </c>
      <c r="C46" s="500">
        <v>4.0999999999999995E-2</v>
      </c>
      <c r="D46" s="500">
        <v>0.04</v>
      </c>
      <c r="E46" s="500">
        <v>4.5999999999999999E-2</v>
      </c>
      <c r="F46" s="500">
        <v>5.2999999999999999E-2</v>
      </c>
      <c r="G46" s="500">
        <v>5.0999999999999997E-2</v>
      </c>
      <c r="H46" s="500">
        <v>4.8000000000000001E-2</v>
      </c>
      <c r="I46" s="500">
        <v>4.0999999999999995E-2</v>
      </c>
      <c r="J46" s="500">
        <v>5.0999999999999997E-2</v>
      </c>
      <c r="K46" s="500">
        <v>4.5999999999999999E-2</v>
      </c>
      <c r="L46" s="500">
        <v>4.9000000000000002E-2</v>
      </c>
      <c r="M46" s="501">
        <v>5.2999999999999999E-2</v>
      </c>
      <c r="N46" s="1037">
        <v>6.0999999999999999E-2</v>
      </c>
      <c r="O46" s="1037">
        <v>6.5000000000000002E-2</v>
      </c>
      <c r="P46" s="1037">
        <v>5.6380867971275769E-2</v>
      </c>
      <c r="Q46" s="502"/>
      <c r="R46" s="503">
        <v>3611</v>
      </c>
      <c r="S46" s="503">
        <v>3637</v>
      </c>
      <c r="T46" s="503">
        <v>4303</v>
      </c>
      <c r="U46" s="503">
        <v>5030</v>
      </c>
      <c r="V46" s="503">
        <v>4938</v>
      </c>
      <c r="W46" s="503">
        <v>4542</v>
      </c>
      <c r="X46" s="503">
        <v>3965</v>
      </c>
      <c r="Y46" s="503">
        <v>4909</v>
      </c>
      <c r="Z46" s="503">
        <v>4518</v>
      </c>
      <c r="AA46" s="503">
        <v>4747</v>
      </c>
      <c r="AB46" s="504">
        <v>5218</v>
      </c>
      <c r="AC46" s="1044">
        <v>6001</v>
      </c>
      <c r="AD46" s="1525">
        <v>6372</v>
      </c>
      <c r="AE46" s="1529">
        <v>5598</v>
      </c>
    </row>
    <row r="47" spans="1:31" ht="16.5" customHeight="1">
      <c r="A47" s="416" t="s">
        <v>110</v>
      </c>
      <c r="B47" s="417" t="s">
        <v>489</v>
      </c>
      <c r="C47" s="500">
        <v>6.2E-2</v>
      </c>
      <c r="D47" s="500">
        <v>6.3E-2</v>
      </c>
      <c r="E47" s="500">
        <v>7.0000000000000007E-2</v>
      </c>
      <c r="F47" s="500">
        <v>7.9000000000000001E-2</v>
      </c>
      <c r="G47" s="500">
        <v>7.8E-2</v>
      </c>
      <c r="H47" s="500">
        <v>7.9000000000000001E-2</v>
      </c>
      <c r="I47" s="500">
        <v>7.9000000000000001E-2</v>
      </c>
      <c r="J47" s="500">
        <v>8.5000000000000006E-2</v>
      </c>
      <c r="K47" s="500">
        <v>8.4000000000000005E-2</v>
      </c>
      <c r="L47" s="500">
        <v>0.1</v>
      </c>
      <c r="M47" s="501">
        <v>9.8000000000000004E-2</v>
      </c>
      <c r="N47" s="1037">
        <v>0.10800000000000001</v>
      </c>
      <c r="O47" s="1037">
        <v>0.10100000000000001</v>
      </c>
      <c r="P47" s="1037">
        <v>0.11338197509195573</v>
      </c>
      <c r="Q47" s="502"/>
      <c r="R47" s="503">
        <v>16209</v>
      </c>
      <c r="S47" s="503">
        <v>16609</v>
      </c>
      <c r="T47" s="503">
        <v>18976</v>
      </c>
      <c r="U47" s="503">
        <v>21631</v>
      </c>
      <c r="V47" s="503">
        <v>21612</v>
      </c>
      <c r="W47" s="503">
        <v>21858</v>
      </c>
      <c r="X47" s="503">
        <v>22038</v>
      </c>
      <c r="Y47" s="503">
        <v>24163</v>
      </c>
      <c r="Z47" s="503">
        <v>24078</v>
      </c>
      <c r="AA47" s="503">
        <v>29165</v>
      </c>
      <c r="AB47" s="504">
        <v>29987</v>
      </c>
      <c r="AC47" s="1044">
        <v>33123</v>
      </c>
      <c r="AD47" s="1525">
        <v>31395</v>
      </c>
      <c r="AE47" s="1529">
        <v>35788</v>
      </c>
    </row>
    <row r="48" spans="1:31" ht="16.5" customHeight="1">
      <c r="A48" s="416" t="s">
        <v>112</v>
      </c>
      <c r="B48" s="417" t="s">
        <v>774</v>
      </c>
      <c r="C48" s="500">
        <v>0.12179999999999999</v>
      </c>
      <c r="D48" s="500">
        <v>0.1265</v>
      </c>
      <c r="E48" s="500">
        <v>0.14000000000000001</v>
      </c>
      <c r="F48" s="500">
        <v>0.14419999999999999</v>
      </c>
      <c r="G48" s="500">
        <v>0.1444</v>
      </c>
      <c r="H48" s="500">
        <v>0.16</v>
      </c>
      <c r="I48" s="500">
        <v>0.15590000000000001</v>
      </c>
      <c r="J48" s="500">
        <v>0.16949999999999998</v>
      </c>
      <c r="K48" s="500">
        <v>0.17499999999999999</v>
      </c>
      <c r="L48" s="500">
        <v>0.18659999999999999</v>
      </c>
      <c r="M48" s="501">
        <v>0.18966798312007913</v>
      </c>
      <c r="N48" s="1037">
        <v>0.21296101159114858</v>
      </c>
      <c r="O48" s="1037">
        <v>0.19600000000000001</v>
      </c>
      <c r="P48" s="1037">
        <v>0.20040392912879831</v>
      </c>
      <c r="Q48" s="502"/>
      <c r="R48" s="503">
        <v>8798</v>
      </c>
      <c r="S48" s="503">
        <v>9061</v>
      </c>
      <c r="T48" s="503">
        <v>10017</v>
      </c>
      <c r="U48" s="503">
        <v>10271</v>
      </c>
      <c r="V48" s="503">
        <v>10210</v>
      </c>
      <c r="W48" s="503">
        <v>11198</v>
      </c>
      <c r="X48" s="503">
        <v>10877</v>
      </c>
      <c r="Y48" s="503">
        <v>11653</v>
      </c>
      <c r="Z48" s="503">
        <v>12089</v>
      </c>
      <c r="AA48" s="503">
        <v>12724</v>
      </c>
      <c r="AB48" s="504">
        <v>12671</v>
      </c>
      <c r="AC48" s="1044">
        <v>14147</v>
      </c>
      <c r="AD48" s="1525">
        <v>12855</v>
      </c>
      <c r="AE48" s="1529">
        <v>13098</v>
      </c>
    </row>
    <row r="49" spans="1:31" ht="16.5" customHeight="1">
      <c r="A49" s="416" t="s">
        <v>114</v>
      </c>
      <c r="B49" s="417" t="s">
        <v>490</v>
      </c>
      <c r="C49" s="500">
        <v>0.11900000000000001</v>
      </c>
      <c r="D49" s="500">
        <v>0.12</v>
      </c>
      <c r="E49" s="500">
        <v>0.121</v>
      </c>
      <c r="F49" s="500">
        <v>0.11599999999999999</v>
      </c>
      <c r="G49" s="500">
        <v>0.10800000000000001</v>
      </c>
      <c r="H49" s="500">
        <v>0.128</v>
      </c>
      <c r="I49" s="500">
        <v>0.129</v>
      </c>
      <c r="J49" s="500">
        <v>0.128</v>
      </c>
      <c r="K49" s="500">
        <v>0.128</v>
      </c>
      <c r="L49" s="500">
        <v>0.13800000000000001</v>
      </c>
      <c r="M49" s="501">
        <v>0.14400000000000002</v>
      </c>
      <c r="N49" s="1037">
        <v>0.13800000000000001</v>
      </c>
      <c r="O49" s="1037">
        <v>0.15</v>
      </c>
      <c r="P49" s="1037">
        <v>0.14628623188405798</v>
      </c>
      <c r="Q49" s="502"/>
      <c r="R49" s="506">
        <v>300</v>
      </c>
      <c r="S49" s="506">
        <v>298</v>
      </c>
      <c r="T49" s="506">
        <v>304</v>
      </c>
      <c r="U49" s="506">
        <v>290</v>
      </c>
      <c r="V49" s="506">
        <v>270</v>
      </c>
      <c r="W49" s="506">
        <v>316</v>
      </c>
      <c r="X49" s="506">
        <v>324</v>
      </c>
      <c r="Y49" s="506">
        <v>313</v>
      </c>
      <c r="Z49" s="503">
        <v>311</v>
      </c>
      <c r="AA49" s="503">
        <v>323</v>
      </c>
      <c r="AB49" s="504">
        <v>330</v>
      </c>
      <c r="AC49" s="1044">
        <v>312</v>
      </c>
      <c r="AD49" s="1525">
        <v>336</v>
      </c>
      <c r="AE49" s="1529">
        <v>323</v>
      </c>
    </row>
    <row r="50" spans="1:31" ht="16.5" customHeight="1">
      <c r="A50" s="416" t="s">
        <v>118</v>
      </c>
      <c r="B50" s="417" t="s">
        <v>775</v>
      </c>
      <c r="C50" s="500">
        <v>8.6999999999999994E-2</v>
      </c>
      <c r="D50" s="500">
        <v>0.08</v>
      </c>
      <c r="E50" s="500">
        <v>8.5000000000000006E-2</v>
      </c>
      <c r="F50" s="500">
        <v>9.3000000000000013E-2</v>
      </c>
      <c r="G50" s="500">
        <v>9.1999999999999998E-2</v>
      </c>
      <c r="H50" s="500">
        <v>8.5999999999999993E-2</v>
      </c>
      <c r="I50" s="500">
        <v>8.199999999999999E-2</v>
      </c>
      <c r="J50" s="500">
        <v>8.3000000000000004E-2</v>
      </c>
      <c r="K50" s="500">
        <v>7.8E-2</v>
      </c>
      <c r="L50" s="500">
        <v>0.10099999999999999</v>
      </c>
      <c r="M50" s="501">
        <v>8.7999999999999995E-2</v>
      </c>
      <c r="N50" s="1037">
        <v>0.11199999999999999</v>
      </c>
      <c r="O50" s="1037">
        <v>9.2999999999999999E-2</v>
      </c>
      <c r="P50" s="1037">
        <v>0.1055415688382224</v>
      </c>
      <c r="Q50" s="502"/>
      <c r="R50" s="503">
        <v>2640</v>
      </c>
      <c r="S50" s="503">
        <v>2463</v>
      </c>
      <c r="T50" s="503">
        <v>2727</v>
      </c>
      <c r="U50" s="503">
        <v>3052</v>
      </c>
      <c r="V50" s="503">
        <v>3070</v>
      </c>
      <c r="W50" s="503">
        <v>2842</v>
      </c>
      <c r="X50" s="503">
        <v>2829</v>
      </c>
      <c r="Y50" s="503">
        <v>2902</v>
      </c>
      <c r="Z50" s="503">
        <v>2740</v>
      </c>
      <c r="AA50" s="503">
        <v>3612</v>
      </c>
      <c r="AB50" s="504">
        <v>3082</v>
      </c>
      <c r="AC50" s="1044">
        <v>3914</v>
      </c>
      <c r="AD50" s="1525">
        <v>3278</v>
      </c>
      <c r="AE50" s="1529">
        <v>3731</v>
      </c>
    </row>
    <row r="51" spans="1:31" ht="16.5" customHeight="1">
      <c r="A51" s="416" t="s">
        <v>120</v>
      </c>
      <c r="B51" s="417" t="s">
        <v>285</v>
      </c>
      <c r="C51" s="500">
        <v>5.7999999999999996E-2</v>
      </c>
      <c r="D51" s="500">
        <v>5.9000000000000004E-2</v>
      </c>
      <c r="E51" s="500">
        <v>6.4000000000000001E-2</v>
      </c>
      <c r="F51" s="500">
        <v>7.2000000000000008E-2</v>
      </c>
      <c r="G51" s="500">
        <v>6.6000000000000003E-2</v>
      </c>
      <c r="H51" s="500">
        <v>6.0999999999999999E-2</v>
      </c>
      <c r="I51" s="500">
        <v>6.4000000000000001E-2</v>
      </c>
      <c r="J51" s="500">
        <v>5.7000000000000002E-2</v>
      </c>
      <c r="K51" s="500">
        <v>0.06</v>
      </c>
      <c r="L51" s="500">
        <v>7.0999999999999994E-2</v>
      </c>
      <c r="M51" s="501">
        <v>7.7000000000000013E-2</v>
      </c>
      <c r="N51" s="1037">
        <v>7.400000000000001E-2</v>
      </c>
      <c r="O51" s="1037">
        <v>8.4000000000000005E-2</v>
      </c>
      <c r="P51" s="1037">
        <v>7.5441273863341873E-2</v>
      </c>
      <c r="Q51" s="502"/>
      <c r="R51" s="503">
        <v>2805</v>
      </c>
      <c r="S51" s="503">
        <v>2962</v>
      </c>
      <c r="T51" s="503">
        <v>3406</v>
      </c>
      <c r="U51" s="503">
        <v>3922</v>
      </c>
      <c r="V51" s="503">
        <v>3780</v>
      </c>
      <c r="W51" s="503">
        <v>3445</v>
      </c>
      <c r="X51" s="503">
        <v>3771</v>
      </c>
      <c r="Y51" s="503">
        <v>3440</v>
      </c>
      <c r="Z51" s="503">
        <v>3706</v>
      </c>
      <c r="AA51" s="503">
        <v>4449</v>
      </c>
      <c r="AB51" s="504">
        <v>5067</v>
      </c>
      <c r="AC51" s="1044">
        <v>4991</v>
      </c>
      <c r="AD51" s="1525">
        <v>5730</v>
      </c>
      <c r="AE51" s="1529">
        <v>5240</v>
      </c>
    </row>
    <row r="52" spans="1:31" ht="16.5" customHeight="1">
      <c r="A52" s="416" t="s">
        <v>122</v>
      </c>
      <c r="B52" s="417" t="s">
        <v>776</v>
      </c>
      <c r="C52" s="500">
        <v>0.11900000000000001</v>
      </c>
      <c r="D52" s="500">
        <v>0.11699999999999999</v>
      </c>
      <c r="E52" s="500">
        <v>0.121</v>
      </c>
      <c r="F52" s="500">
        <v>0.11599999999999999</v>
      </c>
      <c r="G52" s="500">
        <v>0.11199999999999999</v>
      </c>
      <c r="H52" s="500">
        <v>0.13400000000000001</v>
      </c>
      <c r="I52" s="500">
        <v>0.122</v>
      </c>
      <c r="J52" s="500">
        <v>0.121</v>
      </c>
      <c r="K52" s="500">
        <v>0.12300000000000001</v>
      </c>
      <c r="L52" s="500">
        <v>0.13200000000000001</v>
      </c>
      <c r="M52" s="501">
        <v>0.128</v>
      </c>
      <c r="N52" s="1037">
        <v>0.13200000000000001</v>
      </c>
      <c r="O52" s="1037">
        <v>0.13800000000000001</v>
      </c>
      <c r="P52" s="1037">
        <v>0.13415834622415976</v>
      </c>
      <c r="Q52" s="502"/>
      <c r="R52" s="506">
        <v>786</v>
      </c>
      <c r="S52" s="506">
        <v>771</v>
      </c>
      <c r="T52" s="506">
        <v>798</v>
      </c>
      <c r="U52" s="506">
        <v>787</v>
      </c>
      <c r="V52" s="506">
        <v>761</v>
      </c>
      <c r="W52" s="506">
        <v>905</v>
      </c>
      <c r="X52" s="506">
        <v>839</v>
      </c>
      <c r="Y52" s="506">
        <v>829</v>
      </c>
      <c r="Z52" s="503">
        <v>840</v>
      </c>
      <c r="AA52" s="503">
        <v>895</v>
      </c>
      <c r="AB52" s="504">
        <v>888</v>
      </c>
      <c r="AC52" s="1044">
        <v>919</v>
      </c>
      <c r="AD52" s="1525">
        <v>973</v>
      </c>
      <c r="AE52" s="1529">
        <v>954</v>
      </c>
    </row>
    <row r="53" spans="1:31" ht="16.5" customHeight="1">
      <c r="A53" s="416" t="s">
        <v>124</v>
      </c>
      <c r="B53" s="417" t="s">
        <v>493</v>
      </c>
      <c r="C53" s="500">
        <v>7.0000000000000007E-2</v>
      </c>
      <c r="D53" s="500">
        <v>6.3E-2</v>
      </c>
      <c r="E53" s="500">
        <v>6.5000000000000002E-2</v>
      </c>
      <c r="F53" s="500">
        <v>7.0000000000000007E-2</v>
      </c>
      <c r="G53" s="500">
        <v>6.6000000000000003E-2</v>
      </c>
      <c r="H53" s="500">
        <v>6.2E-2</v>
      </c>
      <c r="I53" s="500">
        <v>0.06</v>
      </c>
      <c r="J53" s="500">
        <v>6.2E-2</v>
      </c>
      <c r="K53" s="500">
        <v>6.2E-2</v>
      </c>
      <c r="L53" s="500">
        <v>7.0000000000000007E-2</v>
      </c>
      <c r="M53" s="501">
        <v>6.9000000000000006E-2</v>
      </c>
      <c r="N53" s="1037">
        <v>6.9000000000000006E-2</v>
      </c>
      <c r="O53" s="1037">
        <v>7.3999999999999996E-2</v>
      </c>
      <c r="P53" s="1037">
        <v>7.9488015653024616E-2</v>
      </c>
      <c r="Q53" s="502"/>
      <c r="R53" s="503">
        <v>1176</v>
      </c>
      <c r="S53" s="503">
        <v>1088</v>
      </c>
      <c r="T53" s="503">
        <v>1157</v>
      </c>
      <c r="U53" s="503">
        <v>1336</v>
      </c>
      <c r="V53" s="503">
        <v>1338</v>
      </c>
      <c r="W53" s="503">
        <v>1259</v>
      </c>
      <c r="X53" s="503">
        <v>1276</v>
      </c>
      <c r="Y53" s="503">
        <v>1384</v>
      </c>
      <c r="Z53" s="503">
        <v>1399</v>
      </c>
      <c r="AA53" s="503">
        <v>1614</v>
      </c>
      <c r="AB53" s="504">
        <v>1609</v>
      </c>
      <c r="AC53" s="1044">
        <v>1645</v>
      </c>
      <c r="AD53" s="1525">
        <v>1783</v>
      </c>
      <c r="AE53" s="1529">
        <v>1950</v>
      </c>
    </row>
    <row r="54" spans="1:31" ht="16.5" customHeight="1">
      <c r="A54" s="416" t="s">
        <v>126</v>
      </c>
      <c r="B54" s="417" t="s">
        <v>494</v>
      </c>
      <c r="C54" s="500">
        <v>6.6000000000000003E-2</v>
      </c>
      <c r="D54" s="500">
        <v>6.3E-2</v>
      </c>
      <c r="E54" s="500">
        <v>6.5000000000000002E-2</v>
      </c>
      <c r="F54" s="500">
        <v>7.0999999999999994E-2</v>
      </c>
      <c r="G54" s="500">
        <v>6.8000000000000005E-2</v>
      </c>
      <c r="H54" s="500">
        <v>6.8000000000000005E-2</v>
      </c>
      <c r="I54" s="500">
        <v>6.9000000000000006E-2</v>
      </c>
      <c r="J54" s="500">
        <v>6.3E-2</v>
      </c>
      <c r="K54" s="500">
        <v>6.5000000000000002E-2</v>
      </c>
      <c r="L54" s="500">
        <v>7.2000000000000008E-2</v>
      </c>
      <c r="M54" s="501">
        <v>7.6999999999999999E-2</v>
      </c>
      <c r="N54" s="1037">
        <v>8.6999999999999994E-2</v>
      </c>
      <c r="O54" s="1037">
        <v>8.4000000000000005E-2</v>
      </c>
      <c r="P54" s="1037">
        <v>9.098873591989988E-2</v>
      </c>
      <c r="Q54" s="502"/>
      <c r="R54" s="506">
        <v>894</v>
      </c>
      <c r="S54" s="506">
        <v>872</v>
      </c>
      <c r="T54" s="506">
        <v>921</v>
      </c>
      <c r="U54" s="503">
        <v>1014</v>
      </c>
      <c r="V54" s="503">
        <v>1007</v>
      </c>
      <c r="W54" s="506">
        <v>994</v>
      </c>
      <c r="X54" s="503">
        <v>1060</v>
      </c>
      <c r="Y54" s="506">
        <v>981</v>
      </c>
      <c r="Z54" s="503">
        <v>1033</v>
      </c>
      <c r="AA54" s="503">
        <v>1158</v>
      </c>
      <c r="AB54" s="504">
        <v>1230</v>
      </c>
      <c r="AC54" s="1044">
        <v>1387</v>
      </c>
      <c r="AD54" s="1525">
        <v>1333</v>
      </c>
      <c r="AE54" s="1529">
        <v>1454</v>
      </c>
    </row>
    <row r="55" spans="1:31" ht="16.5" customHeight="1">
      <c r="A55" s="416" t="s">
        <v>128</v>
      </c>
      <c r="B55" s="417" t="s">
        <v>495</v>
      </c>
      <c r="C55" s="500">
        <v>0.129</v>
      </c>
      <c r="D55" s="500">
        <v>0.125</v>
      </c>
      <c r="E55" s="500">
        <v>0.13400000000000001</v>
      </c>
      <c r="F55" s="500">
        <v>0.13300000000000001</v>
      </c>
      <c r="G55" s="500">
        <v>0.12300000000000001</v>
      </c>
      <c r="H55" s="500">
        <v>0.13600000000000001</v>
      </c>
      <c r="I55" s="500">
        <v>0.13500000000000001</v>
      </c>
      <c r="J55" s="500">
        <v>0.129</v>
      </c>
      <c r="K55" s="500">
        <v>0.13200000000000001</v>
      </c>
      <c r="L55" s="500">
        <v>0.127</v>
      </c>
      <c r="M55" s="501">
        <v>0.13900000000000001</v>
      </c>
      <c r="N55" s="1037">
        <v>0.157</v>
      </c>
      <c r="O55" s="1037">
        <v>0.13600000000000001</v>
      </c>
      <c r="P55" s="1037">
        <v>0.15181668796786563</v>
      </c>
      <c r="Q55" s="502"/>
      <c r="R55" s="503">
        <v>1435</v>
      </c>
      <c r="S55" s="503">
        <v>1399</v>
      </c>
      <c r="T55" s="503">
        <v>1513</v>
      </c>
      <c r="U55" s="503">
        <v>1498</v>
      </c>
      <c r="V55" s="503">
        <v>1395</v>
      </c>
      <c r="W55" s="503">
        <v>1518</v>
      </c>
      <c r="X55" s="503">
        <v>1507</v>
      </c>
      <c r="Y55" s="503">
        <v>1434</v>
      </c>
      <c r="Z55" s="503">
        <v>1463</v>
      </c>
      <c r="AA55" s="503">
        <v>1379</v>
      </c>
      <c r="AB55" s="504">
        <v>1557</v>
      </c>
      <c r="AC55" s="1044">
        <v>1741</v>
      </c>
      <c r="AD55" s="1525">
        <v>1504</v>
      </c>
      <c r="AE55" s="1529">
        <v>1663</v>
      </c>
    </row>
    <row r="56" spans="1:31" ht="16.5" customHeight="1">
      <c r="A56" s="416" t="s">
        <v>130</v>
      </c>
      <c r="B56" s="417" t="s">
        <v>496</v>
      </c>
      <c r="C56" s="500">
        <v>0.223</v>
      </c>
      <c r="D56" s="500">
        <v>0.21199999999999999</v>
      </c>
      <c r="E56" s="500">
        <v>0.23300000000000001</v>
      </c>
      <c r="F56" s="500">
        <v>0.21600000000000003</v>
      </c>
      <c r="G56" s="500">
        <v>0.21100000000000002</v>
      </c>
      <c r="H56" s="500">
        <v>0.26400000000000001</v>
      </c>
      <c r="I56" s="500">
        <v>0.22399999999999998</v>
      </c>
      <c r="J56" s="500">
        <v>0.22899999999999998</v>
      </c>
      <c r="K56" s="500">
        <v>0.23300000000000001</v>
      </c>
      <c r="L56" s="500">
        <v>0.26100000000000001</v>
      </c>
      <c r="M56" s="501">
        <v>0.255</v>
      </c>
      <c r="N56" s="1037">
        <v>0.27600000000000002</v>
      </c>
      <c r="O56" s="1037">
        <v>0.28399999999999997</v>
      </c>
      <c r="P56" s="1037">
        <v>0.2902290271676547</v>
      </c>
      <c r="Q56" s="502"/>
      <c r="R56" s="503">
        <v>5171</v>
      </c>
      <c r="S56" s="503">
        <v>4988</v>
      </c>
      <c r="T56" s="503">
        <v>5547</v>
      </c>
      <c r="U56" s="503">
        <v>5144</v>
      </c>
      <c r="V56" s="503">
        <v>4987</v>
      </c>
      <c r="W56" s="503">
        <v>6163</v>
      </c>
      <c r="X56" s="503">
        <v>5285</v>
      </c>
      <c r="Y56" s="503">
        <v>5343</v>
      </c>
      <c r="Z56" s="503">
        <v>5433</v>
      </c>
      <c r="AA56" s="503">
        <v>6079</v>
      </c>
      <c r="AB56" s="504">
        <v>6087</v>
      </c>
      <c r="AC56" s="1044">
        <v>6454</v>
      </c>
      <c r="AD56" s="1525">
        <v>6734</v>
      </c>
      <c r="AE56" s="1529">
        <v>6805</v>
      </c>
    </row>
    <row r="57" spans="1:31" ht="16.5" customHeight="1">
      <c r="A57" s="416" t="s">
        <v>132</v>
      </c>
      <c r="B57" s="417" t="s">
        <v>497</v>
      </c>
      <c r="C57" s="500">
        <v>2.7999999999999997E-2</v>
      </c>
      <c r="D57" s="500">
        <v>2.8999999999999998E-2</v>
      </c>
      <c r="E57" s="500">
        <v>3.2000000000000001E-2</v>
      </c>
      <c r="F57" s="500">
        <v>3.6000000000000004E-2</v>
      </c>
      <c r="G57" s="500">
        <v>3.4000000000000002E-2</v>
      </c>
      <c r="H57" s="500">
        <v>2.7000000000000003E-2</v>
      </c>
      <c r="I57" s="500">
        <v>2.8999999999999998E-2</v>
      </c>
      <c r="J57" s="500">
        <v>0.03</v>
      </c>
      <c r="K57" s="500">
        <v>3.1E-2</v>
      </c>
      <c r="L57" s="500">
        <v>3.4000000000000002E-2</v>
      </c>
      <c r="M57" s="501">
        <v>3.7000000000000005E-2</v>
      </c>
      <c r="N57" s="1037">
        <v>0.04</v>
      </c>
      <c r="O57" s="1037">
        <v>0.04</v>
      </c>
      <c r="P57" s="1037">
        <v>3.8353526207620114E-2</v>
      </c>
      <c r="Q57" s="502"/>
      <c r="R57" s="503">
        <v>5340</v>
      </c>
      <c r="S57" s="503">
        <v>5869</v>
      </c>
      <c r="T57" s="503">
        <v>7055</v>
      </c>
      <c r="U57" s="503">
        <v>8721</v>
      </c>
      <c r="V57" s="503">
        <v>8788</v>
      </c>
      <c r="W57" s="503">
        <v>6966</v>
      </c>
      <c r="X57" s="503">
        <v>7794</v>
      </c>
      <c r="Y57" s="503">
        <v>8284</v>
      </c>
      <c r="Z57" s="503">
        <v>9033</v>
      </c>
      <c r="AA57" s="503">
        <v>10069</v>
      </c>
      <c r="AB57" s="504">
        <v>11525</v>
      </c>
      <c r="AC57" s="1044">
        <v>12996</v>
      </c>
      <c r="AD57" s="1525">
        <v>13489</v>
      </c>
      <c r="AE57" s="1529">
        <v>13343</v>
      </c>
    </row>
    <row r="58" spans="1:31" ht="16.5" customHeight="1">
      <c r="A58" s="416" t="s">
        <v>134</v>
      </c>
      <c r="B58" s="417" t="s">
        <v>498</v>
      </c>
      <c r="C58" s="500">
        <v>9.1999999999999998E-2</v>
      </c>
      <c r="D58" s="500">
        <v>9.0999999999999998E-2</v>
      </c>
      <c r="E58" s="500">
        <v>0.1</v>
      </c>
      <c r="F58" s="500">
        <v>0.10199999999999999</v>
      </c>
      <c r="G58" s="500">
        <v>9.6999999999999989E-2</v>
      </c>
      <c r="H58" s="500">
        <v>0.113</v>
      </c>
      <c r="I58" s="500">
        <v>9.9000000000000005E-2</v>
      </c>
      <c r="J58" s="500">
        <v>9.6999999999999989E-2</v>
      </c>
      <c r="K58" s="500">
        <v>9.6000000000000002E-2</v>
      </c>
      <c r="L58" s="500">
        <v>0.11699999999999999</v>
      </c>
      <c r="M58" s="501">
        <v>9.9000000000000019E-2</v>
      </c>
      <c r="N58" s="1037">
        <v>0.10800000000000001</v>
      </c>
      <c r="O58" s="1037">
        <v>0.11700000000000001</v>
      </c>
      <c r="P58" s="1037">
        <v>0.11738021821631879</v>
      </c>
      <c r="Q58" s="502"/>
      <c r="R58" s="503">
        <v>2411</v>
      </c>
      <c r="S58" s="503">
        <v>2456</v>
      </c>
      <c r="T58" s="503">
        <v>2793</v>
      </c>
      <c r="U58" s="503">
        <v>2928</v>
      </c>
      <c r="V58" s="503">
        <v>2911</v>
      </c>
      <c r="W58" s="503">
        <v>3364</v>
      </c>
      <c r="X58" s="503">
        <v>3054</v>
      </c>
      <c r="Y58" s="503">
        <v>3080</v>
      </c>
      <c r="Z58" s="503">
        <v>3119</v>
      </c>
      <c r="AA58" s="503">
        <v>3828</v>
      </c>
      <c r="AB58" s="504">
        <v>3259</v>
      </c>
      <c r="AC58" s="1044">
        <v>3597</v>
      </c>
      <c r="AD58" s="1525">
        <v>3891</v>
      </c>
      <c r="AE58" s="1529">
        <v>3959</v>
      </c>
    </row>
    <row r="59" spans="1:31" ht="16.5" customHeight="1">
      <c r="A59" s="416" t="s">
        <v>136</v>
      </c>
      <c r="B59" s="417" t="s">
        <v>499</v>
      </c>
      <c r="C59" s="500">
        <v>0.16300000000000001</v>
      </c>
      <c r="D59" s="500">
        <v>0.16600000000000001</v>
      </c>
      <c r="E59" s="500">
        <v>0.18</v>
      </c>
      <c r="F59" s="500">
        <v>0.17300000000000001</v>
      </c>
      <c r="G59" s="500">
        <v>0.17100000000000001</v>
      </c>
      <c r="H59" s="500">
        <v>0.22800000000000001</v>
      </c>
      <c r="I59" s="500">
        <v>0.19800000000000001</v>
      </c>
      <c r="J59" s="500">
        <v>0.193</v>
      </c>
      <c r="K59" s="500">
        <v>0.215</v>
      </c>
      <c r="L59" s="500">
        <v>0.22500000000000001</v>
      </c>
      <c r="M59" s="501">
        <v>0.20499999999999999</v>
      </c>
      <c r="N59" s="1037">
        <v>0.22600000000000001</v>
      </c>
      <c r="O59" s="1037">
        <v>0.27300000000000002</v>
      </c>
      <c r="P59" s="1037">
        <v>0.21353528278760286</v>
      </c>
      <c r="Q59" s="502"/>
      <c r="R59" s="503">
        <v>1965</v>
      </c>
      <c r="S59" s="503">
        <v>1986</v>
      </c>
      <c r="T59" s="503">
        <v>2164</v>
      </c>
      <c r="U59" s="503">
        <v>2061</v>
      </c>
      <c r="V59" s="503">
        <v>2055</v>
      </c>
      <c r="W59" s="503">
        <v>2718</v>
      </c>
      <c r="X59" s="503">
        <v>2368</v>
      </c>
      <c r="Y59" s="503">
        <v>2276</v>
      </c>
      <c r="Z59" s="503">
        <v>2516</v>
      </c>
      <c r="AA59" s="503">
        <v>2597</v>
      </c>
      <c r="AB59" s="504">
        <v>2396</v>
      </c>
      <c r="AC59" s="1044">
        <v>2636</v>
      </c>
      <c r="AD59" s="1525">
        <v>3131</v>
      </c>
      <c r="AE59" s="1529">
        <v>2439</v>
      </c>
    </row>
    <row r="60" spans="1:31" ht="16.5" customHeight="1">
      <c r="A60" s="416" t="s">
        <v>140</v>
      </c>
      <c r="B60" s="417" t="s">
        <v>500</v>
      </c>
      <c r="C60" s="500">
        <v>9.8000000000000004E-2</v>
      </c>
      <c r="D60" s="500">
        <v>8.900000000000001E-2</v>
      </c>
      <c r="E60" s="500">
        <v>9.4E-2</v>
      </c>
      <c r="F60" s="500">
        <v>9.5000000000000001E-2</v>
      </c>
      <c r="G60" s="500">
        <v>9.0999999999999998E-2</v>
      </c>
      <c r="H60" s="500">
        <v>9.8000000000000004E-2</v>
      </c>
      <c r="I60" s="500">
        <v>0.10199999999999999</v>
      </c>
      <c r="J60" s="500">
        <v>9.8000000000000004E-2</v>
      </c>
      <c r="K60" s="500">
        <v>0.107</v>
      </c>
      <c r="L60" s="500">
        <v>0.10800000000000001</v>
      </c>
      <c r="M60" s="501">
        <v>0.11699999999999999</v>
      </c>
      <c r="N60" s="1037">
        <v>0.11900000000000001</v>
      </c>
      <c r="O60" s="1037">
        <v>0.13</v>
      </c>
      <c r="P60" s="1037">
        <v>0.1266191461638691</v>
      </c>
      <c r="Q60" s="502"/>
      <c r="R60" s="503">
        <v>1235</v>
      </c>
      <c r="S60" s="503">
        <v>1141</v>
      </c>
      <c r="T60" s="503">
        <v>1221</v>
      </c>
      <c r="U60" s="503">
        <v>1231</v>
      </c>
      <c r="V60" s="503">
        <v>1209</v>
      </c>
      <c r="W60" s="503">
        <v>1293</v>
      </c>
      <c r="X60" s="503">
        <v>1369</v>
      </c>
      <c r="Y60" s="503">
        <v>1319</v>
      </c>
      <c r="Z60" s="503">
        <v>1434</v>
      </c>
      <c r="AA60" s="503">
        <v>1456</v>
      </c>
      <c r="AB60" s="504">
        <v>1544</v>
      </c>
      <c r="AC60" s="1044">
        <v>1549</v>
      </c>
      <c r="AD60" s="1525">
        <v>1693</v>
      </c>
      <c r="AE60" s="1529">
        <v>1652</v>
      </c>
    </row>
    <row r="61" spans="1:31" ht="16.5" customHeight="1">
      <c r="A61" s="416" t="s">
        <v>146</v>
      </c>
      <c r="B61" s="417" t="s">
        <v>501</v>
      </c>
      <c r="C61" s="500">
        <v>8.6999999999999994E-2</v>
      </c>
      <c r="D61" s="500">
        <v>8.5999999999999993E-2</v>
      </c>
      <c r="E61" s="500">
        <v>8.900000000000001E-2</v>
      </c>
      <c r="F61" s="500">
        <v>8.6999999999999994E-2</v>
      </c>
      <c r="G61" s="500">
        <v>8.3000000000000004E-2</v>
      </c>
      <c r="H61" s="500">
        <v>8.1000000000000003E-2</v>
      </c>
      <c r="I61" s="500">
        <v>8.3000000000000004E-2</v>
      </c>
      <c r="J61" s="500">
        <v>8.1000000000000003E-2</v>
      </c>
      <c r="K61" s="500">
        <v>8.6999999999999994E-2</v>
      </c>
      <c r="L61" s="500">
        <v>9.6999999999999989E-2</v>
      </c>
      <c r="M61" s="501">
        <v>0.10199999999999999</v>
      </c>
      <c r="N61" s="1037">
        <v>0.1</v>
      </c>
      <c r="O61" s="1037">
        <v>0.104</v>
      </c>
      <c r="P61" s="1037">
        <v>0.10547229791099001</v>
      </c>
      <c r="Q61" s="502"/>
      <c r="R61" s="506">
        <v>799</v>
      </c>
      <c r="S61" s="506">
        <v>785</v>
      </c>
      <c r="T61" s="506">
        <v>819</v>
      </c>
      <c r="U61" s="506">
        <v>800</v>
      </c>
      <c r="V61" s="506">
        <v>766</v>
      </c>
      <c r="W61" s="506">
        <v>735</v>
      </c>
      <c r="X61" s="506">
        <v>756</v>
      </c>
      <c r="Y61" s="506">
        <v>723</v>
      </c>
      <c r="Z61" s="503">
        <v>777</v>
      </c>
      <c r="AA61" s="503">
        <v>860</v>
      </c>
      <c r="AB61" s="504">
        <v>903</v>
      </c>
      <c r="AC61" s="1044">
        <v>888</v>
      </c>
      <c r="AD61" s="1525">
        <v>917</v>
      </c>
      <c r="AE61" s="1529">
        <v>929</v>
      </c>
    </row>
    <row r="62" spans="1:31" ht="16.5" customHeight="1">
      <c r="A62" s="416" t="s">
        <v>148</v>
      </c>
      <c r="B62" s="417" t="s">
        <v>502</v>
      </c>
      <c r="C62" s="500">
        <v>0.13400000000000001</v>
      </c>
      <c r="D62" s="500">
        <v>0.13300000000000001</v>
      </c>
      <c r="E62" s="500">
        <v>0.153</v>
      </c>
      <c r="F62" s="500">
        <v>0.154</v>
      </c>
      <c r="G62" s="500">
        <v>0.14800000000000002</v>
      </c>
      <c r="H62" s="500">
        <v>0.16399999999999998</v>
      </c>
      <c r="I62" s="500">
        <v>0.14800000000000002</v>
      </c>
      <c r="J62" s="500">
        <v>0.16</v>
      </c>
      <c r="K62" s="500">
        <v>0.17399999999999999</v>
      </c>
      <c r="L62" s="500">
        <v>0.188</v>
      </c>
      <c r="M62" s="501">
        <v>0.20199999999999999</v>
      </c>
      <c r="N62" s="1037">
        <v>0.19</v>
      </c>
      <c r="O62" s="1037">
        <v>0.19900000000000001</v>
      </c>
      <c r="P62" s="1037">
        <v>0.17092054327143888</v>
      </c>
      <c r="Q62" s="502"/>
      <c r="R62" s="503">
        <v>4156</v>
      </c>
      <c r="S62" s="503">
        <v>4113</v>
      </c>
      <c r="T62" s="503">
        <v>4773</v>
      </c>
      <c r="U62" s="503">
        <v>4779</v>
      </c>
      <c r="V62" s="503">
        <v>4609</v>
      </c>
      <c r="W62" s="503">
        <v>5062</v>
      </c>
      <c r="X62" s="503">
        <v>4570</v>
      </c>
      <c r="Y62" s="503">
        <v>4889</v>
      </c>
      <c r="Z62" s="503">
        <v>5331</v>
      </c>
      <c r="AA62" s="503">
        <v>5731</v>
      </c>
      <c r="AB62" s="504">
        <v>6241</v>
      </c>
      <c r="AC62" s="1044">
        <v>5870</v>
      </c>
      <c r="AD62" s="1525">
        <v>6119</v>
      </c>
      <c r="AE62" s="1529">
        <v>5210</v>
      </c>
    </row>
    <row r="63" spans="1:31" ht="16.5" customHeight="1">
      <c r="A63" s="416" t="s">
        <v>150</v>
      </c>
      <c r="B63" s="417" t="s">
        <v>503</v>
      </c>
      <c r="C63" s="500">
        <v>0.115</v>
      </c>
      <c r="D63" s="500">
        <v>0.11199999999999999</v>
      </c>
      <c r="E63" s="500">
        <v>0.11800000000000001</v>
      </c>
      <c r="F63" s="500">
        <v>0.11599999999999999</v>
      </c>
      <c r="G63" s="500">
        <v>0.11599999999999999</v>
      </c>
      <c r="H63" s="500">
        <v>0.13300000000000001</v>
      </c>
      <c r="I63" s="500">
        <v>0.127</v>
      </c>
      <c r="J63" s="500">
        <v>0.122</v>
      </c>
      <c r="K63" s="500">
        <v>0.124</v>
      </c>
      <c r="L63" s="500">
        <v>0.13800000000000001</v>
      </c>
      <c r="M63" s="501">
        <v>0.13599999999999998</v>
      </c>
      <c r="N63" s="1037">
        <v>0.128</v>
      </c>
      <c r="O63" s="1037">
        <v>0.14799999999999999</v>
      </c>
      <c r="P63" s="1037">
        <v>0.15497160458176917</v>
      </c>
      <c r="Q63" s="502"/>
      <c r="R63" s="503">
        <v>1117</v>
      </c>
      <c r="S63" s="503">
        <v>1103</v>
      </c>
      <c r="T63" s="503">
        <v>1189</v>
      </c>
      <c r="U63" s="503">
        <v>1193</v>
      </c>
      <c r="V63" s="503">
        <v>1190</v>
      </c>
      <c r="W63" s="503">
        <v>1354</v>
      </c>
      <c r="X63" s="503">
        <v>1307</v>
      </c>
      <c r="Y63" s="503">
        <v>1259</v>
      </c>
      <c r="Z63" s="503">
        <v>1272</v>
      </c>
      <c r="AA63" s="503">
        <v>1435</v>
      </c>
      <c r="AB63" s="504">
        <v>1442</v>
      </c>
      <c r="AC63" s="1044">
        <v>1343</v>
      </c>
      <c r="AD63" s="1525">
        <v>1544</v>
      </c>
      <c r="AE63" s="1529">
        <v>1610</v>
      </c>
    </row>
    <row r="64" spans="1:31" ht="16.5" customHeight="1">
      <c r="A64" s="416" t="s">
        <v>152</v>
      </c>
      <c r="B64" s="417" t="s">
        <v>504</v>
      </c>
      <c r="C64" s="500">
        <v>0.125</v>
      </c>
      <c r="D64" s="500">
        <v>0.128</v>
      </c>
      <c r="E64" s="500">
        <v>0.14000000000000001</v>
      </c>
      <c r="F64" s="500">
        <v>0.152</v>
      </c>
      <c r="G64" s="500">
        <v>0.14899999999999999</v>
      </c>
      <c r="H64" s="500">
        <v>0.20899999999999999</v>
      </c>
      <c r="I64" s="500">
        <v>0.20300000000000001</v>
      </c>
      <c r="J64" s="500">
        <v>0.19899999999999998</v>
      </c>
      <c r="K64" s="500">
        <v>0.20600000000000002</v>
      </c>
      <c r="L64" s="500">
        <v>0.19</v>
      </c>
      <c r="M64" s="501">
        <v>0.20500000000000002</v>
      </c>
      <c r="N64" s="1037">
        <v>0.22500000000000001</v>
      </c>
      <c r="O64" s="1037">
        <v>0.23300000000000001</v>
      </c>
      <c r="P64" s="1037">
        <v>0.23402582688817211</v>
      </c>
      <c r="Q64" s="502"/>
      <c r="R64" s="503">
        <v>9453</v>
      </c>
      <c r="S64" s="503">
        <v>9761</v>
      </c>
      <c r="T64" s="503">
        <v>10779</v>
      </c>
      <c r="U64" s="503">
        <v>11417</v>
      </c>
      <c r="V64" s="503">
        <v>11267</v>
      </c>
      <c r="W64" s="503">
        <v>15671</v>
      </c>
      <c r="X64" s="503">
        <v>15296</v>
      </c>
      <c r="Y64" s="503">
        <v>15836</v>
      </c>
      <c r="Z64" s="503">
        <v>16498</v>
      </c>
      <c r="AA64" s="503">
        <v>15475</v>
      </c>
      <c r="AB64" s="504">
        <v>17470</v>
      </c>
      <c r="AC64" s="1044">
        <v>19169</v>
      </c>
      <c r="AD64" s="1525">
        <v>20087</v>
      </c>
      <c r="AE64" s="1529">
        <v>20243</v>
      </c>
    </row>
    <row r="65" spans="1:31" ht="16.5" customHeight="1">
      <c r="A65" s="416" t="s">
        <v>154</v>
      </c>
      <c r="B65" s="417" t="s">
        <v>505</v>
      </c>
      <c r="C65" s="500">
        <v>0.10300000000000001</v>
      </c>
      <c r="D65" s="500">
        <v>0.10199999999999999</v>
      </c>
      <c r="E65" s="500">
        <v>0.109</v>
      </c>
      <c r="F65" s="500">
        <v>0.11199999999999999</v>
      </c>
      <c r="G65" s="500">
        <v>0.10400000000000001</v>
      </c>
      <c r="H65" s="500">
        <v>0.11900000000000001</v>
      </c>
      <c r="I65" s="500">
        <v>0.113</v>
      </c>
      <c r="J65" s="500">
        <v>0.114</v>
      </c>
      <c r="K65" s="500">
        <v>0.13200000000000001</v>
      </c>
      <c r="L65" s="500">
        <v>0.127</v>
      </c>
      <c r="M65" s="501">
        <v>0.13100000000000001</v>
      </c>
      <c r="N65" s="1037">
        <v>0.13600000000000001</v>
      </c>
      <c r="O65" s="1037">
        <v>0.14099999999999999</v>
      </c>
      <c r="P65" s="1037">
        <v>0.15804167234100505</v>
      </c>
      <c r="Q65" s="502"/>
      <c r="R65" s="503">
        <v>1493</v>
      </c>
      <c r="S65" s="503">
        <v>1495</v>
      </c>
      <c r="T65" s="503">
        <v>1638</v>
      </c>
      <c r="U65" s="503">
        <v>1674</v>
      </c>
      <c r="V65" s="503">
        <v>1574</v>
      </c>
      <c r="W65" s="503">
        <v>1770</v>
      </c>
      <c r="X65" s="503">
        <v>1704</v>
      </c>
      <c r="Y65" s="503">
        <v>1730</v>
      </c>
      <c r="Z65" s="503">
        <v>2009</v>
      </c>
      <c r="AA65" s="503">
        <v>1960</v>
      </c>
      <c r="AB65" s="504">
        <v>1956</v>
      </c>
      <c r="AC65" s="1044">
        <v>2036</v>
      </c>
      <c r="AD65" s="1525">
        <v>2075</v>
      </c>
      <c r="AE65" s="1529">
        <v>2321</v>
      </c>
    </row>
    <row r="66" spans="1:31" ht="16.5" customHeight="1">
      <c r="A66" s="416" t="s">
        <v>156</v>
      </c>
      <c r="B66" s="417" t="s">
        <v>506</v>
      </c>
      <c r="C66" s="500">
        <v>5.0999999999999997E-2</v>
      </c>
      <c r="D66" s="500">
        <v>5.2000000000000005E-2</v>
      </c>
      <c r="E66" s="500">
        <v>5.7000000000000002E-2</v>
      </c>
      <c r="F66" s="500">
        <v>5.5999999999999994E-2</v>
      </c>
      <c r="G66" s="500">
        <v>5.5E-2</v>
      </c>
      <c r="H66" s="500">
        <v>5.2000000000000005E-2</v>
      </c>
      <c r="I66" s="500">
        <v>5.5E-2</v>
      </c>
      <c r="J66" s="500">
        <v>5.2999999999999999E-2</v>
      </c>
      <c r="K66" s="500">
        <v>5.5999999999999994E-2</v>
      </c>
      <c r="L66" s="500">
        <v>5.5999999999999994E-2</v>
      </c>
      <c r="M66" s="501">
        <v>5.7999999999999996E-2</v>
      </c>
      <c r="N66" s="1037">
        <v>6.9000000000000006E-2</v>
      </c>
      <c r="O66" s="1037">
        <v>6.7000000000000004E-2</v>
      </c>
      <c r="P66" s="1037">
        <v>6.6663142313385493E-2</v>
      </c>
      <c r="Q66" s="502"/>
      <c r="R66" s="506">
        <v>683</v>
      </c>
      <c r="S66" s="506">
        <v>720</v>
      </c>
      <c r="T66" s="506">
        <v>823</v>
      </c>
      <c r="U66" s="506">
        <v>858</v>
      </c>
      <c r="V66" s="506">
        <v>864</v>
      </c>
      <c r="W66" s="506">
        <v>821</v>
      </c>
      <c r="X66" s="506">
        <v>905</v>
      </c>
      <c r="Y66" s="506">
        <v>880</v>
      </c>
      <c r="Z66" s="503">
        <v>959</v>
      </c>
      <c r="AA66" s="503">
        <v>981</v>
      </c>
      <c r="AB66" s="504">
        <v>1037</v>
      </c>
      <c r="AC66" s="1044">
        <v>1257</v>
      </c>
      <c r="AD66" s="1525">
        <v>1238</v>
      </c>
      <c r="AE66" s="1529">
        <v>1261</v>
      </c>
    </row>
    <row r="67" spans="1:31" ht="16.5" customHeight="1">
      <c r="A67" s="416" t="s">
        <v>162</v>
      </c>
      <c r="B67" s="417" t="s">
        <v>507</v>
      </c>
      <c r="C67" s="500">
        <v>0.18600000000000003</v>
      </c>
      <c r="D67" s="500">
        <v>0.17600000000000002</v>
      </c>
      <c r="E67" s="500">
        <v>0.184</v>
      </c>
      <c r="F67" s="500">
        <v>0.18100000000000002</v>
      </c>
      <c r="G67" s="500">
        <v>0.17600000000000002</v>
      </c>
      <c r="H67" s="500">
        <v>0.19899999999999998</v>
      </c>
      <c r="I67" s="500">
        <v>0.18899999999999997</v>
      </c>
      <c r="J67" s="500">
        <v>0.20800000000000002</v>
      </c>
      <c r="K67" s="500">
        <v>0.19500000000000001</v>
      </c>
      <c r="L67" s="500">
        <v>0.20600000000000002</v>
      </c>
      <c r="M67" s="501">
        <v>0.18699999999999997</v>
      </c>
      <c r="N67" s="1037">
        <v>0.22699999999999998</v>
      </c>
      <c r="O67" s="1037">
        <v>0.22500000000000001</v>
      </c>
      <c r="P67" s="1037">
        <v>0.22372624852866993</v>
      </c>
      <c r="Q67" s="502"/>
      <c r="R67" s="503">
        <v>2377</v>
      </c>
      <c r="S67" s="503">
        <v>2271</v>
      </c>
      <c r="T67" s="503">
        <v>2426</v>
      </c>
      <c r="U67" s="503">
        <v>2380</v>
      </c>
      <c r="V67" s="503">
        <v>2359</v>
      </c>
      <c r="W67" s="503">
        <v>2614</v>
      </c>
      <c r="X67" s="503">
        <v>2527</v>
      </c>
      <c r="Y67" s="503">
        <v>2732</v>
      </c>
      <c r="Z67" s="503">
        <v>2560</v>
      </c>
      <c r="AA67" s="503">
        <v>2723</v>
      </c>
      <c r="AB67" s="504">
        <v>2258</v>
      </c>
      <c r="AC67" s="1044">
        <v>2744</v>
      </c>
      <c r="AD67" s="1525">
        <v>2705</v>
      </c>
      <c r="AE67" s="1529">
        <v>2661</v>
      </c>
    </row>
    <row r="68" spans="1:31" ht="16.5" customHeight="1">
      <c r="A68" s="416" t="s">
        <v>164</v>
      </c>
      <c r="B68" s="417" t="s">
        <v>508</v>
      </c>
      <c r="C68" s="500">
        <v>0.11800000000000001</v>
      </c>
      <c r="D68" s="500">
        <v>0.11699999999999999</v>
      </c>
      <c r="E68" s="500">
        <v>0.13</v>
      </c>
      <c r="F68" s="500">
        <v>0.12300000000000001</v>
      </c>
      <c r="G68" s="500">
        <v>0.11800000000000001</v>
      </c>
      <c r="H68" s="500">
        <v>0.124</v>
      </c>
      <c r="I68" s="500">
        <v>0.13400000000000001</v>
      </c>
      <c r="J68" s="500">
        <v>0.13600000000000001</v>
      </c>
      <c r="K68" s="500">
        <v>0.13</v>
      </c>
      <c r="L68" s="500">
        <v>0.13600000000000001</v>
      </c>
      <c r="M68" s="501">
        <v>0.14399999999999999</v>
      </c>
      <c r="N68" s="1037">
        <v>0.13800000000000001</v>
      </c>
      <c r="O68" s="1037">
        <v>0.14699999999999999</v>
      </c>
      <c r="P68" s="1037">
        <v>0.16063794804340678</v>
      </c>
      <c r="Q68" s="502"/>
      <c r="R68" s="503">
        <v>1458</v>
      </c>
      <c r="S68" s="503">
        <v>1477</v>
      </c>
      <c r="T68" s="503">
        <v>1666</v>
      </c>
      <c r="U68" s="503">
        <v>1592</v>
      </c>
      <c r="V68" s="503">
        <v>1523</v>
      </c>
      <c r="W68" s="503">
        <v>1591</v>
      </c>
      <c r="X68" s="503">
        <v>1709</v>
      </c>
      <c r="Y68" s="503">
        <v>1756</v>
      </c>
      <c r="Z68" s="503">
        <v>1679</v>
      </c>
      <c r="AA68" s="503">
        <v>1766</v>
      </c>
      <c r="AB68" s="504">
        <v>1766</v>
      </c>
      <c r="AC68" s="1044">
        <v>1719</v>
      </c>
      <c r="AD68" s="1525">
        <v>1816</v>
      </c>
      <c r="AE68" s="1529">
        <v>1954</v>
      </c>
    </row>
    <row r="69" spans="1:31" ht="16.5" customHeight="1">
      <c r="A69" s="416" t="s">
        <v>168</v>
      </c>
      <c r="B69" s="417" t="s">
        <v>509</v>
      </c>
      <c r="C69" s="500">
        <v>0.16399999999999998</v>
      </c>
      <c r="D69" s="500">
        <v>0.156</v>
      </c>
      <c r="E69" s="500">
        <v>0.17</v>
      </c>
      <c r="F69" s="500">
        <v>0.17300000000000001</v>
      </c>
      <c r="G69" s="500">
        <v>0.16800000000000001</v>
      </c>
      <c r="H69" s="500">
        <v>0.19399999999999998</v>
      </c>
      <c r="I69" s="500">
        <v>0.193</v>
      </c>
      <c r="J69" s="500">
        <v>0.19899999999999998</v>
      </c>
      <c r="K69" s="500">
        <v>0.20600000000000002</v>
      </c>
      <c r="L69" s="500">
        <v>0.20300000000000001</v>
      </c>
      <c r="M69" s="501">
        <v>0.20799999999999999</v>
      </c>
      <c r="N69" s="1037">
        <v>0.221</v>
      </c>
      <c r="O69" s="1037">
        <v>0.23300000000000001</v>
      </c>
      <c r="P69" s="1037">
        <v>0.2353453911527566</v>
      </c>
      <c r="Q69" s="502"/>
      <c r="R69" s="503">
        <v>2331</v>
      </c>
      <c r="S69" s="503">
        <v>2210</v>
      </c>
      <c r="T69" s="503">
        <v>2405</v>
      </c>
      <c r="U69" s="503">
        <v>2444</v>
      </c>
      <c r="V69" s="503">
        <v>2367</v>
      </c>
      <c r="W69" s="503">
        <v>2703</v>
      </c>
      <c r="X69" s="503">
        <v>2702</v>
      </c>
      <c r="Y69" s="503">
        <v>2785</v>
      </c>
      <c r="Z69" s="503">
        <v>2921</v>
      </c>
      <c r="AA69" s="503">
        <v>2880</v>
      </c>
      <c r="AB69" s="504">
        <v>2903</v>
      </c>
      <c r="AC69" s="1044">
        <v>3085</v>
      </c>
      <c r="AD69" s="1525">
        <v>3226</v>
      </c>
      <c r="AE69" s="1529">
        <v>3240</v>
      </c>
    </row>
    <row r="70" spans="1:31" ht="16.5" customHeight="1">
      <c r="A70" s="416" t="s">
        <v>170</v>
      </c>
      <c r="B70" s="417" t="s">
        <v>510</v>
      </c>
      <c r="C70" s="500">
        <v>8.900000000000001E-2</v>
      </c>
      <c r="D70" s="500">
        <v>8.6999999999999994E-2</v>
      </c>
      <c r="E70" s="500">
        <v>8.8000000000000009E-2</v>
      </c>
      <c r="F70" s="500">
        <v>8.5999999999999993E-2</v>
      </c>
      <c r="G70" s="500">
        <v>0.08</v>
      </c>
      <c r="H70" s="500">
        <v>8.4000000000000005E-2</v>
      </c>
      <c r="I70" s="500">
        <v>7.8E-2</v>
      </c>
      <c r="J70" s="500">
        <v>8.5999999999999993E-2</v>
      </c>
      <c r="K70" s="500">
        <v>8.199999999999999E-2</v>
      </c>
      <c r="L70" s="500">
        <v>9.5000000000000001E-2</v>
      </c>
      <c r="M70" s="501">
        <v>0.10699999999999998</v>
      </c>
      <c r="N70" s="1037">
        <v>0.11900000000000001</v>
      </c>
      <c r="O70" s="1037">
        <v>0.1</v>
      </c>
      <c r="P70" s="1037">
        <v>0.10405337879544987</v>
      </c>
      <c r="Q70" s="502"/>
      <c r="R70" s="503">
        <v>2338</v>
      </c>
      <c r="S70" s="503">
        <v>2333</v>
      </c>
      <c r="T70" s="503">
        <v>2447</v>
      </c>
      <c r="U70" s="503">
        <v>2444</v>
      </c>
      <c r="V70" s="503">
        <v>2375</v>
      </c>
      <c r="W70" s="503">
        <v>2490</v>
      </c>
      <c r="X70" s="503">
        <v>2412</v>
      </c>
      <c r="Y70" s="503">
        <v>2728</v>
      </c>
      <c r="Z70" s="503">
        <v>2677</v>
      </c>
      <c r="AA70" s="503">
        <v>3130</v>
      </c>
      <c r="AB70" s="504">
        <v>3517</v>
      </c>
      <c r="AC70" s="1044">
        <v>3950</v>
      </c>
      <c r="AD70" s="1525">
        <v>3364</v>
      </c>
      <c r="AE70" s="1529">
        <v>3540</v>
      </c>
    </row>
    <row r="71" spans="1:31" ht="16.5" customHeight="1">
      <c r="A71" s="416" t="s">
        <v>172</v>
      </c>
      <c r="B71" s="417" t="s">
        <v>511</v>
      </c>
      <c r="C71" s="500">
        <v>0.106</v>
      </c>
      <c r="D71" s="500">
        <v>0.10099999999999999</v>
      </c>
      <c r="E71" s="500">
        <v>0.11</v>
      </c>
      <c r="F71" s="500">
        <v>0.12</v>
      </c>
      <c r="G71" s="500">
        <v>0.11599999999999999</v>
      </c>
      <c r="H71" s="500">
        <v>0.13300000000000001</v>
      </c>
      <c r="I71" s="500">
        <v>0.13</v>
      </c>
      <c r="J71" s="500">
        <v>0.122</v>
      </c>
      <c r="K71" s="500">
        <v>0.14199999999999999</v>
      </c>
      <c r="L71" s="500">
        <v>0.125</v>
      </c>
      <c r="M71" s="501">
        <v>0.15699999999999997</v>
      </c>
      <c r="N71" s="1037">
        <v>0.17100000000000001</v>
      </c>
      <c r="O71" s="1037">
        <v>0.156</v>
      </c>
      <c r="P71" s="1037">
        <v>0.15255675790367071</v>
      </c>
      <c r="Q71" s="502"/>
      <c r="R71" s="503">
        <v>2439</v>
      </c>
      <c r="S71" s="503">
        <v>2339</v>
      </c>
      <c r="T71" s="503">
        <v>2578</v>
      </c>
      <c r="U71" s="503">
        <v>2818</v>
      </c>
      <c r="V71" s="503">
        <v>2752</v>
      </c>
      <c r="W71" s="503">
        <v>3116</v>
      </c>
      <c r="X71" s="503">
        <v>3093</v>
      </c>
      <c r="Y71" s="503">
        <v>2912</v>
      </c>
      <c r="Z71" s="503">
        <v>3370</v>
      </c>
      <c r="AA71" s="503">
        <v>2964</v>
      </c>
      <c r="AB71" s="504">
        <v>3725</v>
      </c>
      <c r="AC71" s="1044">
        <v>4055</v>
      </c>
      <c r="AD71" s="1525">
        <v>3683</v>
      </c>
      <c r="AE71" s="1529">
        <v>3595</v>
      </c>
    </row>
    <row r="72" spans="1:31" ht="16.5" customHeight="1">
      <c r="A72" s="416" t="s">
        <v>174</v>
      </c>
      <c r="B72" s="417" t="s">
        <v>512</v>
      </c>
      <c r="C72" s="500">
        <v>0.125</v>
      </c>
      <c r="D72" s="500">
        <v>0.129</v>
      </c>
      <c r="E72" s="500">
        <v>0.13600000000000001</v>
      </c>
      <c r="F72" s="500">
        <v>0.14099999999999999</v>
      </c>
      <c r="G72" s="500">
        <v>0.14000000000000001</v>
      </c>
      <c r="H72" s="500">
        <v>0.161</v>
      </c>
      <c r="I72" s="500">
        <v>0.14099999999999999</v>
      </c>
      <c r="J72" s="500">
        <v>0.15</v>
      </c>
      <c r="K72" s="500">
        <v>0.17100000000000001</v>
      </c>
      <c r="L72" s="500">
        <v>0.17600000000000002</v>
      </c>
      <c r="M72" s="501">
        <v>0.187</v>
      </c>
      <c r="N72" s="1037">
        <v>0.18</v>
      </c>
      <c r="O72" s="1037">
        <v>0.18099999999999999</v>
      </c>
      <c r="P72" s="1037">
        <v>0.19443982942903029</v>
      </c>
      <c r="Q72" s="502"/>
      <c r="R72" s="503">
        <v>2427</v>
      </c>
      <c r="S72" s="503">
        <v>2471</v>
      </c>
      <c r="T72" s="503">
        <v>2610</v>
      </c>
      <c r="U72" s="503">
        <v>2701</v>
      </c>
      <c r="V72" s="503">
        <v>2690</v>
      </c>
      <c r="W72" s="503">
        <v>3039</v>
      </c>
      <c r="X72" s="503">
        <v>2686</v>
      </c>
      <c r="Y72" s="503">
        <v>2797</v>
      </c>
      <c r="Z72" s="503">
        <v>3185</v>
      </c>
      <c r="AA72" s="503">
        <v>3246</v>
      </c>
      <c r="AB72" s="504">
        <v>3407</v>
      </c>
      <c r="AC72" s="1044">
        <v>3260</v>
      </c>
      <c r="AD72" s="1525">
        <v>3280</v>
      </c>
      <c r="AE72" s="1529">
        <v>3511</v>
      </c>
    </row>
    <row r="73" spans="1:31" ht="16.5" customHeight="1">
      <c r="A73" s="416" t="s">
        <v>178</v>
      </c>
      <c r="B73" s="417" t="s">
        <v>179</v>
      </c>
      <c r="C73" s="500">
        <v>0.10099999999999999</v>
      </c>
      <c r="D73" s="500">
        <v>0.10199999999999999</v>
      </c>
      <c r="E73" s="500">
        <v>0.11599999999999999</v>
      </c>
      <c r="F73" s="500">
        <v>0.124</v>
      </c>
      <c r="G73" s="500">
        <v>0.121</v>
      </c>
      <c r="H73" s="500">
        <v>0.14300000000000002</v>
      </c>
      <c r="I73" s="500">
        <v>0.13</v>
      </c>
      <c r="J73" s="500">
        <v>0.121</v>
      </c>
      <c r="K73" s="500">
        <v>0.14400000000000002</v>
      </c>
      <c r="L73" s="500">
        <v>0.156</v>
      </c>
      <c r="M73" s="501">
        <v>0.159</v>
      </c>
      <c r="N73" s="1037">
        <v>0.14699999999999999</v>
      </c>
      <c r="O73" s="1037">
        <v>0.14499999999999999</v>
      </c>
      <c r="P73" s="1037">
        <v>0.15218242317478958</v>
      </c>
      <c r="Q73" s="502"/>
      <c r="R73" s="503">
        <v>6252</v>
      </c>
      <c r="S73" s="503">
        <v>6276</v>
      </c>
      <c r="T73" s="503">
        <v>7149</v>
      </c>
      <c r="U73" s="503">
        <v>7661</v>
      </c>
      <c r="V73" s="503">
        <v>7497</v>
      </c>
      <c r="W73" s="503">
        <v>8779</v>
      </c>
      <c r="X73" s="503">
        <v>7914</v>
      </c>
      <c r="Y73" s="503">
        <v>7281</v>
      </c>
      <c r="Z73" s="503">
        <v>8732</v>
      </c>
      <c r="AA73" s="503">
        <v>9386</v>
      </c>
      <c r="AB73" s="504">
        <v>9951</v>
      </c>
      <c r="AC73" s="1044">
        <v>9113</v>
      </c>
      <c r="AD73" s="1525">
        <v>8965</v>
      </c>
      <c r="AE73" s="1529">
        <v>9330</v>
      </c>
    </row>
    <row r="74" spans="1:31" ht="16.5" customHeight="1">
      <c r="A74" s="416" t="s">
        <v>182</v>
      </c>
      <c r="B74" s="417" t="s">
        <v>514</v>
      </c>
      <c r="C74" s="500">
        <v>5.4000000000000006E-2</v>
      </c>
      <c r="D74" s="500">
        <v>5.2999999999999999E-2</v>
      </c>
      <c r="E74" s="500">
        <v>5.5999999999999994E-2</v>
      </c>
      <c r="F74" s="500">
        <v>5.9000000000000004E-2</v>
      </c>
      <c r="G74" s="500">
        <v>5.7000000000000002E-2</v>
      </c>
      <c r="H74" s="500">
        <v>5.9000000000000004E-2</v>
      </c>
      <c r="I74" s="500">
        <v>5.7999999999999996E-2</v>
      </c>
      <c r="J74" s="500">
        <v>5.7999999999999996E-2</v>
      </c>
      <c r="K74" s="500">
        <v>5.7999999999999996E-2</v>
      </c>
      <c r="L74" s="500">
        <v>6.0999999999999999E-2</v>
      </c>
      <c r="M74" s="501">
        <v>7.1000000000000008E-2</v>
      </c>
      <c r="N74" s="1037">
        <v>7.400000000000001E-2</v>
      </c>
      <c r="O74" s="1037">
        <v>7.0999999999999994E-2</v>
      </c>
      <c r="P74" s="1037">
        <v>7.7032700381311867E-2</v>
      </c>
      <c r="Q74" s="502"/>
      <c r="R74" s="503">
        <v>1116</v>
      </c>
      <c r="S74" s="503">
        <v>1152</v>
      </c>
      <c r="T74" s="503">
        <v>1271</v>
      </c>
      <c r="U74" s="503">
        <v>1383</v>
      </c>
      <c r="V74" s="503">
        <v>1375</v>
      </c>
      <c r="W74" s="503">
        <v>1404</v>
      </c>
      <c r="X74" s="503">
        <v>1445</v>
      </c>
      <c r="Y74" s="503">
        <v>1451</v>
      </c>
      <c r="Z74" s="503">
        <v>1489</v>
      </c>
      <c r="AA74" s="503">
        <v>1573</v>
      </c>
      <c r="AB74" s="504">
        <v>1821</v>
      </c>
      <c r="AC74" s="1044">
        <v>1894</v>
      </c>
      <c r="AD74" s="1525">
        <v>1821</v>
      </c>
      <c r="AE74" s="1529">
        <v>2000</v>
      </c>
    </row>
    <row r="75" spans="1:31" ht="16.5" customHeight="1">
      <c r="A75" s="416" t="s">
        <v>184</v>
      </c>
      <c r="B75" s="417" t="s">
        <v>515</v>
      </c>
      <c r="C75" s="500">
        <v>0.18600000000000003</v>
      </c>
      <c r="D75" s="500">
        <v>0.19699999999999998</v>
      </c>
      <c r="E75" s="500">
        <v>0.221</v>
      </c>
      <c r="F75" s="500">
        <v>0.184</v>
      </c>
      <c r="G75" s="500">
        <v>0.187</v>
      </c>
      <c r="H75" s="500">
        <v>0.222</v>
      </c>
      <c r="I75" s="500">
        <v>0.19600000000000001</v>
      </c>
      <c r="J75" s="500">
        <v>0.20300000000000001</v>
      </c>
      <c r="K75" s="500">
        <v>0.23699999999999999</v>
      </c>
      <c r="L75" s="500">
        <v>0.222</v>
      </c>
      <c r="M75" s="501">
        <v>0.22800000000000001</v>
      </c>
      <c r="N75" s="1037">
        <v>0.25</v>
      </c>
      <c r="O75" s="1037">
        <v>0.23699999999999999</v>
      </c>
      <c r="P75" s="1037">
        <v>0.23520915801861561</v>
      </c>
      <c r="Q75" s="502"/>
      <c r="R75" s="503">
        <v>2980</v>
      </c>
      <c r="S75" s="503">
        <v>3195</v>
      </c>
      <c r="T75" s="503">
        <v>3635</v>
      </c>
      <c r="U75" s="503">
        <v>3050</v>
      </c>
      <c r="V75" s="503">
        <v>3136</v>
      </c>
      <c r="W75" s="503">
        <v>3653</v>
      </c>
      <c r="X75" s="503">
        <v>3275</v>
      </c>
      <c r="Y75" s="503">
        <v>3449</v>
      </c>
      <c r="Z75" s="503">
        <v>4105</v>
      </c>
      <c r="AA75" s="503">
        <v>3897</v>
      </c>
      <c r="AB75" s="504">
        <v>4338</v>
      </c>
      <c r="AC75" s="1044">
        <v>4748</v>
      </c>
      <c r="AD75" s="1525">
        <v>4460</v>
      </c>
      <c r="AE75" s="1529">
        <v>4397</v>
      </c>
    </row>
    <row r="76" spans="1:31" ht="16.5" customHeight="1">
      <c r="A76" s="416" t="s">
        <v>186</v>
      </c>
      <c r="B76" s="417" t="s">
        <v>516</v>
      </c>
      <c r="C76" s="500">
        <v>7.5999999999999998E-2</v>
      </c>
      <c r="D76" s="500">
        <v>7.5999999999999998E-2</v>
      </c>
      <c r="E76" s="500">
        <v>8.1000000000000003E-2</v>
      </c>
      <c r="F76" s="500">
        <v>9.1999999999999998E-2</v>
      </c>
      <c r="G76" s="500">
        <v>8.5999999999999993E-2</v>
      </c>
      <c r="H76" s="500">
        <v>9.1999999999999998E-2</v>
      </c>
      <c r="I76" s="500">
        <v>8.5999999999999993E-2</v>
      </c>
      <c r="J76" s="500">
        <v>9.3000000000000013E-2</v>
      </c>
      <c r="K76" s="500">
        <v>0.105</v>
      </c>
      <c r="L76" s="500">
        <v>0.10199999999999999</v>
      </c>
      <c r="M76" s="501">
        <v>9.6999999999999989E-2</v>
      </c>
      <c r="N76" s="1037">
        <v>0.107</v>
      </c>
      <c r="O76" s="1037">
        <v>8.6999999999999994E-2</v>
      </c>
      <c r="P76" s="1037">
        <v>0.12900234886883422</v>
      </c>
      <c r="Q76" s="502"/>
      <c r="R76" s="503">
        <v>2206</v>
      </c>
      <c r="S76" s="503">
        <v>2201</v>
      </c>
      <c r="T76" s="503">
        <v>2373</v>
      </c>
      <c r="U76" s="503">
        <v>2716</v>
      </c>
      <c r="V76" s="503">
        <v>2557</v>
      </c>
      <c r="W76" s="503">
        <v>2706</v>
      </c>
      <c r="X76" s="503">
        <v>2498</v>
      </c>
      <c r="Y76" s="503">
        <v>2663</v>
      </c>
      <c r="Z76" s="503">
        <v>3018</v>
      </c>
      <c r="AA76" s="503">
        <v>3025</v>
      </c>
      <c r="AB76" s="504">
        <v>3002</v>
      </c>
      <c r="AC76" s="1044">
        <v>3404</v>
      </c>
      <c r="AD76" s="1525">
        <v>2781</v>
      </c>
      <c r="AE76" s="1529">
        <v>4174</v>
      </c>
    </row>
    <row r="77" spans="1:31" ht="16.5" customHeight="1">
      <c r="A77" s="416" t="s">
        <v>188</v>
      </c>
      <c r="B77" s="417" t="s">
        <v>517</v>
      </c>
      <c r="C77" s="500">
        <v>4.8000000000000001E-2</v>
      </c>
      <c r="D77" s="500">
        <v>4.8000000000000001E-2</v>
      </c>
      <c r="E77" s="500">
        <v>5.5E-2</v>
      </c>
      <c r="F77" s="500">
        <v>0.06</v>
      </c>
      <c r="G77" s="500">
        <v>5.5999999999999994E-2</v>
      </c>
      <c r="H77" s="500">
        <v>0.05</v>
      </c>
      <c r="I77" s="500">
        <v>5.0999999999999997E-2</v>
      </c>
      <c r="J77" s="500">
        <v>0.05</v>
      </c>
      <c r="K77" s="500">
        <v>5.2999999999999999E-2</v>
      </c>
      <c r="L77" s="500">
        <v>0.06</v>
      </c>
      <c r="M77" s="501">
        <v>6.0999999999999999E-2</v>
      </c>
      <c r="N77" s="1037">
        <v>6.9000000000000006E-2</v>
      </c>
      <c r="O77" s="1037">
        <v>6.7000000000000004E-2</v>
      </c>
      <c r="P77" s="1037">
        <v>6.9617601561636766E-2</v>
      </c>
      <c r="Q77" s="502"/>
      <c r="R77" s="503">
        <v>14234</v>
      </c>
      <c r="S77" s="503">
        <v>14982</v>
      </c>
      <c r="T77" s="503">
        <v>17871</v>
      </c>
      <c r="U77" s="503">
        <v>20293</v>
      </c>
      <c r="V77" s="503">
        <v>19550</v>
      </c>
      <c r="W77" s="503">
        <v>17235</v>
      </c>
      <c r="X77" s="503">
        <v>18174</v>
      </c>
      <c r="Y77" s="503">
        <v>17703</v>
      </c>
      <c r="Z77" s="503">
        <v>19016</v>
      </c>
      <c r="AA77" s="503">
        <v>22535</v>
      </c>
      <c r="AB77" s="504">
        <v>24696</v>
      </c>
      <c r="AC77" s="1044">
        <v>28639</v>
      </c>
      <c r="AD77" s="1525">
        <v>28559</v>
      </c>
      <c r="AE77" s="1529">
        <v>30243</v>
      </c>
    </row>
    <row r="78" spans="1:31" ht="16.5" customHeight="1">
      <c r="A78" s="416" t="s">
        <v>190</v>
      </c>
      <c r="B78" s="417" t="s">
        <v>518</v>
      </c>
      <c r="C78" s="500">
        <v>0.11199999999999999</v>
      </c>
      <c r="D78" s="500">
        <v>0.113</v>
      </c>
      <c r="E78" s="500">
        <v>0.124</v>
      </c>
      <c r="F78" s="500">
        <v>0.13</v>
      </c>
      <c r="G78" s="500">
        <v>0.13100000000000001</v>
      </c>
      <c r="H78" s="500">
        <v>0.157</v>
      </c>
      <c r="I78" s="500">
        <v>0.14099999999999999</v>
      </c>
      <c r="J78" s="500">
        <v>0.14099999999999999</v>
      </c>
      <c r="K78" s="500">
        <v>0.154</v>
      </c>
      <c r="L78" s="500">
        <v>0.14199999999999999</v>
      </c>
      <c r="M78" s="501">
        <v>0.158</v>
      </c>
      <c r="N78" s="1037">
        <v>0.16500000000000001</v>
      </c>
      <c r="O78" s="1037">
        <v>0.16600000000000001</v>
      </c>
      <c r="P78" s="1037">
        <v>0.15722911472258103</v>
      </c>
      <c r="Q78" s="502"/>
      <c r="R78" s="503">
        <v>3813</v>
      </c>
      <c r="S78" s="503">
        <v>3825</v>
      </c>
      <c r="T78" s="503">
        <v>4236</v>
      </c>
      <c r="U78" s="503">
        <v>4427</v>
      </c>
      <c r="V78" s="503">
        <v>4463</v>
      </c>
      <c r="W78" s="503">
        <v>5295</v>
      </c>
      <c r="X78" s="503">
        <v>4751</v>
      </c>
      <c r="Y78" s="503">
        <v>4753</v>
      </c>
      <c r="Z78" s="503">
        <v>5193</v>
      </c>
      <c r="AA78" s="503">
        <v>4766</v>
      </c>
      <c r="AB78" s="504">
        <v>5355</v>
      </c>
      <c r="AC78" s="1044">
        <v>5533</v>
      </c>
      <c r="AD78" s="1525">
        <v>5563</v>
      </c>
      <c r="AE78" s="1529">
        <v>5234</v>
      </c>
    </row>
    <row r="79" spans="1:31" ht="16.5" customHeight="1">
      <c r="A79" s="416" t="s">
        <v>194</v>
      </c>
      <c r="B79" s="417" t="s">
        <v>195</v>
      </c>
      <c r="C79" s="500">
        <v>7.9000000000000001E-2</v>
      </c>
      <c r="D79" s="500">
        <v>7.5999999999999998E-2</v>
      </c>
      <c r="E79" s="500">
        <v>7.5999999999999998E-2</v>
      </c>
      <c r="F79" s="500">
        <v>7.400000000000001E-2</v>
      </c>
      <c r="G79" s="500">
        <v>6.6000000000000003E-2</v>
      </c>
      <c r="H79" s="500">
        <v>7.0999999999999994E-2</v>
      </c>
      <c r="I79" s="500">
        <v>7.8E-2</v>
      </c>
      <c r="J79" s="500">
        <v>7.8E-2</v>
      </c>
      <c r="K79" s="500">
        <v>8.199999999999999E-2</v>
      </c>
      <c r="L79" s="500">
        <v>9.1999999999999998E-2</v>
      </c>
      <c r="M79" s="501">
        <v>9.8000000000000004E-2</v>
      </c>
      <c r="N79" s="1037">
        <v>0.1</v>
      </c>
      <c r="O79" s="1037">
        <v>0.106</v>
      </c>
      <c r="P79" s="1037">
        <v>0.10336473755047107</v>
      </c>
      <c r="Q79" s="502"/>
      <c r="R79" s="506">
        <v>557</v>
      </c>
      <c r="S79" s="506">
        <v>541</v>
      </c>
      <c r="T79" s="506">
        <v>542</v>
      </c>
      <c r="U79" s="506">
        <v>532</v>
      </c>
      <c r="V79" s="506">
        <v>482</v>
      </c>
      <c r="W79" s="506">
        <v>515</v>
      </c>
      <c r="X79" s="506">
        <v>555</v>
      </c>
      <c r="Y79" s="506">
        <v>561</v>
      </c>
      <c r="Z79" s="503">
        <v>581</v>
      </c>
      <c r="AA79" s="503">
        <v>644</v>
      </c>
      <c r="AB79" s="504">
        <v>720</v>
      </c>
      <c r="AC79" s="1044">
        <v>742</v>
      </c>
      <c r="AD79" s="1525">
        <v>783</v>
      </c>
      <c r="AE79" s="1529">
        <v>768</v>
      </c>
    </row>
    <row r="80" spans="1:31" ht="16.5" customHeight="1">
      <c r="A80" s="416" t="s">
        <v>198</v>
      </c>
      <c r="B80" s="417" t="s">
        <v>272</v>
      </c>
      <c r="C80" s="500">
        <v>0.157</v>
      </c>
      <c r="D80" s="500">
        <v>0.16</v>
      </c>
      <c r="E80" s="500">
        <v>0.16800000000000001</v>
      </c>
      <c r="F80" s="500">
        <v>0.156</v>
      </c>
      <c r="G80" s="500">
        <v>0.158</v>
      </c>
      <c r="H80" s="500">
        <v>0.17</v>
      </c>
      <c r="I80" s="500">
        <v>0.16500000000000001</v>
      </c>
      <c r="J80" s="500">
        <v>0.17699999999999999</v>
      </c>
      <c r="K80" s="500">
        <v>0.184</v>
      </c>
      <c r="L80" s="500">
        <v>0.193</v>
      </c>
      <c r="M80" s="501">
        <v>0.185</v>
      </c>
      <c r="N80" s="1037">
        <v>0.20399999999999999</v>
      </c>
      <c r="O80" s="1037">
        <v>0.20300000000000001</v>
      </c>
      <c r="P80" s="1037">
        <v>0.20313143798928718</v>
      </c>
      <c r="Q80" s="502"/>
      <c r="R80" s="503">
        <v>1110</v>
      </c>
      <c r="S80" s="503">
        <v>1144</v>
      </c>
      <c r="T80" s="503">
        <v>1216</v>
      </c>
      <c r="U80" s="503">
        <v>1120</v>
      </c>
      <c r="V80" s="503">
        <v>1141</v>
      </c>
      <c r="W80" s="503">
        <v>1219</v>
      </c>
      <c r="X80" s="503">
        <v>1192</v>
      </c>
      <c r="Y80" s="503">
        <v>1272</v>
      </c>
      <c r="Z80" s="503">
        <v>1315</v>
      </c>
      <c r="AA80" s="503">
        <v>1342</v>
      </c>
      <c r="AB80" s="504">
        <v>1377</v>
      </c>
      <c r="AC80" s="1044">
        <v>1510</v>
      </c>
      <c r="AD80" s="1525">
        <v>1484</v>
      </c>
      <c r="AE80" s="1529">
        <v>1479</v>
      </c>
    </row>
    <row r="81" spans="1:31" ht="16.5" customHeight="1">
      <c r="A81" s="416" t="s">
        <v>202</v>
      </c>
      <c r="B81" s="417" t="s">
        <v>620</v>
      </c>
      <c r="C81" s="500">
        <v>5.2900000000000003E-2</v>
      </c>
      <c r="D81" s="500">
        <v>5.7000000000000002E-2</v>
      </c>
      <c r="E81" s="500">
        <v>6.5299999999999997E-2</v>
      </c>
      <c r="F81" s="500">
        <v>7.2300000000000003E-2</v>
      </c>
      <c r="G81" s="500">
        <v>6.8699999999999997E-2</v>
      </c>
      <c r="H81" s="500">
        <v>6.3E-2</v>
      </c>
      <c r="I81" s="500">
        <v>6.1500000000000006E-2</v>
      </c>
      <c r="J81" s="500">
        <v>6.480000000000001E-2</v>
      </c>
      <c r="K81" s="500">
        <v>7.0800000000000002E-2</v>
      </c>
      <c r="L81" s="500">
        <v>6.8199999999999997E-2</v>
      </c>
      <c r="M81" s="501">
        <v>7.553320643060675E-2</v>
      </c>
      <c r="N81" s="1037">
        <v>0.191</v>
      </c>
      <c r="O81" s="1037">
        <v>8.4000000000000005E-2</v>
      </c>
      <c r="P81" s="1037">
        <v>8.2284058881530148E-2</v>
      </c>
      <c r="Q81" s="502"/>
      <c r="R81" s="503">
        <v>5681</v>
      </c>
      <c r="S81" s="503">
        <v>6098</v>
      </c>
      <c r="T81" s="503">
        <v>7107</v>
      </c>
      <c r="U81" s="503">
        <v>7856</v>
      </c>
      <c r="V81" s="503">
        <v>7558</v>
      </c>
      <c r="W81" s="503">
        <v>6809</v>
      </c>
      <c r="X81" s="503">
        <v>6852</v>
      </c>
      <c r="Y81" s="503">
        <v>7238</v>
      </c>
      <c r="Z81" s="503">
        <v>7950</v>
      </c>
      <c r="AA81" s="503">
        <v>7619</v>
      </c>
      <c r="AB81" s="504">
        <v>8538</v>
      </c>
      <c r="AC81" s="1044">
        <v>9852</v>
      </c>
      <c r="AD81" s="1525">
        <v>9504</v>
      </c>
      <c r="AE81" s="1529">
        <v>9430</v>
      </c>
    </row>
    <row r="82" spans="1:31" ht="16.5" customHeight="1">
      <c r="A82" s="416" t="s">
        <v>204</v>
      </c>
      <c r="B82" s="417" t="s">
        <v>777</v>
      </c>
      <c r="C82" s="500">
        <v>0.1038</v>
      </c>
      <c r="D82" s="500">
        <v>0.10199999999999999</v>
      </c>
      <c r="E82" s="500">
        <v>0.1124</v>
      </c>
      <c r="F82" s="500">
        <v>0.1109</v>
      </c>
      <c r="G82" s="500">
        <v>0.10630000000000001</v>
      </c>
      <c r="H82" s="500">
        <v>0.12130000000000001</v>
      </c>
      <c r="I82" s="500">
        <v>0.13339999999999999</v>
      </c>
      <c r="J82" s="500">
        <v>0.1273</v>
      </c>
      <c r="K82" s="500">
        <v>0.1346</v>
      </c>
      <c r="L82" s="500">
        <v>0.1338</v>
      </c>
      <c r="M82" s="501">
        <v>0.14077673638184915</v>
      </c>
      <c r="N82" s="1037">
        <v>0.14656092725331707</v>
      </c>
      <c r="O82" s="1037">
        <v>0.153</v>
      </c>
      <c r="P82" s="1037">
        <v>0.15709268590624523</v>
      </c>
      <c r="Q82" s="502"/>
      <c r="R82" s="503">
        <v>3255</v>
      </c>
      <c r="S82" s="503">
        <v>3202</v>
      </c>
      <c r="T82" s="503">
        <v>3574</v>
      </c>
      <c r="U82" s="503">
        <v>3517</v>
      </c>
      <c r="V82" s="503">
        <v>3365</v>
      </c>
      <c r="W82" s="503">
        <v>3820</v>
      </c>
      <c r="X82" s="503">
        <v>4213</v>
      </c>
      <c r="Y82" s="503">
        <v>4049</v>
      </c>
      <c r="Z82" s="503">
        <v>4265</v>
      </c>
      <c r="AA82" s="503">
        <v>4221</v>
      </c>
      <c r="AB82" s="504">
        <v>4625</v>
      </c>
      <c r="AC82" s="1044">
        <v>4805</v>
      </c>
      <c r="AD82" s="1525">
        <v>4988</v>
      </c>
      <c r="AE82" s="1529">
        <v>5144</v>
      </c>
    </row>
    <row r="83" spans="1:31" ht="16.5" customHeight="1">
      <c r="A83" s="416" t="s">
        <v>206</v>
      </c>
      <c r="B83" s="417" t="s">
        <v>778</v>
      </c>
      <c r="C83" s="500">
        <v>0.11710000000000001</v>
      </c>
      <c r="D83" s="500">
        <v>0.11119999999999999</v>
      </c>
      <c r="E83" s="500">
        <v>0.1217</v>
      </c>
      <c r="F83" s="500">
        <v>0.1188</v>
      </c>
      <c r="G83" s="500">
        <v>0.11539999999999999</v>
      </c>
      <c r="H83" s="500">
        <v>0.14130000000000001</v>
      </c>
      <c r="I83" s="500">
        <v>0.14990000000000001</v>
      </c>
      <c r="J83" s="500">
        <v>0.1454</v>
      </c>
      <c r="K83" s="500">
        <v>0.158</v>
      </c>
      <c r="L83" s="500">
        <v>0.15340000000000001</v>
      </c>
      <c r="M83" s="501">
        <v>0.17707606256042166</v>
      </c>
      <c r="N83" s="1037">
        <v>0.15870237569248546</v>
      </c>
      <c r="O83" s="1037">
        <v>0.20499999999999999</v>
      </c>
      <c r="P83" s="1037">
        <v>0.16851109998330829</v>
      </c>
      <c r="Q83" s="502"/>
      <c r="R83" s="503">
        <v>11774</v>
      </c>
      <c r="S83" s="503">
        <v>11332</v>
      </c>
      <c r="T83" s="503">
        <v>12457</v>
      </c>
      <c r="U83" s="503">
        <v>12312</v>
      </c>
      <c r="V83" s="503">
        <v>12047</v>
      </c>
      <c r="W83" s="503">
        <v>14559</v>
      </c>
      <c r="X83" s="503">
        <v>15701</v>
      </c>
      <c r="Y83" s="503">
        <v>15770</v>
      </c>
      <c r="Z83" s="503">
        <v>17273</v>
      </c>
      <c r="AA83" s="503">
        <v>17133</v>
      </c>
      <c r="AB83" s="504">
        <v>20566</v>
      </c>
      <c r="AC83" s="1044">
        <v>18678</v>
      </c>
      <c r="AD83" s="1525">
        <v>24402</v>
      </c>
      <c r="AE83" s="1529">
        <v>20191</v>
      </c>
    </row>
    <row r="84" spans="1:31" ht="16.5" customHeight="1">
      <c r="A84" s="416" t="s">
        <v>208</v>
      </c>
      <c r="B84" s="417" t="s">
        <v>520</v>
      </c>
      <c r="C84" s="500">
        <v>0.16699999999999998</v>
      </c>
      <c r="D84" s="500">
        <v>0.159</v>
      </c>
      <c r="E84" s="500">
        <v>0.17600000000000002</v>
      </c>
      <c r="F84" s="500">
        <v>0.16800000000000001</v>
      </c>
      <c r="G84" s="500">
        <v>0.16500000000000001</v>
      </c>
      <c r="H84" s="500">
        <v>0.193</v>
      </c>
      <c r="I84" s="500">
        <v>0.17399999999999999</v>
      </c>
      <c r="J84" s="500">
        <v>0.184</v>
      </c>
      <c r="K84" s="500">
        <v>0.19399999999999998</v>
      </c>
      <c r="L84" s="500">
        <v>0.191</v>
      </c>
      <c r="M84" s="501">
        <v>0.18100000000000002</v>
      </c>
      <c r="N84" s="1037">
        <v>0.23499999999999999</v>
      </c>
      <c r="O84" s="1037">
        <v>0.183</v>
      </c>
      <c r="P84" s="1037">
        <v>0.18802044244308638</v>
      </c>
      <c r="Q84" s="502"/>
      <c r="R84" s="503">
        <v>4793</v>
      </c>
      <c r="S84" s="503">
        <v>4565</v>
      </c>
      <c r="T84" s="503">
        <v>5059</v>
      </c>
      <c r="U84" s="503">
        <v>4823</v>
      </c>
      <c r="V84" s="503">
        <v>4762</v>
      </c>
      <c r="W84" s="503">
        <v>5492</v>
      </c>
      <c r="X84" s="503">
        <v>4932</v>
      </c>
      <c r="Y84" s="503">
        <v>5243</v>
      </c>
      <c r="Z84" s="503">
        <v>5516</v>
      </c>
      <c r="AA84" s="503">
        <v>5527</v>
      </c>
      <c r="AB84" s="504">
        <v>5173</v>
      </c>
      <c r="AC84" s="1044">
        <v>6704</v>
      </c>
      <c r="AD84" s="1525">
        <v>5145</v>
      </c>
      <c r="AE84" s="1529">
        <v>5261</v>
      </c>
    </row>
    <row r="85" spans="1:31" ht="16.5" customHeight="1">
      <c r="A85" s="416" t="s">
        <v>210</v>
      </c>
      <c r="B85" s="417" t="s">
        <v>521</v>
      </c>
      <c r="C85" s="500">
        <v>0.14099999999999999</v>
      </c>
      <c r="D85" s="500">
        <v>0.13900000000000001</v>
      </c>
      <c r="E85" s="500">
        <v>0.14599999999999999</v>
      </c>
      <c r="F85" s="500">
        <v>0.153</v>
      </c>
      <c r="G85" s="500">
        <v>0.14899999999999999</v>
      </c>
      <c r="H85" s="500">
        <v>0.17899999999999999</v>
      </c>
      <c r="I85" s="500">
        <v>0.17699999999999999</v>
      </c>
      <c r="J85" s="500">
        <v>0.18100000000000002</v>
      </c>
      <c r="K85" s="500">
        <v>0.17300000000000001</v>
      </c>
      <c r="L85" s="500">
        <v>0.192</v>
      </c>
      <c r="M85" s="501">
        <v>0.189</v>
      </c>
      <c r="N85" s="1037">
        <v>0.187</v>
      </c>
      <c r="O85" s="1037">
        <v>0.21299999999999999</v>
      </c>
      <c r="P85" s="1037">
        <v>0.18399158895593345</v>
      </c>
      <c r="Q85" s="502"/>
      <c r="R85" s="503">
        <v>3268</v>
      </c>
      <c r="S85" s="503">
        <v>3183</v>
      </c>
      <c r="T85" s="503">
        <v>3348</v>
      </c>
      <c r="U85" s="503">
        <v>3508</v>
      </c>
      <c r="V85" s="503">
        <v>3402</v>
      </c>
      <c r="W85" s="503">
        <v>4040</v>
      </c>
      <c r="X85" s="503">
        <v>4000</v>
      </c>
      <c r="Y85" s="503">
        <v>4033</v>
      </c>
      <c r="Z85" s="503">
        <v>3856</v>
      </c>
      <c r="AA85" s="503">
        <v>4220</v>
      </c>
      <c r="AB85" s="504">
        <v>4248</v>
      </c>
      <c r="AC85" s="1044">
        <v>4193</v>
      </c>
      <c r="AD85" s="1525">
        <v>4699</v>
      </c>
      <c r="AE85" s="1529">
        <v>4025</v>
      </c>
    </row>
    <row r="86" spans="1:31" ht="16.5" customHeight="1">
      <c r="A86" s="416" t="s">
        <v>212</v>
      </c>
      <c r="B86" s="417" t="s">
        <v>522</v>
      </c>
      <c r="C86" s="500">
        <v>0.08</v>
      </c>
      <c r="D86" s="500">
        <v>8.1000000000000003E-2</v>
      </c>
      <c r="E86" s="500">
        <v>8.3000000000000004E-2</v>
      </c>
      <c r="F86" s="500">
        <v>8.900000000000001E-2</v>
      </c>
      <c r="G86" s="500">
        <v>8.5999999999999993E-2</v>
      </c>
      <c r="H86" s="500">
        <v>8.4000000000000005E-2</v>
      </c>
      <c r="I86" s="500">
        <v>8.3000000000000004E-2</v>
      </c>
      <c r="J86" s="500">
        <v>0.09</v>
      </c>
      <c r="K86" s="500">
        <v>9.8000000000000004E-2</v>
      </c>
      <c r="L86" s="500">
        <v>0.10400000000000001</v>
      </c>
      <c r="M86" s="501">
        <v>0.11700000000000001</v>
      </c>
      <c r="N86" s="1037">
        <v>0.13400000000000001</v>
      </c>
      <c r="O86" s="1037">
        <v>0.114</v>
      </c>
      <c r="P86" s="1037">
        <v>0.11587982832618025</v>
      </c>
      <c r="Q86" s="502"/>
      <c r="R86" s="503">
        <v>2849</v>
      </c>
      <c r="S86" s="503">
        <v>2927</v>
      </c>
      <c r="T86" s="503">
        <v>3072</v>
      </c>
      <c r="U86" s="503">
        <v>3357</v>
      </c>
      <c r="V86" s="503">
        <v>3349</v>
      </c>
      <c r="W86" s="503">
        <v>3235</v>
      </c>
      <c r="X86" s="503">
        <v>3297</v>
      </c>
      <c r="Y86" s="503">
        <v>3602</v>
      </c>
      <c r="Z86" s="503">
        <v>3934</v>
      </c>
      <c r="AA86" s="503">
        <v>4206</v>
      </c>
      <c r="AB86" s="504">
        <v>4862</v>
      </c>
      <c r="AC86" s="1044">
        <v>5620</v>
      </c>
      <c r="AD86" s="1525">
        <v>4797</v>
      </c>
      <c r="AE86" s="1529">
        <v>4887</v>
      </c>
    </row>
    <row r="87" spans="1:31" ht="16.5" customHeight="1">
      <c r="A87" s="416" t="s">
        <v>214</v>
      </c>
      <c r="B87" s="417" t="s">
        <v>523</v>
      </c>
      <c r="C87" s="500">
        <v>0.13100000000000001</v>
      </c>
      <c r="D87" s="500">
        <v>0.13300000000000001</v>
      </c>
      <c r="E87" s="500">
        <v>0.14300000000000002</v>
      </c>
      <c r="F87" s="500">
        <v>0.14800000000000002</v>
      </c>
      <c r="G87" s="500">
        <v>0.14000000000000001</v>
      </c>
      <c r="H87" s="500">
        <v>0.13300000000000001</v>
      </c>
      <c r="I87" s="500">
        <v>0.155</v>
      </c>
      <c r="J87" s="500">
        <v>0.17100000000000001</v>
      </c>
      <c r="K87" s="500">
        <v>0.18100000000000002</v>
      </c>
      <c r="L87" s="500">
        <v>0.17800000000000002</v>
      </c>
      <c r="M87" s="501">
        <v>0.187</v>
      </c>
      <c r="N87" s="1037">
        <v>0.19399999999999998</v>
      </c>
      <c r="O87" s="1037">
        <v>0.19</v>
      </c>
      <c r="P87" s="1037">
        <v>0.17253418679080593</v>
      </c>
      <c r="Q87" s="502"/>
      <c r="R87" s="503">
        <v>4212</v>
      </c>
      <c r="S87" s="503">
        <v>4289</v>
      </c>
      <c r="T87" s="503">
        <v>4596</v>
      </c>
      <c r="U87" s="503">
        <v>4737</v>
      </c>
      <c r="V87" s="503">
        <v>4505</v>
      </c>
      <c r="W87" s="503">
        <v>4166</v>
      </c>
      <c r="X87" s="503">
        <v>4930</v>
      </c>
      <c r="Y87" s="503">
        <v>5338</v>
      </c>
      <c r="Z87" s="503">
        <v>5626</v>
      </c>
      <c r="AA87" s="503">
        <v>5516</v>
      </c>
      <c r="AB87" s="504">
        <v>5874</v>
      </c>
      <c r="AC87" s="1044">
        <v>6085</v>
      </c>
      <c r="AD87" s="1525">
        <v>5898</v>
      </c>
      <c r="AE87" s="1529">
        <v>5337</v>
      </c>
    </row>
    <row r="88" spans="1:31" ht="16.5" customHeight="1">
      <c r="A88" s="416" t="s">
        <v>216</v>
      </c>
      <c r="B88" s="417" t="s">
        <v>524</v>
      </c>
      <c r="C88" s="500">
        <v>0.14000000000000001</v>
      </c>
      <c r="D88" s="500">
        <v>0.13100000000000001</v>
      </c>
      <c r="E88" s="500">
        <v>0.13800000000000001</v>
      </c>
      <c r="F88" s="500">
        <v>0.14000000000000001</v>
      </c>
      <c r="G88" s="500">
        <v>0.13500000000000001</v>
      </c>
      <c r="H88" s="500">
        <v>0.151</v>
      </c>
      <c r="I88" s="500">
        <v>0.154</v>
      </c>
      <c r="J88" s="500">
        <v>0.15</v>
      </c>
      <c r="K88" s="500">
        <v>0.17499999999999999</v>
      </c>
      <c r="L88" s="500">
        <v>0.159</v>
      </c>
      <c r="M88" s="501">
        <v>0.16400000000000001</v>
      </c>
      <c r="N88" s="1037">
        <v>0.16</v>
      </c>
      <c r="O88" s="1037">
        <v>0.16700000000000001</v>
      </c>
      <c r="P88" s="1037">
        <v>0.1668684911600872</v>
      </c>
      <c r="Q88" s="502"/>
      <c r="R88" s="503">
        <v>2211</v>
      </c>
      <c r="S88" s="503">
        <v>2053</v>
      </c>
      <c r="T88" s="503">
        <v>2186</v>
      </c>
      <c r="U88" s="503">
        <v>2240</v>
      </c>
      <c r="V88" s="503">
        <v>2194</v>
      </c>
      <c r="W88" s="503">
        <v>2433</v>
      </c>
      <c r="X88" s="503">
        <v>2504</v>
      </c>
      <c r="Y88" s="503">
        <v>2431</v>
      </c>
      <c r="Z88" s="503">
        <v>2843</v>
      </c>
      <c r="AA88" s="503">
        <v>2561</v>
      </c>
      <c r="AB88" s="504">
        <v>2789</v>
      </c>
      <c r="AC88" s="1044">
        <v>2696</v>
      </c>
      <c r="AD88" s="1525">
        <v>2799</v>
      </c>
      <c r="AE88" s="1529">
        <v>2756</v>
      </c>
    </row>
    <row r="89" spans="1:31" ht="16.5" customHeight="1">
      <c r="A89" s="416" t="s">
        <v>218</v>
      </c>
      <c r="B89" s="417" t="s">
        <v>525</v>
      </c>
      <c r="C89" s="500">
        <v>5.2999999999999999E-2</v>
      </c>
      <c r="D89" s="500">
        <v>5.2000000000000005E-2</v>
      </c>
      <c r="E89" s="500">
        <v>5.7000000000000002E-2</v>
      </c>
      <c r="F89" s="500">
        <v>5.9000000000000004E-2</v>
      </c>
      <c r="G89" s="500">
        <v>5.7000000000000002E-2</v>
      </c>
      <c r="H89" s="500">
        <v>5.5E-2</v>
      </c>
      <c r="I89" s="500">
        <v>5.5999999999999994E-2</v>
      </c>
      <c r="J89" s="500">
        <v>0.06</v>
      </c>
      <c r="K89" s="500">
        <v>6.4000000000000001E-2</v>
      </c>
      <c r="L89" s="500">
        <v>7.5999999999999998E-2</v>
      </c>
      <c r="M89" s="501">
        <v>7.9000000000000001E-2</v>
      </c>
      <c r="N89" s="1037">
        <v>7.5999999999999998E-2</v>
      </c>
      <c r="O89" s="1037">
        <v>8.5000000000000006E-2</v>
      </c>
      <c r="P89" s="1037">
        <v>7.6984528743632735E-2</v>
      </c>
      <c r="Q89" s="502"/>
      <c r="R89" s="503">
        <v>5080</v>
      </c>
      <c r="S89" s="503">
        <v>5342</v>
      </c>
      <c r="T89" s="503">
        <v>6138</v>
      </c>
      <c r="U89" s="503">
        <v>6655</v>
      </c>
      <c r="V89" s="503">
        <v>6611</v>
      </c>
      <c r="W89" s="503">
        <v>6346</v>
      </c>
      <c r="X89" s="503">
        <v>6591</v>
      </c>
      <c r="Y89" s="503">
        <v>7118</v>
      </c>
      <c r="Z89" s="503">
        <v>7586</v>
      </c>
      <c r="AA89" s="503">
        <v>9132</v>
      </c>
      <c r="AB89" s="504">
        <v>9645</v>
      </c>
      <c r="AC89" s="1044">
        <v>9356</v>
      </c>
      <c r="AD89" s="1525">
        <v>10558</v>
      </c>
      <c r="AE89" s="1529">
        <v>9733</v>
      </c>
    </row>
    <row r="90" spans="1:31" ht="16.5" customHeight="1">
      <c r="A90" s="416" t="s">
        <v>220</v>
      </c>
      <c r="B90" s="417" t="s">
        <v>526</v>
      </c>
      <c r="C90" s="500">
        <v>4.4000000000000004E-2</v>
      </c>
      <c r="D90" s="500">
        <v>4.2999999999999997E-2</v>
      </c>
      <c r="E90" s="500">
        <v>4.4999999999999998E-2</v>
      </c>
      <c r="F90" s="500">
        <v>0.05</v>
      </c>
      <c r="G90" s="500">
        <v>4.9000000000000002E-2</v>
      </c>
      <c r="H90" s="500">
        <v>4.5999999999999999E-2</v>
      </c>
      <c r="I90" s="500">
        <v>4.4000000000000004E-2</v>
      </c>
      <c r="J90" s="500">
        <v>4.2000000000000003E-2</v>
      </c>
      <c r="K90" s="500">
        <v>4.8000000000000001E-2</v>
      </c>
      <c r="L90" s="500">
        <v>4.7E-2</v>
      </c>
      <c r="M90" s="501">
        <v>5.1999999999999998E-2</v>
      </c>
      <c r="N90" s="1037">
        <v>6.3E-2</v>
      </c>
      <c r="O90" s="1037">
        <v>5.5E-2</v>
      </c>
      <c r="P90" s="1037">
        <v>6.358634205170724E-2</v>
      </c>
      <c r="Q90" s="502"/>
      <c r="R90" s="503">
        <v>4307</v>
      </c>
      <c r="S90" s="503">
        <v>4394</v>
      </c>
      <c r="T90" s="503">
        <v>4901</v>
      </c>
      <c r="U90" s="503">
        <v>5671</v>
      </c>
      <c r="V90" s="503">
        <v>5772</v>
      </c>
      <c r="W90" s="503">
        <v>5366</v>
      </c>
      <c r="X90" s="503">
        <v>5152</v>
      </c>
      <c r="Y90" s="503">
        <v>4954</v>
      </c>
      <c r="Z90" s="503">
        <v>5713</v>
      </c>
      <c r="AA90" s="503">
        <v>5764</v>
      </c>
      <c r="AB90" s="504">
        <v>6531</v>
      </c>
      <c r="AC90" s="1044">
        <v>8070</v>
      </c>
      <c r="AD90" s="1525">
        <v>7231</v>
      </c>
      <c r="AE90" s="1529">
        <v>8436</v>
      </c>
    </row>
    <row r="91" spans="1:31" ht="16.5" customHeight="1">
      <c r="A91" s="416" t="s">
        <v>224</v>
      </c>
      <c r="B91" s="417" t="s">
        <v>527</v>
      </c>
      <c r="C91" s="500">
        <v>0.11599999999999999</v>
      </c>
      <c r="D91" s="500">
        <v>0.10800000000000001</v>
      </c>
      <c r="E91" s="500">
        <v>0.11199999999999999</v>
      </c>
      <c r="F91" s="500">
        <v>0.109</v>
      </c>
      <c r="G91" s="500">
        <v>0.107</v>
      </c>
      <c r="H91" s="500">
        <v>0.11900000000000001</v>
      </c>
      <c r="I91" s="500">
        <v>0.107</v>
      </c>
      <c r="J91" s="500">
        <v>0.11</v>
      </c>
      <c r="K91" s="500">
        <v>0.11599999999999999</v>
      </c>
      <c r="L91" s="500">
        <v>0.11699999999999999</v>
      </c>
      <c r="M91" s="501">
        <v>0.123</v>
      </c>
      <c r="N91" s="1037">
        <v>0.128</v>
      </c>
      <c r="O91" s="1037">
        <v>0.129</v>
      </c>
      <c r="P91" s="1037">
        <v>0.13636363636363635</v>
      </c>
      <c r="Q91" s="502"/>
      <c r="R91" s="506">
        <v>810</v>
      </c>
      <c r="S91" s="506">
        <v>755</v>
      </c>
      <c r="T91" s="506">
        <v>792</v>
      </c>
      <c r="U91" s="506">
        <v>764</v>
      </c>
      <c r="V91" s="506">
        <v>753</v>
      </c>
      <c r="W91" s="506">
        <v>829</v>
      </c>
      <c r="X91" s="506">
        <v>758</v>
      </c>
      <c r="Y91" s="506">
        <v>775</v>
      </c>
      <c r="Z91" s="503">
        <v>823</v>
      </c>
      <c r="AA91" s="503">
        <v>827</v>
      </c>
      <c r="AB91" s="504">
        <v>871</v>
      </c>
      <c r="AC91" s="1044">
        <v>884</v>
      </c>
      <c r="AD91" s="1525">
        <v>881</v>
      </c>
      <c r="AE91" s="1529">
        <v>921</v>
      </c>
    </row>
    <row r="92" spans="1:31" ht="16.5" customHeight="1">
      <c r="A92" s="416" t="s">
        <v>226</v>
      </c>
      <c r="B92" s="417" t="s">
        <v>528</v>
      </c>
      <c r="C92" s="500">
        <v>0.17199999999999999</v>
      </c>
      <c r="D92" s="500">
        <v>0.16899999999999998</v>
      </c>
      <c r="E92" s="500">
        <v>0.17899999999999999</v>
      </c>
      <c r="F92" s="500">
        <v>0.17199999999999999</v>
      </c>
      <c r="G92" s="500">
        <v>0.17699999999999999</v>
      </c>
      <c r="H92" s="500">
        <v>0.19500000000000001</v>
      </c>
      <c r="I92" s="500">
        <v>0.23499999999999999</v>
      </c>
      <c r="J92" s="500">
        <v>0.20399999999999999</v>
      </c>
      <c r="K92" s="500">
        <v>0.20699999999999999</v>
      </c>
      <c r="L92" s="500">
        <v>0.184</v>
      </c>
      <c r="M92" s="501">
        <v>0.22500000000000001</v>
      </c>
      <c r="N92" s="1037">
        <v>0.20699999999999999</v>
      </c>
      <c r="O92" s="1037">
        <v>0.23</v>
      </c>
      <c r="P92" s="1037">
        <v>0.2401219113965386</v>
      </c>
      <c r="Q92" s="502"/>
      <c r="R92" s="503">
        <v>1694</v>
      </c>
      <c r="S92" s="503">
        <v>1651</v>
      </c>
      <c r="T92" s="503">
        <v>1728</v>
      </c>
      <c r="U92" s="503">
        <v>1647</v>
      </c>
      <c r="V92" s="503">
        <v>1678</v>
      </c>
      <c r="W92" s="503">
        <v>1832</v>
      </c>
      <c r="X92" s="503">
        <v>2257</v>
      </c>
      <c r="Y92" s="503">
        <v>1947</v>
      </c>
      <c r="Z92" s="503">
        <v>1973</v>
      </c>
      <c r="AA92" s="503">
        <v>1742</v>
      </c>
      <c r="AB92" s="504">
        <v>2132</v>
      </c>
      <c r="AC92" s="1044">
        <v>1966</v>
      </c>
      <c r="AD92" s="1525">
        <v>2156</v>
      </c>
      <c r="AE92" s="1529">
        <v>2206</v>
      </c>
    </row>
    <row r="93" spans="1:31" ht="16.5" customHeight="1">
      <c r="A93" s="416" t="s">
        <v>228</v>
      </c>
      <c r="B93" s="417" t="s">
        <v>529</v>
      </c>
      <c r="C93" s="500">
        <v>0.155</v>
      </c>
      <c r="D93" s="500">
        <v>0.15</v>
      </c>
      <c r="E93" s="500">
        <v>0.16600000000000001</v>
      </c>
      <c r="F93" s="500">
        <v>0.156</v>
      </c>
      <c r="G93" s="500">
        <v>0.157</v>
      </c>
      <c r="H93" s="500">
        <v>0.17300000000000001</v>
      </c>
      <c r="I93" s="500">
        <v>0.16500000000000001</v>
      </c>
      <c r="J93" s="500">
        <v>0.17800000000000002</v>
      </c>
      <c r="K93" s="500">
        <v>0.17600000000000002</v>
      </c>
      <c r="L93" s="500">
        <v>0.159</v>
      </c>
      <c r="M93" s="501">
        <v>0.185</v>
      </c>
      <c r="N93" s="1037">
        <v>0.17600000000000002</v>
      </c>
      <c r="O93" s="1037">
        <v>0.214</v>
      </c>
      <c r="P93" s="1037">
        <v>0.17508154871649412</v>
      </c>
      <c r="Q93" s="502"/>
      <c r="R93" s="503">
        <v>6733</v>
      </c>
      <c r="S93" s="503">
        <v>6533</v>
      </c>
      <c r="T93" s="503">
        <v>7281</v>
      </c>
      <c r="U93" s="503">
        <v>6895</v>
      </c>
      <c r="V93" s="503">
        <v>6960</v>
      </c>
      <c r="W93" s="503">
        <v>7559</v>
      </c>
      <c r="X93" s="503">
        <v>7195</v>
      </c>
      <c r="Y93" s="503">
        <v>7640</v>
      </c>
      <c r="Z93" s="503">
        <v>7561</v>
      </c>
      <c r="AA93" s="503">
        <v>6852</v>
      </c>
      <c r="AB93" s="504">
        <v>8035</v>
      </c>
      <c r="AC93" s="1044">
        <v>7580</v>
      </c>
      <c r="AD93" s="1525">
        <v>9089</v>
      </c>
      <c r="AE93" s="1529">
        <v>7407</v>
      </c>
    </row>
    <row r="94" spans="1:31" ht="16.5" customHeight="1">
      <c r="A94" s="416" t="s">
        <v>232</v>
      </c>
      <c r="B94" s="417" t="s">
        <v>530</v>
      </c>
      <c r="C94" s="500">
        <v>8.5999999999999993E-2</v>
      </c>
      <c r="D94" s="500">
        <v>8.3000000000000004E-2</v>
      </c>
      <c r="E94" s="500">
        <v>8.6999999999999994E-2</v>
      </c>
      <c r="F94" s="500">
        <v>9.5000000000000001E-2</v>
      </c>
      <c r="G94" s="500">
        <v>8.900000000000001E-2</v>
      </c>
      <c r="H94" s="500">
        <v>9.8000000000000004E-2</v>
      </c>
      <c r="I94" s="500">
        <v>9.6000000000000002E-2</v>
      </c>
      <c r="J94" s="500">
        <v>0.09</v>
      </c>
      <c r="K94" s="500">
        <v>0.10099999999999999</v>
      </c>
      <c r="L94" s="500">
        <v>9.8000000000000004E-2</v>
      </c>
      <c r="M94" s="501">
        <v>0.10300000000000002</v>
      </c>
      <c r="N94" s="1037">
        <v>0.10400000000000001</v>
      </c>
      <c r="O94" s="1037">
        <v>0.11</v>
      </c>
      <c r="P94" s="1037">
        <v>0.11989748738407884</v>
      </c>
      <c r="Q94" s="502"/>
      <c r="R94" s="503">
        <v>2737</v>
      </c>
      <c r="S94" s="503">
        <v>2697</v>
      </c>
      <c r="T94" s="503">
        <v>2908</v>
      </c>
      <c r="U94" s="503">
        <v>3236</v>
      </c>
      <c r="V94" s="503">
        <v>3114</v>
      </c>
      <c r="W94" s="503">
        <v>3399</v>
      </c>
      <c r="X94" s="503">
        <v>3382</v>
      </c>
      <c r="Y94" s="503">
        <v>3180</v>
      </c>
      <c r="Z94" s="503">
        <v>3625</v>
      </c>
      <c r="AA94" s="503">
        <v>3519</v>
      </c>
      <c r="AB94" s="504">
        <v>3812</v>
      </c>
      <c r="AC94" s="1044">
        <v>3858</v>
      </c>
      <c r="AD94" s="1525">
        <v>4085</v>
      </c>
      <c r="AE94" s="1529">
        <v>4538</v>
      </c>
    </row>
    <row r="95" spans="1:31" ht="16.5" customHeight="1">
      <c r="A95" s="416" t="s">
        <v>234</v>
      </c>
      <c r="B95" s="417" t="s">
        <v>531</v>
      </c>
      <c r="C95" s="500">
        <v>0.114</v>
      </c>
      <c r="D95" s="500">
        <v>0.111</v>
      </c>
      <c r="E95" s="500">
        <v>0.12</v>
      </c>
      <c r="F95" s="500">
        <v>0.122</v>
      </c>
      <c r="G95" s="500">
        <v>0.12300000000000001</v>
      </c>
      <c r="H95" s="500">
        <v>0.11</v>
      </c>
      <c r="I95" s="500">
        <v>0.129</v>
      </c>
      <c r="J95" s="500">
        <v>0.14800000000000002</v>
      </c>
      <c r="K95" s="500">
        <v>0.14199999999999999</v>
      </c>
      <c r="L95" s="500">
        <v>0.13900000000000001</v>
      </c>
      <c r="M95" s="501">
        <v>0.14099999999999999</v>
      </c>
      <c r="N95" s="1037">
        <v>0.128</v>
      </c>
      <c r="O95" s="1037">
        <v>0.13900000000000001</v>
      </c>
      <c r="P95" s="1037">
        <v>0.14870006935462707</v>
      </c>
      <c r="Q95" s="502"/>
      <c r="R95" s="503">
        <v>5761</v>
      </c>
      <c r="S95" s="503">
        <v>5609</v>
      </c>
      <c r="T95" s="503">
        <v>6108</v>
      </c>
      <c r="U95" s="503">
        <v>6265</v>
      </c>
      <c r="V95" s="503">
        <v>6344</v>
      </c>
      <c r="W95" s="503">
        <v>5561</v>
      </c>
      <c r="X95" s="503">
        <v>6576</v>
      </c>
      <c r="Y95" s="503">
        <v>7589</v>
      </c>
      <c r="Z95" s="503">
        <v>7302</v>
      </c>
      <c r="AA95" s="503">
        <v>7165</v>
      </c>
      <c r="AB95" s="504">
        <v>7500</v>
      </c>
      <c r="AC95" s="1044">
        <v>6831</v>
      </c>
      <c r="AD95" s="1525">
        <v>7405</v>
      </c>
      <c r="AE95" s="1529">
        <v>7933</v>
      </c>
    </row>
    <row r="96" spans="1:31" ht="16.5" customHeight="1">
      <c r="A96" s="416" t="s">
        <v>236</v>
      </c>
      <c r="B96" s="417" t="s">
        <v>532</v>
      </c>
      <c r="C96" s="500">
        <v>0.13400000000000001</v>
      </c>
      <c r="D96" s="500">
        <v>0.13</v>
      </c>
      <c r="E96" s="500">
        <v>0.13800000000000001</v>
      </c>
      <c r="F96" s="500">
        <v>0.13800000000000001</v>
      </c>
      <c r="G96" s="500">
        <v>0.13300000000000001</v>
      </c>
      <c r="H96" s="500">
        <v>0.16</v>
      </c>
      <c r="I96" s="500">
        <v>0.14499999999999999</v>
      </c>
      <c r="J96" s="500">
        <v>0.124</v>
      </c>
      <c r="K96" s="500">
        <v>0.14699999999999999</v>
      </c>
      <c r="L96" s="500">
        <v>0.14099999999999999</v>
      </c>
      <c r="M96" s="501">
        <v>0.14699999999999999</v>
      </c>
      <c r="N96" s="1037">
        <v>0.17300000000000001</v>
      </c>
      <c r="O96" s="1037">
        <v>0.17599999999999999</v>
      </c>
      <c r="P96" s="1037">
        <v>0.15309446254071662</v>
      </c>
      <c r="Q96" s="502"/>
      <c r="R96" s="503">
        <v>2218</v>
      </c>
      <c r="S96" s="503">
        <v>2171</v>
      </c>
      <c r="T96" s="503">
        <v>2347</v>
      </c>
      <c r="U96" s="503">
        <v>2355</v>
      </c>
      <c r="V96" s="503">
        <v>2293</v>
      </c>
      <c r="W96" s="503">
        <v>2736</v>
      </c>
      <c r="X96" s="503">
        <v>2476</v>
      </c>
      <c r="Y96" s="503">
        <v>2118</v>
      </c>
      <c r="Z96" s="503">
        <v>2546</v>
      </c>
      <c r="AA96" s="503">
        <v>2472</v>
      </c>
      <c r="AB96" s="504">
        <v>2555</v>
      </c>
      <c r="AC96" s="1044">
        <v>3020</v>
      </c>
      <c r="AD96" s="1525">
        <v>3073</v>
      </c>
      <c r="AE96" s="1529">
        <v>2679</v>
      </c>
    </row>
    <row r="97" spans="1:31" ht="16.5" customHeight="1">
      <c r="A97" s="416" t="s">
        <v>242</v>
      </c>
      <c r="B97" s="417" t="s">
        <v>533</v>
      </c>
      <c r="C97" s="500">
        <v>0.193</v>
      </c>
      <c r="D97" s="500">
        <v>0.183</v>
      </c>
      <c r="E97" s="500">
        <v>0.20199999999999999</v>
      </c>
      <c r="F97" s="500">
        <v>0.19500000000000001</v>
      </c>
      <c r="G97" s="500">
        <v>0.192</v>
      </c>
      <c r="H97" s="500">
        <v>0.23300000000000001</v>
      </c>
      <c r="I97" s="500">
        <v>0.20100000000000001</v>
      </c>
      <c r="J97" s="500">
        <v>0.21600000000000003</v>
      </c>
      <c r="K97" s="500">
        <v>0.215</v>
      </c>
      <c r="L97" s="500">
        <v>0.193</v>
      </c>
      <c r="M97" s="501">
        <v>0.222</v>
      </c>
      <c r="N97" s="1037">
        <v>0.22800000000000001</v>
      </c>
      <c r="O97" s="1037">
        <v>0.25600000000000001</v>
      </c>
      <c r="P97" s="1037">
        <v>0.19320836873406966</v>
      </c>
      <c r="Q97" s="502"/>
      <c r="R97" s="503">
        <v>7550</v>
      </c>
      <c r="S97" s="503">
        <v>7157</v>
      </c>
      <c r="T97" s="503">
        <v>7942</v>
      </c>
      <c r="U97" s="503">
        <v>7607</v>
      </c>
      <c r="V97" s="503">
        <v>7545</v>
      </c>
      <c r="W97" s="503">
        <v>9005</v>
      </c>
      <c r="X97" s="503">
        <v>7809</v>
      </c>
      <c r="Y97" s="503">
        <v>8333</v>
      </c>
      <c r="Z97" s="503">
        <v>8287</v>
      </c>
      <c r="AA97" s="503">
        <v>7453</v>
      </c>
      <c r="AB97" s="504">
        <v>8524</v>
      </c>
      <c r="AC97" s="1044">
        <v>8782</v>
      </c>
      <c r="AD97" s="1525">
        <v>9750</v>
      </c>
      <c r="AE97" s="1529">
        <v>7277</v>
      </c>
    </row>
    <row r="98" spans="1:31" ht="16.5" customHeight="1">
      <c r="A98" s="416" t="s">
        <v>244</v>
      </c>
      <c r="B98" s="417" t="s">
        <v>534</v>
      </c>
      <c r="C98" s="500">
        <v>0.11800000000000001</v>
      </c>
      <c r="D98" s="500">
        <v>0.122</v>
      </c>
      <c r="E98" s="500">
        <v>0.13699999999999998</v>
      </c>
      <c r="F98" s="500">
        <v>0.128</v>
      </c>
      <c r="G98" s="500">
        <v>0.11900000000000001</v>
      </c>
      <c r="H98" s="500">
        <v>0.13699999999999998</v>
      </c>
      <c r="I98" s="500">
        <v>0.14599999999999999</v>
      </c>
      <c r="J98" s="500">
        <v>0.122</v>
      </c>
      <c r="K98" s="500">
        <v>0.14000000000000001</v>
      </c>
      <c r="L98" s="500">
        <v>0.14300000000000002</v>
      </c>
      <c r="M98" s="501">
        <v>0.158</v>
      </c>
      <c r="N98" s="1037">
        <v>0.14300000000000002</v>
      </c>
      <c r="O98" s="1037">
        <v>0.16900000000000001</v>
      </c>
      <c r="P98" s="1037">
        <v>0.15119482129329936</v>
      </c>
      <c r="Q98" s="502"/>
      <c r="R98" s="503">
        <v>3228</v>
      </c>
      <c r="S98" s="503">
        <v>3351</v>
      </c>
      <c r="T98" s="503">
        <v>3806</v>
      </c>
      <c r="U98" s="503">
        <v>3543</v>
      </c>
      <c r="V98" s="503">
        <v>3366</v>
      </c>
      <c r="W98" s="503">
        <v>3825</v>
      </c>
      <c r="X98" s="503">
        <v>4130</v>
      </c>
      <c r="Y98" s="503">
        <v>3421</v>
      </c>
      <c r="Z98" s="503">
        <v>3967</v>
      </c>
      <c r="AA98" s="503">
        <v>4058</v>
      </c>
      <c r="AB98" s="504">
        <v>4578</v>
      </c>
      <c r="AC98" s="1044">
        <v>4148</v>
      </c>
      <c r="AD98" s="1525">
        <v>4889</v>
      </c>
      <c r="AE98" s="1529">
        <v>4391</v>
      </c>
    </row>
    <row r="99" spans="1:31" ht="16.5" customHeight="1">
      <c r="A99" s="416" t="s">
        <v>246</v>
      </c>
      <c r="B99" s="417" t="s">
        <v>779</v>
      </c>
      <c r="C99" s="500">
        <v>4.2800000000000005E-2</v>
      </c>
      <c r="D99" s="500">
        <v>4.2699999999999995E-2</v>
      </c>
      <c r="E99" s="500">
        <v>4.4400000000000002E-2</v>
      </c>
      <c r="F99" s="500">
        <v>4.9699999999999994E-2</v>
      </c>
      <c r="G99" s="500">
        <v>4.7699999999999992E-2</v>
      </c>
      <c r="H99" s="500">
        <v>4.2599999999999999E-2</v>
      </c>
      <c r="I99" s="500">
        <v>4.4000000000000004E-2</v>
      </c>
      <c r="J99" s="500">
        <v>4.2000000000000003E-2</v>
      </c>
      <c r="K99" s="500">
        <v>4.4000000000000004E-2</v>
      </c>
      <c r="L99" s="500">
        <v>4.7300000000000002E-2</v>
      </c>
      <c r="M99" s="501">
        <v>5.3157922199184374E-2</v>
      </c>
      <c r="N99" s="1037">
        <v>5.3691962856227987E-2</v>
      </c>
      <c r="O99" s="1037">
        <v>6.6000000000000003E-2</v>
      </c>
      <c r="P99" s="1037">
        <v>5.9275493103003736E-2</v>
      </c>
      <c r="Q99" s="502"/>
      <c r="R99" s="503">
        <v>2965</v>
      </c>
      <c r="S99" s="503">
        <v>3035</v>
      </c>
      <c r="T99" s="503">
        <v>3230</v>
      </c>
      <c r="U99" s="503">
        <v>3589</v>
      </c>
      <c r="V99" s="503">
        <v>3510</v>
      </c>
      <c r="W99" s="503">
        <v>3102</v>
      </c>
      <c r="X99" s="503">
        <v>3228</v>
      </c>
      <c r="Y99" s="503">
        <v>3067</v>
      </c>
      <c r="Z99" s="503">
        <v>3172</v>
      </c>
      <c r="AA99" s="503">
        <v>3402</v>
      </c>
      <c r="AB99" s="504">
        <v>4058</v>
      </c>
      <c r="AC99" s="1044">
        <v>4192</v>
      </c>
      <c r="AD99" s="1525">
        <v>5134</v>
      </c>
      <c r="AE99" s="1529">
        <v>4598</v>
      </c>
    </row>
    <row r="100" spans="1:31" ht="16.5" customHeight="1">
      <c r="A100" s="416" t="s">
        <v>14</v>
      </c>
      <c r="B100" s="417" t="s">
        <v>15</v>
      </c>
      <c r="C100" s="500">
        <v>7.4999999999999997E-2</v>
      </c>
      <c r="D100" s="500">
        <v>7.2000000000000008E-2</v>
      </c>
      <c r="E100" s="500">
        <v>7.8E-2</v>
      </c>
      <c r="F100" s="500">
        <v>8.8000000000000009E-2</v>
      </c>
      <c r="G100" s="500">
        <v>8.3000000000000004E-2</v>
      </c>
      <c r="H100" s="500">
        <v>7.6999999999999999E-2</v>
      </c>
      <c r="I100" s="500">
        <v>7.2000000000000008E-2</v>
      </c>
      <c r="J100" s="500">
        <v>8.3000000000000004E-2</v>
      </c>
      <c r="K100" s="500">
        <v>0.08</v>
      </c>
      <c r="L100" s="500">
        <v>9.0999999999999998E-2</v>
      </c>
      <c r="M100" s="501">
        <v>9.3000000000000013E-2</v>
      </c>
      <c r="N100" s="1037">
        <v>8.1000000000000003E-2</v>
      </c>
      <c r="O100" s="1037">
        <v>8.5999999999999993E-2</v>
      </c>
      <c r="P100" s="1037">
        <v>8.7829889090624724E-2</v>
      </c>
      <c r="Q100" s="502"/>
      <c r="R100" s="503">
        <v>9744</v>
      </c>
      <c r="S100" s="503">
        <v>9285</v>
      </c>
      <c r="T100" s="503">
        <v>10067</v>
      </c>
      <c r="U100" s="503">
        <v>11271</v>
      </c>
      <c r="V100" s="503">
        <v>11165</v>
      </c>
      <c r="W100" s="503">
        <v>10320</v>
      </c>
      <c r="X100" s="503">
        <v>9685</v>
      </c>
      <c r="Y100" s="503">
        <v>11450</v>
      </c>
      <c r="Z100" s="503">
        <v>11398</v>
      </c>
      <c r="AA100" s="503">
        <v>13486</v>
      </c>
      <c r="AB100" s="504">
        <v>12898</v>
      </c>
      <c r="AC100" s="1044">
        <v>11522</v>
      </c>
      <c r="AD100" s="1525">
        <v>12412</v>
      </c>
      <c r="AE100" s="1529">
        <v>12916</v>
      </c>
    </row>
    <row r="101" spans="1:31" ht="16.5" customHeight="1">
      <c r="A101" s="416" t="s">
        <v>34</v>
      </c>
      <c r="B101" s="417" t="s">
        <v>35</v>
      </c>
      <c r="C101" s="500">
        <v>0.154</v>
      </c>
      <c r="D101" s="500">
        <v>0.156</v>
      </c>
      <c r="E101" s="500">
        <v>0.17100000000000001</v>
      </c>
      <c r="F101" s="500">
        <v>0.16399999999999998</v>
      </c>
      <c r="G101" s="500">
        <v>0.16800000000000001</v>
      </c>
      <c r="H101" s="500">
        <v>0.182</v>
      </c>
      <c r="I101" s="500">
        <v>0.214</v>
      </c>
      <c r="J101" s="500">
        <v>0.183</v>
      </c>
      <c r="K101" s="500">
        <v>0.21299999999999999</v>
      </c>
      <c r="L101" s="500">
        <v>0.20199999999999999</v>
      </c>
      <c r="M101" s="501">
        <v>0.21500000000000002</v>
      </c>
      <c r="N101" s="1037">
        <v>0.25800000000000001</v>
      </c>
      <c r="O101" s="1037">
        <v>0.21099999999999999</v>
      </c>
      <c r="P101" s="1037">
        <v>0.21624151649894688</v>
      </c>
      <c r="Q101" s="502"/>
      <c r="R101" s="503">
        <v>2597</v>
      </c>
      <c r="S101" s="503">
        <v>2577</v>
      </c>
      <c r="T101" s="503">
        <v>2861</v>
      </c>
      <c r="U101" s="503">
        <v>2763</v>
      </c>
      <c r="V101" s="503">
        <v>2805</v>
      </c>
      <c r="W101" s="503">
        <v>2999</v>
      </c>
      <c r="X101" s="503">
        <v>3584</v>
      </c>
      <c r="Y101" s="503">
        <v>3098</v>
      </c>
      <c r="Z101" s="503">
        <v>3605</v>
      </c>
      <c r="AA101" s="503">
        <v>3458</v>
      </c>
      <c r="AB101" s="504">
        <v>3744</v>
      </c>
      <c r="AC101" s="1044">
        <v>4466</v>
      </c>
      <c r="AD101" s="1525">
        <v>3624</v>
      </c>
      <c r="AE101" s="1529">
        <v>3696</v>
      </c>
    </row>
    <row r="102" spans="1:31" ht="16.5" customHeight="1">
      <c r="A102" s="416" t="s">
        <v>52</v>
      </c>
      <c r="B102" s="417" t="s">
        <v>53</v>
      </c>
      <c r="C102" s="500">
        <v>0.16800000000000001</v>
      </c>
      <c r="D102" s="500">
        <v>0.14599999999999999</v>
      </c>
      <c r="E102" s="500">
        <v>0.16399999999999998</v>
      </c>
      <c r="F102" s="500">
        <v>0.18</v>
      </c>
      <c r="G102" s="500">
        <v>0.17199999999999999</v>
      </c>
      <c r="H102" s="500">
        <v>0.23699999999999999</v>
      </c>
      <c r="I102" s="500">
        <v>0.24</v>
      </c>
      <c r="J102" s="500">
        <v>0.23600000000000002</v>
      </c>
      <c r="K102" s="500">
        <v>0.218</v>
      </c>
      <c r="L102" s="500">
        <v>0.214</v>
      </c>
      <c r="M102" s="501">
        <v>0.20200000000000001</v>
      </c>
      <c r="N102" s="1037">
        <v>0.23</v>
      </c>
      <c r="O102" s="1037">
        <v>0.24199999999999999</v>
      </c>
      <c r="P102" s="1037">
        <v>0.22897096751295459</v>
      </c>
      <c r="Q102" s="502"/>
      <c r="R102" s="503">
        <v>6470</v>
      </c>
      <c r="S102" s="503">
        <v>5556</v>
      </c>
      <c r="T102" s="503">
        <v>6184</v>
      </c>
      <c r="U102" s="503">
        <v>6295</v>
      </c>
      <c r="V102" s="503">
        <v>6720</v>
      </c>
      <c r="W102" s="503">
        <v>9101</v>
      </c>
      <c r="X102" s="503">
        <v>9240</v>
      </c>
      <c r="Y102" s="503">
        <v>9299</v>
      </c>
      <c r="Z102" s="503">
        <v>8640</v>
      </c>
      <c r="AA102" s="503">
        <v>8666</v>
      </c>
      <c r="AB102" s="504">
        <v>8387</v>
      </c>
      <c r="AC102" s="1044">
        <v>9508</v>
      </c>
      <c r="AD102" s="1525">
        <v>10138</v>
      </c>
      <c r="AE102" s="1529">
        <v>9677</v>
      </c>
    </row>
    <row r="103" spans="1:31" ht="16.5" customHeight="1">
      <c r="A103" s="416" t="s">
        <v>54</v>
      </c>
      <c r="B103" s="417" t="s">
        <v>55</v>
      </c>
      <c r="C103" s="500">
        <v>7.6999999999999999E-2</v>
      </c>
      <c r="D103" s="500">
        <v>7.5999999999999998E-2</v>
      </c>
      <c r="E103" s="500">
        <v>8.3000000000000004E-2</v>
      </c>
      <c r="F103" s="500">
        <v>9.0999999999999998E-2</v>
      </c>
      <c r="G103" s="500">
        <v>8.6999999999999994E-2</v>
      </c>
      <c r="H103" s="500">
        <v>6.8000000000000005E-2</v>
      </c>
      <c r="I103" s="500">
        <v>6.8000000000000005E-2</v>
      </c>
      <c r="J103" s="500">
        <v>0.08</v>
      </c>
      <c r="K103" s="500">
        <v>7.9000000000000001E-2</v>
      </c>
      <c r="L103" s="500">
        <v>7.2999999999999995E-2</v>
      </c>
      <c r="M103" s="501">
        <v>0.08</v>
      </c>
      <c r="N103" s="1037">
        <v>9.3000000000000013E-2</v>
      </c>
      <c r="O103" s="1037">
        <v>0.104</v>
      </c>
      <c r="P103" s="1037">
        <v>9.568905157362026E-2</v>
      </c>
      <c r="Q103" s="502"/>
      <c r="R103" s="503">
        <v>15364</v>
      </c>
      <c r="S103" s="503">
        <v>15393</v>
      </c>
      <c r="T103" s="503">
        <v>17353</v>
      </c>
      <c r="U103" s="503">
        <v>19330</v>
      </c>
      <c r="V103" s="503">
        <v>18815</v>
      </c>
      <c r="W103" s="503">
        <v>14571</v>
      </c>
      <c r="X103" s="503">
        <v>14811</v>
      </c>
      <c r="Y103" s="503">
        <v>17246</v>
      </c>
      <c r="Z103" s="503">
        <v>17088</v>
      </c>
      <c r="AA103" s="503">
        <v>15859</v>
      </c>
      <c r="AB103" s="504">
        <v>17468</v>
      </c>
      <c r="AC103" s="1044">
        <v>20551</v>
      </c>
      <c r="AD103" s="1525">
        <v>23308</v>
      </c>
      <c r="AE103" s="1529">
        <v>21593</v>
      </c>
    </row>
    <row r="104" spans="1:31" ht="16.5" customHeight="1">
      <c r="A104" s="416" t="s">
        <v>66</v>
      </c>
      <c r="B104" s="417" t="s">
        <v>67</v>
      </c>
      <c r="C104" s="500">
        <v>0.17100000000000001</v>
      </c>
      <c r="D104" s="500">
        <v>0.17300000000000001</v>
      </c>
      <c r="E104" s="500">
        <v>0.192</v>
      </c>
      <c r="F104" s="500">
        <v>0.19399999999999998</v>
      </c>
      <c r="G104" s="500">
        <v>0.19399999999999998</v>
      </c>
      <c r="H104" s="500">
        <v>0.24299999999999999</v>
      </c>
      <c r="I104" s="500">
        <v>0.223</v>
      </c>
      <c r="J104" s="500">
        <v>0.22800000000000001</v>
      </c>
      <c r="K104" s="500">
        <v>0.20800000000000002</v>
      </c>
      <c r="L104" s="500">
        <v>0.251</v>
      </c>
      <c r="M104" s="501">
        <v>0.26600000000000001</v>
      </c>
      <c r="N104" s="1037">
        <v>0.26500000000000001</v>
      </c>
      <c r="O104" s="1037">
        <v>0.25900000000000001</v>
      </c>
      <c r="P104" s="1037">
        <v>0.25023586617316207</v>
      </c>
      <c r="Q104" s="502"/>
      <c r="R104" s="503">
        <v>7972</v>
      </c>
      <c r="S104" s="503">
        <v>7971</v>
      </c>
      <c r="T104" s="503">
        <v>8821</v>
      </c>
      <c r="U104" s="503">
        <v>8796</v>
      </c>
      <c r="V104" s="503">
        <v>8715</v>
      </c>
      <c r="W104" s="503">
        <v>10779</v>
      </c>
      <c r="X104" s="503">
        <v>9838</v>
      </c>
      <c r="Y104" s="503">
        <v>9930</v>
      </c>
      <c r="Z104" s="503">
        <v>8991</v>
      </c>
      <c r="AA104" s="503">
        <v>10764</v>
      </c>
      <c r="AB104" s="504">
        <v>11032</v>
      </c>
      <c r="AC104" s="1044">
        <v>10984</v>
      </c>
      <c r="AD104" s="1525">
        <v>10719</v>
      </c>
      <c r="AE104" s="1529">
        <v>10344</v>
      </c>
    </row>
    <row r="105" spans="1:31" ht="16.5" customHeight="1">
      <c r="A105" s="416" t="s">
        <v>82</v>
      </c>
      <c r="B105" s="417" t="s">
        <v>83</v>
      </c>
      <c r="C105" s="500">
        <v>0.17499999999999999</v>
      </c>
      <c r="D105" s="500">
        <v>0.156</v>
      </c>
      <c r="E105" s="500">
        <v>0.17100000000000001</v>
      </c>
      <c r="F105" s="500">
        <v>0.17399999999999999</v>
      </c>
      <c r="G105" s="500">
        <v>0.16600000000000001</v>
      </c>
      <c r="H105" s="500">
        <v>0.20100000000000001</v>
      </c>
      <c r="I105" s="500">
        <v>0.185</v>
      </c>
      <c r="J105" s="500">
        <v>0.184</v>
      </c>
      <c r="K105" s="500">
        <v>0.19399999999999998</v>
      </c>
      <c r="L105" s="500">
        <v>0.17699999999999999</v>
      </c>
      <c r="M105" s="501">
        <v>0.216</v>
      </c>
      <c r="N105" s="1037">
        <v>0.218</v>
      </c>
      <c r="O105" s="1037">
        <v>0.20799999999999999</v>
      </c>
      <c r="P105" s="1037">
        <v>0.2186030103480715</v>
      </c>
      <c r="Q105" s="502"/>
      <c r="R105" s="503">
        <v>1401</v>
      </c>
      <c r="S105" s="503">
        <v>1237</v>
      </c>
      <c r="T105" s="503">
        <v>1374</v>
      </c>
      <c r="U105" s="503">
        <v>1435</v>
      </c>
      <c r="V105" s="503">
        <v>1388</v>
      </c>
      <c r="W105" s="503">
        <v>1668</v>
      </c>
      <c r="X105" s="503">
        <v>1576</v>
      </c>
      <c r="Y105" s="503">
        <v>1586</v>
      </c>
      <c r="Z105" s="503">
        <v>1663</v>
      </c>
      <c r="AA105" s="503">
        <v>1506</v>
      </c>
      <c r="AB105" s="504">
        <v>1833</v>
      </c>
      <c r="AC105" s="1044">
        <v>1843</v>
      </c>
      <c r="AD105" s="1525">
        <v>1750</v>
      </c>
      <c r="AE105" s="1529">
        <v>1859</v>
      </c>
    </row>
    <row r="106" spans="1:31" ht="16.5" customHeight="1">
      <c r="A106" s="416" t="s">
        <v>88</v>
      </c>
      <c r="B106" s="417" t="s">
        <v>89</v>
      </c>
      <c r="C106" s="500">
        <v>0.128</v>
      </c>
      <c r="D106" s="500">
        <v>0.126</v>
      </c>
      <c r="E106" s="500">
        <v>0.13699999999999998</v>
      </c>
      <c r="F106" s="500">
        <v>0.14199999999999999</v>
      </c>
      <c r="G106" s="500">
        <v>0.14400000000000002</v>
      </c>
      <c r="H106" s="500">
        <v>0.17</v>
      </c>
      <c r="I106" s="500">
        <v>0.14899999999999999</v>
      </c>
      <c r="J106" s="500">
        <v>0.13</v>
      </c>
      <c r="K106" s="500">
        <v>0.154</v>
      </c>
      <c r="L106" s="500">
        <v>0.17300000000000001</v>
      </c>
      <c r="M106" s="501">
        <v>0.19800000000000001</v>
      </c>
      <c r="N106" s="1037">
        <v>0.159</v>
      </c>
      <c r="O106" s="1037">
        <v>0.157</v>
      </c>
      <c r="P106" s="1037">
        <v>0.17524306378942375</v>
      </c>
      <c r="Q106" s="502"/>
      <c r="R106" s="503">
        <v>2267</v>
      </c>
      <c r="S106" s="503">
        <v>2247</v>
      </c>
      <c r="T106" s="503">
        <v>2476</v>
      </c>
      <c r="U106" s="503">
        <v>2594</v>
      </c>
      <c r="V106" s="503">
        <v>2630</v>
      </c>
      <c r="W106" s="503">
        <v>3050</v>
      </c>
      <c r="X106" s="503">
        <v>2783</v>
      </c>
      <c r="Y106" s="503">
        <v>2585</v>
      </c>
      <c r="Z106" s="503">
        <v>3118</v>
      </c>
      <c r="AA106" s="503">
        <v>3581</v>
      </c>
      <c r="AB106" s="504">
        <v>4338</v>
      </c>
      <c r="AC106" s="1044">
        <v>3681</v>
      </c>
      <c r="AD106" s="1525">
        <v>3860</v>
      </c>
      <c r="AE106" s="1529">
        <v>4434</v>
      </c>
    </row>
    <row r="107" spans="1:31" ht="16.5" customHeight="1">
      <c r="A107" s="416" t="s">
        <v>90</v>
      </c>
      <c r="B107" s="417" t="s">
        <v>91</v>
      </c>
      <c r="C107" s="500">
        <v>0.184</v>
      </c>
      <c r="D107" s="500">
        <v>0.16899999999999998</v>
      </c>
      <c r="E107" s="500">
        <v>0.17699999999999999</v>
      </c>
      <c r="F107" s="500">
        <v>0.18</v>
      </c>
      <c r="G107" s="500">
        <v>0.17</v>
      </c>
      <c r="H107" s="500">
        <v>0.20699999999999999</v>
      </c>
      <c r="I107" s="500">
        <v>0.23</v>
      </c>
      <c r="J107" s="500">
        <v>0.19</v>
      </c>
      <c r="K107" s="500">
        <v>0.20699999999999999</v>
      </c>
      <c r="L107" s="500">
        <v>0.191</v>
      </c>
      <c r="M107" s="501">
        <v>0.223</v>
      </c>
      <c r="N107" s="1037">
        <v>0.22899999999999998</v>
      </c>
      <c r="O107" s="1037">
        <v>0.22800000000000001</v>
      </c>
      <c r="P107" s="1037">
        <v>0.22763744427934621</v>
      </c>
      <c r="Q107" s="502"/>
      <c r="R107" s="503">
        <v>1202</v>
      </c>
      <c r="S107" s="503">
        <v>1094</v>
      </c>
      <c r="T107" s="503">
        <v>1163</v>
      </c>
      <c r="U107" s="503">
        <v>1180</v>
      </c>
      <c r="V107" s="503">
        <v>1118</v>
      </c>
      <c r="W107" s="503">
        <v>1349</v>
      </c>
      <c r="X107" s="503">
        <v>1504</v>
      </c>
      <c r="Y107" s="503">
        <v>1267</v>
      </c>
      <c r="Z107" s="503">
        <v>1378</v>
      </c>
      <c r="AA107" s="503">
        <v>1286</v>
      </c>
      <c r="AB107" s="504">
        <v>1512</v>
      </c>
      <c r="AC107" s="1044">
        <v>1530</v>
      </c>
      <c r="AD107" s="1525">
        <v>1506</v>
      </c>
      <c r="AE107" s="1529">
        <v>1532</v>
      </c>
    </row>
    <row r="108" spans="1:31" ht="16.5" customHeight="1">
      <c r="A108" s="416" t="s">
        <v>106</v>
      </c>
      <c r="B108" s="417" t="s">
        <v>107</v>
      </c>
      <c r="C108" s="500">
        <v>0.122</v>
      </c>
      <c r="D108" s="500">
        <v>0.121</v>
      </c>
      <c r="E108" s="500">
        <v>0.13</v>
      </c>
      <c r="F108" s="500">
        <v>0.13100000000000001</v>
      </c>
      <c r="G108" s="500">
        <v>0.125</v>
      </c>
      <c r="H108" s="500">
        <v>0.13400000000000001</v>
      </c>
      <c r="I108" s="500">
        <v>0.121</v>
      </c>
      <c r="J108" s="500">
        <v>0.15</v>
      </c>
      <c r="K108" s="500">
        <v>0.14199999999999999</v>
      </c>
      <c r="L108" s="500">
        <v>0.14800000000000002</v>
      </c>
      <c r="M108" s="501">
        <v>0.13099999999999998</v>
      </c>
      <c r="N108" s="1037">
        <v>0.153</v>
      </c>
      <c r="O108" s="1037">
        <v>0.16500000000000001</v>
      </c>
      <c r="P108" s="1037">
        <v>0.15595928806935214</v>
      </c>
      <c r="Q108" s="502"/>
      <c r="R108" s="503">
        <v>16301</v>
      </c>
      <c r="S108" s="503">
        <v>16154</v>
      </c>
      <c r="T108" s="503">
        <v>17671</v>
      </c>
      <c r="U108" s="503">
        <v>17544</v>
      </c>
      <c r="V108" s="503">
        <v>16802</v>
      </c>
      <c r="W108" s="503">
        <v>17885</v>
      </c>
      <c r="X108" s="503">
        <v>16140</v>
      </c>
      <c r="Y108" s="503">
        <v>20115</v>
      </c>
      <c r="Z108" s="503">
        <v>18827</v>
      </c>
      <c r="AA108" s="503">
        <v>19499</v>
      </c>
      <c r="AB108" s="504">
        <v>17439</v>
      </c>
      <c r="AC108" s="1044">
        <v>20153</v>
      </c>
      <c r="AD108" s="1525">
        <v>21855</v>
      </c>
      <c r="AE108" s="1529">
        <v>20671</v>
      </c>
    </row>
    <row r="109" spans="1:31" ht="16.5" customHeight="1">
      <c r="A109" s="416" t="s">
        <v>116</v>
      </c>
      <c r="B109" s="417" t="s">
        <v>117</v>
      </c>
      <c r="C109" s="500">
        <v>0.14499999999999999</v>
      </c>
      <c r="D109" s="500">
        <v>0.14099999999999999</v>
      </c>
      <c r="E109" s="500">
        <v>0.16</v>
      </c>
      <c r="F109" s="500">
        <v>0.16399999999999998</v>
      </c>
      <c r="G109" s="500">
        <v>0.155</v>
      </c>
      <c r="H109" s="500">
        <v>0.16600000000000001</v>
      </c>
      <c r="I109" s="500">
        <v>0.16600000000000001</v>
      </c>
      <c r="J109" s="500">
        <v>0.15</v>
      </c>
      <c r="K109" s="500">
        <v>0.17899999999999999</v>
      </c>
      <c r="L109" s="500">
        <v>0.19699999999999998</v>
      </c>
      <c r="M109" s="501">
        <v>0.17299999999999999</v>
      </c>
      <c r="N109" s="1037">
        <v>0.183</v>
      </c>
      <c r="O109" s="1037">
        <v>0.189</v>
      </c>
      <c r="P109" s="1037">
        <v>0.22586412395709177</v>
      </c>
      <c r="Q109" s="502"/>
      <c r="R109" s="503">
        <v>3195</v>
      </c>
      <c r="S109" s="503">
        <v>3132</v>
      </c>
      <c r="T109" s="503">
        <v>3571</v>
      </c>
      <c r="U109" s="503">
        <v>3635</v>
      </c>
      <c r="V109" s="503">
        <v>3497</v>
      </c>
      <c r="W109" s="503">
        <v>3715</v>
      </c>
      <c r="X109" s="503">
        <v>3720</v>
      </c>
      <c r="Y109" s="503">
        <v>3402</v>
      </c>
      <c r="Z109" s="503">
        <v>4079</v>
      </c>
      <c r="AA109" s="503">
        <v>4486</v>
      </c>
      <c r="AB109" s="504">
        <v>3859</v>
      </c>
      <c r="AC109" s="1044">
        <v>4076</v>
      </c>
      <c r="AD109" s="1525">
        <v>4153</v>
      </c>
      <c r="AE109" s="1529">
        <v>4927</v>
      </c>
    </row>
    <row r="110" spans="1:31" ht="16.5" customHeight="1">
      <c r="A110" s="416" t="s">
        <v>138</v>
      </c>
      <c r="B110" s="417" t="s">
        <v>139</v>
      </c>
      <c r="C110" s="500">
        <v>0.15</v>
      </c>
      <c r="D110" s="500">
        <v>0.157</v>
      </c>
      <c r="E110" s="500">
        <v>0.183</v>
      </c>
      <c r="F110" s="500">
        <v>0.17600000000000002</v>
      </c>
      <c r="G110" s="500">
        <v>0.17800000000000002</v>
      </c>
      <c r="H110" s="500">
        <v>0.192</v>
      </c>
      <c r="I110" s="500">
        <v>0.191</v>
      </c>
      <c r="J110" s="500">
        <v>0.19399999999999998</v>
      </c>
      <c r="K110" s="500">
        <v>0.19800000000000001</v>
      </c>
      <c r="L110" s="500">
        <v>0.20699999999999999</v>
      </c>
      <c r="M110" s="501">
        <v>0.22800000000000001</v>
      </c>
      <c r="N110" s="1037">
        <v>0.221</v>
      </c>
      <c r="O110" s="1037">
        <v>0.23799999999999999</v>
      </c>
      <c r="P110" s="1037">
        <v>0.22646971935007384</v>
      </c>
      <c r="Q110" s="502"/>
      <c r="R110" s="503">
        <v>8790</v>
      </c>
      <c r="S110" s="503">
        <v>9167</v>
      </c>
      <c r="T110" s="503">
        <v>10764</v>
      </c>
      <c r="U110" s="503">
        <v>10265</v>
      </c>
      <c r="V110" s="503">
        <v>10524</v>
      </c>
      <c r="W110" s="503">
        <v>11145</v>
      </c>
      <c r="X110" s="503">
        <v>11322</v>
      </c>
      <c r="Y110" s="503">
        <v>11980</v>
      </c>
      <c r="Z110" s="503">
        <v>12344</v>
      </c>
      <c r="AA110" s="503">
        <v>13122</v>
      </c>
      <c r="AB110" s="504">
        <v>14921</v>
      </c>
      <c r="AC110" s="1044">
        <v>14671</v>
      </c>
      <c r="AD110" s="1525">
        <v>15896</v>
      </c>
      <c r="AE110" s="1529">
        <v>15332</v>
      </c>
    </row>
    <row r="111" spans="1:31" ht="16.5" customHeight="1">
      <c r="A111" s="416" t="s">
        <v>142</v>
      </c>
      <c r="B111" s="417" t="s">
        <v>143</v>
      </c>
      <c r="C111" s="500">
        <v>5.9000000000000004E-2</v>
      </c>
      <c r="D111" s="500">
        <v>5.9000000000000004E-2</v>
      </c>
      <c r="E111" s="500">
        <v>6.4000000000000001E-2</v>
      </c>
      <c r="F111" s="500">
        <v>7.400000000000001E-2</v>
      </c>
      <c r="G111" s="500">
        <v>7.4999999999999997E-2</v>
      </c>
      <c r="H111" s="500">
        <v>6.8000000000000005E-2</v>
      </c>
      <c r="I111" s="500">
        <v>7.400000000000001E-2</v>
      </c>
      <c r="J111" s="500">
        <v>8.900000000000001E-2</v>
      </c>
      <c r="K111" s="500">
        <v>8.6999999999999994E-2</v>
      </c>
      <c r="L111" s="500">
        <v>0.09</v>
      </c>
      <c r="M111" s="501">
        <v>0.11699999999999998</v>
      </c>
      <c r="N111" s="1037">
        <v>0.10300000000000001</v>
      </c>
      <c r="O111" s="1037">
        <v>0.107</v>
      </c>
      <c r="P111" s="1037">
        <v>0.10119869233563386</v>
      </c>
      <c r="Q111" s="502"/>
      <c r="R111" s="503">
        <v>2076</v>
      </c>
      <c r="S111" s="503">
        <v>2135</v>
      </c>
      <c r="T111" s="503">
        <v>2358</v>
      </c>
      <c r="U111" s="503">
        <v>2747</v>
      </c>
      <c r="V111" s="503">
        <v>2756</v>
      </c>
      <c r="W111" s="503">
        <v>2461</v>
      </c>
      <c r="X111" s="503">
        <v>2642</v>
      </c>
      <c r="Y111" s="503">
        <v>3070</v>
      </c>
      <c r="Z111" s="503">
        <v>2972</v>
      </c>
      <c r="AA111" s="503">
        <v>3234</v>
      </c>
      <c r="AB111" s="504">
        <v>4427</v>
      </c>
      <c r="AC111" s="1044">
        <v>4035</v>
      </c>
      <c r="AD111" s="1525">
        <v>4331</v>
      </c>
      <c r="AE111" s="1529">
        <v>4179</v>
      </c>
    </row>
    <row r="112" spans="1:31" ht="16.5" customHeight="1">
      <c r="A112" s="416" t="s">
        <v>144</v>
      </c>
      <c r="B112" s="417" t="s">
        <v>145</v>
      </c>
      <c r="C112" s="500">
        <v>5.9000000000000004E-2</v>
      </c>
      <c r="D112" s="500">
        <v>5.7000000000000002E-2</v>
      </c>
      <c r="E112" s="500">
        <v>6.0999999999999999E-2</v>
      </c>
      <c r="F112" s="500">
        <v>6.5000000000000002E-2</v>
      </c>
      <c r="G112" s="500">
        <v>0.06</v>
      </c>
      <c r="H112" s="500">
        <v>6.0999999999999999E-2</v>
      </c>
      <c r="I112" s="500">
        <v>6.9000000000000006E-2</v>
      </c>
      <c r="J112" s="500">
        <v>6.2E-2</v>
      </c>
      <c r="K112" s="500">
        <v>6.3E-2</v>
      </c>
      <c r="L112" s="500">
        <v>7.5999999999999998E-2</v>
      </c>
      <c r="M112" s="501">
        <v>8.5999999999999993E-2</v>
      </c>
      <c r="N112" s="1037">
        <v>0.08</v>
      </c>
      <c r="O112" s="1037">
        <v>8.5999999999999993E-2</v>
      </c>
      <c r="P112" s="1037">
        <v>8.4299065420560745E-2</v>
      </c>
      <c r="Q112" s="502"/>
      <c r="R112" s="506">
        <v>641</v>
      </c>
      <c r="S112" s="506">
        <v>619</v>
      </c>
      <c r="T112" s="506">
        <v>671</v>
      </c>
      <c r="U112" s="506">
        <v>750</v>
      </c>
      <c r="V112" s="506">
        <v>699</v>
      </c>
      <c r="W112" s="506">
        <v>705</v>
      </c>
      <c r="X112" s="506">
        <v>794</v>
      </c>
      <c r="Y112" s="506">
        <v>703</v>
      </c>
      <c r="Z112" s="503">
        <v>713</v>
      </c>
      <c r="AA112" s="503">
        <v>906</v>
      </c>
      <c r="AB112" s="504">
        <v>1238</v>
      </c>
      <c r="AC112" s="1044">
        <v>1214</v>
      </c>
      <c r="AD112" s="1525">
        <v>1356</v>
      </c>
      <c r="AE112" s="1529">
        <v>1353</v>
      </c>
    </row>
    <row r="113" spans="1:31" ht="16.5" customHeight="1">
      <c r="A113" s="416" t="s">
        <v>158</v>
      </c>
      <c r="B113" s="417" t="s">
        <v>159</v>
      </c>
      <c r="C113" s="500">
        <v>0.124</v>
      </c>
      <c r="D113" s="500">
        <v>0.11900000000000001</v>
      </c>
      <c r="E113" s="500">
        <v>0.13100000000000001</v>
      </c>
      <c r="F113" s="500">
        <v>0.14000000000000001</v>
      </c>
      <c r="G113" s="500">
        <v>0.13400000000000001</v>
      </c>
      <c r="H113" s="500">
        <v>0.14199999999999999</v>
      </c>
      <c r="I113" s="500">
        <v>0.126</v>
      </c>
      <c r="J113" s="500">
        <v>0.14699999999999999</v>
      </c>
      <c r="K113" s="500">
        <v>0.13200000000000001</v>
      </c>
      <c r="L113" s="500">
        <v>0.13500000000000001</v>
      </c>
      <c r="M113" s="501">
        <v>0.151</v>
      </c>
      <c r="N113" s="1037">
        <v>0.155</v>
      </c>
      <c r="O113" s="1037">
        <v>0.16400000000000001</v>
      </c>
      <c r="P113" s="1037">
        <v>0.17539417654505696</v>
      </c>
      <c r="Q113" s="502"/>
      <c r="R113" s="503">
        <v>21921</v>
      </c>
      <c r="S113" s="503">
        <v>21150</v>
      </c>
      <c r="T113" s="503">
        <v>23577</v>
      </c>
      <c r="U113" s="503">
        <v>25148</v>
      </c>
      <c r="V113" s="503">
        <v>23864</v>
      </c>
      <c r="W113" s="503">
        <v>24948</v>
      </c>
      <c r="X113" s="503">
        <v>22043</v>
      </c>
      <c r="Y113" s="503">
        <v>25758</v>
      </c>
      <c r="Z113" s="503">
        <v>22966</v>
      </c>
      <c r="AA113" s="503">
        <v>25430</v>
      </c>
      <c r="AB113" s="504">
        <v>26088</v>
      </c>
      <c r="AC113" s="1044">
        <v>26712</v>
      </c>
      <c r="AD113" s="1525">
        <v>28299</v>
      </c>
      <c r="AE113" s="1529">
        <v>30480</v>
      </c>
    </row>
    <row r="114" spans="1:31" ht="16.5" customHeight="1">
      <c r="A114" s="416" t="s">
        <v>160</v>
      </c>
      <c r="B114" s="417" t="s">
        <v>161</v>
      </c>
      <c r="C114" s="500">
        <v>0.18600000000000003</v>
      </c>
      <c r="D114" s="500">
        <v>0.18600000000000003</v>
      </c>
      <c r="E114" s="500">
        <v>0.20300000000000001</v>
      </c>
      <c r="F114" s="500">
        <v>0.19800000000000001</v>
      </c>
      <c r="G114" s="500">
        <v>0.188</v>
      </c>
      <c r="H114" s="500">
        <v>0.18899999999999997</v>
      </c>
      <c r="I114" s="500">
        <v>0.17499999999999999</v>
      </c>
      <c r="J114" s="500">
        <v>0.17899999999999999</v>
      </c>
      <c r="K114" s="500">
        <v>0.19500000000000001</v>
      </c>
      <c r="L114" s="500">
        <v>0.184</v>
      </c>
      <c r="M114" s="501">
        <v>0.19</v>
      </c>
      <c r="N114" s="1037">
        <v>0.20300000000000001</v>
      </c>
      <c r="O114" s="1037">
        <v>0.22600000000000001</v>
      </c>
      <c r="P114" s="1037">
        <v>0.23264248217208874</v>
      </c>
      <c r="Q114" s="502"/>
      <c r="R114" s="503">
        <v>39503</v>
      </c>
      <c r="S114" s="503">
        <v>39711</v>
      </c>
      <c r="T114" s="503">
        <v>43514</v>
      </c>
      <c r="U114" s="503">
        <v>41488</v>
      </c>
      <c r="V114" s="503">
        <v>38960</v>
      </c>
      <c r="W114" s="503">
        <v>38857</v>
      </c>
      <c r="X114" s="503">
        <v>35487</v>
      </c>
      <c r="Y114" s="503">
        <v>37343</v>
      </c>
      <c r="Z114" s="503">
        <v>40407</v>
      </c>
      <c r="AA114" s="503">
        <v>37917</v>
      </c>
      <c r="AB114" s="504">
        <v>39903</v>
      </c>
      <c r="AC114" s="1044">
        <v>42703</v>
      </c>
      <c r="AD114" s="1525">
        <v>47978</v>
      </c>
      <c r="AE114" s="1529">
        <v>49457</v>
      </c>
    </row>
    <row r="115" spans="1:31" ht="16.5" customHeight="1">
      <c r="A115" s="416" t="s">
        <v>166</v>
      </c>
      <c r="B115" s="417" t="s">
        <v>167</v>
      </c>
      <c r="C115" s="500">
        <v>0.18600000000000003</v>
      </c>
      <c r="D115" s="500">
        <v>0.17600000000000002</v>
      </c>
      <c r="E115" s="500">
        <v>0.16899999999999998</v>
      </c>
      <c r="F115" s="500">
        <v>0.182</v>
      </c>
      <c r="G115" s="500">
        <v>0.18</v>
      </c>
      <c r="H115" s="500">
        <v>0.221</v>
      </c>
      <c r="I115" s="500">
        <v>0.20300000000000001</v>
      </c>
      <c r="J115" s="500">
        <v>0.20600000000000002</v>
      </c>
      <c r="K115" s="500">
        <v>0.20800000000000002</v>
      </c>
      <c r="L115" s="500">
        <v>0.20899999999999999</v>
      </c>
      <c r="M115" s="501">
        <v>0.19500000000000001</v>
      </c>
      <c r="N115" s="1037">
        <v>0.20499999999999999</v>
      </c>
      <c r="O115" s="1037">
        <v>0.18099999999999999</v>
      </c>
      <c r="P115" s="1037">
        <v>0.22028325746079919</v>
      </c>
      <c r="Q115" s="502"/>
      <c r="R115" s="506">
        <v>717</v>
      </c>
      <c r="S115" s="506">
        <v>686</v>
      </c>
      <c r="T115" s="506">
        <v>659</v>
      </c>
      <c r="U115" s="506">
        <v>678</v>
      </c>
      <c r="V115" s="506">
        <v>658</v>
      </c>
      <c r="W115" s="506">
        <v>801</v>
      </c>
      <c r="X115" s="506">
        <v>730</v>
      </c>
      <c r="Y115" s="506">
        <v>757</v>
      </c>
      <c r="Z115" s="503">
        <v>759</v>
      </c>
      <c r="AA115" s="503">
        <v>763</v>
      </c>
      <c r="AB115" s="504">
        <v>761</v>
      </c>
      <c r="AC115" s="1044">
        <v>819</v>
      </c>
      <c r="AD115" s="1525">
        <v>727</v>
      </c>
      <c r="AE115" s="1529">
        <v>871</v>
      </c>
    </row>
    <row r="116" spans="1:31" ht="16.5" customHeight="1">
      <c r="A116" s="416" t="s">
        <v>176</v>
      </c>
      <c r="B116" s="417" t="s">
        <v>177</v>
      </c>
      <c r="C116" s="500">
        <v>0.17800000000000002</v>
      </c>
      <c r="D116" s="500">
        <v>0.17100000000000001</v>
      </c>
      <c r="E116" s="500">
        <v>0.185</v>
      </c>
      <c r="F116" s="500">
        <v>0.18600000000000003</v>
      </c>
      <c r="G116" s="500">
        <v>0.183</v>
      </c>
      <c r="H116" s="500">
        <v>0.218</v>
      </c>
      <c r="I116" s="500">
        <v>0.193</v>
      </c>
      <c r="J116" s="500">
        <v>0.191</v>
      </c>
      <c r="K116" s="500">
        <v>0.20100000000000001</v>
      </c>
      <c r="L116" s="500">
        <v>0.222</v>
      </c>
      <c r="M116" s="501">
        <v>0.252</v>
      </c>
      <c r="N116" s="1037">
        <v>0.24299999999999999</v>
      </c>
      <c r="O116" s="1037">
        <v>0.25800000000000001</v>
      </c>
      <c r="P116" s="1037">
        <v>0.28128436331647239</v>
      </c>
      <c r="Q116" s="502"/>
      <c r="R116" s="503">
        <v>5826</v>
      </c>
      <c r="S116" s="503">
        <v>5569</v>
      </c>
      <c r="T116" s="503">
        <v>6046</v>
      </c>
      <c r="U116" s="503">
        <v>5978</v>
      </c>
      <c r="V116" s="503">
        <v>5874</v>
      </c>
      <c r="W116" s="503">
        <v>6854</v>
      </c>
      <c r="X116" s="503">
        <v>6098</v>
      </c>
      <c r="Y116" s="503">
        <v>6131</v>
      </c>
      <c r="Z116" s="503">
        <v>6478</v>
      </c>
      <c r="AA116" s="503">
        <v>7164</v>
      </c>
      <c r="AB116" s="504">
        <v>8015</v>
      </c>
      <c r="AC116" s="1044">
        <v>7697</v>
      </c>
      <c r="AD116" s="1525">
        <v>8084</v>
      </c>
      <c r="AE116" s="1529">
        <v>8953</v>
      </c>
    </row>
    <row r="117" spans="1:31" ht="16.5" customHeight="1">
      <c r="A117" s="416" t="s">
        <v>180</v>
      </c>
      <c r="B117" s="417" t="s">
        <v>181</v>
      </c>
      <c r="C117" s="500">
        <v>0.157</v>
      </c>
      <c r="D117" s="500">
        <v>0.153</v>
      </c>
      <c r="E117" s="500">
        <v>0.16399999999999998</v>
      </c>
      <c r="F117" s="500">
        <v>0.16600000000000001</v>
      </c>
      <c r="G117" s="500">
        <v>0.159</v>
      </c>
      <c r="H117" s="500">
        <v>0.17199999999999999</v>
      </c>
      <c r="I117" s="500">
        <v>0.14800000000000002</v>
      </c>
      <c r="J117" s="500">
        <v>0.156</v>
      </c>
      <c r="K117" s="500">
        <v>0.17899999999999999</v>
      </c>
      <c r="L117" s="500">
        <v>0.16699999999999998</v>
      </c>
      <c r="M117" s="501">
        <v>0.183</v>
      </c>
      <c r="N117" s="1037">
        <v>0.18</v>
      </c>
      <c r="O117" s="1037">
        <v>0.19500000000000001</v>
      </c>
      <c r="P117" s="1037">
        <v>0.20878695712919276</v>
      </c>
      <c r="Q117" s="502"/>
      <c r="R117" s="503">
        <v>15026</v>
      </c>
      <c r="S117" s="503">
        <v>14553</v>
      </c>
      <c r="T117" s="503">
        <v>15656</v>
      </c>
      <c r="U117" s="503">
        <v>15789</v>
      </c>
      <c r="V117" s="503">
        <v>15226</v>
      </c>
      <c r="W117" s="503">
        <v>16256</v>
      </c>
      <c r="X117" s="503">
        <v>14186</v>
      </c>
      <c r="Y117" s="503">
        <v>15038</v>
      </c>
      <c r="Z117" s="503">
        <v>16990</v>
      </c>
      <c r="AA117" s="503">
        <v>15687</v>
      </c>
      <c r="AB117" s="504">
        <v>16884</v>
      </c>
      <c r="AC117" s="1044">
        <v>16640</v>
      </c>
      <c r="AD117" s="1525">
        <v>18123</v>
      </c>
      <c r="AE117" s="1529">
        <v>19427</v>
      </c>
    </row>
    <row r="118" spans="1:31" ht="16.5" customHeight="1">
      <c r="A118" s="416" t="s">
        <v>192</v>
      </c>
      <c r="B118" s="417" t="s">
        <v>193</v>
      </c>
      <c r="C118" s="500">
        <v>0.17199999999999999</v>
      </c>
      <c r="D118" s="500">
        <v>0.17300000000000001</v>
      </c>
      <c r="E118" s="500">
        <v>0.19399999999999998</v>
      </c>
      <c r="F118" s="500">
        <v>0.188</v>
      </c>
      <c r="G118" s="500">
        <v>0.191</v>
      </c>
      <c r="H118" s="500">
        <v>0.28199999999999997</v>
      </c>
      <c r="I118" s="500">
        <v>0.24</v>
      </c>
      <c r="J118" s="500">
        <v>0.309</v>
      </c>
      <c r="K118" s="500">
        <v>0.26700000000000002</v>
      </c>
      <c r="L118" s="500">
        <v>0.27699999999999997</v>
      </c>
      <c r="M118" s="501">
        <v>0.25600000000000001</v>
      </c>
      <c r="N118" s="1037">
        <v>0.26800000000000002</v>
      </c>
      <c r="O118" s="1037">
        <v>0.34200000000000003</v>
      </c>
      <c r="P118" s="1037">
        <v>0.31280630726614106</v>
      </c>
      <c r="Q118" s="502"/>
      <c r="R118" s="503">
        <v>2217</v>
      </c>
      <c r="S118" s="503">
        <v>2194</v>
      </c>
      <c r="T118" s="503">
        <v>2408</v>
      </c>
      <c r="U118" s="503">
        <v>2282</v>
      </c>
      <c r="V118" s="503">
        <v>2299</v>
      </c>
      <c r="W118" s="503">
        <v>3357</v>
      </c>
      <c r="X118" s="503">
        <v>2857</v>
      </c>
      <c r="Y118" s="503">
        <v>4146</v>
      </c>
      <c r="Z118" s="503">
        <v>3573</v>
      </c>
      <c r="AA118" s="503">
        <v>3735</v>
      </c>
      <c r="AB118" s="504">
        <v>3525</v>
      </c>
      <c r="AC118" s="1044">
        <v>3685</v>
      </c>
      <c r="AD118" s="1525">
        <v>4643</v>
      </c>
      <c r="AE118" s="1529">
        <v>4404</v>
      </c>
    </row>
    <row r="119" spans="1:31" ht="16.5" customHeight="1">
      <c r="A119" s="416" t="s">
        <v>196</v>
      </c>
      <c r="B119" s="417" t="s">
        <v>197</v>
      </c>
      <c r="C119" s="500">
        <v>0.18100000000000002</v>
      </c>
      <c r="D119" s="500">
        <v>0.17600000000000002</v>
      </c>
      <c r="E119" s="500">
        <v>0.20100000000000001</v>
      </c>
      <c r="F119" s="500">
        <v>0.20300000000000001</v>
      </c>
      <c r="G119" s="500">
        <v>0.19800000000000001</v>
      </c>
      <c r="H119" s="500">
        <v>0.19899999999999998</v>
      </c>
      <c r="I119" s="500">
        <v>0.20699999999999999</v>
      </c>
      <c r="J119" s="500">
        <v>0.22399999999999998</v>
      </c>
      <c r="K119" s="500">
        <v>0.251</v>
      </c>
      <c r="L119" s="500">
        <v>0.23300000000000001</v>
      </c>
      <c r="M119" s="501">
        <v>0.253</v>
      </c>
      <c r="N119" s="1037">
        <v>0.26400000000000001</v>
      </c>
      <c r="O119" s="1037">
        <v>0.26200000000000001</v>
      </c>
      <c r="P119" s="1037">
        <v>0.25372750388333187</v>
      </c>
      <c r="Q119" s="502"/>
      <c r="R119" s="503">
        <v>34154</v>
      </c>
      <c r="S119" s="503">
        <v>32966</v>
      </c>
      <c r="T119" s="503">
        <v>37577</v>
      </c>
      <c r="U119" s="503">
        <v>37320</v>
      </c>
      <c r="V119" s="503">
        <v>36402</v>
      </c>
      <c r="W119" s="503">
        <v>35775</v>
      </c>
      <c r="X119" s="503">
        <v>37513</v>
      </c>
      <c r="Y119" s="503">
        <v>42273</v>
      </c>
      <c r="Z119" s="503">
        <v>47850</v>
      </c>
      <c r="AA119" s="503">
        <v>44931</v>
      </c>
      <c r="AB119" s="504">
        <v>48830</v>
      </c>
      <c r="AC119" s="1044">
        <v>51117</v>
      </c>
      <c r="AD119" s="1525">
        <v>52017</v>
      </c>
      <c r="AE119" s="1529">
        <v>51290</v>
      </c>
    </row>
    <row r="120" spans="1:31" ht="16.5" customHeight="1">
      <c r="A120" s="416" t="s">
        <v>200</v>
      </c>
      <c r="B120" s="417" t="s">
        <v>201</v>
      </c>
      <c r="C120" s="500">
        <v>0.15</v>
      </c>
      <c r="D120" s="500">
        <v>0.151</v>
      </c>
      <c r="E120" s="500">
        <v>0.16600000000000001</v>
      </c>
      <c r="F120" s="500">
        <v>0.16899999999999998</v>
      </c>
      <c r="G120" s="500">
        <v>0.16300000000000001</v>
      </c>
      <c r="H120" s="500">
        <v>0.17199999999999999</v>
      </c>
      <c r="I120" s="500">
        <v>0.16699999999999998</v>
      </c>
      <c r="J120" s="500">
        <v>0.16899999999999998</v>
      </c>
      <c r="K120" s="500">
        <v>0.17800000000000002</v>
      </c>
      <c r="L120" s="500">
        <v>0.2</v>
      </c>
      <c r="M120" s="501">
        <v>0.22399999999999998</v>
      </c>
      <c r="N120" s="1037">
        <v>0.19500000000000001</v>
      </c>
      <c r="O120" s="1037">
        <v>0.20100000000000001</v>
      </c>
      <c r="P120" s="1037">
        <v>0.23344757107170139</v>
      </c>
      <c r="Q120" s="502"/>
      <c r="R120" s="503">
        <v>13870</v>
      </c>
      <c r="S120" s="503">
        <v>13866</v>
      </c>
      <c r="T120" s="503">
        <v>15210</v>
      </c>
      <c r="U120" s="503">
        <v>15372</v>
      </c>
      <c r="V120" s="503">
        <v>14874</v>
      </c>
      <c r="W120" s="503">
        <v>15465</v>
      </c>
      <c r="X120" s="503">
        <v>14908</v>
      </c>
      <c r="Y120" s="503">
        <v>15233</v>
      </c>
      <c r="Z120" s="503">
        <v>16170</v>
      </c>
      <c r="AA120" s="503">
        <v>18382</v>
      </c>
      <c r="AB120" s="504">
        <v>21414</v>
      </c>
      <c r="AC120" s="1044">
        <v>18565</v>
      </c>
      <c r="AD120" s="1525">
        <v>19291</v>
      </c>
      <c r="AE120" s="1529">
        <v>22615</v>
      </c>
    </row>
    <row r="121" spans="1:31" ht="16.5" customHeight="1">
      <c r="A121" s="416" t="s">
        <v>222</v>
      </c>
      <c r="B121" s="417" t="s">
        <v>223</v>
      </c>
      <c r="C121" s="500">
        <v>0.11599999999999999</v>
      </c>
      <c r="D121" s="500">
        <v>0.105</v>
      </c>
      <c r="E121" s="500">
        <v>0.109</v>
      </c>
      <c r="F121" s="500">
        <v>0.114</v>
      </c>
      <c r="G121" s="500">
        <v>0.10800000000000001</v>
      </c>
      <c r="H121" s="500">
        <v>0.11900000000000001</v>
      </c>
      <c r="I121" s="500">
        <v>0.107</v>
      </c>
      <c r="J121" s="500">
        <v>0.109</v>
      </c>
      <c r="K121" s="500">
        <v>0.10800000000000001</v>
      </c>
      <c r="L121" s="500">
        <v>0.12300000000000001</v>
      </c>
      <c r="M121" s="501">
        <v>0.11900000000000001</v>
      </c>
      <c r="N121" s="1037">
        <v>0.122</v>
      </c>
      <c r="O121" s="1037">
        <v>0.11899999999999999</v>
      </c>
      <c r="P121" s="1037">
        <v>0.11481139228509146</v>
      </c>
      <c r="Q121" s="502"/>
      <c r="R121" s="503">
        <v>7629</v>
      </c>
      <c r="S121" s="503">
        <v>7214</v>
      </c>
      <c r="T121" s="503">
        <v>7948</v>
      </c>
      <c r="U121" s="503">
        <v>8623</v>
      </c>
      <c r="V121" s="503">
        <v>8441</v>
      </c>
      <c r="W121" s="503">
        <v>9199</v>
      </c>
      <c r="X121" s="503">
        <v>8556</v>
      </c>
      <c r="Y121" s="503">
        <v>8698</v>
      </c>
      <c r="Z121" s="503">
        <v>8727</v>
      </c>
      <c r="AA121" s="503">
        <v>10091</v>
      </c>
      <c r="AB121" s="504">
        <v>9956</v>
      </c>
      <c r="AC121" s="1044">
        <v>10214</v>
      </c>
      <c r="AD121" s="1525">
        <v>9986</v>
      </c>
      <c r="AE121" s="1529">
        <v>9691</v>
      </c>
    </row>
    <row r="122" spans="1:31" ht="16.5" customHeight="1">
      <c r="A122" s="416" t="s">
        <v>230</v>
      </c>
      <c r="B122" s="417" t="s">
        <v>231</v>
      </c>
      <c r="C122" s="500">
        <v>6.8000000000000005E-2</v>
      </c>
      <c r="D122" s="500">
        <v>6.8000000000000005E-2</v>
      </c>
      <c r="E122" s="500">
        <v>7.400000000000001E-2</v>
      </c>
      <c r="F122" s="500">
        <v>0.08</v>
      </c>
      <c r="G122" s="500">
        <v>7.8E-2</v>
      </c>
      <c r="H122" s="500">
        <v>7.400000000000001E-2</v>
      </c>
      <c r="I122" s="500">
        <v>7.2000000000000008E-2</v>
      </c>
      <c r="J122" s="500">
        <v>6.6000000000000003E-2</v>
      </c>
      <c r="K122" s="500">
        <v>7.0000000000000007E-2</v>
      </c>
      <c r="L122" s="500">
        <v>6.8000000000000005E-2</v>
      </c>
      <c r="M122" s="501">
        <v>0.08</v>
      </c>
      <c r="N122" s="1037">
        <v>8.900000000000001E-2</v>
      </c>
      <c r="O122" s="1037">
        <v>9.0999999999999998E-2</v>
      </c>
      <c r="P122" s="1037">
        <v>9.0395711980747667E-2</v>
      </c>
      <c r="Q122" s="502"/>
      <c r="R122" s="503">
        <v>28643</v>
      </c>
      <c r="S122" s="503">
        <v>28856</v>
      </c>
      <c r="T122" s="503">
        <v>32396</v>
      </c>
      <c r="U122" s="503">
        <v>34892</v>
      </c>
      <c r="V122" s="503">
        <v>33970</v>
      </c>
      <c r="W122" s="503">
        <v>31958</v>
      </c>
      <c r="X122" s="503">
        <v>30762</v>
      </c>
      <c r="Y122" s="503">
        <v>28246</v>
      </c>
      <c r="Z122" s="503">
        <v>29532</v>
      </c>
      <c r="AA122" s="503">
        <v>28889</v>
      </c>
      <c r="AB122" s="504">
        <v>34303</v>
      </c>
      <c r="AC122" s="1044">
        <v>38498</v>
      </c>
      <c r="AD122" s="1525">
        <v>39564</v>
      </c>
      <c r="AE122" s="1529">
        <v>39666</v>
      </c>
    </row>
    <row r="123" spans="1:31" ht="16.5" customHeight="1">
      <c r="A123" s="416" t="s">
        <v>238</v>
      </c>
      <c r="B123" s="417" t="s">
        <v>239</v>
      </c>
      <c r="C123" s="500">
        <v>0.17699999999999999</v>
      </c>
      <c r="D123" s="500">
        <v>0.19500000000000001</v>
      </c>
      <c r="E123" s="500">
        <v>0.21299999999999999</v>
      </c>
      <c r="F123" s="500">
        <v>0.17800000000000002</v>
      </c>
      <c r="G123" s="500">
        <v>0.17300000000000001</v>
      </c>
      <c r="H123" s="500">
        <v>0.22699999999999998</v>
      </c>
      <c r="I123" s="500">
        <v>0.20699999999999999</v>
      </c>
      <c r="J123" s="500">
        <v>0.2</v>
      </c>
      <c r="K123" s="500">
        <v>0.187</v>
      </c>
      <c r="L123" s="500">
        <v>0.20300000000000001</v>
      </c>
      <c r="M123" s="501">
        <v>0.185</v>
      </c>
      <c r="N123" s="1037">
        <v>0.191</v>
      </c>
      <c r="O123" s="1037">
        <v>0.23</v>
      </c>
      <c r="P123" s="1037">
        <v>0.21086817308571951</v>
      </c>
      <c r="Q123" s="502"/>
      <c r="R123" s="503">
        <v>1312</v>
      </c>
      <c r="S123" s="503">
        <v>1402</v>
      </c>
      <c r="T123" s="503">
        <v>1518</v>
      </c>
      <c r="U123" s="503">
        <v>1244</v>
      </c>
      <c r="V123" s="503">
        <v>1266</v>
      </c>
      <c r="W123" s="503">
        <v>1643</v>
      </c>
      <c r="X123" s="503">
        <v>1509</v>
      </c>
      <c r="Y123" s="503">
        <v>1570</v>
      </c>
      <c r="Z123" s="503">
        <v>1474</v>
      </c>
      <c r="AA123" s="503">
        <v>1645</v>
      </c>
      <c r="AB123" s="504">
        <v>1850</v>
      </c>
      <c r="AC123" s="1044">
        <v>1962</v>
      </c>
      <c r="AD123" s="1525">
        <v>2500</v>
      </c>
      <c r="AE123" s="1529">
        <v>2305</v>
      </c>
    </row>
    <row r="124" spans="1:31" ht="16.5" customHeight="1">
      <c r="A124" s="515" t="s">
        <v>240</v>
      </c>
      <c r="B124" s="516" t="s">
        <v>241</v>
      </c>
      <c r="C124" s="507">
        <v>0.11</v>
      </c>
      <c r="D124" s="507">
        <v>0.109</v>
      </c>
      <c r="E124" s="507">
        <v>0.115</v>
      </c>
      <c r="F124" s="507">
        <v>0.121</v>
      </c>
      <c r="G124" s="507">
        <v>0.115</v>
      </c>
      <c r="H124" s="507">
        <v>0.124</v>
      </c>
      <c r="I124" s="507">
        <v>0.13900000000000001</v>
      </c>
      <c r="J124" s="507">
        <v>0.12</v>
      </c>
      <c r="K124" s="507">
        <v>0.128</v>
      </c>
      <c r="L124" s="507">
        <v>0.16300000000000001</v>
      </c>
      <c r="M124" s="501">
        <v>0.193</v>
      </c>
      <c r="N124" s="1038">
        <v>0.17800000000000002</v>
      </c>
      <c r="O124" s="1038">
        <v>0.16400000000000001</v>
      </c>
      <c r="P124" s="1522">
        <v>0.14078832338743397</v>
      </c>
      <c r="Q124" s="517"/>
      <c r="R124" s="508">
        <v>2584</v>
      </c>
      <c r="S124" s="508">
        <v>2568</v>
      </c>
      <c r="T124" s="508">
        <v>2739</v>
      </c>
      <c r="U124" s="508">
        <v>2912</v>
      </c>
      <c r="V124" s="508">
        <v>2811</v>
      </c>
      <c r="W124" s="508">
        <v>3008</v>
      </c>
      <c r="X124" s="508">
        <v>3394</v>
      </c>
      <c r="Y124" s="508">
        <v>2971</v>
      </c>
      <c r="Z124" s="508">
        <v>3198</v>
      </c>
      <c r="AA124" s="508">
        <v>4126</v>
      </c>
      <c r="AB124" s="509">
        <v>4873</v>
      </c>
      <c r="AC124" s="1045">
        <v>4545</v>
      </c>
      <c r="AD124" s="1526">
        <v>4257</v>
      </c>
      <c r="AE124" s="1530">
        <v>3704</v>
      </c>
    </row>
    <row r="125" spans="1:31" ht="16.5" customHeight="1">
      <c r="A125" s="519" t="s">
        <v>745</v>
      </c>
      <c r="B125" s="520"/>
      <c r="C125" s="521"/>
      <c r="D125" s="521"/>
      <c r="E125" s="521"/>
      <c r="F125" s="521"/>
      <c r="G125" s="521"/>
      <c r="H125" s="521"/>
      <c r="I125" s="521"/>
      <c r="J125" s="521"/>
      <c r="K125" s="521"/>
      <c r="L125" s="521"/>
      <c r="M125" s="521"/>
      <c r="N125" s="521"/>
      <c r="O125" s="1033"/>
      <c r="P125" s="1033"/>
      <c r="Q125" s="521"/>
      <c r="R125" s="522"/>
      <c r="S125" s="522"/>
      <c r="T125" s="522"/>
      <c r="U125" s="522"/>
      <c r="V125" s="522"/>
      <c r="W125" s="522"/>
      <c r="X125" s="522"/>
      <c r="Y125" s="522"/>
      <c r="Z125" s="522"/>
      <c r="AA125" s="522"/>
      <c r="AB125" s="523"/>
      <c r="AC125" s="523"/>
    </row>
    <row r="126" spans="1:31">
      <c r="A126" s="403" t="s">
        <v>266</v>
      </c>
      <c r="C126" s="518">
        <v>9.3237188436489218E-2</v>
      </c>
      <c r="D126" s="513">
        <v>9.1662354335324478E-2</v>
      </c>
      <c r="E126" s="513">
        <v>0.10219205581508556</v>
      </c>
      <c r="F126" s="513">
        <v>0.10581525657938262</v>
      </c>
      <c r="G126" s="513">
        <v>0.10259856552094609</v>
      </c>
      <c r="H126" s="513">
        <v>0.10695106549307283</v>
      </c>
      <c r="I126" s="513">
        <v>0.10257514754789548</v>
      </c>
      <c r="J126" s="513">
        <v>0.10835783455696647</v>
      </c>
      <c r="K126" s="513">
        <v>0.11361696871248311</v>
      </c>
      <c r="L126" s="513">
        <v>0.11740460777833268</v>
      </c>
      <c r="M126" s="514">
        <v>0.1231238887172626</v>
      </c>
      <c r="N126" s="514">
        <v>0.13054553620300066</v>
      </c>
      <c r="O126" s="514">
        <v>0.13100000000000001</v>
      </c>
      <c r="P126" s="1527">
        <v>0.13459992380300864</v>
      </c>
      <c r="R126" s="510">
        <v>105872</v>
      </c>
      <c r="S126" s="511">
        <v>105143</v>
      </c>
      <c r="T126" s="511">
        <v>119540</v>
      </c>
      <c r="U126" s="511">
        <v>124895</v>
      </c>
      <c r="V126" s="511">
        <v>123345</v>
      </c>
      <c r="W126" s="511">
        <v>126877</v>
      </c>
      <c r="X126" s="511">
        <v>123589</v>
      </c>
      <c r="Y126" s="511">
        <v>132787</v>
      </c>
      <c r="Z126" s="511">
        <v>140727</v>
      </c>
      <c r="AA126" s="511">
        <v>146844</v>
      </c>
      <c r="AB126" s="1046">
        <v>157422</v>
      </c>
      <c r="AC126" s="511">
        <v>167427</v>
      </c>
      <c r="AD126" s="1047">
        <v>169230</v>
      </c>
      <c r="AE126" s="692">
        <v>176294</v>
      </c>
    </row>
    <row r="127" spans="1:31">
      <c r="A127" s="403" t="s">
        <v>264</v>
      </c>
      <c r="C127" s="512">
        <v>0.10860533120908807</v>
      </c>
      <c r="D127" s="513">
        <v>0.10641206375217382</v>
      </c>
      <c r="E127" s="513">
        <v>0.11466279980893911</v>
      </c>
      <c r="F127" s="513">
        <v>0.11758377928142934</v>
      </c>
      <c r="G127" s="513">
        <v>0.11259360124640222</v>
      </c>
      <c r="H127" s="513">
        <v>0.11367927485747498</v>
      </c>
      <c r="I127" s="513">
        <v>0.10639459370059251</v>
      </c>
      <c r="J127" s="513">
        <v>0.11202655946373949</v>
      </c>
      <c r="K127" s="513">
        <v>0.11571808952754851</v>
      </c>
      <c r="L127" s="513">
        <v>0.11429957969100746</v>
      </c>
      <c r="M127" s="514">
        <v>0.12023872863352066</v>
      </c>
      <c r="N127" s="514">
        <v>0.12870004950966066</v>
      </c>
      <c r="O127" s="514">
        <v>0.13600000000000001</v>
      </c>
      <c r="P127" s="1527">
        <v>0.13722953804582269</v>
      </c>
      <c r="R127" s="510">
        <v>182298</v>
      </c>
      <c r="S127" s="511">
        <v>180189</v>
      </c>
      <c r="T127" s="511">
        <v>198599</v>
      </c>
      <c r="U127" s="511">
        <v>203585</v>
      </c>
      <c r="V127" s="511">
        <v>196053</v>
      </c>
      <c r="W127" s="511">
        <v>195954</v>
      </c>
      <c r="X127" s="511">
        <v>183982</v>
      </c>
      <c r="Y127" s="511">
        <v>194397</v>
      </c>
      <c r="Z127" s="511">
        <v>199783</v>
      </c>
      <c r="AA127" s="511">
        <v>199568</v>
      </c>
      <c r="AB127" s="1046">
        <v>209955</v>
      </c>
      <c r="AC127" s="511">
        <v>225896</v>
      </c>
      <c r="AD127" s="1047">
        <v>240717</v>
      </c>
      <c r="AE127" s="692">
        <v>243363</v>
      </c>
    </row>
    <row r="128" spans="1:31">
      <c r="A128" s="403" t="s">
        <v>267</v>
      </c>
      <c r="C128" s="512">
        <v>5.3819970982672265E-2</v>
      </c>
      <c r="D128" s="513">
        <v>5.4187387148898883E-2</v>
      </c>
      <c r="E128" s="513">
        <v>5.9488325891117154E-2</v>
      </c>
      <c r="F128" s="513">
        <v>6.5356715447867419E-2</v>
      </c>
      <c r="G128" s="513">
        <v>6.1376226711921139E-2</v>
      </c>
      <c r="H128" s="513">
        <v>6.0904658056330392E-2</v>
      </c>
      <c r="I128" s="513">
        <v>6.0991227226495109E-2</v>
      </c>
      <c r="J128" s="513">
        <v>5.9939990840376267E-2</v>
      </c>
      <c r="K128" s="513">
        <v>6.2179277100436824E-2</v>
      </c>
      <c r="L128" s="513">
        <v>6.816119052357604E-2</v>
      </c>
      <c r="M128" s="514">
        <v>7.2466232957629648E-2</v>
      </c>
      <c r="N128" s="514">
        <v>7.6399225436204074E-2</v>
      </c>
      <c r="O128" s="514">
        <v>7.4999999999999997E-2</v>
      </c>
      <c r="P128" s="1527">
        <v>7.4164709719101329E-2</v>
      </c>
      <c r="R128" s="510">
        <v>138724</v>
      </c>
      <c r="S128" s="511">
        <v>141301</v>
      </c>
      <c r="T128" s="511">
        <v>159450</v>
      </c>
      <c r="U128" s="511">
        <v>179066</v>
      </c>
      <c r="V128" s="511">
        <v>172575</v>
      </c>
      <c r="W128" s="511">
        <v>169315</v>
      </c>
      <c r="X128" s="511">
        <v>173120</v>
      </c>
      <c r="Y128" s="511">
        <v>171582</v>
      </c>
      <c r="Z128" s="511">
        <v>179865</v>
      </c>
      <c r="AA128" s="511">
        <v>202606</v>
      </c>
      <c r="AB128" s="1046">
        <v>222814</v>
      </c>
      <c r="AC128" s="511">
        <v>238776</v>
      </c>
      <c r="AD128" s="1047">
        <v>240500</v>
      </c>
      <c r="AE128" s="692">
        <v>240148</v>
      </c>
    </row>
    <row r="129" spans="1:31">
      <c r="A129" s="403" t="s">
        <v>265</v>
      </c>
      <c r="C129" s="512">
        <v>0.1060107079665315</v>
      </c>
      <c r="D129" s="513">
        <v>0.1065999802563027</v>
      </c>
      <c r="E129" s="513">
        <v>0.11841703973751314</v>
      </c>
      <c r="F129" s="513">
        <v>0.12117460527154147</v>
      </c>
      <c r="G129" s="513">
        <v>0.11757933953315472</v>
      </c>
      <c r="H129" s="513">
        <v>0.12749971521740955</v>
      </c>
      <c r="I129" s="513">
        <v>0.12641918305043012</v>
      </c>
      <c r="J129" s="513">
        <v>0.13010546173078325</v>
      </c>
      <c r="K129" s="513">
        <v>0.13219259468761307</v>
      </c>
      <c r="L129" s="513">
        <v>0.142187426757521</v>
      </c>
      <c r="M129" s="514">
        <v>0.15006267141167387</v>
      </c>
      <c r="N129" s="514">
        <v>0.15103930395133242</v>
      </c>
      <c r="O129" s="514">
        <v>0.152</v>
      </c>
      <c r="P129" s="1527">
        <v>0.15284502014599163</v>
      </c>
      <c r="R129" s="510">
        <v>112685</v>
      </c>
      <c r="S129" s="511">
        <v>113372</v>
      </c>
      <c r="T129" s="511">
        <v>126853</v>
      </c>
      <c r="U129" s="511">
        <v>129807</v>
      </c>
      <c r="V129" s="511">
        <v>127543</v>
      </c>
      <c r="W129" s="511">
        <v>136375</v>
      </c>
      <c r="X129" s="511">
        <v>136569</v>
      </c>
      <c r="Y129" s="511">
        <v>140972</v>
      </c>
      <c r="Z129" s="511">
        <v>143958</v>
      </c>
      <c r="AA129" s="511">
        <v>155087</v>
      </c>
      <c r="AB129" s="1046">
        <v>167379</v>
      </c>
      <c r="AC129" s="511">
        <v>168805</v>
      </c>
      <c r="AD129" s="1047">
        <v>170512</v>
      </c>
      <c r="AE129" s="692">
        <v>171615</v>
      </c>
    </row>
    <row r="130" spans="1:31">
      <c r="A130" s="403" t="s">
        <v>268</v>
      </c>
      <c r="C130" s="512">
        <v>0.14487555201488991</v>
      </c>
      <c r="D130" s="513">
        <v>0.14306900004758574</v>
      </c>
      <c r="E130" s="513">
        <v>0.15556163257278338</v>
      </c>
      <c r="F130" s="513">
        <v>0.15499536649748308</v>
      </c>
      <c r="G130" s="513">
        <v>0.15195219671506743</v>
      </c>
      <c r="H130" s="513">
        <v>0.18084455028541141</v>
      </c>
      <c r="I130" s="513">
        <v>0.17204522870846353</v>
      </c>
      <c r="J130" s="513">
        <v>0.17744474990181727</v>
      </c>
      <c r="K130" s="513">
        <v>0.18285150683367846</v>
      </c>
      <c r="L130" s="513">
        <v>0.18067404001948281</v>
      </c>
      <c r="M130" s="514">
        <v>0.18929818575976814</v>
      </c>
      <c r="N130" s="514">
        <v>0.19649936328107848</v>
      </c>
      <c r="O130" s="514">
        <v>0.20300000000000001</v>
      </c>
      <c r="P130" s="1527">
        <v>0.19352424524838319</v>
      </c>
      <c r="R130" s="510">
        <v>81357</v>
      </c>
      <c r="S130" s="511">
        <v>80233</v>
      </c>
      <c r="T130" s="511">
        <v>87691</v>
      </c>
      <c r="U130" s="511">
        <v>86973</v>
      </c>
      <c r="V130" s="511">
        <v>85522</v>
      </c>
      <c r="W130" s="511">
        <v>100339</v>
      </c>
      <c r="X130" s="511">
        <v>95919</v>
      </c>
      <c r="Y130" s="511">
        <v>99401</v>
      </c>
      <c r="Z130" s="511">
        <v>102521</v>
      </c>
      <c r="AA130" s="511">
        <v>101448</v>
      </c>
      <c r="AB130" s="1046">
        <v>108176</v>
      </c>
      <c r="AC130" s="511">
        <v>111872</v>
      </c>
      <c r="AD130" s="1047">
        <v>115425</v>
      </c>
      <c r="AE130" s="692">
        <v>109640</v>
      </c>
    </row>
    <row r="132" spans="1:31">
      <c r="A132" s="1057" t="s">
        <v>1009</v>
      </c>
    </row>
    <row r="134" spans="1:31" s="428" customFormat="1">
      <c r="A134" s="428" t="s">
        <v>248</v>
      </c>
    </row>
    <row r="135" spans="1:31" s="428" customFormat="1">
      <c r="A135" s="429" t="s">
        <v>249</v>
      </c>
      <c r="B135" s="430" t="s">
        <v>250</v>
      </c>
    </row>
  </sheetData>
  <autoFilter ref="A3:B3"/>
  <mergeCells count="2">
    <mergeCell ref="C2:M2"/>
    <mergeCell ref="R2:AB2"/>
  </mergeCells>
  <hyperlinks>
    <hyperlink ref="B135"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65</vt:i4>
      </vt:variant>
      <vt:variant>
        <vt:lpstr>Named Ranges</vt:lpstr>
      </vt:variant>
      <vt:variant>
        <vt:i4>74</vt:i4>
      </vt:variant>
    </vt:vector>
  </HeadingPairs>
  <TitlesOfParts>
    <vt:vector size="139" baseType="lpstr">
      <vt:lpstr>Profile</vt:lpstr>
      <vt:lpstr>Data for Graphs</vt:lpstr>
      <vt:lpstr>Agency Level</vt:lpstr>
      <vt:lpstr>HR Policy</vt:lpstr>
      <vt:lpstr>IT Support</vt:lpstr>
      <vt:lpstr>Board Type</vt:lpstr>
      <vt:lpstr>2013 Population</vt:lpstr>
      <vt:lpstr>Poverty_2013</vt:lpstr>
      <vt:lpstr>Poverty_All ages</vt:lpstr>
      <vt:lpstr>Poverty_Child</vt:lpstr>
      <vt:lpstr>Income to Poverty Ratio</vt:lpstr>
      <vt:lpstr>Unemployment</vt:lpstr>
      <vt:lpstr>Non-marital births</vt:lpstr>
      <vt:lpstr>Teen births</vt:lpstr>
      <vt:lpstr>NM Births_1998-2012</vt:lpstr>
      <vt:lpstr>Teen Births_1998-2012</vt:lpstr>
      <vt:lpstr>Children in Single Parent Homes</vt:lpstr>
      <vt:lpstr>SNAP Clients by SFY</vt:lpstr>
      <vt:lpstr>TANF Clients by SFY</vt:lpstr>
      <vt:lpstr>Medicaid Clients by SFY</vt:lpstr>
      <vt:lpstr>EA Clients by FFY</vt:lpstr>
      <vt:lpstr>Benefit Clients by SFY</vt:lpstr>
      <vt:lpstr>ChildCareClients</vt:lpstr>
      <vt:lpstr>TANF Cases by SFY</vt:lpstr>
      <vt:lpstr>SNAP Cases by SFY</vt:lpstr>
      <vt:lpstr>Medicaid Cases by SFY</vt:lpstr>
      <vt:lpstr>EA Cases by FFY</vt:lpstr>
      <vt:lpstr>Child Care Cases</vt:lpstr>
      <vt:lpstr>SNAP Client Demographics</vt:lpstr>
      <vt:lpstr>TANF Client Demographics</vt:lpstr>
      <vt:lpstr>MA Client Demographics</vt:lpstr>
      <vt:lpstr>Hispanic Adjustment</vt:lpstr>
      <vt:lpstr>Benefit Client Demographics</vt:lpstr>
      <vt:lpstr>Children in Foster Care</vt:lpstr>
      <vt:lpstr>Adoption Child by Race</vt:lpstr>
      <vt:lpstr>Adopted Children</vt:lpstr>
      <vt:lpstr>Adoption Services</vt:lpstr>
      <vt:lpstr>APS Reports</vt:lpstr>
      <vt:lpstr>CPS Referrals</vt:lpstr>
      <vt:lpstr>Compare Recipients Census Med</vt:lpstr>
      <vt:lpstr>Compare Recipients Census SNAP</vt:lpstr>
      <vt:lpstr>Compare Recipients Census TANF</vt:lpstr>
      <vt:lpstr>Adoption Counts Summed SFY 2010</vt:lpstr>
      <vt:lpstr>CPS Ref Child Demo 2010 (2)</vt:lpstr>
      <vt:lpstr>Administration LASER</vt:lpstr>
      <vt:lpstr>Other Oper Exp. LASER</vt:lpstr>
      <vt:lpstr>Client Services LASER</vt:lpstr>
      <vt:lpstr>Medicaid &amp; FAMIS - LASER</vt:lpstr>
      <vt:lpstr>SNAP LASER</vt:lpstr>
      <vt:lpstr>TANF LASER</vt:lpstr>
      <vt:lpstr>Energy Assistance LASER</vt:lpstr>
      <vt:lpstr>FC &amp; Adoptions LASER</vt:lpstr>
      <vt:lpstr>CSA LASER</vt:lpstr>
      <vt:lpstr>ChildCare LASER</vt:lpstr>
      <vt:lpstr>Other Benefits LASER</vt:lpstr>
      <vt:lpstr>Benefits Spending LASER</vt:lpstr>
      <vt:lpstr>Social Svcs Spending Summary</vt:lpstr>
      <vt:lpstr>Medicaid Clients</vt:lpstr>
      <vt:lpstr>Staffing</vt:lpstr>
      <vt:lpstr>Children in Single-Parent Homes</vt:lpstr>
      <vt:lpstr>Married Parent Households</vt:lpstr>
      <vt:lpstr>SNAP Participation Rate</vt:lpstr>
      <vt:lpstr>AuxGrant</vt:lpstr>
      <vt:lpstr>Locality Name</vt:lpstr>
      <vt:lpstr>Password</vt:lpstr>
      <vt:lpstr>'Compare Recipients Census Med'!ADOP_AVG</vt:lpstr>
      <vt:lpstr>'Compare Recipients Census SNAP'!ADOP_AVG</vt:lpstr>
      <vt:lpstr>'Compare Recipients Census TANF'!ADOP_AVG</vt:lpstr>
      <vt:lpstr>ADOP_AVG</vt:lpstr>
      <vt:lpstr>Adoption_Child_Demo</vt:lpstr>
      <vt:lpstr>adoption_race</vt:lpstr>
      <vt:lpstr>AdoptionServices</vt:lpstr>
      <vt:lpstr>Agency_Level</vt:lpstr>
      <vt:lpstr>APS_Reports</vt:lpstr>
      <vt:lpstr>AuxGrant</vt:lpstr>
      <vt:lpstr>BenefitClient_Demo</vt:lpstr>
      <vt:lpstr>BenefitClients</vt:lpstr>
      <vt:lpstr>BoardType</vt:lpstr>
      <vt:lpstr>Child_SingleParentHH</vt:lpstr>
      <vt:lpstr>ChildCareClients</vt:lpstr>
      <vt:lpstr>ChildCareFamilies</vt:lpstr>
      <vt:lpstr>ChildCareLASER</vt:lpstr>
      <vt:lpstr>Children_CPS_Referrals</vt:lpstr>
      <vt:lpstr>Client_Svcs_LASER</vt:lpstr>
      <vt:lpstr>CPSReferrals</vt:lpstr>
      <vt:lpstr>CSA_LASER</vt:lpstr>
      <vt:lpstr>EA_LASER</vt:lpstr>
      <vt:lpstr>EACases_FFY</vt:lpstr>
      <vt:lpstr>EAClients_FFY</vt:lpstr>
      <vt:lpstr>Eligibility_2013</vt:lpstr>
      <vt:lpstr>Employment</vt:lpstr>
      <vt:lpstr>FC_Adop_LASER</vt:lpstr>
      <vt:lpstr>FC_DEMO</vt:lpstr>
      <vt:lpstr>FCMAP</vt:lpstr>
      <vt:lpstr>FIPS</vt:lpstr>
      <vt:lpstr>FIPS_NUM</vt:lpstr>
      <vt:lpstr>FIPSN</vt:lpstr>
      <vt:lpstr>HR_Deviate</vt:lpstr>
      <vt:lpstr>IT_Support</vt:lpstr>
      <vt:lpstr>Loc_Name</vt:lpstr>
      <vt:lpstr>Locality</vt:lpstr>
      <vt:lpstr>marriedcouples</vt:lpstr>
      <vt:lpstr>MarriedParentHouseholds</vt:lpstr>
      <vt:lpstr>Medicaid_FAMIS_LASER</vt:lpstr>
      <vt:lpstr>MedicaidCases_SFY</vt:lpstr>
      <vt:lpstr>MedicaidClient_Demographics</vt:lpstr>
      <vt:lpstr>MedicaidClients</vt:lpstr>
      <vt:lpstr>NMBirths_Trend</vt:lpstr>
      <vt:lpstr>NonMaritalBirths</vt:lpstr>
      <vt:lpstr>OT_BENE_LASER</vt:lpstr>
      <vt:lpstr>OT_EXP_LASER_2013</vt:lpstr>
      <vt:lpstr>Other_Oper_Exp_LASER</vt:lpstr>
      <vt:lpstr>Pop_2013</vt:lpstr>
      <vt:lpstr>Poverty</vt:lpstr>
      <vt:lpstr>Poverty_AllAges</vt:lpstr>
      <vt:lpstr>Poverty_Child</vt:lpstr>
      <vt:lpstr>'Children in Foster Care'!Print_Area</vt:lpstr>
      <vt:lpstr>'Locality Name'!Print_Area</vt:lpstr>
      <vt:lpstr>Profile!Print_Area</vt:lpstr>
      <vt:lpstr>'SNAP Participation Rate'!Print_Area</vt:lpstr>
      <vt:lpstr>Unemployment!Print_Area</vt:lpstr>
      <vt:lpstr>'Children in Foster Care'!Print_Titles</vt:lpstr>
      <vt:lpstr>Profile!Print_Titles</vt:lpstr>
      <vt:lpstr>'SNAP Participation Rate'!Print_Titles</vt:lpstr>
      <vt:lpstr>Unemployment!Print_Titles</vt:lpstr>
      <vt:lpstr>SingleParentHomes</vt:lpstr>
      <vt:lpstr>SNAP_LASER</vt:lpstr>
      <vt:lpstr>SNAP_RACE</vt:lpstr>
      <vt:lpstr>SNAPCases_SFY</vt:lpstr>
      <vt:lpstr>SNAPClient_Demo</vt:lpstr>
      <vt:lpstr>SNAPClients</vt:lpstr>
      <vt:lpstr>Staffing</vt:lpstr>
      <vt:lpstr>Staffing_LASER</vt:lpstr>
      <vt:lpstr>TANF_LASER</vt:lpstr>
      <vt:lpstr>TANFCases_SFY</vt:lpstr>
      <vt:lpstr>TANFClient_Demo</vt:lpstr>
      <vt:lpstr>TANFClients</vt:lpstr>
      <vt:lpstr>TeenBirths</vt:lpstr>
      <vt:lpstr>TeenBirths_Trend</vt:lpstr>
    </vt:vector>
  </TitlesOfParts>
  <Company>Virginia IT Infrastructure Partnership</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AXW09990</dc:creator>
  <cp:lastModifiedBy>xsg97724</cp:lastModifiedBy>
  <cp:lastPrinted>2015-03-12T13:43:56Z</cp:lastPrinted>
  <dcterms:created xsi:type="dcterms:W3CDTF">2011-04-04T18:14:50Z</dcterms:created>
  <dcterms:modified xsi:type="dcterms:W3CDTF">2015-03-12T17:14:57Z</dcterms:modified>
</cp:coreProperties>
</file>